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3820"/>
  <mc:AlternateContent xmlns:mc="http://schemas.openxmlformats.org/markup-compatibility/2006">
    <mc:Choice Requires="x15">
      <x15ac:absPath xmlns:x15ac="http://schemas.microsoft.com/office/spreadsheetml/2010/11/ac" url="Z:\2-GESTION DE COMPRAS Y PROCESOS\10-MARCOS FABIAN\Comparación de Precios\Obras\Presupuestos editables\"/>
    </mc:Choice>
  </mc:AlternateContent>
  <bookViews>
    <workbookView xWindow="0" yWindow="0" windowWidth="14250" windowHeight="11895" tabRatio="807" firstSheet="9" activeTab="9"/>
  </bookViews>
  <sheets>
    <sheet name="mano de obra tarifas actualizad" sheetId="15" state="hidden" r:id="rId1"/>
    <sheet name="Brig" sheetId="13" state="hidden" r:id="rId2"/>
    <sheet name="madera" sheetId="14" state="hidden" r:id="rId3"/>
    <sheet name="caseta materiales" sheetId="16" state="hidden" r:id="rId4"/>
    <sheet name="horm.ymez." sheetId="12" state="hidden" r:id="rId5"/>
    <sheet name="otros" sheetId="17" state="hidden" r:id="rId6"/>
    <sheet name="ana A1" sheetId="25" state="hidden" r:id="rId7"/>
    <sheet name="Prec." sheetId="3" state="hidden" r:id="rId8"/>
    <sheet name="Ana.term" sheetId="1" state="hidden" r:id="rId9"/>
    <sheet name="PRESUPUESTO" sheetId="18" r:id="rId10"/>
    <sheet name="VOLUMETRIA" sheetId="26" state="hidden" r:id="rId11"/>
    <sheet name="CUANTIAS" sheetId="27" state="hidden" r:id="rId12"/>
    <sheet name="porcientos" sheetId="22" state="hidden" r:id="rId13"/>
    <sheet name="volumen" sheetId="2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4" localSheetId="1">#REF!</definedName>
    <definedName name="\4" localSheetId="11">#REF!</definedName>
    <definedName name="\4" localSheetId="10">#REF!</definedName>
    <definedName name="\4">#REF!</definedName>
    <definedName name="\6" localSheetId="1">#REF!</definedName>
    <definedName name="\6" localSheetId="11">#REF!</definedName>
    <definedName name="\6" localSheetId="10">#REF!</definedName>
    <definedName name="\6">#REF!</definedName>
    <definedName name="\A" localSheetId="1">#REF!</definedName>
    <definedName name="\A" localSheetId="11">#REF!</definedName>
    <definedName name="\A" localSheetId="10">#REF!</definedName>
    <definedName name="\A">#REF!</definedName>
    <definedName name="\E" localSheetId="1">#REF!</definedName>
    <definedName name="\E" localSheetId="11">#REF!</definedName>
    <definedName name="\E" localSheetId="10">#REF!</definedName>
    <definedName name="\E">#REF!</definedName>
    <definedName name="\I" localSheetId="1">#REF!</definedName>
    <definedName name="\I" localSheetId="11">#REF!</definedName>
    <definedName name="\I" localSheetId="10">#REF!</definedName>
    <definedName name="\I">#REF!</definedName>
    <definedName name="\M" localSheetId="1">#REF!</definedName>
    <definedName name="\M" localSheetId="11">#REF!</definedName>
    <definedName name="\M" localSheetId="10">#REF!</definedName>
    <definedName name="\M">#REF!</definedName>
    <definedName name="\N" localSheetId="1">#REF!</definedName>
    <definedName name="\N" localSheetId="11">#REF!</definedName>
    <definedName name="\N" localSheetId="10">#REF!</definedName>
    <definedName name="\N">#REF!</definedName>
    <definedName name="\O" localSheetId="1">#REF!</definedName>
    <definedName name="\O" localSheetId="11">#REF!</definedName>
    <definedName name="\O" localSheetId="10">#REF!</definedName>
    <definedName name="\O">#REF!</definedName>
    <definedName name="\U" localSheetId="1">#REF!</definedName>
    <definedName name="\U" localSheetId="11">#REF!</definedName>
    <definedName name="\U" localSheetId="10">#REF!</definedName>
    <definedName name="\U">#REF!</definedName>
    <definedName name="__IntlFixup" hidden="1">TRUE</definedName>
    <definedName name="_k1">[1]Precios!$A$4:$F$1576</definedName>
    <definedName name="_k2">[2]Precios!$A$4:$F$1576</definedName>
    <definedName name="_k3">[1]Precios!$A$4:$F$1576</definedName>
    <definedName name="_Key1" localSheetId="11" hidden="1">#REF!</definedName>
    <definedName name="_Key1" localSheetId="10" hidden="1">#REF!</definedName>
    <definedName name="_Key1" hidden="1">#REF!</definedName>
    <definedName name="_Key2" localSheetId="11" hidden="1">#REF!</definedName>
    <definedName name="_Key2" localSheetId="10" hidden="1">#REF!</definedName>
    <definedName name="_Key2" hidden="1">#REF!</definedName>
    <definedName name="_Order1" hidden="1">255</definedName>
    <definedName name="_Order2" hidden="1">255</definedName>
    <definedName name="_Sort" localSheetId="11" hidden="1">#REF!</definedName>
    <definedName name="_Sort" localSheetId="10" hidden="1">#REF!</definedName>
    <definedName name="_Sort" hidden="1">#REF!</definedName>
    <definedName name="a">'[3]Trabajos Generales'!$F$4</definedName>
    <definedName name="acarreo" localSheetId="11">'[4]Listado Equipos a utilizar'!#REF!</definedName>
    <definedName name="acarreo" localSheetId="10">'[4]Listado Equipos a utilizar'!#REF!</definedName>
    <definedName name="acarreo">'[4]Listado Equipos a utilizar'!#REF!</definedName>
    <definedName name="acero1" localSheetId="11">#REF!</definedName>
    <definedName name="acero1" localSheetId="10">#REF!</definedName>
    <definedName name="acero1">#REF!</definedName>
    <definedName name="acerog40">[5]MATERIALES!$G$7</definedName>
    <definedName name="aceroi" localSheetId="11">#REF!</definedName>
    <definedName name="aceroi" localSheetId="10">#REF!</definedName>
    <definedName name="aceroi">#REF!</definedName>
    <definedName name="aceroii" localSheetId="11">#REF!</definedName>
    <definedName name="aceroii" localSheetId="10">#REF!</definedName>
    <definedName name="aceroii">#REF!</definedName>
    <definedName name="aceromalla" localSheetId="11">#REF!</definedName>
    <definedName name="aceromalla" localSheetId="10">#REF!</definedName>
    <definedName name="aceromalla">#REF!</definedName>
    <definedName name="Actividad" localSheetId="11">#REF!</definedName>
    <definedName name="Actividad" localSheetId="10">#REF!</definedName>
    <definedName name="Actividad">#REF!</definedName>
    <definedName name="adm">'[6]Resumen Precio Equipos'!$C$28</definedName>
    <definedName name="ADMINISTRATIVOS" localSheetId="11">#REF!</definedName>
    <definedName name="ADMINISTRATIVOS" localSheetId="10">#REF!</definedName>
    <definedName name="ADMINISTRATIVOS">#REF!</definedName>
    <definedName name="agricola" localSheetId="11">'[4]Listado Equipos a utilizar'!#REF!</definedName>
    <definedName name="agricola" localSheetId="10">'[4]Listado Equipos a utilizar'!#REF!</definedName>
    <definedName name="agricola">'[4]Listado Equipos a utilizar'!#REF!</definedName>
    <definedName name="aguarras" localSheetId="11">#REF!</definedName>
    <definedName name="aguarras" localSheetId="10">#REF!</definedName>
    <definedName name="aguarras">#REF!</definedName>
    <definedName name="alambi" localSheetId="11">#REF!</definedName>
    <definedName name="alambi" localSheetId="10">#REF!</definedName>
    <definedName name="alambi">#REF!</definedName>
    <definedName name="alambii" localSheetId="11">#REF!</definedName>
    <definedName name="alambii" localSheetId="10">#REF!</definedName>
    <definedName name="alambii">#REF!</definedName>
    <definedName name="alambiii" localSheetId="11">#REF!</definedName>
    <definedName name="alambiii" localSheetId="10">#REF!</definedName>
    <definedName name="alambiii">#REF!</definedName>
    <definedName name="alambiiii" localSheetId="11">#REF!</definedName>
    <definedName name="alambiiii" localSheetId="10">#REF!</definedName>
    <definedName name="alambiiii">#REF!</definedName>
    <definedName name="alambre18">[5]MATERIALES!$G$10</definedName>
    <definedName name="ANAL_REV.CER" localSheetId="1">#REF!</definedName>
    <definedName name="ANAL_REV.CER" localSheetId="11">#REF!</definedName>
    <definedName name="ANAL_REV.CER" localSheetId="10">#REF!</definedName>
    <definedName name="ANAL_REV.CER">#REF!</definedName>
    <definedName name="analisis" localSheetId="11">#REF!,#REF!,#REF!</definedName>
    <definedName name="analisis" localSheetId="10">#REF!,#REF!,#REF!</definedName>
    <definedName name="analisis">#REF!,#REF!,#REF!</definedName>
    <definedName name="analisis2" localSheetId="11">#REF!</definedName>
    <definedName name="analisis2" localSheetId="10">#REF!</definedName>
    <definedName name="analisis2">#REF!</definedName>
    <definedName name="analisisI" localSheetId="11">#REF!</definedName>
    <definedName name="analisisI" localSheetId="10">#REF!</definedName>
    <definedName name="analisisI">#REF!</definedName>
    <definedName name="_xlnm.Print_Area" localSheetId="8">Ana.term!$A$1:$F$10175</definedName>
    <definedName name="_xlnm.Print_Area" localSheetId="1">Brig!$A$1:$E$366</definedName>
    <definedName name="_xlnm.Print_Area" localSheetId="4">horm.ymez.!$A$1:$I$252</definedName>
    <definedName name="_xlnm.Print_Area" localSheetId="0">'mano de obra tarifas actualizad'!$A$4:$C$16</definedName>
    <definedName name="_xlnm.Print_Area" localSheetId="7">Prec.!$A$1:$C$731</definedName>
    <definedName name="_xlnm.Print_Area" localSheetId="9">PRESUPUESTO!$A$1:$G$77</definedName>
    <definedName name="_xlnm.Print_Area" localSheetId="13">volumen!$A$1:$G$349</definedName>
    <definedName name="arenabca" localSheetId="11">#REF!</definedName>
    <definedName name="arenabca" localSheetId="10">#REF!</definedName>
    <definedName name="arenabca">#REF!</definedName>
    <definedName name="arenafina">[5]MATERIALES!$G$11</definedName>
    <definedName name="arenaitabo">[5]MATERIALES!$G$12</definedName>
    <definedName name="arenalavada">[5]MATERIALES!$G$13</definedName>
    <definedName name="arenapta" localSheetId="11">#REF!</definedName>
    <definedName name="arenapta" localSheetId="10">#REF!</definedName>
    <definedName name="arenapta">#REF!</definedName>
    <definedName name="ari" localSheetId="11">#REF!</definedName>
    <definedName name="ari" localSheetId="10">#REF!</definedName>
    <definedName name="ari">#REF!</definedName>
    <definedName name="arii" localSheetId="11">#REF!</definedName>
    <definedName name="arii" localSheetId="10">#REF!</definedName>
    <definedName name="arii">#REF!</definedName>
    <definedName name="ariii" localSheetId="11">#REF!</definedName>
    <definedName name="ariii" localSheetId="10">#REF!</definedName>
    <definedName name="ariii">#REF!</definedName>
    <definedName name="ariiii" localSheetId="11">#REF!</definedName>
    <definedName name="ariiii" localSheetId="10">#REF!</definedName>
    <definedName name="ariiii">#REF!</definedName>
    <definedName name="arranque" localSheetId="11">'[4]Listado Equipos a utilizar'!#REF!</definedName>
    <definedName name="arranque" localSheetId="10">'[4]Listado Equipos a utilizar'!#REF!</definedName>
    <definedName name="arranque">'[4]Listado Equipos a utilizar'!#REF!</definedName>
    <definedName name="asfali" localSheetId="11">#REF!</definedName>
    <definedName name="asfali" localSheetId="10">#REF!</definedName>
    <definedName name="asfali">#REF!</definedName>
    <definedName name="asfalii" localSheetId="11">#REF!</definedName>
    <definedName name="asfalii" localSheetId="10">#REF!</definedName>
    <definedName name="asfalii">#REF!</definedName>
    <definedName name="asfaliii" localSheetId="11">#REF!</definedName>
    <definedName name="asfaliii" localSheetId="10">#REF!</definedName>
    <definedName name="asfaliii">#REF!</definedName>
    <definedName name="asfaliiii" localSheetId="11">#REF!</definedName>
    <definedName name="asfaliiii" localSheetId="10">#REF!</definedName>
    <definedName name="asfaliiii">#REF!</definedName>
    <definedName name="asientoi" localSheetId="11">#REF!</definedName>
    <definedName name="asientoi" localSheetId="10">#REF!</definedName>
    <definedName name="asientoi">#REF!</definedName>
    <definedName name="asientoii" localSheetId="11">#REF!</definedName>
    <definedName name="asientoii" localSheetId="10">#REF!</definedName>
    <definedName name="asientoii">#REF!</definedName>
    <definedName name="asientoiii" localSheetId="11">#REF!</definedName>
    <definedName name="asientoiii" localSheetId="10">#REF!</definedName>
    <definedName name="asientoiii">#REF!</definedName>
    <definedName name="asientoiiii" localSheetId="11">#REF!</definedName>
    <definedName name="asientoiiii" localSheetId="10">#REF!</definedName>
    <definedName name="asientoiiii">#REF!</definedName>
    <definedName name="ayoperador" localSheetId="11">#REF!</definedName>
    <definedName name="ayoperador" localSheetId="10">#REF!</definedName>
    <definedName name="ayoperador">#REF!</definedName>
    <definedName name="ayudcadenero">[5]OBRAMANO!$F$67</definedName>
    <definedName name="b">'[3]Trabajos Generales'!$C$8</definedName>
    <definedName name="banci" localSheetId="11">#REF!</definedName>
    <definedName name="banci" localSheetId="10">#REF!</definedName>
    <definedName name="banci">#REF!</definedName>
    <definedName name="bancii" localSheetId="11">#REF!</definedName>
    <definedName name="bancii" localSheetId="10">#REF!</definedName>
    <definedName name="bancii">#REF!</definedName>
    <definedName name="banciii" localSheetId="11">#REF!</definedName>
    <definedName name="banciii" localSheetId="10">#REF!</definedName>
    <definedName name="banciii">#REF!</definedName>
    <definedName name="banciiii" localSheetId="11">#REF!</definedName>
    <definedName name="banciiii" localSheetId="10">#REF!</definedName>
    <definedName name="banciiii">#REF!</definedName>
    <definedName name="banli" localSheetId="11">#REF!</definedName>
    <definedName name="banli" localSheetId="10">#REF!</definedName>
    <definedName name="banli">#REF!</definedName>
    <definedName name="banlii" localSheetId="11">#REF!</definedName>
    <definedName name="banlii" localSheetId="10">#REF!</definedName>
    <definedName name="banlii">#REF!</definedName>
    <definedName name="banliii" localSheetId="11">#REF!</definedName>
    <definedName name="banliii" localSheetId="10">#REF!</definedName>
    <definedName name="banliii">#REF!</definedName>
    <definedName name="banliiii" localSheetId="11">#REF!</definedName>
    <definedName name="banliiii" localSheetId="10">#REF!</definedName>
    <definedName name="banliiii">#REF!</definedName>
    <definedName name="baseia" localSheetId="11">#REF!</definedName>
    <definedName name="baseia" localSheetId="10">#REF!</definedName>
    <definedName name="baseia">#REF!</definedName>
    <definedName name="baseib" localSheetId="11">#REF!</definedName>
    <definedName name="baseib" localSheetId="10">#REF!</definedName>
    <definedName name="baseib">#REF!</definedName>
    <definedName name="baseic" localSheetId="11">#REF!</definedName>
    <definedName name="baseic" localSheetId="10">#REF!</definedName>
    <definedName name="baseic">#REF!</definedName>
    <definedName name="baseiia" localSheetId="11">#REF!</definedName>
    <definedName name="baseiia" localSheetId="10">#REF!</definedName>
    <definedName name="baseiia">#REF!</definedName>
    <definedName name="baseiib" localSheetId="11">#REF!</definedName>
    <definedName name="baseiib" localSheetId="10">#REF!</definedName>
    <definedName name="baseiib">#REF!</definedName>
    <definedName name="baseiic" localSheetId="11">#REF!</definedName>
    <definedName name="baseiic" localSheetId="10">#REF!</definedName>
    <definedName name="baseiic">#REF!</definedName>
    <definedName name="baseiiia" localSheetId="11">#REF!</definedName>
    <definedName name="baseiiia" localSheetId="10">#REF!</definedName>
    <definedName name="baseiiia">#REF!</definedName>
    <definedName name="baseiiib" localSheetId="11">#REF!</definedName>
    <definedName name="baseiiib" localSheetId="10">#REF!</definedName>
    <definedName name="baseiiib">#REF!</definedName>
    <definedName name="baseiiic" localSheetId="11">#REF!</definedName>
    <definedName name="baseiiic" localSheetId="10">#REF!</definedName>
    <definedName name="baseiiic">#REF!</definedName>
    <definedName name="baseiiiia" localSheetId="11">#REF!</definedName>
    <definedName name="baseiiiia" localSheetId="10">#REF!</definedName>
    <definedName name="baseiiiia">#REF!</definedName>
    <definedName name="baseiiiib" localSheetId="11">#REF!</definedName>
    <definedName name="baseiiiib" localSheetId="10">#REF!</definedName>
    <definedName name="baseiiiib">#REF!</definedName>
    <definedName name="baseiiiic" localSheetId="11">#REF!</definedName>
    <definedName name="baseiiiic" localSheetId="10">#REF!</definedName>
    <definedName name="baseiiiic">#REF!</definedName>
    <definedName name="BENEFICIOS" localSheetId="11">#REF!</definedName>
    <definedName name="BENEFICIOS" localSheetId="10">#REF!</definedName>
    <definedName name="BENEFICIOS">#REF!</definedName>
    <definedName name="bloques4" localSheetId="11">[5]MATERIALES!#REF!</definedName>
    <definedName name="bloques4" localSheetId="10">[5]MATERIALES!#REF!</definedName>
    <definedName name="bloques4">[5]MATERIALES!#REF!</definedName>
    <definedName name="bloques6" localSheetId="11">[5]MATERIALES!#REF!</definedName>
    <definedName name="bloques6" localSheetId="10">[5]MATERIALES!#REF!</definedName>
    <definedName name="bloques6">[5]MATERIALES!#REF!</definedName>
    <definedName name="bloques8" localSheetId="11">[5]MATERIALES!#REF!</definedName>
    <definedName name="bloques8" localSheetId="10">[5]MATERIALES!#REF!</definedName>
    <definedName name="bloques8">[5]MATERIALES!#REF!</definedName>
    <definedName name="brochas" localSheetId="11">#REF!</definedName>
    <definedName name="brochas" localSheetId="10">#REF!</definedName>
    <definedName name="brochas">#REF!</definedName>
    <definedName name="cadeneros" localSheetId="11">'[6]O.M. y Salarios'!#REF!</definedName>
    <definedName name="cadeneros" localSheetId="10">'[6]O.M. y Salarios'!#REF!</definedName>
    <definedName name="cadeneros">'[6]O.M. y Salarios'!#REF!</definedName>
    <definedName name="camioncama" localSheetId="11">'[4]Listado Equipos a utilizar'!#REF!</definedName>
    <definedName name="camioncama" localSheetId="10">'[4]Listado Equipos a utilizar'!#REF!</definedName>
    <definedName name="camioncama">'[4]Listado Equipos a utilizar'!#REF!</definedName>
    <definedName name="camioneta" localSheetId="11">'[4]Listado Equipos a utilizar'!#REF!</definedName>
    <definedName name="camioneta" localSheetId="10">'[4]Listado Equipos a utilizar'!#REF!</definedName>
    <definedName name="camioneta">'[4]Listado Equipos a utilizar'!#REF!</definedName>
    <definedName name="CAMIONVOLTEO">[5]EQUIPOS!$I$19</definedName>
    <definedName name="canali" localSheetId="11">#REF!</definedName>
    <definedName name="canali" localSheetId="10">#REF!</definedName>
    <definedName name="canali">#REF!</definedName>
    <definedName name="canalii" localSheetId="11">#REF!</definedName>
    <definedName name="canalii" localSheetId="10">#REF!</definedName>
    <definedName name="canalii">#REF!</definedName>
    <definedName name="canaliii" localSheetId="11">#REF!</definedName>
    <definedName name="canaliii" localSheetId="10">#REF!</definedName>
    <definedName name="canaliii">#REF!</definedName>
    <definedName name="canaliiii" localSheetId="11">#REF!</definedName>
    <definedName name="canaliiii" localSheetId="10">#REF!</definedName>
    <definedName name="canaliiii">#REF!</definedName>
    <definedName name="Capatazequipo">[5]OBRAMANO!$F$81</definedName>
    <definedName name="cargador" localSheetId="11">'[4]Listado Equipos a utilizar'!#REF!</definedName>
    <definedName name="cargador" localSheetId="10">'[4]Listado Equipos a utilizar'!#REF!</definedName>
    <definedName name="cargador">'[4]Listado Equipos a utilizar'!#REF!</definedName>
    <definedName name="CARGADORB">[7]EQUIPOS!$D$13</definedName>
    <definedName name="CAT214BFT">[5]EQUIPOS!$I$15</definedName>
    <definedName name="Cat950B">[5]EQUIPOS!$I$14</definedName>
    <definedName name="cementoblanco" localSheetId="11">[5]MATERIALES!#REF!</definedName>
    <definedName name="cementoblanco" localSheetId="10">[5]MATERIALES!#REF!</definedName>
    <definedName name="cementoblanco">[5]MATERIALES!#REF!</definedName>
    <definedName name="cementogris">[5]MATERIALES!$G$17</definedName>
    <definedName name="ceramcr33" localSheetId="11">[5]MATERIALES!#REF!</definedName>
    <definedName name="ceramcr33" localSheetId="10">[5]MATERIALES!#REF!</definedName>
    <definedName name="ceramcr33">[5]MATERIALES!#REF!</definedName>
    <definedName name="ceramcriolla" localSheetId="11">[5]MATERIALES!#REF!</definedName>
    <definedName name="ceramcriolla" localSheetId="10">[5]MATERIALES!#REF!</definedName>
    <definedName name="ceramcriolla">[5]MATERIALES!#REF!</definedName>
    <definedName name="ceramicaitalia" localSheetId="11">[5]MATERIALES!#REF!</definedName>
    <definedName name="ceramicaitalia" localSheetId="10">[5]MATERIALES!#REF!</definedName>
    <definedName name="ceramicaitalia">[5]MATERIALES!#REF!</definedName>
    <definedName name="ceramicaitaliapared" localSheetId="11">[5]MATERIALES!#REF!</definedName>
    <definedName name="ceramicaitaliapared" localSheetId="10">[5]MATERIALES!#REF!</definedName>
    <definedName name="ceramicaitaliapared">[5]MATERIALES!#REF!</definedName>
    <definedName name="ceramicaitalipared" localSheetId="11">[5]MATERIALES!#REF!</definedName>
    <definedName name="ceramicaitalipared" localSheetId="10">[5]MATERIALES!#REF!</definedName>
    <definedName name="ceramicaitalipared">[5]MATERIALES!#REF!</definedName>
    <definedName name="cfrontal">'[6]Resumen Precio Equipos'!$I$16</definedName>
    <definedName name="chazo" localSheetId="11">[5]OBRAMANO!#REF!</definedName>
    <definedName name="chazo" localSheetId="10">[5]OBRAMANO!#REF!</definedName>
    <definedName name="chazo">[5]OBRAMANO!#REF!</definedName>
    <definedName name="chilena" localSheetId="11">#REF!</definedName>
    <definedName name="chilena" localSheetId="10">#REF!</definedName>
    <definedName name="chilena">#REF!</definedName>
    <definedName name="Chofercisterna">[5]OBRAMANO!$F$79</definedName>
    <definedName name="cisterna">'[4]Listado Equipos a utilizar'!$I$11</definedName>
    <definedName name="clavos" localSheetId="11">#REF!</definedName>
    <definedName name="clavos" localSheetId="10">#REF!</definedName>
    <definedName name="clavos">#REF!</definedName>
    <definedName name="colorante" localSheetId="11">#REF!</definedName>
    <definedName name="colorante" localSheetId="10">#REF!</definedName>
    <definedName name="colorante">#REF!</definedName>
    <definedName name="Compresores">[5]EQUIPOS!$I$28</definedName>
    <definedName name="coronado" localSheetId="11">#REF!</definedName>
    <definedName name="coronado" localSheetId="10">#REF!</definedName>
    <definedName name="coronado">#REF!</definedName>
    <definedName name="COSTO" localSheetId="11">#REF!</definedName>
    <definedName name="COSTO" localSheetId="10">#REF!</definedName>
    <definedName name="COSTO">#REF!</definedName>
    <definedName name="cprestamo">[7]EQUIPOS!$D$27</definedName>
    <definedName name="Cuadro_Resumen" localSheetId="11">#REF!</definedName>
    <definedName name="Cuadro_Resumen" localSheetId="10">#REF!</definedName>
    <definedName name="Cuadro_Resumen">#REF!</definedName>
    <definedName name="cunetasi" localSheetId="11">#REF!</definedName>
    <definedName name="cunetasi" localSheetId="10">#REF!</definedName>
    <definedName name="cunetasi">#REF!</definedName>
    <definedName name="cunetasii" localSheetId="11">#REF!</definedName>
    <definedName name="cunetasii" localSheetId="10">#REF!</definedName>
    <definedName name="cunetasii">#REF!</definedName>
    <definedName name="cunetasiii" localSheetId="11">#REF!</definedName>
    <definedName name="cunetasiii" localSheetId="10">#REF!</definedName>
    <definedName name="cunetasiii">#REF!</definedName>
    <definedName name="cunetasiiii" localSheetId="11">#REF!</definedName>
    <definedName name="cunetasiiii" localSheetId="10">#REF!</definedName>
    <definedName name="cunetasiiii">#REF!</definedName>
    <definedName name="cvi" localSheetId="11">#REF!</definedName>
    <definedName name="cvi" localSheetId="10">#REF!</definedName>
    <definedName name="cvi">#REF!</definedName>
    <definedName name="cvii" localSheetId="11">#REF!</definedName>
    <definedName name="cvii" localSheetId="10">#REF!</definedName>
    <definedName name="cvii">#REF!</definedName>
    <definedName name="cviii" localSheetId="11">#REF!</definedName>
    <definedName name="cviii" localSheetId="10">#REF!</definedName>
    <definedName name="cviii">#REF!</definedName>
    <definedName name="cviiii" localSheetId="11">#REF!</definedName>
    <definedName name="cviiii" localSheetId="10">#REF!</definedName>
    <definedName name="cviiii">#REF!</definedName>
    <definedName name="d" localSheetId="11">#REF!</definedName>
    <definedName name="d" localSheetId="10">#REF!</definedName>
    <definedName name="d">#REF!</definedName>
    <definedName name="D7H">[5]EQUIPOS!$I$9</definedName>
    <definedName name="D8K">[5]EQUIPOS!$I$8</definedName>
    <definedName name="d8r" localSheetId="11">'[4]Listado Equipos a utilizar'!#REF!</definedName>
    <definedName name="d8r" localSheetId="10">'[4]Listado Equipos a utilizar'!#REF!</definedName>
    <definedName name="d8r">'[4]Listado Equipos a utilizar'!#REF!</definedName>
    <definedName name="D8T">'[6]Resumen Precio Equipos'!$I$13</definedName>
    <definedName name="DD" localSheetId="11">#REF!</definedName>
    <definedName name="DD" localSheetId="10">#REF!</definedName>
    <definedName name="DD">#REF!</definedName>
    <definedName name="DEDE" localSheetId="11" hidden="1">#REF!</definedName>
    <definedName name="DEDE" localSheetId="10" hidden="1">#REF!</definedName>
    <definedName name="DEDE" hidden="1">#REF!</definedName>
    <definedName name="DEDE2" localSheetId="11" hidden="1">#REF!</definedName>
    <definedName name="DEDE2" localSheetId="10" hidden="1">#REF!</definedName>
    <definedName name="DEDE2" hidden="1">#REF!</definedName>
    <definedName name="DEDE3" localSheetId="11" hidden="1">#REF!</definedName>
    <definedName name="DEDE3" localSheetId="10" hidden="1">#REF!</definedName>
    <definedName name="DEDE3" hidden="1">#REF!</definedName>
    <definedName name="DEDE4" localSheetId="11">#REF!</definedName>
    <definedName name="DEDE4" localSheetId="10">#REF!</definedName>
    <definedName name="DEDE4">#REF!</definedName>
    <definedName name="DEDE5" localSheetId="11" hidden="1">#REF!</definedName>
    <definedName name="DEDE5" localSheetId="10" hidden="1">#REF!</definedName>
    <definedName name="DEDE5" hidden="1">#REF!</definedName>
    <definedName name="DEDE6" localSheetId="11" hidden="1">#REF!</definedName>
    <definedName name="DEDE6" localSheetId="10" hidden="1">#REF!</definedName>
    <definedName name="DEDE6" hidden="1">#REF!</definedName>
    <definedName name="DEDE7" localSheetId="11" hidden="1">#REF!</definedName>
    <definedName name="DEDE7" localSheetId="10" hidden="1">#REF!</definedName>
    <definedName name="DEDE7" hidden="1">#REF!</definedName>
    <definedName name="DEDE8" localSheetId="11">#REF!</definedName>
    <definedName name="DEDE8" localSheetId="10">#REF!</definedName>
    <definedName name="DEDE8">#REF!</definedName>
    <definedName name="desi" localSheetId="11">#REF!</definedName>
    <definedName name="desi" localSheetId="10">#REF!</definedName>
    <definedName name="desi">#REF!</definedName>
    <definedName name="desii" localSheetId="11">#REF!</definedName>
    <definedName name="desii" localSheetId="10">#REF!</definedName>
    <definedName name="desii">#REF!</definedName>
    <definedName name="desiii" localSheetId="11">#REF!</definedName>
    <definedName name="desiii" localSheetId="10">#REF!</definedName>
    <definedName name="desiii">#REF!</definedName>
    <definedName name="desiiii" localSheetId="11">#REF!</definedName>
    <definedName name="desiiii" localSheetId="10">#REF!</definedName>
    <definedName name="desiiii">#REF!</definedName>
    <definedName name="desvi" localSheetId="11">#REF!</definedName>
    <definedName name="desvi" localSheetId="10">#REF!</definedName>
    <definedName name="desvi">#REF!</definedName>
    <definedName name="desvii" localSheetId="11">#REF!</definedName>
    <definedName name="desvii" localSheetId="10">#REF!</definedName>
    <definedName name="desvii">#REF!</definedName>
    <definedName name="desviii" localSheetId="11">#REF!</definedName>
    <definedName name="desviii" localSheetId="10">#REF!</definedName>
    <definedName name="desviii">#REF!</definedName>
    <definedName name="desviiii" localSheetId="11">#REF!</definedName>
    <definedName name="desviiii" localSheetId="10">#REF!</definedName>
    <definedName name="desviiii">#REF!</definedName>
    <definedName name="distribuidor">'[4]Listado Equipos a utilizar'!$I$12</definedName>
    <definedName name="drenajei" localSheetId="11">#REF!</definedName>
    <definedName name="drenajei" localSheetId="10">#REF!</definedName>
    <definedName name="drenajei">#REF!</definedName>
    <definedName name="drenajeii" localSheetId="11">#REF!</definedName>
    <definedName name="drenajeii" localSheetId="10">#REF!</definedName>
    <definedName name="drenajeii">#REF!</definedName>
    <definedName name="drenajeiii" localSheetId="11">#REF!</definedName>
    <definedName name="drenajeiii" localSheetId="10">#REF!</definedName>
    <definedName name="drenajeiii">#REF!</definedName>
    <definedName name="drenajeiiii" localSheetId="11">#REF!</definedName>
    <definedName name="drenajeiiii" localSheetId="10">#REF!</definedName>
    <definedName name="drenajeiiii">#REF!</definedName>
    <definedName name="drenajeiiiii" localSheetId="11">#REF!</definedName>
    <definedName name="drenajeiiiii" localSheetId="10">#REF!</definedName>
    <definedName name="drenajeiiiii">#REF!</definedName>
    <definedName name="drenajeiiiiii" localSheetId="11">#REF!</definedName>
    <definedName name="drenajeiiiiii" localSheetId="10">#REF!</definedName>
    <definedName name="drenajeiiiiii">#REF!</definedName>
    <definedName name="drenajeiiiiiii" localSheetId="11">#REF!</definedName>
    <definedName name="drenajeiiiiiii" localSheetId="10">#REF!</definedName>
    <definedName name="drenajeiiiiiii">#REF!</definedName>
    <definedName name="dtecnica">'[6]Resumen Precio Equipos'!$C$27</definedName>
    <definedName name="dulce" localSheetId="11">#REF!</definedName>
    <definedName name="dulce" localSheetId="10">#REF!</definedName>
    <definedName name="dulce">#REF!</definedName>
    <definedName name="DYNACA25">[5]EQUIPOS!$I$13</definedName>
    <definedName name="e214bft" localSheetId="11">'[4]Listado Equipos a utilizar'!#REF!</definedName>
    <definedName name="e214bft" localSheetId="10">'[4]Listado Equipos a utilizar'!#REF!</definedName>
    <definedName name="e214bft">'[4]Listado Equipos a utilizar'!#REF!</definedName>
    <definedName name="e320b" localSheetId="11">'[4]Listado Equipos a utilizar'!#REF!</definedName>
    <definedName name="e320b" localSheetId="10">'[4]Listado Equipos a utilizar'!#REF!</definedName>
    <definedName name="e320b">'[4]Listado Equipos a utilizar'!#REF!</definedName>
    <definedName name="Encache">[5]OBRAMANO!$F$43</definedName>
    <definedName name="encai" localSheetId="11">#REF!</definedName>
    <definedName name="encai" localSheetId="10">#REF!</definedName>
    <definedName name="encai">#REF!</definedName>
    <definedName name="encaii" localSheetId="11">#REF!</definedName>
    <definedName name="encaii" localSheetId="10">#REF!</definedName>
    <definedName name="encaii">#REF!</definedName>
    <definedName name="encaiii" localSheetId="11">#REF!</definedName>
    <definedName name="encaiii" localSheetId="10">#REF!</definedName>
    <definedName name="encaiii">#REF!</definedName>
    <definedName name="encaiiii" localSheetId="11">#REF!</definedName>
    <definedName name="encaiiii" localSheetId="10">#REF!</definedName>
    <definedName name="encaiiii">#REF!</definedName>
    <definedName name="eqacero" localSheetId="11">'[4]Listado Equipos a utilizar'!#REF!</definedName>
    <definedName name="eqacero" localSheetId="10">'[4]Listado Equipos a utilizar'!#REF!</definedName>
    <definedName name="eqacero">'[4]Listado Equipos a utilizar'!#REF!</definedName>
    <definedName name="escari" localSheetId="11">#REF!</definedName>
    <definedName name="escari" localSheetId="10">#REF!</definedName>
    <definedName name="escari">#REF!</definedName>
    <definedName name="escarii" localSheetId="11">#REF!</definedName>
    <definedName name="escarii" localSheetId="10">#REF!</definedName>
    <definedName name="escarii">#REF!</definedName>
    <definedName name="escariii" localSheetId="11">#REF!</definedName>
    <definedName name="escariii" localSheetId="10">#REF!</definedName>
    <definedName name="escariii">#REF!</definedName>
    <definedName name="escariiii" localSheetId="11">#REF!</definedName>
    <definedName name="escariiii" localSheetId="10">#REF!</definedName>
    <definedName name="escariiii">#REF!</definedName>
    <definedName name="escobillones" localSheetId="11">'[4]Listado Equipos a utilizar'!#REF!</definedName>
    <definedName name="escobillones" localSheetId="10">'[4]Listado Equipos a utilizar'!#REF!</definedName>
    <definedName name="escobillones">'[4]Listado Equipos a utilizar'!#REF!</definedName>
    <definedName name="ex320b" localSheetId="11">'[4]Listado Equipos a utilizar'!#REF!</definedName>
    <definedName name="ex320b" localSheetId="10">'[4]Listado Equipos a utilizar'!#REF!</definedName>
    <definedName name="ex320b">'[4]Listado Equipos a utilizar'!#REF!</definedName>
    <definedName name="EXC_NO_CLASIF" localSheetId="11">#REF!</definedName>
    <definedName name="EXC_NO_CLASIF" localSheetId="10">#REF!</definedName>
    <definedName name="EXC_NO_CLASIF">#REF!</definedName>
    <definedName name="excavadora" localSheetId="11">'[4]Listado Equipos a utilizar'!#REF!</definedName>
    <definedName name="excavadora" localSheetId="10">'[4]Listado Equipos a utilizar'!#REF!</definedName>
    <definedName name="excavadora">'[4]Listado Equipos a utilizar'!#REF!</definedName>
    <definedName name="excavadora235">[5]EQUIPOS!$I$16</definedName>
    <definedName name="exesi" localSheetId="11">#REF!</definedName>
    <definedName name="exesi" localSheetId="10">#REF!</definedName>
    <definedName name="exesi">#REF!</definedName>
    <definedName name="exesii" localSheetId="11">#REF!</definedName>
    <definedName name="exesii" localSheetId="10">#REF!</definedName>
    <definedName name="exesii">#REF!</definedName>
    <definedName name="exesiii" localSheetId="11">#REF!</definedName>
    <definedName name="exesiii" localSheetId="10">#REF!</definedName>
    <definedName name="exesiii">#REF!</definedName>
    <definedName name="exesiiii" localSheetId="11">#REF!</definedName>
    <definedName name="exesiiii" localSheetId="10">#REF!</definedName>
    <definedName name="exesiiii">#REF!</definedName>
    <definedName name="FF" localSheetId="11" hidden="1">#REF!</definedName>
    <definedName name="FF" localSheetId="10" hidden="1">#REF!</definedName>
    <definedName name="FF" hidden="1">#REF!</definedName>
    <definedName name="gasolina" localSheetId="11">#REF!</definedName>
    <definedName name="gasolina" localSheetId="10">#REF!</definedName>
    <definedName name="gasolina">#REF!</definedName>
    <definedName name="gavi" localSheetId="11">#REF!</definedName>
    <definedName name="gavi" localSheetId="10">#REF!</definedName>
    <definedName name="gavi">#REF!</definedName>
    <definedName name="gavii" localSheetId="11">#REF!</definedName>
    <definedName name="gavii" localSheetId="10">#REF!</definedName>
    <definedName name="gavii">#REF!</definedName>
    <definedName name="gaviii" localSheetId="11">#REF!</definedName>
    <definedName name="gaviii" localSheetId="10">#REF!</definedName>
    <definedName name="gaviii">#REF!</definedName>
    <definedName name="gaviiii" localSheetId="11">#REF!</definedName>
    <definedName name="gaviiii" localSheetId="10">#REF!</definedName>
    <definedName name="gaviiii">#REF!</definedName>
    <definedName name="Gaviones">[5]MATERIALES!$G$32</definedName>
    <definedName name="GFGFF" localSheetId="11" hidden="1">#REF!</definedName>
    <definedName name="GFGFF" localSheetId="10" hidden="1">#REF!</definedName>
    <definedName name="GFGFF" hidden="1">#REF!</definedName>
    <definedName name="GFSG" localSheetId="11" hidden="1">#REF!</definedName>
    <definedName name="GFSG" localSheetId="10" hidden="1">#REF!</definedName>
    <definedName name="GFSG" hidden="1">#REF!</definedName>
    <definedName name="GRADER12G">[5]EQUIPOS!$I$11</definedName>
    <definedName name="graderm" localSheetId="11">'[4]Listado Equipos a utilizar'!#REF!</definedName>
    <definedName name="graderm" localSheetId="10">'[4]Listado Equipos a utilizar'!#REF!</definedName>
    <definedName name="graderm">'[4]Listado Equipos a utilizar'!#REF!</definedName>
    <definedName name="hai" localSheetId="11">#REF!</definedName>
    <definedName name="hai" localSheetId="10">#REF!</definedName>
    <definedName name="hai">#REF!</definedName>
    <definedName name="haii" localSheetId="11">#REF!</definedName>
    <definedName name="haii" localSheetId="10">#REF!</definedName>
    <definedName name="haii">#REF!</definedName>
    <definedName name="haiii" localSheetId="11">#REF!</definedName>
    <definedName name="haiii" localSheetId="10">#REF!</definedName>
    <definedName name="haiii">#REF!</definedName>
    <definedName name="haiiii" localSheetId="11">#REF!</definedName>
    <definedName name="haiiii" localSheetId="10">#REF!</definedName>
    <definedName name="haiiii">#REF!</definedName>
    <definedName name="hbi" localSheetId="11">#REF!</definedName>
    <definedName name="hbi" localSheetId="10">#REF!</definedName>
    <definedName name="hbi">#REF!</definedName>
    <definedName name="hbii" localSheetId="11">#REF!</definedName>
    <definedName name="hbii" localSheetId="10">#REF!</definedName>
    <definedName name="hbii">#REF!</definedName>
    <definedName name="hbiii" localSheetId="11">#REF!</definedName>
    <definedName name="hbiii" localSheetId="10">#REF!</definedName>
    <definedName name="hbiii">#REF!</definedName>
    <definedName name="hbiiii" localSheetId="11">#REF!</definedName>
    <definedName name="hbiiii" localSheetId="10">#REF!</definedName>
    <definedName name="hbiiii">#REF!</definedName>
    <definedName name="hci" localSheetId="11">#REF!</definedName>
    <definedName name="hci" localSheetId="10">#REF!</definedName>
    <definedName name="hci">#REF!</definedName>
    <definedName name="hcii" localSheetId="11">#REF!</definedName>
    <definedName name="hcii" localSheetId="10">#REF!</definedName>
    <definedName name="hcii">#REF!</definedName>
    <definedName name="hciii" localSheetId="11">#REF!</definedName>
    <definedName name="hciii" localSheetId="10">#REF!</definedName>
    <definedName name="hciii">#REF!</definedName>
    <definedName name="hciiii" localSheetId="11">#REF!</definedName>
    <definedName name="hciiii" localSheetId="10">#REF!</definedName>
    <definedName name="hciiii">#REF!</definedName>
    <definedName name="hcpi" localSheetId="11">#REF!</definedName>
    <definedName name="hcpi" localSheetId="10">#REF!</definedName>
    <definedName name="hcpi">#REF!</definedName>
    <definedName name="hcpii" localSheetId="11">#REF!</definedName>
    <definedName name="hcpii" localSheetId="10">#REF!</definedName>
    <definedName name="hcpii">#REF!</definedName>
    <definedName name="hcpiii" localSheetId="11">#REF!</definedName>
    <definedName name="hcpiii" localSheetId="10">#REF!</definedName>
    <definedName name="hcpiii">#REF!</definedName>
    <definedName name="hcpiiii" localSheetId="11">#REF!</definedName>
    <definedName name="hcpiiii" localSheetId="10">#REF!</definedName>
    <definedName name="hcpiiii">#REF!</definedName>
    <definedName name="hilo" localSheetId="11">#REF!</definedName>
    <definedName name="hilo" localSheetId="10">#REF!</definedName>
    <definedName name="hilo">#REF!</definedName>
    <definedName name="HORMIGON140" localSheetId="11">[5]ANALPRECVI!#REF!</definedName>
    <definedName name="HORMIGON140" localSheetId="10">[5]ANALPRECVI!#REF!</definedName>
    <definedName name="HORMIGON140">[5]ANALPRECVI!#REF!</definedName>
    <definedName name="Hormigon240i" localSheetId="11">[5]MATERIALES!#REF!</definedName>
    <definedName name="Hormigon240i" localSheetId="10">[5]MATERIALES!#REF!</definedName>
    <definedName name="Hormigon240i">[5]MATERIALES!#REF!</definedName>
    <definedName name="IMPERM." localSheetId="1">#REF!</definedName>
    <definedName name="IMPERM." localSheetId="11">#REF!</definedName>
    <definedName name="IMPERM." localSheetId="10">#REF!</definedName>
    <definedName name="IMPERM.">#REF!</definedName>
    <definedName name="ingi" localSheetId="11">#REF!</definedName>
    <definedName name="ingi" localSheetId="10">#REF!</definedName>
    <definedName name="ingi">#REF!</definedName>
    <definedName name="ingii" localSheetId="11">#REF!</definedName>
    <definedName name="ingii" localSheetId="10">#REF!</definedName>
    <definedName name="ingii">#REF!</definedName>
    <definedName name="ingiii" localSheetId="11">#REF!</definedName>
    <definedName name="ingiii" localSheetId="10">#REF!</definedName>
    <definedName name="ingiii">#REF!</definedName>
    <definedName name="ingiiii" localSheetId="11">#REF!</definedName>
    <definedName name="ingiiii" localSheetId="10">#REF!</definedName>
    <definedName name="ingiiii">#REF!</definedName>
    <definedName name="ini" localSheetId="11">#REF!</definedName>
    <definedName name="ini" localSheetId="10">#REF!</definedName>
    <definedName name="ini">#REF!</definedName>
    <definedName name="itabo" localSheetId="11">#REF!</definedName>
    <definedName name="itabo" localSheetId="10">#REF!</definedName>
    <definedName name="itabo">#REF!</definedName>
    <definedName name="jminimo" localSheetId="11">#REF!</definedName>
    <definedName name="jminimo" localSheetId="10">#REF!</definedName>
    <definedName name="jminimo">#REF!</definedName>
    <definedName name="k" localSheetId="11">#REF!</definedName>
    <definedName name="k" localSheetId="10">#REF!</definedName>
    <definedName name="k">#REF!</definedName>
    <definedName name="kerosene" localSheetId="11">#REF!</definedName>
    <definedName name="kerosene" localSheetId="10">#REF!</definedName>
    <definedName name="kerosene">#REF!</definedName>
    <definedName name="Kilometro">[5]EQUIPOS!$I$25</definedName>
    <definedName name="komatsu" localSheetId="11">'[4]Listado Equipos a utilizar'!#REF!</definedName>
    <definedName name="komatsu" localSheetId="10">'[4]Listado Equipos a utilizar'!#REF!</definedName>
    <definedName name="komatsu">'[4]Listado Equipos a utilizar'!#REF!</definedName>
    <definedName name="ligadohormigon" localSheetId="11">[5]OBRAMANO!#REF!</definedName>
    <definedName name="ligadohormigon" localSheetId="10">[5]OBRAMANO!#REF!</definedName>
    <definedName name="ligadohormigon">[5]OBRAMANO!#REF!</definedName>
    <definedName name="ligadora" localSheetId="11">'[4]Listado Equipos a utilizar'!#REF!</definedName>
    <definedName name="ligadora" localSheetId="10">'[4]Listado Equipos a utilizar'!#REF!</definedName>
    <definedName name="ligadora">'[4]Listado Equipos a utilizar'!#REF!</definedName>
    <definedName name="limpi" localSheetId="11">#REF!</definedName>
    <definedName name="limpi" localSheetId="10">#REF!</definedName>
    <definedName name="limpi">#REF!</definedName>
    <definedName name="limpii" localSheetId="11">#REF!</definedName>
    <definedName name="limpii" localSheetId="10">#REF!</definedName>
    <definedName name="limpii">#REF!</definedName>
    <definedName name="limpiii" localSheetId="11">#REF!</definedName>
    <definedName name="limpiii" localSheetId="10">#REF!</definedName>
    <definedName name="limpiii">#REF!</definedName>
    <definedName name="limpiiii" localSheetId="11">#REF!</definedName>
    <definedName name="limpiiii" localSheetId="10">#REF!</definedName>
    <definedName name="limpiiii">#REF!</definedName>
    <definedName name="lubricantes">[8]Materiales!$K$15</definedName>
    <definedName name="Luces" localSheetId="11">#REF!</definedName>
    <definedName name="Luces" localSheetId="10">#REF!</definedName>
    <definedName name="Luces">#REF!</definedName>
    <definedName name="MACO">[5]EQUIPOS!$I$21</definedName>
    <definedName name="mami" localSheetId="11">#REF!</definedName>
    <definedName name="mami" localSheetId="10">#REF!</definedName>
    <definedName name="mami">#REF!</definedName>
    <definedName name="mamii" localSheetId="11">#REF!</definedName>
    <definedName name="mamii" localSheetId="10">#REF!</definedName>
    <definedName name="mamii">#REF!</definedName>
    <definedName name="mamiii" localSheetId="11">#REF!</definedName>
    <definedName name="mamiii" localSheetId="10">#REF!</definedName>
    <definedName name="mamiii">#REF!</definedName>
    <definedName name="mamiiii" localSheetId="11">#REF!</definedName>
    <definedName name="mamiiii" localSheetId="10">#REF!</definedName>
    <definedName name="mamiiii">#REF!</definedName>
    <definedName name="manti" localSheetId="11">#REF!</definedName>
    <definedName name="manti" localSheetId="10">#REF!</definedName>
    <definedName name="manti">#REF!</definedName>
    <definedName name="mantii" localSheetId="11">#REF!</definedName>
    <definedName name="mantii" localSheetId="10">#REF!</definedName>
    <definedName name="mantii">#REF!</definedName>
    <definedName name="mantiii" localSheetId="11">#REF!</definedName>
    <definedName name="mantiii" localSheetId="10">#REF!</definedName>
    <definedName name="mantiii">#REF!</definedName>
    <definedName name="mantiiii" localSheetId="11">#REF!</definedName>
    <definedName name="mantiiii" localSheetId="10">#REF!</definedName>
    <definedName name="mantiiii">#REF!</definedName>
    <definedName name="maquito" localSheetId="11">'[4]Listado Equipos a utilizar'!#REF!</definedName>
    <definedName name="maquito" localSheetId="10">'[4]Listado Equipos a utilizar'!#REF!</definedName>
    <definedName name="maquito">'[4]Listado Equipos a utilizar'!#REF!</definedName>
    <definedName name="martillo" localSheetId="11">#REF!</definedName>
    <definedName name="martillo" localSheetId="10">#REF!</definedName>
    <definedName name="martillo">#REF!</definedName>
    <definedName name="MAT_ACERO" localSheetId="1">#REF!</definedName>
    <definedName name="MAT_ACERO" localSheetId="11">#REF!</definedName>
    <definedName name="MAT_ACERO" localSheetId="10">#REF!</definedName>
    <definedName name="MAT_ACERO">#REF!</definedName>
    <definedName name="MAT_AGREGADOS" localSheetId="1">#REF!</definedName>
    <definedName name="MAT_AGREGADOS" localSheetId="11">#REF!</definedName>
    <definedName name="MAT_AGREGADOS" localSheetId="10">#REF!</definedName>
    <definedName name="MAT_AGREGADOS">#REF!</definedName>
    <definedName name="MAT_BLOQUES" localSheetId="1">#REF!</definedName>
    <definedName name="MAT_BLOQUES" localSheetId="11">#REF!</definedName>
    <definedName name="MAT_BLOQUES" localSheetId="10">#REF!</definedName>
    <definedName name="MAT_BLOQUES">#REF!</definedName>
    <definedName name="MAT_CARP." localSheetId="1">#REF!</definedName>
    <definedName name="MAT_CARP." localSheetId="11">#REF!</definedName>
    <definedName name="MAT_CARP." localSheetId="10">#REF!</definedName>
    <definedName name="MAT_CARP.">#REF!</definedName>
    <definedName name="MAT_CEMENTOS" localSheetId="1">#REF!</definedName>
    <definedName name="MAT_CEMENTOS" localSheetId="11">#REF!</definedName>
    <definedName name="MAT_CEMENTOS" localSheetId="10">#REF!</definedName>
    <definedName name="MAT_CEMENTOS">#REF!</definedName>
    <definedName name="MAT_CERRAJ." localSheetId="1">#REF!</definedName>
    <definedName name="MAT_CERRAJ." localSheetId="11">#REF!</definedName>
    <definedName name="MAT_CERRAJ." localSheetId="10">#REF!</definedName>
    <definedName name="MAT_CERRAJ.">#REF!</definedName>
    <definedName name="MAT_HORM._I" localSheetId="1">#REF!</definedName>
    <definedName name="MAT_HORM._I" localSheetId="11">#REF!</definedName>
    <definedName name="MAT_HORM._I" localSheetId="10">#REF!</definedName>
    <definedName name="MAT_HORM._I">#REF!</definedName>
    <definedName name="MAT_MOVTO_TIERR" localSheetId="1">#REF!</definedName>
    <definedName name="MAT_MOVTO_TIERR" localSheetId="11">#REF!</definedName>
    <definedName name="MAT_MOVTO_TIERR" localSheetId="10">#REF!</definedName>
    <definedName name="MAT_MOVTO_TIERR">#REF!</definedName>
    <definedName name="MAT_PINTURA" localSheetId="1">#REF!</definedName>
    <definedName name="MAT_PINTURA" localSheetId="11">#REF!</definedName>
    <definedName name="MAT_PINTURA" localSheetId="10">#REF!</definedName>
    <definedName name="MAT_PINTURA">#REF!</definedName>
    <definedName name="MAT_PINTURAS" localSheetId="1">#REF!</definedName>
    <definedName name="MAT_PINTURAS" localSheetId="11">#REF!</definedName>
    <definedName name="MAT_PINTURAS" localSheetId="10">#REF!</definedName>
    <definedName name="MAT_PINTURAS">#REF!</definedName>
    <definedName name="MAT_PLAFONES" localSheetId="1">#REF!</definedName>
    <definedName name="MAT_PLAFONES" localSheetId="11">#REF!</definedName>
    <definedName name="MAT_PLAFONES" localSheetId="10">#REF!</definedName>
    <definedName name="MAT_PLAFONES">#REF!</definedName>
    <definedName name="MAT_REVEST." localSheetId="1">#REF!</definedName>
    <definedName name="MAT_REVEST." localSheetId="11">#REF!</definedName>
    <definedName name="MAT_REVEST." localSheetId="10">#REF!</definedName>
    <definedName name="MAT_REVEST.">#REF!</definedName>
    <definedName name="MAT_VENTANAS" localSheetId="1">#REF!</definedName>
    <definedName name="MAT_VENTANAS" localSheetId="11">#REF!</definedName>
    <definedName name="MAT_VENTANAS" localSheetId="10">#REF!</definedName>
    <definedName name="MAT_VENTANAS">#REF!</definedName>
    <definedName name="MATAPU">#REF!</definedName>
    <definedName name="MATAPU1">'[9]Analisis Comunes'!$A$4:$I$1436</definedName>
    <definedName name="MATELEC">#REF!</definedName>
    <definedName name="MATREC">#REF!</definedName>
    <definedName name="MBR" localSheetId="11">#REF!</definedName>
    <definedName name="MBR" localSheetId="10">#REF!</definedName>
    <definedName name="MBR">#REF!</definedName>
    <definedName name="NCLASI" localSheetId="11">#REF!</definedName>
    <definedName name="NCLASI" localSheetId="10">#REF!</definedName>
    <definedName name="NCLASI">#REF!</definedName>
    <definedName name="NCLASII" localSheetId="11">#REF!</definedName>
    <definedName name="NCLASII" localSheetId="10">#REF!</definedName>
    <definedName name="NCLASII">#REF!</definedName>
    <definedName name="NCLASIII" localSheetId="11">#REF!</definedName>
    <definedName name="NCLASIII" localSheetId="10">#REF!</definedName>
    <definedName name="NCLASIII">#REF!</definedName>
    <definedName name="NCLASIIII" localSheetId="11">#REF!</definedName>
    <definedName name="NCLASIIII" localSheetId="10">#REF!</definedName>
    <definedName name="NCLASIIII">#REF!</definedName>
    <definedName name="nissan" localSheetId="11">'[4]Listado Equipos a utilizar'!#REF!</definedName>
    <definedName name="nissan" localSheetId="10">'[4]Listado Equipos a utilizar'!#REF!</definedName>
    <definedName name="nissan">'[4]Listado Equipos a utilizar'!#REF!</definedName>
    <definedName name="o0" localSheetId="11">#REF!</definedName>
    <definedName name="o0" localSheetId="10">#REF!</definedName>
    <definedName name="o0">#REF!</definedName>
    <definedName name="obi" localSheetId="11">#REF!</definedName>
    <definedName name="obi" localSheetId="10">#REF!</definedName>
    <definedName name="obi">#REF!</definedName>
    <definedName name="obii" localSheetId="11">#REF!</definedName>
    <definedName name="obii" localSheetId="10">#REF!</definedName>
    <definedName name="obii">#REF!</definedName>
    <definedName name="obiii" localSheetId="11">#REF!</definedName>
    <definedName name="obiii" localSheetId="10">#REF!</definedName>
    <definedName name="obiii">#REF!</definedName>
    <definedName name="obiiii" localSheetId="11">#REF!</definedName>
    <definedName name="obiiii" localSheetId="10">#REF!</definedName>
    <definedName name="obiiii">#REF!</definedName>
    <definedName name="OBRA_MANO" localSheetId="1">#REF!</definedName>
    <definedName name="OBRA_MANO" localSheetId="11">#REF!</definedName>
    <definedName name="OBRA_MANO" localSheetId="10">#REF!</definedName>
    <definedName name="OBRA_MANO">#REF!</definedName>
    <definedName name="ofi" localSheetId="11">#REF!</definedName>
    <definedName name="ofi" localSheetId="10">#REF!</definedName>
    <definedName name="ofi">#REF!</definedName>
    <definedName name="ofii" localSheetId="11">#REF!</definedName>
    <definedName name="ofii" localSheetId="10">#REF!</definedName>
    <definedName name="ofii">#REF!</definedName>
    <definedName name="ofiii" localSheetId="11">#REF!</definedName>
    <definedName name="ofiii" localSheetId="10">#REF!</definedName>
    <definedName name="ofiii">#REF!</definedName>
    <definedName name="ofiiii" localSheetId="11">#REF!</definedName>
    <definedName name="ofiiii" localSheetId="10">#REF!</definedName>
    <definedName name="ofiiii">#REF!</definedName>
    <definedName name="omencofrado" localSheetId="11">'[6]O.M. y Salarios'!#REF!</definedName>
    <definedName name="omencofrado" localSheetId="10">'[6]O.M. y Salarios'!#REF!</definedName>
    <definedName name="omencofrado">'[6]O.M. y Salarios'!#REF!</definedName>
    <definedName name="opala">[8]Salarios!$D$16</definedName>
    <definedName name="Operadorgrader">[5]OBRAMANO!$F$74</definedName>
    <definedName name="operadorpala">[5]OBRAMANO!$F$72</definedName>
    <definedName name="operadorretro">[5]OBRAMANO!$F$77</definedName>
    <definedName name="operadorrodillo">[5]OBRAMANO!$F$75</definedName>
    <definedName name="operadortractor">[5]OBRAMANO!$F$76</definedName>
    <definedName name="otractor">[8]Salarios!$D$14</definedName>
    <definedName name="pala" localSheetId="11">#REF!</definedName>
    <definedName name="pala" localSheetId="10">#REF!</definedName>
    <definedName name="pala">#REF!</definedName>
    <definedName name="peon">'[6]O.M. y Salarios'!$G$39</definedName>
    <definedName name="pico" localSheetId="11">#REF!</definedName>
    <definedName name="pico" localSheetId="10">#REF!</definedName>
    <definedName name="pico">#REF!</definedName>
    <definedName name="pinobruto">[5]MATERIALES!$G$33</definedName>
    <definedName name="pinturas" localSheetId="11">#REF!</definedName>
    <definedName name="pinturas" localSheetId="10">#REF!</definedName>
    <definedName name="pinturas">#REF!</definedName>
    <definedName name="Placas2" localSheetId="11">#REF!</definedName>
    <definedName name="Placas2" localSheetId="10">#REF!</definedName>
    <definedName name="Placas2">#REF!</definedName>
    <definedName name="preci" localSheetId="11">#REF!</definedName>
    <definedName name="preci" localSheetId="10">#REF!</definedName>
    <definedName name="preci">#REF!</definedName>
    <definedName name="precii" localSheetId="11">#REF!</definedName>
    <definedName name="precii" localSheetId="10">#REF!</definedName>
    <definedName name="precii">#REF!</definedName>
    <definedName name="preciii" localSheetId="11">#REF!</definedName>
    <definedName name="preciii" localSheetId="10">#REF!</definedName>
    <definedName name="preciii">#REF!</definedName>
    <definedName name="preciiii" localSheetId="11">#REF!</definedName>
    <definedName name="preciiii" localSheetId="10">#REF!</definedName>
    <definedName name="preciiii">#REF!</definedName>
    <definedName name="precio2">[10]Precios!$A$4:$F$1576</definedName>
    <definedName name="precios">[11]Precios!$A$4:$F$1576</definedName>
    <definedName name="precios2">[10]Precios!$A$4:$F$1576</definedName>
    <definedName name="preli" localSheetId="11">#REF!</definedName>
    <definedName name="preli" localSheetId="10">#REF!</definedName>
    <definedName name="preli">#REF!</definedName>
    <definedName name="prelii" localSheetId="11">#REF!</definedName>
    <definedName name="prelii" localSheetId="10">#REF!</definedName>
    <definedName name="prelii">#REF!</definedName>
    <definedName name="preliii" localSheetId="11">#REF!</definedName>
    <definedName name="preliii" localSheetId="10">#REF!</definedName>
    <definedName name="preliii">#REF!</definedName>
    <definedName name="preliiii" localSheetId="11">#REF!</definedName>
    <definedName name="preliiii" localSheetId="10">#REF!</definedName>
    <definedName name="preliiii">#REF!</definedName>
    <definedName name="PRES_DESAGUES" localSheetId="1">#REF!</definedName>
    <definedName name="PRES_DESAGUES" localSheetId="11">#REF!</definedName>
    <definedName name="PRES_DESAGUES" localSheetId="10">#REF!</definedName>
    <definedName name="PRES_DESAGUES">#REF!</definedName>
    <definedName name="PRES_ESCALERAS" localSheetId="1">#REF!</definedName>
    <definedName name="PRES_ESCALERAS" localSheetId="11">#REF!</definedName>
    <definedName name="PRES_ESCALERAS" localSheetId="10">#REF!</definedName>
    <definedName name="PRES_ESCALERAS">#REF!</definedName>
    <definedName name="PRES_FINO" localSheetId="1">#REF!</definedName>
    <definedName name="PRES_FINO" localSheetId="11">#REF!</definedName>
    <definedName name="PRES_FINO" localSheetId="10">#REF!</definedName>
    <definedName name="PRES_FINO">#REF!</definedName>
    <definedName name="PRES_GASTOS" localSheetId="1">#REF!</definedName>
    <definedName name="PRES_GASTOS" localSheetId="11">#REF!</definedName>
    <definedName name="PRES_GASTOS" localSheetId="10">#REF!</definedName>
    <definedName name="PRES_GASTOS">#REF!</definedName>
    <definedName name="PRES_HORMIGON" localSheetId="1">#REF!</definedName>
    <definedName name="PRES_HORMIGON" localSheetId="11">#REF!</definedName>
    <definedName name="PRES_HORMIGON" localSheetId="10">#REF!</definedName>
    <definedName name="PRES_HORMIGON">#REF!</definedName>
    <definedName name="PRES_M._TIERRAS" localSheetId="1">#REF!</definedName>
    <definedName name="PRES_M._TIERRAS" localSheetId="11">#REF!</definedName>
    <definedName name="PRES_M._TIERRAS" localSheetId="10">#REF!</definedName>
    <definedName name="PRES_M._TIERRAS">#REF!</definedName>
    <definedName name="PRES_MISCEL." localSheetId="1">#REF!</definedName>
    <definedName name="PRES_MISCEL." localSheetId="11">#REF!</definedName>
    <definedName name="PRES_MISCEL." localSheetId="10">#REF!</definedName>
    <definedName name="PRES_MISCEL.">#REF!</definedName>
    <definedName name="PRES_MUROS" localSheetId="1">#REF!</definedName>
    <definedName name="PRES_MUROS" localSheetId="11">#REF!</definedName>
    <definedName name="PRES_MUROS" localSheetId="10">#REF!</definedName>
    <definedName name="PRES_MUROS">#REF!</definedName>
    <definedName name="PRES_OTROS" localSheetId="1">#REF!</definedName>
    <definedName name="PRES_OTROS" localSheetId="11">#REF!</definedName>
    <definedName name="PRES_OTROS" localSheetId="10">#REF!</definedName>
    <definedName name="PRES_OTROS">#REF!</definedName>
    <definedName name="PRES_PAÑETE" localSheetId="1">#REF!</definedName>
    <definedName name="PRES_PAÑETE" localSheetId="11">#REF!</definedName>
    <definedName name="PRES_PAÑETE" localSheetId="10">#REF!</definedName>
    <definedName name="PRES_PAÑETE">#REF!</definedName>
    <definedName name="PRES_PINTURAS" localSheetId="1">#REF!</definedName>
    <definedName name="PRES_PINTURAS" localSheetId="11">#REF!</definedName>
    <definedName name="PRES_PINTURAS" localSheetId="10">#REF!</definedName>
    <definedName name="PRES_PINTURAS">#REF!</definedName>
    <definedName name="PRES_PISOS" localSheetId="1">#REF!</definedName>
    <definedName name="PRES_PISOS" localSheetId="11">#REF!</definedName>
    <definedName name="PRES_PISOS" localSheetId="10">#REF!</definedName>
    <definedName name="PRES_PISOS">#REF!</definedName>
    <definedName name="PRES_PLAFONES" localSheetId="1">#REF!</definedName>
    <definedName name="PRES_PLAFONES" localSheetId="11">#REF!</definedName>
    <definedName name="PRES_PLAFONES" localSheetId="10">#REF!</definedName>
    <definedName name="PRES_PLAFONES">#REF!</definedName>
    <definedName name="PRES_REPLANTEO" localSheetId="1">#REF!</definedName>
    <definedName name="PRES_REPLANTEO" localSheetId="11">#REF!</definedName>
    <definedName name="PRES_REPLANTEO" localSheetId="10">#REF!</definedName>
    <definedName name="PRES_REPLANTEO">#REF!</definedName>
    <definedName name="PRES_REVEST." localSheetId="1">#REF!</definedName>
    <definedName name="PRES_REVEST." localSheetId="11">#REF!</definedName>
    <definedName name="PRES_REVEST." localSheetId="10">#REF!</definedName>
    <definedName name="PRES_REVEST.">#REF!</definedName>
    <definedName name="PRES_TOTAL" localSheetId="1">#REF!</definedName>
    <definedName name="PRES_TOTAL" localSheetId="11">#REF!</definedName>
    <definedName name="PRES_TOTAL" localSheetId="10">#REF!</definedName>
    <definedName name="PRES_TOTAL">#REF!</definedName>
    <definedName name="PRES_VENTANAS" localSheetId="1">#REF!</definedName>
    <definedName name="PRES_VENTANAS" localSheetId="11">#REF!</definedName>
    <definedName name="PRES_VENTANAS" localSheetId="10">#REF!</definedName>
    <definedName name="PRES_VENTANAS">#REF!</definedName>
    <definedName name="presupuestoc1" localSheetId="11">#REF!</definedName>
    <definedName name="presupuestoc1" localSheetId="10">#REF!</definedName>
    <definedName name="presupuestoc1">#REF!</definedName>
    <definedName name="presupuestoc2" localSheetId="11">#REF!</definedName>
    <definedName name="presupuestoc2" localSheetId="10">#REF!</definedName>
    <definedName name="presupuestoc2">#REF!</definedName>
    <definedName name="PROMEDIO" localSheetId="11">#REF!</definedName>
    <definedName name="PROMEDIO" localSheetId="10">#REF!</definedName>
    <definedName name="PROMEDIO">#REF!</definedName>
    <definedName name="pti" localSheetId="11">#REF!</definedName>
    <definedName name="pti" localSheetId="10">#REF!</definedName>
    <definedName name="pti">#REF!</definedName>
    <definedName name="ptii" localSheetId="11">#REF!</definedName>
    <definedName name="ptii" localSheetId="10">#REF!</definedName>
    <definedName name="ptii">#REF!</definedName>
    <definedName name="ptiii" localSheetId="11">#REF!</definedName>
    <definedName name="ptiii" localSheetId="10">#REF!</definedName>
    <definedName name="ptiii">#REF!</definedName>
    <definedName name="ptiiii" localSheetId="11">#REF!</definedName>
    <definedName name="ptiiii" localSheetId="10">#REF!</definedName>
    <definedName name="ptiiii">#REF!</definedName>
    <definedName name="rastra" localSheetId="11">'[4]Listado Equipos a utilizar'!#REF!</definedName>
    <definedName name="rastra" localSheetId="10">'[4]Listado Equipos a utilizar'!#REF!</definedName>
    <definedName name="rastra">'[4]Listado Equipos a utilizar'!#REF!</definedName>
    <definedName name="rastrapuas" localSheetId="11">'[4]Listado Equipos a utilizar'!#REF!</definedName>
    <definedName name="rastrapuas" localSheetId="10">'[4]Listado Equipos a utilizar'!#REF!</definedName>
    <definedName name="rastrapuas">'[4]Listado Equipos a utilizar'!#REF!</definedName>
    <definedName name="reesti" localSheetId="11">#REF!</definedName>
    <definedName name="reesti" localSheetId="10">#REF!</definedName>
    <definedName name="reesti">#REF!</definedName>
    <definedName name="reestii" localSheetId="11">#REF!</definedName>
    <definedName name="reestii" localSheetId="10">#REF!</definedName>
    <definedName name="reestii">#REF!</definedName>
    <definedName name="reestiii" localSheetId="11">#REF!</definedName>
    <definedName name="reestiii" localSheetId="10">#REF!</definedName>
    <definedName name="reestiii">#REF!</definedName>
    <definedName name="reestiiii" localSheetId="11">#REF!</definedName>
    <definedName name="reestiiii" localSheetId="10">#REF!</definedName>
    <definedName name="reestiiii">#REF!</definedName>
    <definedName name="rei" localSheetId="11">#REF!</definedName>
    <definedName name="rei" localSheetId="10">#REF!</definedName>
    <definedName name="rei">#REF!</definedName>
    <definedName name="reii" localSheetId="11">#REF!</definedName>
    <definedName name="reii" localSheetId="10">#REF!</definedName>
    <definedName name="reii">#REF!</definedName>
    <definedName name="reiii" localSheetId="11">#REF!</definedName>
    <definedName name="reiii" localSheetId="10">#REF!</definedName>
    <definedName name="reiii">#REF!</definedName>
    <definedName name="reiiii" localSheetId="11">#REF!</definedName>
    <definedName name="reiiii" localSheetId="10">#REF!</definedName>
    <definedName name="reiiii">#REF!</definedName>
    <definedName name="retui" localSheetId="11">#REF!</definedName>
    <definedName name="retui" localSheetId="10">#REF!</definedName>
    <definedName name="retui">#REF!</definedName>
    <definedName name="retuii" localSheetId="11">#REF!</definedName>
    <definedName name="retuii" localSheetId="10">#REF!</definedName>
    <definedName name="retuii">#REF!</definedName>
    <definedName name="retuiii" localSheetId="11">#REF!</definedName>
    <definedName name="retuiii" localSheetId="10">#REF!</definedName>
    <definedName name="retuiii">#REF!</definedName>
    <definedName name="retuiiii" localSheetId="11">#REF!</definedName>
    <definedName name="retuiiii" localSheetId="10">#REF!</definedName>
    <definedName name="retuiiii">#REF!</definedName>
    <definedName name="rodillo" localSheetId="11">'[4]Listado Equipos a utilizar'!#REF!</definedName>
    <definedName name="rodillo" localSheetId="10">'[4]Listado Equipos a utilizar'!#REF!</definedName>
    <definedName name="rodillo">'[4]Listado Equipos a utilizar'!#REF!</definedName>
    <definedName name="rodneu" localSheetId="11">'[4]Listado Equipos a utilizar'!#REF!</definedName>
    <definedName name="rodneu" localSheetId="10">'[4]Listado Equipos a utilizar'!#REF!</definedName>
    <definedName name="rodneu">'[4]Listado Equipos a utilizar'!#REF!</definedName>
    <definedName name="roti" localSheetId="11">#REF!</definedName>
    <definedName name="roti" localSheetId="10">#REF!</definedName>
    <definedName name="roti">#REF!</definedName>
    <definedName name="rotii" localSheetId="11">#REF!</definedName>
    <definedName name="rotii" localSheetId="10">#REF!</definedName>
    <definedName name="rotii">#REF!</definedName>
    <definedName name="rotiii" localSheetId="11">#REF!</definedName>
    <definedName name="rotiii" localSheetId="10">#REF!</definedName>
    <definedName name="rotiii">#REF!</definedName>
    <definedName name="rotiiii" localSheetId="11">#REF!</definedName>
    <definedName name="rotiiii" localSheetId="10">#REF!</definedName>
    <definedName name="rotiiii">#REF!</definedName>
    <definedName name="rvesti" localSheetId="11">#REF!</definedName>
    <definedName name="rvesti" localSheetId="10">#REF!</definedName>
    <definedName name="rvesti">#REF!</definedName>
    <definedName name="rvestii" localSheetId="11">#REF!</definedName>
    <definedName name="rvestii" localSheetId="10">#REF!</definedName>
    <definedName name="rvestii">#REF!</definedName>
    <definedName name="rvestiii" localSheetId="11">#REF!</definedName>
    <definedName name="rvestiii" localSheetId="10">#REF!</definedName>
    <definedName name="rvestiii">#REF!</definedName>
    <definedName name="rvestiiii" localSheetId="11">#REF!</definedName>
    <definedName name="rvestiiii" localSheetId="10">#REF!</definedName>
    <definedName name="rvestiiii">#REF!</definedName>
    <definedName name="SDFSDD" localSheetId="11">#REF!</definedName>
    <definedName name="SDFSDD" localSheetId="10">#REF!</definedName>
    <definedName name="SDFSDD">#REF!</definedName>
    <definedName name="SEGUROS" localSheetId="11">#REF!</definedName>
    <definedName name="SEGUROS" localSheetId="10">#REF!</definedName>
    <definedName name="SEGUROS">#REF!</definedName>
    <definedName name="senai" localSheetId="11">#REF!</definedName>
    <definedName name="senai" localSheetId="10">#REF!</definedName>
    <definedName name="senai">#REF!</definedName>
    <definedName name="senaii" localSheetId="11">#REF!</definedName>
    <definedName name="senaii" localSheetId="10">#REF!</definedName>
    <definedName name="senaii">#REF!</definedName>
    <definedName name="senaiii" localSheetId="11">#REF!</definedName>
    <definedName name="senaiii" localSheetId="10">#REF!</definedName>
    <definedName name="senaiii">#REF!</definedName>
    <definedName name="senaiiii" localSheetId="11">#REF!</definedName>
    <definedName name="senaiiii" localSheetId="10">#REF!</definedName>
    <definedName name="senaiiii">#REF!</definedName>
    <definedName name="solvente" localSheetId="11">#REF!</definedName>
    <definedName name="solvente" localSheetId="10">#REF!</definedName>
    <definedName name="solvente">#REF!</definedName>
    <definedName name="SUMINISTROS" localSheetId="11">#REF!</definedName>
    <definedName name="SUMINISTROS" localSheetId="10">#REF!</definedName>
    <definedName name="SUMINISTROS">#REF!</definedName>
    <definedName name="tetuii" localSheetId="11">#REF!</definedName>
    <definedName name="tetuii" localSheetId="10">#REF!</definedName>
    <definedName name="tetuii">#REF!</definedName>
    <definedName name="_xlnm.Print_Titles" localSheetId="8">Ana.term!$1:$5</definedName>
    <definedName name="_xlnm.Print_Titles" localSheetId="4">horm.ymez.!$1:$5</definedName>
    <definedName name="_xlnm.Print_Titles" localSheetId="7">Prec.!$1:$4</definedName>
    <definedName name="_xlnm.Print_Titles" localSheetId="9">PRESUPUESTO!$1:$8</definedName>
    <definedName name="tiza" localSheetId="11">#REF!</definedName>
    <definedName name="tiza" localSheetId="10">#REF!</definedName>
    <definedName name="tiza">#REF!</definedName>
    <definedName name="tosi" localSheetId="11">#REF!</definedName>
    <definedName name="tosi" localSheetId="10">#REF!</definedName>
    <definedName name="tosi">#REF!</definedName>
    <definedName name="tosii" localSheetId="11">#REF!</definedName>
    <definedName name="tosii" localSheetId="10">#REF!</definedName>
    <definedName name="tosii">#REF!</definedName>
    <definedName name="tosiii" localSheetId="11">#REF!</definedName>
    <definedName name="tosiii" localSheetId="10">#REF!</definedName>
    <definedName name="tosiii">#REF!</definedName>
    <definedName name="tosiiii" localSheetId="11">#REF!</definedName>
    <definedName name="tosiiii" localSheetId="10">#REF!</definedName>
    <definedName name="tosiiii">#REF!</definedName>
    <definedName name="TRACTORD">[7]EQUIPOS!$D$14</definedName>
    <definedName name="tractorm" localSheetId="11">'[4]Listado Equipos a utilizar'!#REF!</definedName>
    <definedName name="tractorm" localSheetId="10">'[4]Listado Equipos a utilizar'!#REF!</definedName>
    <definedName name="tractorm">'[4]Listado Equipos a utilizar'!#REF!</definedName>
    <definedName name="transpasf" localSheetId="11">'[4]Listado Equipos a utilizar'!#REF!</definedName>
    <definedName name="transpasf" localSheetId="10">'[4]Listado Equipos a utilizar'!#REF!</definedName>
    <definedName name="transpasf">'[4]Listado Equipos a utilizar'!#REF!</definedName>
    <definedName name="transporte">'[6]Resumen Precio Equipos'!$C$30</definedName>
    <definedName name="truct" localSheetId="11">[6]Materiales!#REF!</definedName>
    <definedName name="truct" localSheetId="10">[6]Materiales!#REF!</definedName>
    <definedName name="truct">[6]Materiales!#REF!</definedName>
    <definedName name="tubai" localSheetId="11">#REF!</definedName>
    <definedName name="tubai" localSheetId="10">#REF!</definedName>
    <definedName name="tubai">#REF!</definedName>
    <definedName name="tubaii" localSheetId="11">#REF!</definedName>
    <definedName name="tubaii" localSheetId="10">#REF!</definedName>
    <definedName name="tubaii">#REF!</definedName>
    <definedName name="tubaiii" localSheetId="11">#REF!</definedName>
    <definedName name="tubaiii" localSheetId="10">#REF!</definedName>
    <definedName name="tubaiii">#REF!</definedName>
    <definedName name="tubaiiii" localSheetId="11">#REF!</definedName>
    <definedName name="tubaiiii" localSheetId="10">#REF!</definedName>
    <definedName name="tubaiiii">#REF!</definedName>
    <definedName name="tubei" localSheetId="11">#REF!</definedName>
    <definedName name="tubei" localSheetId="10">#REF!</definedName>
    <definedName name="tubei">#REF!</definedName>
    <definedName name="tubeii" localSheetId="11">#REF!</definedName>
    <definedName name="tubeii" localSheetId="10">#REF!</definedName>
    <definedName name="tubeii">#REF!</definedName>
    <definedName name="tubeiii" localSheetId="11">#REF!</definedName>
    <definedName name="tubeiii" localSheetId="10">#REF!</definedName>
    <definedName name="tubeiii">#REF!</definedName>
    <definedName name="tubeiiii" localSheetId="11">#REF!</definedName>
    <definedName name="tubeiiii" localSheetId="10">#REF!</definedName>
    <definedName name="tubeiiii">#REF!</definedName>
    <definedName name="tubi" localSheetId="11">#REF!</definedName>
    <definedName name="tubi" localSheetId="10">#REF!</definedName>
    <definedName name="tubi">#REF!</definedName>
    <definedName name="tubii" localSheetId="11">#REF!</definedName>
    <definedName name="tubii" localSheetId="10">#REF!</definedName>
    <definedName name="tubii">#REF!</definedName>
    <definedName name="tubiii" localSheetId="11">#REF!</definedName>
    <definedName name="tubiii" localSheetId="10">#REF!</definedName>
    <definedName name="tubiii">#REF!</definedName>
    <definedName name="tubiiii" localSheetId="11">#REF!</definedName>
    <definedName name="tubiiii" localSheetId="10">#REF!</definedName>
    <definedName name="tubiiii">#REF!</definedName>
    <definedName name="tuboi" localSheetId="11">#REF!</definedName>
    <definedName name="tuboi" localSheetId="10">#REF!</definedName>
    <definedName name="tuboi">#REF!</definedName>
    <definedName name="tuboii" localSheetId="11">#REF!</definedName>
    <definedName name="tuboii" localSheetId="10">#REF!</definedName>
    <definedName name="tuboii">#REF!</definedName>
    <definedName name="tuboiii" localSheetId="11">#REF!</definedName>
    <definedName name="tuboiii" localSheetId="10">#REF!</definedName>
    <definedName name="tuboiii">#REF!</definedName>
    <definedName name="tuboiiii" localSheetId="11">#REF!</definedName>
    <definedName name="tuboiiii" localSheetId="10">#REF!</definedName>
    <definedName name="tuboiiii">#REF!</definedName>
    <definedName name="tubui" localSheetId="11">#REF!</definedName>
    <definedName name="tubui" localSheetId="10">#REF!</definedName>
    <definedName name="tubui">#REF!</definedName>
    <definedName name="tubuii" localSheetId="11">#REF!</definedName>
    <definedName name="tubuii" localSheetId="10">#REF!</definedName>
    <definedName name="tubuii">#REF!</definedName>
    <definedName name="tubuiii" localSheetId="11">#REF!</definedName>
    <definedName name="tubuiii" localSheetId="10">#REF!</definedName>
    <definedName name="tubuiii">#REF!</definedName>
    <definedName name="tubuiiii" localSheetId="11">#REF!</definedName>
    <definedName name="tubuiiii" localSheetId="10">#REF!</definedName>
    <definedName name="tubuiiii">#REF!</definedName>
    <definedName name="Varilla" localSheetId="11">#REF!</definedName>
    <definedName name="Varilla" localSheetId="10">#REF!</definedName>
    <definedName name="Varilla">#REF!</definedName>
    <definedName name="volteobote" localSheetId="11">'[4]Listado Equipos a utilizar'!#REF!</definedName>
    <definedName name="volteobote" localSheetId="10">'[4]Listado Equipos a utilizar'!#REF!</definedName>
    <definedName name="volteobote">'[4]Listado Equipos a utilizar'!#REF!</definedName>
    <definedName name="volteobotela" localSheetId="11">'[4]Listado Equipos a utilizar'!#REF!</definedName>
    <definedName name="volteobotela" localSheetId="10">'[4]Listado Equipos a utilizar'!#REF!</definedName>
    <definedName name="volteobotela">'[4]Listado Equipos a utilizar'!#REF!</definedName>
    <definedName name="volteobotelargo" localSheetId="11">'[4]Listado Equipos a utilizar'!#REF!</definedName>
    <definedName name="volteobotelargo" localSheetId="10">'[4]Listado Equipos a utilizar'!#REF!</definedName>
    <definedName name="volteobotelargo">'[4]Listado Equipos a utilizar'!#REF!</definedName>
    <definedName name="VXCSD" localSheetId="11">#REF!</definedName>
    <definedName name="VXCSD" localSheetId="10">#REF!</definedName>
    <definedName name="VXCSD">#REF!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45" i="18" l="1"/>
  <c r="A37" i="18"/>
  <c r="A38" i="18" s="1"/>
  <c r="A39" i="18" s="1"/>
  <c r="A40" i="18" s="1"/>
  <c r="A41" i="18" s="1"/>
  <c r="A42" i="18" s="1"/>
  <c r="A43" i="18" s="1"/>
  <c r="F28" i="18" l="1"/>
  <c r="F21" i="18"/>
  <c r="G21" i="18" s="1"/>
  <c r="A21" i="18"/>
  <c r="F27" i="18"/>
  <c r="F19" i="18"/>
  <c r="F43" i="18" l="1"/>
  <c r="F42" i="18"/>
  <c r="F41" i="18"/>
  <c r="F40" i="18"/>
  <c r="F39" i="18"/>
  <c r="F38" i="18"/>
  <c r="F37" i="18"/>
  <c r="F35" i="18"/>
  <c r="F14" i="18"/>
  <c r="F13" i="18"/>
  <c r="G43" i="18" l="1"/>
  <c r="F34" i="18"/>
  <c r="F32" i="18" l="1"/>
  <c r="F31" i="18"/>
  <c r="F33" i="18"/>
  <c r="F12" i="18" l="1"/>
  <c r="F16" i="18"/>
  <c r="F15" i="18"/>
  <c r="F30" i="18" l="1"/>
  <c r="G35" i="18" s="1"/>
  <c r="A30" i="18"/>
  <c r="A31" i="18" s="1"/>
  <c r="A32" i="18" s="1"/>
  <c r="A33" i="18" s="1"/>
  <c r="A34" i="18" s="1"/>
  <c r="A35" i="18" s="1"/>
  <c r="F26" i="18" l="1"/>
  <c r="F45" i="18" l="1"/>
  <c r="G45" i="18" s="1"/>
  <c r="F47" i="18"/>
  <c r="G47" i="18" s="1"/>
  <c r="A47" i="18"/>
  <c r="F25" i="18"/>
  <c r="G28" i="18" s="1"/>
  <c r="A25" i="18"/>
  <c r="A26" i="18" s="1"/>
  <c r="A27" i="18" s="1"/>
  <c r="A28" i="18" s="1"/>
  <c r="F11" i="18"/>
  <c r="G16" i="18" s="1"/>
  <c r="A11" i="18"/>
  <c r="A12" i="18" s="1"/>
  <c r="A13" i="18" s="1"/>
  <c r="A14" i="18" s="1"/>
  <c r="A15" i="18" s="1"/>
  <c r="A16" i="18" s="1"/>
  <c r="F18" i="18"/>
  <c r="G19" i="18" s="1"/>
  <c r="A23" i="18"/>
  <c r="A18" i="18"/>
  <c r="A19" i="18" s="1"/>
  <c r="F23" i="18" l="1"/>
  <c r="G23" i="18" s="1"/>
  <c r="G49" i="18" s="1"/>
  <c r="D250" i="3" l="1"/>
  <c r="D5941" i="1" l="1"/>
  <c r="D5858" i="1"/>
  <c r="H1155" i="25"/>
  <c r="F1130" i="25"/>
  <c r="F1131" i="25"/>
  <c r="F1132" i="25"/>
  <c r="F1133" i="25"/>
  <c r="F1134" i="25"/>
  <c r="F1135" i="25"/>
  <c r="F1136" i="25"/>
  <c r="F1137" i="25"/>
  <c r="F1138" i="25"/>
  <c r="H1140" i="25" s="1"/>
  <c r="H1141" i="25" s="1"/>
  <c r="F1139" i="25"/>
  <c r="F1140" i="25"/>
  <c r="F1129" i="25"/>
  <c r="AB424" i="26" l="1"/>
  <c r="AB300" i="26"/>
  <c r="H448" i="26" l="1"/>
  <c r="H317" i="26"/>
  <c r="A176" i="26"/>
  <c r="G1330" i="27"/>
  <c r="G1329" i="27"/>
  <c r="L731" i="25"/>
  <c r="E734" i="25" s="1"/>
  <c r="C733" i="25"/>
  <c r="C734" i="25" s="1"/>
  <c r="C731" i="25"/>
  <c r="J730" i="25"/>
  <c r="J728" i="25"/>
  <c r="L713" i="25"/>
  <c r="L714" i="25"/>
  <c r="J714" i="25"/>
  <c r="J715" i="25"/>
  <c r="M715" i="25" s="1"/>
  <c r="J712" i="25"/>
  <c r="O1324" i="27"/>
  <c r="J1325" i="27"/>
  <c r="H1325" i="27"/>
  <c r="P1324" i="27"/>
  <c r="H1324" i="27"/>
  <c r="D1324" i="27"/>
  <c r="J1324" i="27" s="1"/>
  <c r="C867" i="25"/>
  <c r="C881" i="25"/>
  <c r="C879" i="25" s="1"/>
  <c r="C880" i="25" s="1"/>
  <c r="J867" i="25"/>
  <c r="J865" i="25" s="1"/>
  <c r="J866" i="25" s="1"/>
  <c r="C862" i="25"/>
  <c r="J862" i="25"/>
  <c r="J864" i="25" s="1"/>
  <c r="C876" i="25"/>
  <c r="E868" i="25"/>
  <c r="C878" i="25"/>
  <c r="C864" i="25"/>
  <c r="L1311" i="27"/>
  <c r="E1311" i="27"/>
  <c r="E1310" i="27"/>
  <c r="L1299" i="27"/>
  <c r="E1299" i="27"/>
  <c r="E1298" i="27"/>
  <c r="O383" i="26"/>
  <c r="O382" i="26"/>
  <c r="O379" i="26"/>
  <c r="O378" i="26"/>
  <c r="O377" i="26"/>
  <c r="O376" i="26"/>
  <c r="O374" i="26"/>
  <c r="O360" i="26"/>
  <c r="O357" i="26"/>
  <c r="O356" i="26"/>
  <c r="O355" i="26"/>
  <c r="O353" i="26"/>
  <c r="O351" i="26"/>
  <c r="O350" i="26"/>
  <c r="O349" i="26"/>
  <c r="O347" i="26"/>
  <c r="O345" i="26"/>
  <c r="O344" i="26"/>
  <c r="O248" i="26"/>
  <c r="O247" i="26"/>
  <c r="O244" i="26"/>
  <c r="O243" i="26"/>
  <c r="O242" i="26"/>
  <c r="O241" i="26"/>
  <c r="O239" i="26"/>
  <c r="O225" i="26"/>
  <c r="O222" i="26"/>
  <c r="O221" i="26"/>
  <c r="O220" i="26"/>
  <c r="O218" i="26"/>
  <c r="O216" i="26"/>
  <c r="O215" i="26"/>
  <c r="O214" i="26"/>
  <c r="O212" i="26"/>
  <c r="O210" i="26"/>
  <c r="O209" i="26"/>
  <c r="W313" i="26"/>
  <c r="M418" i="26"/>
  <c r="C452" i="26"/>
  <c r="C321" i="26"/>
  <c r="I489" i="26"/>
  <c r="E502" i="26"/>
  <c r="G502" i="26" s="1"/>
  <c r="H502" i="26" s="1"/>
  <c r="O519" i="26"/>
  <c r="O513" i="26"/>
  <c r="O512" i="26"/>
  <c r="O497" i="26"/>
  <c r="O490" i="26"/>
  <c r="O489" i="26"/>
  <c r="M714" i="25" l="1"/>
  <c r="L730" i="25"/>
  <c r="E733" i="25" s="1"/>
  <c r="F733" i="25" s="1"/>
  <c r="J731" i="25"/>
  <c r="M731" i="25" s="1"/>
  <c r="F734" i="25"/>
  <c r="G1325" i="27"/>
  <c r="I1325" i="27" s="1"/>
  <c r="I1326" i="27" s="1"/>
  <c r="N1324" i="27"/>
  <c r="Q1324" i="27" s="1"/>
  <c r="Q1326" i="27" s="1"/>
  <c r="G1324" i="27"/>
  <c r="I1324" i="27" s="1"/>
  <c r="C865" i="25"/>
  <c r="M730" i="25" l="1"/>
  <c r="H1328" i="27"/>
  <c r="J711" i="25" s="1"/>
  <c r="C866" i="25"/>
  <c r="J713" i="25" l="1"/>
  <c r="M713" i="25" s="1"/>
  <c r="J727" i="25"/>
  <c r="G1310" i="27"/>
  <c r="A1314" i="27" s="1"/>
  <c r="E1316" i="27" s="1"/>
  <c r="C730" i="25" l="1"/>
  <c r="J729" i="25"/>
  <c r="G1298" i="27"/>
  <c r="A1302" i="27" s="1"/>
  <c r="E1304" i="27" s="1"/>
  <c r="G1318" i="27" s="1"/>
  <c r="N1311" i="27"/>
  <c r="O1311" i="27"/>
  <c r="N1310" i="27"/>
  <c r="H1310" i="27"/>
  <c r="N1299" i="27"/>
  <c r="O1299" i="27"/>
  <c r="N1298" i="27"/>
  <c r="H1298" i="27"/>
  <c r="AB423" i="26"/>
  <c r="AB422" i="26"/>
  <c r="AB421" i="26"/>
  <c r="AB420" i="26"/>
  <c r="AB419" i="26"/>
  <c r="AB418" i="26"/>
  <c r="AB417" i="26"/>
  <c r="AB416" i="26"/>
  <c r="AB415" i="26"/>
  <c r="AB414" i="26"/>
  <c r="AB413" i="26"/>
  <c r="Z411" i="26" s="1"/>
  <c r="AB412" i="26"/>
  <c r="AB299" i="26"/>
  <c r="AB298" i="26"/>
  <c r="AB297" i="26"/>
  <c r="AB296" i="26"/>
  <c r="AB295" i="26"/>
  <c r="AB294" i="26"/>
  <c r="AB293" i="26"/>
  <c r="AB292" i="26"/>
  <c r="AB291" i="26"/>
  <c r="AB290" i="26"/>
  <c r="AB289" i="26"/>
  <c r="Z287" i="26" s="1"/>
  <c r="AB288" i="26"/>
  <c r="AB96" i="26"/>
  <c r="AB95" i="26"/>
  <c r="AB94" i="26"/>
  <c r="AB93" i="26"/>
  <c r="AB92" i="26"/>
  <c r="AB91" i="26"/>
  <c r="AB90" i="26"/>
  <c r="AB89" i="26"/>
  <c r="AB88" i="26"/>
  <c r="AB87" i="26"/>
  <c r="I422" i="26"/>
  <c r="I287" i="26"/>
  <c r="I59" i="26"/>
  <c r="K59" i="26"/>
  <c r="Z88" i="26" l="1"/>
  <c r="C732" i="25"/>
  <c r="I169" i="26" l="1"/>
  <c r="N30" i="26" l="1"/>
  <c r="F30" i="26"/>
  <c r="I30" i="26"/>
  <c r="J30" i="26" s="1"/>
  <c r="H30" i="26"/>
  <c r="K30" i="26" l="1"/>
  <c r="L30" i="26" s="1"/>
  <c r="G62" i="26"/>
  <c r="H62" i="26" s="1"/>
  <c r="Z103" i="26" s="1"/>
  <c r="L286" i="26"/>
  <c r="G61" i="26"/>
  <c r="M425" i="26"/>
  <c r="M169" i="26"/>
  <c r="Z98" i="26" s="1"/>
  <c r="C453" i="26"/>
  <c r="C322" i="26"/>
  <c r="Z250" i="26"/>
  <c r="M172" i="26"/>
  <c r="Z71" i="26"/>
  <c r="L453" i="26"/>
  <c r="S303" i="26"/>
  <c r="L322" i="26"/>
  <c r="K154" i="26"/>
  <c r="O177" i="26"/>
  <c r="C181" i="26"/>
  <c r="G168" i="27"/>
  <c r="G167" i="27"/>
  <c r="I169" i="27"/>
  <c r="H170" i="27" s="1"/>
  <c r="M168" i="27"/>
  <c r="L168" i="27"/>
  <c r="F168" i="27"/>
  <c r="M167" i="27"/>
  <c r="L167" i="27"/>
  <c r="F167" i="27"/>
  <c r="H167" i="27" s="1"/>
  <c r="M166" i="27"/>
  <c r="L166" i="27"/>
  <c r="M165" i="27"/>
  <c r="L165" i="27"/>
  <c r="F163" i="27"/>
  <c r="Q265" i="25"/>
  <c r="Q266" i="25" s="1"/>
  <c r="T266" i="25" s="1"/>
  <c r="Q264" i="25"/>
  <c r="Q250" i="25"/>
  <c r="T250" i="25" s="1"/>
  <c r="Q249" i="25"/>
  <c r="Q237" i="25"/>
  <c r="Q238" i="25" s="1"/>
  <c r="T238" i="25" s="1"/>
  <c r="Q236" i="25"/>
  <c r="I431" i="27"/>
  <c r="C430" i="27"/>
  <c r="G430" i="27" s="1"/>
  <c r="C428" i="27"/>
  <c r="E428" i="27" s="1"/>
  <c r="F430" i="27"/>
  <c r="G428" i="27"/>
  <c r="F428" i="27"/>
  <c r="I416" i="27"/>
  <c r="H419" i="27" s="1"/>
  <c r="G413" i="27"/>
  <c r="H411" i="27"/>
  <c r="C415" i="27" s="1"/>
  <c r="G415" i="27" s="1"/>
  <c r="F415" i="27"/>
  <c r="F413" i="27"/>
  <c r="H433" i="27"/>
  <c r="D1235" i="1"/>
  <c r="D6940" i="1"/>
  <c r="E6940" i="1" s="1"/>
  <c r="E6938" i="1"/>
  <c r="D555" i="1"/>
  <c r="E555" i="1" s="1"/>
  <c r="D556" i="1"/>
  <c r="E556" i="1" s="1"/>
  <c r="E557" i="1"/>
  <c r="D554" i="1"/>
  <c r="E554" i="1" s="1"/>
  <c r="D553" i="1"/>
  <c r="E553" i="1" s="1"/>
  <c r="D552" i="1"/>
  <c r="E552" i="1" s="1"/>
  <c r="C413" i="27" l="1"/>
  <c r="E413" i="27" s="1"/>
  <c r="H413" i="27" s="1"/>
  <c r="H168" i="27"/>
  <c r="I165" i="27"/>
  <c r="J162" i="25" s="1"/>
  <c r="H428" i="27"/>
  <c r="T237" i="25"/>
  <c r="T265" i="25"/>
  <c r="Q251" i="25"/>
  <c r="T251" i="25" s="1"/>
  <c r="H430" i="27"/>
  <c r="H432" i="27" s="1"/>
  <c r="H415" i="27"/>
  <c r="I418" i="27"/>
  <c r="B558" i="1"/>
  <c r="E558" i="1" s="1"/>
  <c r="F558" i="1" s="1"/>
  <c r="D6040" i="1" s="1"/>
  <c r="J164" i="25" l="1"/>
  <c r="J163" i="25"/>
  <c r="I426" i="27"/>
  <c r="H417" i="27"/>
  <c r="I413" i="27"/>
  <c r="Q235" i="25" s="1"/>
  <c r="Q239" i="25" l="1"/>
  <c r="Q263" i="25"/>
  <c r="Q248" i="25"/>
  <c r="Q252" i="25" l="1"/>
  <c r="Q267" i="25"/>
  <c r="J854" i="25" l="1"/>
  <c r="C854" i="25"/>
  <c r="C840" i="25"/>
  <c r="F840" i="25" s="1"/>
  <c r="J782" i="25"/>
  <c r="J840" i="25"/>
  <c r="C942" i="25"/>
  <c r="L1287" i="27"/>
  <c r="L1277" i="27"/>
  <c r="L1276" i="27"/>
  <c r="E854" i="25"/>
  <c r="E856" i="25"/>
  <c r="J852" i="25"/>
  <c r="J853" i="25" s="1"/>
  <c r="J851" i="25"/>
  <c r="J849" i="25"/>
  <c r="C852" i="25"/>
  <c r="C849" i="25"/>
  <c r="C851" i="25" s="1"/>
  <c r="E840" i="25"/>
  <c r="E842" i="25"/>
  <c r="C835" i="25"/>
  <c r="C837" i="25" s="1"/>
  <c r="G1286" i="27"/>
  <c r="A1290" i="27" s="1"/>
  <c r="N1287" i="27"/>
  <c r="H1287" i="27"/>
  <c r="N1286" i="27"/>
  <c r="L1286" i="27"/>
  <c r="H1286" i="27"/>
  <c r="G1276" i="27"/>
  <c r="N1277" i="27"/>
  <c r="H1277" i="27"/>
  <c r="N1276" i="27"/>
  <c r="H1276" i="27"/>
  <c r="A1280" i="27"/>
  <c r="L784" i="25"/>
  <c r="I779" i="25"/>
  <c r="D1271" i="27"/>
  <c r="L1267" i="27"/>
  <c r="L1265" i="27"/>
  <c r="N1266" i="27"/>
  <c r="L1266" i="27"/>
  <c r="O1266" i="27" s="1"/>
  <c r="L1264" i="27"/>
  <c r="G1264" i="27"/>
  <c r="A1269" i="27"/>
  <c r="N1267" i="27"/>
  <c r="H1267" i="27"/>
  <c r="H1266" i="27"/>
  <c r="N1265" i="27"/>
  <c r="H1265" i="27"/>
  <c r="N1264" i="27"/>
  <c r="H1264" i="27"/>
  <c r="N1256" i="27"/>
  <c r="L1256" i="27"/>
  <c r="O1256" i="27" s="1"/>
  <c r="H1256" i="27"/>
  <c r="L1255" i="27"/>
  <c r="E1209" i="27"/>
  <c r="F1210" i="27"/>
  <c r="G1255" i="27"/>
  <c r="N1249" i="27"/>
  <c r="N1247" i="27"/>
  <c r="L1247" i="27"/>
  <c r="O1247" i="27" s="1"/>
  <c r="L1249" i="27"/>
  <c r="L1245" i="27"/>
  <c r="L1244" i="27"/>
  <c r="N1248" i="27"/>
  <c r="L1248" i="27"/>
  <c r="L1246" i="27"/>
  <c r="N1246" i="27"/>
  <c r="H1248" i="27"/>
  <c r="H1246" i="27"/>
  <c r="G1242" i="27"/>
  <c r="N1245" i="27"/>
  <c r="H1245" i="27"/>
  <c r="L1243" i="27"/>
  <c r="L1242" i="27"/>
  <c r="E1232" i="27"/>
  <c r="E1231" i="27"/>
  <c r="E1222" i="27"/>
  <c r="E1221" i="27"/>
  <c r="E1220" i="27"/>
  <c r="E1219" i="27"/>
  <c r="A1259" i="27"/>
  <c r="N1255" i="27"/>
  <c r="H1255" i="27"/>
  <c r="A1250" i="27"/>
  <c r="N1244" i="27"/>
  <c r="N1243" i="27"/>
  <c r="H1243" i="27"/>
  <c r="N1242" i="27"/>
  <c r="T550" i="26"/>
  <c r="O550" i="26"/>
  <c r="S549" i="26"/>
  <c r="S550" i="26" s="1"/>
  <c r="P549" i="26"/>
  <c r="P550" i="26" s="1"/>
  <c r="L474" i="26"/>
  <c r="I474" i="26"/>
  <c r="K474" i="26" s="1"/>
  <c r="R323" i="26"/>
  <c r="M475" i="26"/>
  <c r="H475" i="26"/>
  <c r="L475" i="26"/>
  <c r="Z408" i="26"/>
  <c r="Z410" i="26"/>
  <c r="Z409" i="26"/>
  <c r="Z286" i="26"/>
  <c r="Z285" i="26"/>
  <c r="Z284" i="26"/>
  <c r="Z115" i="26"/>
  <c r="Z114" i="26"/>
  <c r="H573" i="26"/>
  <c r="Z319" i="26"/>
  <c r="M119" i="26"/>
  <c r="M116" i="26"/>
  <c r="M115" i="26"/>
  <c r="M114" i="26"/>
  <c r="M112" i="26"/>
  <c r="M111" i="26"/>
  <c r="M110" i="26"/>
  <c r="M109" i="26"/>
  <c r="M108" i="26"/>
  <c r="M105" i="26"/>
  <c r="M104" i="26"/>
  <c r="M103" i="26"/>
  <c r="M101" i="26"/>
  <c r="M87" i="26"/>
  <c r="M86" i="26"/>
  <c r="M83" i="26"/>
  <c r="M81" i="26"/>
  <c r="M80" i="26"/>
  <c r="M79" i="26"/>
  <c r="P467" i="26"/>
  <c r="M467" i="26"/>
  <c r="K467" i="26"/>
  <c r="J467" i="26"/>
  <c r="H467" i="26"/>
  <c r="O467" i="26" s="1"/>
  <c r="Q467" i="26" s="1"/>
  <c r="G467" i="26"/>
  <c r="I467" i="26" s="1"/>
  <c r="P466" i="26"/>
  <c r="M466" i="26"/>
  <c r="K466" i="26"/>
  <c r="J466" i="26"/>
  <c r="H466" i="26"/>
  <c r="O466" i="26" s="1"/>
  <c r="Q466" i="26" s="1"/>
  <c r="G466" i="26"/>
  <c r="I466" i="26" s="1"/>
  <c r="L466" i="26" s="1"/>
  <c r="Q281" i="26"/>
  <c r="N281" i="26"/>
  <c r="L281" i="26"/>
  <c r="K281" i="26"/>
  <c r="I281" i="26"/>
  <c r="P281" i="26" s="1"/>
  <c r="H281" i="26"/>
  <c r="J281" i="26" s="1"/>
  <c r="Q280" i="26"/>
  <c r="N280" i="26"/>
  <c r="L280" i="26"/>
  <c r="K280" i="26"/>
  <c r="I280" i="26"/>
  <c r="P280" i="26" s="1"/>
  <c r="R280" i="26" s="1"/>
  <c r="H280" i="26"/>
  <c r="J280" i="26" s="1"/>
  <c r="L45" i="26"/>
  <c r="K44" i="26"/>
  <c r="I45" i="26"/>
  <c r="G45" i="26"/>
  <c r="F45" i="26"/>
  <c r="D45" i="26"/>
  <c r="K45" i="26" s="1"/>
  <c r="L44" i="26"/>
  <c r="I44" i="26"/>
  <c r="G44" i="26"/>
  <c r="F44" i="26"/>
  <c r="F47" i="26" s="1"/>
  <c r="D44" i="26"/>
  <c r="C44" i="26"/>
  <c r="E44" i="26" s="1"/>
  <c r="C11" i="26"/>
  <c r="C10" i="26"/>
  <c r="C9" i="26"/>
  <c r="O280" i="26" l="1"/>
  <c r="K283" i="26"/>
  <c r="E1292" i="27"/>
  <c r="O1245" i="27"/>
  <c r="O1265" i="27"/>
  <c r="L856" i="25"/>
  <c r="E869" i="25"/>
  <c r="N466" i="26"/>
  <c r="N469" i="26" s="1"/>
  <c r="J469" i="26"/>
  <c r="M280" i="26"/>
  <c r="R549" i="26"/>
  <c r="R550" i="26" s="1"/>
  <c r="O1246" i="27"/>
  <c r="O1264" i="27"/>
  <c r="L854" i="25"/>
  <c r="M854" i="25" s="1"/>
  <c r="E867" i="25"/>
  <c r="L840" i="25"/>
  <c r="M840" i="25" s="1"/>
  <c r="E942" i="25"/>
  <c r="F942" i="25" s="1"/>
  <c r="F854" i="25"/>
  <c r="O1267" i="27"/>
  <c r="C853" i="25"/>
  <c r="O1286" i="27"/>
  <c r="O1287" i="27"/>
  <c r="P1286" i="27" s="1"/>
  <c r="O1277" i="27"/>
  <c r="O1276" i="27"/>
  <c r="C838" i="25"/>
  <c r="O1270" i="27"/>
  <c r="H1271" i="27" s="1"/>
  <c r="I1271" i="27" s="1"/>
  <c r="J779" i="25" s="1"/>
  <c r="P1264" i="27"/>
  <c r="O1248" i="27"/>
  <c r="O1255" i="27"/>
  <c r="P1255" i="27" s="1"/>
  <c r="O1249" i="27"/>
  <c r="O1244" i="27"/>
  <c r="O1243" i="27"/>
  <c r="O1242" i="27"/>
  <c r="Q549" i="26"/>
  <c r="Q550" i="26" s="1"/>
  <c r="K475" i="26"/>
  <c r="I475" i="26"/>
  <c r="J474" i="26"/>
  <c r="J475" i="26" s="1"/>
  <c r="L467" i="26"/>
  <c r="N467" i="26"/>
  <c r="L867" i="25" l="1"/>
  <c r="F867" i="25"/>
  <c r="E881" i="25"/>
  <c r="F881" i="25" s="1"/>
  <c r="E883" i="25"/>
  <c r="L869" i="25"/>
  <c r="O1291" i="27"/>
  <c r="O1281" i="27"/>
  <c r="I1292" i="27" s="1"/>
  <c r="J1292" i="27" s="1"/>
  <c r="P1276" i="27"/>
  <c r="C839" i="25"/>
  <c r="J780" i="25"/>
  <c r="J781" i="25"/>
  <c r="P1242" i="27"/>
  <c r="O1251" i="27"/>
  <c r="J850" i="25" l="1"/>
  <c r="J855" i="25" s="1"/>
  <c r="C850" i="25"/>
  <c r="C855" i="25" s="1"/>
  <c r="C836" i="25"/>
  <c r="C841" i="25" s="1"/>
  <c r="C842" i="25" s="1"/>
  <c r="F842" i="25" s="1"/>
  <c r="Z10" i="26"/>
  <c r="C856" i="25" l="1"/>
  <c r="F856" i="25" s="1"/>
  <c r="J856" i="25"/>
  <c r="M856" i="25" s="1"/>
  <c r="Z497" i="26"/>
  <c r="Z499" i="26"/>
  <c r="Z365" i="26"/>
  <c r="Z233" i="26"/>
  <c r="F587" i="26"/>
  <c r="I587" i="26" s="1"/>
  <c r="H566" i="26"/>
  <c r="N566" i="26" s="1"/>
  <c r="G566" i="26"/>
  <c r="B566" i="26"/>
  <c r="C566" i="26" s="1"/>
  <c r="P566" i="26" s="1"/>
  <c r="Z498" i="26"/>
  <c r="Z356" i="26"/>
  <c r="I444" i="26"/>
  <c r="I313" i="26"/>
  <c r="Z224" i="26"/>
  <c r="Z223" i="26"/>
  <c r="G80" i="27"/>
  <c r="B172" i="26"/>
  <c r="K587" i="26" l="1"/>
  <c r="J587" i="26"/>
  <c r="B2379" i="1"/>
  <c r="B2365" i="1"/>
  <c r="B2352" i="1"/>
  <c r="B2338" i="1"/>
  <c r="D2108" i="1"/>
  <c r="D2373" i="1" s="1"/>
  <c r="D2081" i="1"/>
  <c r="D2346" i="1" s="1"/>
  <c r="B2114" i="1"/>
  <c r="B2100" i="1"/>
  <c r="B2087" i="1"/>
  <c r="D2084" i="1"/>
  <c r="E2084" i="1" s="1"/>
  <c r="D2077" i="1"/>
  <c r="E2077" i="1" s="1"/>
  <c r="D2073" i="1"/>
  <c r="D2087" i="1" s="1"/>
  <c r="D2352" i="1" s="1"/>
  <c r="B2073" i="1"/>
  <c r="D2071" i="1"/>
  <c r="E2071" i="1" s="1"/>
  <c r="B1231" i="1"/>
  <c r="B1192" i="1"/>
  <c r="G1107" i="1"/>
  <c r="B1142" i="1"/>
  <c r="B1107" i="1"/>
  <c r="B1108" i="1" s="1"/>
  <c r="D1111" i="1"/>
  <c r="E1111" i="1" s="1"/>
  <c r="D1108" i="1"/>
  <c r="D1106" i="1"/>
  <c r="E1106" i="1" s="1"/>
  <c r="F1081" i="25"/>
  <c r="E2073" i="1" l="1"/>
  <c r="E1108" i="1"/>
  <c r="E2352" i="1"/>
  <c r="D2349" i="1"/>
  <c r="E2349" i="1" s="1"/>
  <c r="D2336" i="1"/>
  <c r="E2336" i="1" s="1"/>
  <c r="D2342" i="1"/>
  <c r="E2342" i="1" s="1"/>
  <c r="D2338" i="1"/>
  <c r="E2338" i="1" s="1"/>
  <c r="E2087" i="1"/>
  <c r="L183" i="25" l="1"/>
  <c r="M183" i="25" s="1"/>
  <c r="J185" i="25"/>
  <c r="L185" i="25"/>
  <c r="J186" i="25"/>
  <c r="M186" i="25" s="1"/>
  <c r="J187" i="25" l="1"/>
  <c r="M187" i="25" s="1"/>
  <c r="M185" i="25"/>
  <c r="M281" i="26" l="1"/>
  <c r="M469" i="26"/>
  <c r="K469" i="26"/>
  <c r="R281" i="26"/>
  <c r="Q283" i="26"/>
  <c r="N283" i="26"/>
  <c r="I283" i="26"/>
  <c r="E47" i="26"/>
  <c r="M45" i="26"/>
  <c r="J45" i="26"/>
  <c r="H45" i="26"/>
  <c r="J44" i="26"/>
  <c r="J47" i="26" s="1"/>
  <c r="L47" i="26"/>
  <c r="I47" i="26"/>
  <c r="D47" i="26"/>
  <c r="C47" i="26"/>
  <c r="K47" i="26" l="1"/>
  <c r="M44" i="26"/>
  <c r="M47" i="26" s="1"/>
  <c r="H469" i="26"/>
  <c r="Q469" i="26"/>
  <c r="P469" i="26"/>
  <c r="L283" i="26"/>
  <c r="I469" i="26"/>
  <c r="L469" i="26"/>
  <c r="G469" i="26"/>
  <c r="O469" i="26"/>
  <c r="J283" i="26"/>
  <c r="M283" i="26"/>
  <c r="O281" i="26"/>
  <c r="O283" i="26" s="1"/>
  <c r="H283" i="26"/>
  <c r="H44" i="26"/>
  <c r="H47" i="26"/>
  <c r="G47" i="26"/>
  <c r="R283" i="26" l="1"/>
  <c r="P283" i="26"/>
  <c r="D6006" i="1" l="1"/>
  <c r="D6061" i="1"/>
  <c r="D6042" i="1"/>
  <c r="E6031" i="1"/>
  <c r="B6035" i="1" s="1"/>
  <c r="E6035" i="1" s="1"/>
  <c r="E6086" i="1"/>
  <c r="B6090" i="1" s="1"/>
  <c r="E6090" i="1" s="1"/>
  <c r="E5918" i="1"/>
  <c r="B5922" i="1" s="1"/>
  <c r="E5922" i="1" s="1"/>
  <c r="I621" i="27"/>
  <c r="I642" i="27"/>
  <c r="I603" i="27"/>
  <c r="I565" i="27"/>
  <c r="I548" i="27"/>
  <c r="I531" i="27"/>
  <c r="I514" i="27"/>
  <c r="I499" i="27"/>
  <c r="I466" i="27"/>
  <c r="I482" i="27"/>
  <c r="I450" i="27"/>
  <c r="D5989" i="1" l="1"/>
  <c r="C719" i="25" l="1"/>
  <c r="C706" i="25"/>
  <c r="J693" i="25"/>
  <c r="J680" i="25"/>
  <c r="J508" i="25"/>
  <c r="J495" i="25"/>
  <c r="C495" i="25"/>
  <c r="C482" i="25"/>
  <c r="C469" i="25"/>
  <c r="E455" i="25"/>
  <c r="C456" i="25"/>
  <c r="J482" i="25"/>
  <c r="J469" i="25"/>
  <c r="J456" i="25"/>
  <c r="L442" i="25"/>
  <c r="J443" i="25"/>
  <c r="E442" i="25"/>
  <c r="C443" i="25"/>
  <c r="J430" i="25"/>
  <c r="L429" i="25"/>
  <c r="J416" i="25"/>
  <c r="J403" i="25"/>
  <c r="L389" i="25"/>
  <c r="J390" i="25"/>
  <c r="C430" i="25"/>
  <c r="C428" i="25"/>
  <c r="C416" i="25"/>
  <c r="C403" i="25"/>
  <c r="C390" i="25"/>
  <c r="E389" i="25"/>
  <c r="E402" i="25" s="1"/>
  <c r="L560" i="25"/>
  <c r="J560" i="25"/>
  <c r="J558" i="25"/>
  <c r="J547" i="25"/>
  <c r="M547" i="25" s="1"/>
  <c r="J545" i="25"/>
  <c r="J534" i="25"/>
  <c r="M534" i="25" s="1"/>
  <c r="J532" i="25"/>
  <c r="J521" i="25"/>
  <c r="M521" i="25" s="1"/>
  <c r="L520" i="25"/>
  <c r="J519" i="25"/>
  <c r="J506" i="25"/>
  <c r="L506" i="25"/>
  <c r="C547" i="25"/>
  <c r="C545" i="25"/>
  <c r="C534" i="25"/>
  <c r="C532" i="25"/>
  <c r="E521" i="25"/>
  <c r="E534" i="25" s="1"/>
  <c r="E547" i="25" s="1"/>
  <c r="C521" i="25"/>
  <c r="C519" i="25"/>
  <c r="C508" i="25"/>
  <c r="F508" i="25" s="1"/>
  <c r="E507" i="25"/>
  <c r="C506" i="25"/>
  <c r="C693" i="25"/>
  <c r="C694" i="25" s="1"/>
  <c r="F694" i="25" s="1"/>
  <c r="C680" i="25"/>
  <c r="C681" i="25" s="1"/>
  <c r="F681" i="25" s="1"/>
  <c r="E666" i="25"/>
  <c r="C667" i="25"/>
  <c r="C668" i="25" s="1"/>
  <c r="F668" i="25" s="1"/>
  <c r="C654" i="25"/>
  <c r="C655" i="25" s="1"/>
  <c r="C641" i="25"/>
  <c r="C642" i="25" s="1"/>
  <c r="C628" i="25"/>
  <c r="C629" i="25" s="1"/>
  <c r="C615" i="25"/>
  <c r="C616" i="25" s="1"/>
  <c r="J654" i="25"/>
  <c r="J655" i="25" s="1"/>
  <c r="E614" i="25"/>
  <c r="J641" i="25"/>
  <c r="J642" i="25" s="1"/>
  <c r="L627" i="25"/>
  <c r="C652" i="25"/>
  <c r="J628" i="25"/>
  <c r="J629" i="25" s="1"/>
  <c r="J615" i="25"/>
  <c r="J600" i="25"/>
  <c r="J601" i="25" s="1"/>
  <c r="J613" i="25"/>
  <c r="J587" i="25"/>
  <c r="J588" i="25" s="1"/>
  <c r="L573" i="25"/>
  <c r="J574" i="25"/>
  <c r="J575" i="25" s="1"/>
  <c r="C600" i="25"/>
  <c r="C601" i="25" s="1"/>
  <c r="C598" i="25"/>
  <c r="C587" i="25"/>
  <c r="C588" i="25" s="1"/>
  <c r="E574" i="25"/>
  <c r="E588" i="25" s="1"/>
  <c r="E601" i="25" s="1"/>
  <c r="C573" i="25"/>
  <c r="C574" i="25" s="1"/>
  <c r="C560" i="25"/>
  <c r="C561" i="25" s="1"/>
  <c r="F561" i="25" s="1"/>
  <c r="L754" i="25"/>
  <c r="C767" i="25"/>
  <c r="J748" i="25"/>
  <c r="C762" i="25"/>
  <c r="C748" i="25"/>
  <c r="C750" i="25" s="1"/>
  <c r="E755" i="25"/>
  <c r="C753" i="25"/>
  <c r="C751" i="25" s="1"/>
  <c r="C1118" i="25"/>
  <c r="C1119" i="25" s="1"/>
  <c r="C1107" i="25"/>
  <c r="C1108" i="25" s="1"/>
  <c r="E1106" i="25"/>
  <c r="E1055" i="25" s="1"/>
  <c r="L925" i="25"/>
  <c r="C927" i="25"/>
  <c r="C943" i="25"/>
  <c r="J942" i="25"/>
  <c r="J926" i="25"/>
  <c r="I939" i="25"/>
  <c r="J841" i="25"/>
  <c r="J827" i="25"/>
  <c r="J814" i="25"/>
  <c r="J800" i="25"/>
  <c r="I824" i="25"/>
  <c r="J767" i="25"/>
  <c r="J765" i="25" s="1"/>
  <c r="J762" i="25"/>
  <c r="J764" i="25" s="1"/>
  <c r="C717" i="25"/>
  <c r="J691" i="25"/>
  <c r="C691" i="25"/>
  <c r="C678" i="25"/>
  <c r="J652" i="25"/>
  <c r="J639" i="25"/>
  <c r="C639" i="25"/>
  <c r="C626" i="25"/>
  <c r="J598" i="25"/>
  <c r="J585" i="25"/>
  <c r="C585" i="25"/>
  <c r="C571" i="25"/>
  <c r="C493" i="25"/>
  <c r="C480" i="25"/>
  <c r="C467" i="25"/>
  <c r="L480" i="25"/>
  <c r="L493" i="25" s="1"/>
  <c r="J480" i="25"/>
  <c r="L467" i="25"/>
  <c r="J467" i="25"/>
  <c r="L454" i="25"/>
  <c r="J454" i="25"/>
  <c r="C414" i="25"/>
  <c r="J414" i="25"/>
  <c r="J401" i="25"/>
  <c r="E296" i="25"/>
  <c r="J376" i="25"/>
  <c r="M376" i="25" s="1"/>
  <c r="J375" i="25"/>
  <c r="C360" i="25"/>
  <c r="F360" i="25" s="1"/>
  <c r="C359" i="25"/>
  <c r="C333" i="25"/>
  <c r="C334" i="25" s="1"/>
  <c r="F334" i="25" s="1"/>
  <c r="C332" i="25"/>
  <c r="C320" i="25"/>
  <c r="C321" i="25" s="1"/>
  <c r="F321" i="25" s="1"/>
  <c r="C319" i="25"/>
  <c r="J334" i="25"/>
  <c r="M334" i="25" s="1"/>
  <c r="J333" i="25"/>
  <c r="L324" i="25"/>
  <c r="L337" i="25" s="1"/>
  <c r="J321" i="25"/>
  <c r="M321" i="25" s="1"/>
  <c r="J320" i="25"/>
  <c r="C277" i="25"/>
  <c r="C278" i="25" s="1"/>
  <c r="F278" i="25" s="1"/>
  <c r="C276" i="25"/>
  <c r="C251" i="25"/>
  <c r="C252" i="25" s="1"/>
  <c r="F252" i="25" s="1"/>
  <c r="C250" i="25"/>
  <c r="J278" i="25"/>
  <c r="J279" i="25" s="1"/>
  <c r="M279" i="25" s="1"/>
  <c r="J277" i="25"/>
  <c r="J250" i="25"/>
  <c r="J251" i="25" s="1"/>
  <c r="M251" i="25" s="1"/>
  <c r="J249" i="25"/>
  <c r="J362" i="25"/>
  <c r="J363" i="25" s="1"/>
  <c r="M363" i="25" s="1"/>
  <c r="J348" i="25"/>
  <c r="J349" i="25" s="1"/>
  <c r="M349" i="25" s="1"/>
  <c r="C307" i="25"/>
  <c r="C308" i="25" s="1"/>
  <c r="F308" i="25" s="1"/>
  <c r="C264" i="25"/>
  <c r="C265" i="25" s="1"/>
  <c r="F265" i="25" s="1"/>
  <c r="J265" i="25"/>
  <c r="J266" i="25" s="1"/>
  <c r="M266" i="25" s="1"/>
  <c r="J307" i="25"/>
  <c r="M307" i="25" s="1"/>
  <c r="J294" i="25"/>
  <c r="M294" i="25" s="1"/>
  <c r="J237" i="25"/>
  <c r="C347" i="25"/>
  <c r="C348" i="25" s="1"/>
  <c r="F348" i="25" s="1"/>
  <c r="C294" i="25"/>
  <c r="C295" i="25" s="1"/>
  <c r="F295" i="25" s="1"/>
  <c r="C237" i="25"/>
  <c r="C238" i="25" s="1"/>
  <c r="F238" i="25" s="1"/>
  <c r="D4362" i="1"/>
  <c r="D4380" i="1"/>
  <c r="D4128" i="1"/>
  <c r="D4099" i="1"/>
  <c r="D3815" i="1"/>
  <c r="D3791" i="1"/>
  <c r="D4069" i="1" s="1"/>
  <c r="Z113" i="26"/>
  <c r="Z283" i="26"/>
  <c r="Z403" i="26" s="1"/>
  <c r="F237" i="25" l="1"/>
  <c r="F574" i="25"/>
  <c r="L575" i="25"/>
  <c r="L588" i="25" s="1"/>
  <c r="L601" i="25" s="1"/>
  <c r="L616" i="25" s="1"/>
  <c r="L629" i="25" s="1"/>
  <c r="F521" i="25"/>
  <c r="F601" i="25"/>
  <c r="M506" i="25"/>
  <c r="F547" i="25"/>
  <c r="F588" i="25"/>
  <c r="F534" i="25"/>
  <c r="F667" i="25"/>
  <c r="M560" i="25"/>
  <c r="F693" i="25"/>
  <c r="F680" i="25"/>
  <c r="J616" i="25"/>
  <c r="C752" i="25"/>
  <c r="E1117" i="25"/>
  <c r="F307" i="25"/>
  <c r="M278" i="25"/>
  <c r="M362" i="25"/>
  <c r="F264" i="25"/>
  <c r="C361" i="25"/>
  <c r="F361" i="25" s="1"/>
  <c r="J238" i="25"/>
  <c r="M238" i="25" s="1"/>
  <c r="F277" i="25"/>
  <c r="J377" i="25"/>
  <c r="M377" i="25" s="1"/>
  <c r="J766" i="25"/>
  <c r="M767" i="25"/>
  <c r="M467" i="25"/>
  <c r="M480" i="25"/>
  <c r="M454" i="25"/>
  <c r="F333" i="25"/>
  <c r="F320" i="25"/>
  <c r="F251" i="25"/>
  <c r="M250" i="25"/>
  <c r="E349" i="25"/>
  <c r="M348" i="25"/>
  <c r="M265" i="25"/>
  <c r="M237" i="25"/>
  <c r="F347" i="25"/>
  <c r="F294" i="25"/>
  <c r="D4330" i="1"/>
  <c r="D4581" i="1"/>
  <c r="D4513" i="1"/>
  <c r="D4486" i="1"/>
  <c r="D4262" i="1"/>
  <c r="D4235" i="1"/>
  <c r="D4256" i="1"/>
  <c r="C147" i="26"/>
  <c r="M1116" i="27"/>
  <c r="M1117" i="27"/>
  <c r="M1118" i="27"/>
  <c r="M1119" i="27"/>
  <c r="M1120" i="27"/>
  <c r="M1121" i="27"/>
  <c r="M1122" i="27"/>
  <c r="M1123" i="27"/>
  <c r="M1124" i="27"/>
  <c r="M1115" i="27"/>
  <c r="M1067" i="27"/>
  <c r="M1068" i="27"/>
  <c r="M1069" i="27"/>
  <c r="M1070" i="27"/>
  <c r="M1071" i="27"/>
  <c r="M1066" i="27"/>
  <c r="M1065" i="27"/>
  <c r="M843" i="27"/>
  <c r="M842" i="27"/>
  <c r="M841" i="27"/>
  <c r="E616" i="25" l="1"/>
  <c r="F616" i="25" s="1"/>
  <c r="M588" i="25"/>
  <c r="M575" i="25"/>
  <c r="M616" i="25"/>
  <c r="M601" i="25"/>
  <c r="E629" i="25"/>
  <c r="F629" i="25" s="1"/>
  <c r="L642" i="25"/>
  <c r="M629" i="25"/>
  <c r="L295" i="25"/>
  <c r="L655" i="25" l="1"/>
  <c r="M655" i="25" s="1"/>
  <c r="E642" i="25"/>
  <c r="M642" i="25"/>
  <c r="J893" i="25"/>
  <c r="M911" i="25"/>
  <c r="L910" i="25"/>
  <c r="M910" i="25" s="1"/>
  <c r="J909" i="25"/>
  <c r="J908" i="25" s="1"/>
  <c r="L908" i="25"/>
  <c r="L907" i="25"/>
  <c r="M907" i="25" s="1"/>
  <c r="L906" i="25"/>
  <c r="M906" i="25" s="1"/>
  <c r="L905" i="25"/>
  <c r="M905" i="25" s="1"/>
  <c r="L901" i="25"/>
  <c r="L900" i="25"/>
  <c r="J895" i="25"/>
  <c r="L894" i="25"/>
  <c r="M894" i="25" s="1"/>
  <c r="H1131" i="27"/>
  <c r="H1154" i="27"/>
  <c r="B1153" i="27" s="1"/>
  <c r="O1150" i="27"/>
  <c r="M1150" i="27"/>
  <c r="I1150" i="27"/>
  <c r="P1150" i="27" s="1"/>
  <c r="O1149" i="27"/>
  <c r="M1149" i="27"/>
  <c r="P1149" i="27" s="1"/>
  <c r="I1149" i="27"/>
  <c r="C893" i="25"/>
  <c r="M1093" i="27"/>
  <c r="M1092" i="27"/>
  <c r="H1078" i="27"/>
  <c r="H1097" i="27"/>
  <c r="B1096" i="27" s="1"/>
  <c r="H1098" i="27" s="1"/>
  <c r="F911" i="25"/>
  <c r="E910" i="25"/>
  <c r="F910" i="25" s="1"/>
  <c r="C909" i="25"/>
  <c r="E908" i="25"/>
  <c r="E907" i="25"/>
  <c r="F907" i="25" s="1"/>
  <c r="E906" i="25"/>
  <c r="F906" i="25" s="1"/>
  <c r="E905" i="25"/>
  <c r="F905" i="25" s="1"/>
  <c r="E901" i="25"/>
  <c r="E900" i="25"/>
  <c r="C895" i="25"/>
  <c r="E894" i="25"/>
  <c r="F894" i="25" s="1"/>
  <c r="O1105" i="27"/>
  <c r="P1105" i="27" s="1"/>
  <c r="O1093" i="27"/>
  <c r="I1093" i="27"/>
  <c r="P1093" i="27" s="1"/>
  <c r="O1092" i="27"/>
  <c r="I1092" i="27"/>
  <c r="C797" i="25"/>
  <c r="M861" i="27"/>
  <c r="M860" i="27"/>
  <c r="H850" i="27"/>
  <c r="C803" i="25" s="1"/>
  <c r="I843" i="27"/>
  <c r="O841" i="27"/>
  <c r="P841" i="27" s="1"/>
  <c r="H865" i="27"/>
  <c r="B864" i="27" s="1"/>
  <c r="H866" i="27" s="1"/>
  <c r="H867" i="27" s="1"/>
  <c r="N870" i="27"/>
  <c r="O870" i="27" s="1"/>
  <c r="O861" i="27"/>
  <c r="I861" i="27"/>
  <c r="O860" i="27"/>
  <c r="I860" i="27"/>
  <c r="C799" i="25"/>
  <c r="E814" i="25"/>
  <c r="F814" i="25" s="1"/>
  <c r="E813" i="25"/>
  <c r="E812" i="25"/>
  <c r="E811" i="25"/>
  <c r="F811" i="25" s="1"/>
  <c r="E810" i="25"/>
  <c r="F810" i="25" s="1"/>
  <c r="E809" i="25"/>
  <c r="F809" i="25" s="1"/>
  <c r="E806" i="25"/>
  <c r="E805" i="25"/>
  <c r="E804" i="25"/>
  <c r="E801" i="25"/>
  <c r="E800" i="25"/>
  <c r="E799" i="25"/>
  <c r="F799" i="25" s="1"/>
  <c r="E798" i="25"/>
  <c r="F815" i="25"/>
  <c r="C813" i="25"/>
  <c r="C812" i="25" s="1"/>
  <c r="F812" i="25" s="1"/>
  <c r="F798" i="25" l="1"/>
  <c r="E655" i="25"/>
  <c r="F655" i="25" s="1"/>
  <c r="F642" i="25"/>
  <c r="C908" i="25"/>
  <c r="F908" i="25" s="1"/>
  <c r="M908" i="25"/>
  <c r="P1154" i="27"/>
  <c r="P1155" i="27" s="1"/>
  <c r="H1155" i="27"/>
  <c r="P1092" i="27"/>
  <c r="P1097" i="27"/>
  <c r="P1098" i="27" s="1"/>
  <c r="Q1084" i="27"/>
  <c r="C896" i="25" s="1"/>
  <c r="E819" i="25"/>
  <c r="P861" i="27"/>
  <c r="P860" i="27"/>
  <c r="F813" i="25"/>
  <c r="Q1138" i="27" l="1"/>
  <c r="J896" i="25" s="1"/>
  <c r="C897" i="25"/>
  <c r="P865" i="27"/>
  <c r="P866" i="27" s="1"/>
  <c r="Q856" i="27"/>
  <c r="C800" i="25" s="1"/>
  <c r="J897" i="25" l="1"/>
  <c r="C801" i="25"/>
  <c r="F801" i="25" s="1"/>
  <c r="F800" i="25"/>
  <c r="C795" i="25" l="1"/>
  <c r="L139" i="25" l="1"/>
  <c r="L138" i="25"/>
  <c r="L137" i="25"/>
  <c r="L136" i="25"/>
  <c r="A539" i="26"/>
  <c r="Z526" i="26" s="1"/>
  <c r="AB525" i="26"/>
  <c r="Z400" i="26"/>
  <c r="Z280" i="26"/>
  <c r="Z110" i="26"/>
  <c r="F149" i="26"/>
  <c r="Z70" i="26" s="1"/>
  <c r="F289" i="26"/>
  <c r="Z253" i="26" s="1"/>
  <c r="F421" i="26"/>
  <c r="Z388" i="26" s="1"/>
  <c r="I109" i="25"/>
  <c r="I111" i="25"/>
  <c r="O122" i="27"/>
  <c r="H122" i="27"/>
  <c r="G126" i="27"/>
  <c r="P122" i="27"/>
  <c r="D122" i="27"/>
  <c r="J122" i="27" s="1"/>
  <c r="N122" i="27" l="1"/>
  <c r="G122" i="27"/>
  <c r="I122" i="27" s="1"/>
  <c r="I124" i="27" s="1"/>
  <c r="Q122" i="27"/>
  <c r="Q124" i="27" s="1"/>
  <c r="H125" i="27" l="1"/>
  <c r="J174" i="25" s="1"/>
  <c r="C1418" i="27" l="1"/>
  <c r="C1421" i="27"/>
  <c r="D1418" i="27"/>
  <c r="J8" i="26" l="1"/>
  <c r="E1107" i="25"/>
  <c r="E1108" i="25"/>
  <c r="E1119" i="25" s="1"/>
  <c r="F1119" i="25" s="1"/>
  <c r="X43" i="26"/>
  <c r="L579" i="26"/>
  <c r="H435" i="26"/>
  <c r="H434" i="26"/>
  <c r="H433" i="26"/>
  <c r="H432" i="26"/>
  <c r="H431" i="26"/>
  <c r="H430" i="26"/>
  <c r="H429" i="26"/>
  <c r="H428" i="26"/>
  <c r="T434" i="26"/>
  <c r="T433" i="26"/>
  <c r="W432" i="26"/>
  <c r="T432" i="26"/>
  <c r="W431" i="26"/>
  <c r="T431" i="26"/>
  <c r="W430" i="26"/>
  <c r="T430" i="26"/>
  <c r="F460" i="26" s="1"/>
  <c r="W429" i="26"/>
  <c r="T429" i="26"/>
  <c r="T424" i="26"/>
  <c r="U424" i="26" s="1"/>
  <c r="O292" i="26"/>
  <c r="L295" i="26"/>
  <c r="L291" i="26"/>
  <c r="L294" i="26"/>
  <c r="F329" i="26" s="1"/>
  <c r="O293" i="26"/>
  <c r="L293" i="26"/>
  <c r="L292" i="26"/>
  <c r="O291" i="26"/>
  <c r="O290" i="26"/>
  <c r="L290" i="26"/>
  <c r="M286" i="26"/>
  <c r="H303" i="26"/>
  <c r="H302" i="26"/>
  <c r="H301" i="26"/>
  <c r="H300" i="26"/>
  <c r="H299" i="26"/>
  <c r="H298" i="26"/>
  <c r="H297" i="26"/>
  <c r="H296" i="26"/>
  <c r="H305" i="26" s="1"/>
  <c r="H437" i="26" l="1"/>
  <c r="F1107" i="25"/>
  <c r="E1118" i="25"/>
  <c r="F1118" i="25" s="1"/>
  <c r="F1108" i="25"/>
  <c r="F27" i="26"/>
  <c r="Z109" i="26" l="1"/>
  <c r="E1094" i="25"/>
  <c r="E1096" i="25"/>
  <c r="F1096" i="25" s="1"/>
  <c r="E1098" i="25"/>
  <c r="F1069" i="25"/>
  <c r="F1057" i="25"/>
  <c r="F1357" i="27"/>
  <c r="F1356" i="27"/>
  <c r="H1357" i="27"/>
  <c r="G1357" i="27"/>
  <c r="J1397" i="27"/>
  <c r="H1385" i="27"/>
  <c r="F1385" i="27"/>
  <c r="H1381" i="27"/>
  <c r="F1381" i="27"/>
  <c r="F1380" i="27"/>
  <c r="G1381" i="27"/>
  <c r="H1380" i="27"/>
  <c r="H1383" i="27"/>
  <c r="F1383" i="27"/>
  <c r="H1382" i="27"/>
  <c r="F1382" i="27"/>
  <c r="D1380" i="27"/>
  <c r="F1386" i="27" s="1"/>
  <c r="H1373" i="27"/>
  <c r="F1373" i="27"/>
  <c r="G1373" i="27"/>
  <c r="H1372" i="27"/>
  <c r="F1372" i="27"/>
  <c r="G1372" i="27"/>
  <c r="D1367" i="27"/>
  <c r="H1371" i="27"/>
  <c r="F1371" i="27"/>
  <c r="F1370" i="27"/>
  <c r="H1370" i="27"/>
  <c r="H1369" i="27"/>
  <c r="H1368" i="27"/>
  <c r="F1369" i="27"/>
  <c r="F1368" i="27"/>
  <c r="G1369" i="27"/>
  <c r="H1367" i="27"/>
  <c r="F1367" i="27"/>
  <c r="H1355" i="27"/>
  <c r="H1358" i="27"/>
  <c r="H1356" i="27"/>
  <c r="D1355" i="27"/>
  <c r="F1359" i="27" s="1"/>
  <c r="H1346" i="27"/>
  <c r="H1347" i="27"/>
  <c r="F1347" i="27"/>
  <c r="D1346" i="27"/>
  <c r="I1369" i="27" l="1"/>
  <c r="I1373" i="27"/>
  <c r="I1357" i="27"/>
  <c r="I1381" i="27"/>
  <c r="I1372" i="27"/>
  <c r="B939" i="25"/>
  <c r="I837" i="25"/>
  <c r="L1231" i="27"/>
  <c r="L1232" i="27"/>
  <c r="N1232" i="27"/>
  <c r="M1229" i="27"/>
  <c r="L1230" i="27"/>
  <c r="L1229" i="27"/>
  <c r="N1230" i="27"/>
  <c r="N1231" i="27"/>
  <c r="H1232" i="27"/>
  <c r="L1222" i="27"/>
  <c r="F1222" i="27"/>
  <c r="L1221" i="27"/>
  <c r="L1220" i="27"/>
  <c r="M1219" i="27"/>
  <c r="L1219" i="27"/>
  <c r="F1220" i="27"/>
  <c r="N1210" i="27"/>
  <c r="M1210" i="27"/>
  <c r="L1210" i="27"/>
  <c r="H1210" i="27"/>
  <c r="N1209" i="27"/>
  <c r="M1209" i="27"/>
  <c r="L1209" i="27"/>
  <c r="H1209" i="27"/>
  <c r="G1209" i="27"/>
  <c r="A1213" i="27" s="1"/>
  <c r="F767" i="25"/>
  <c r="C764" i="25"/>
  <c r="I811" i="25"/>
  <c r="Z364" i="26"/>
  <c r="Z232" i="26"/>
  <c r="H968" i="27"/>
  <c r="D933" i="27"/>
  <c r="E933" i="27" s="1"/>
  <c r="D942" i="27"/>
  <c r="E942" i="27" s="1"/>
  <c r="D946" i="27"/>
  <c r="D934" i="27"/>
  <c r="E934" i="27" s="1"/>
  <c r="D932" i="27"/>
  <c r="E932" i="27" s="1"/>
  <c r="D940" i="27"/>
  <c r="D944" i="27" s="1"/>
  <c r="E944" i="27" s="1"/>
  <c r="D943" i="27"/>
  <c r="E943" i="27" s="1"/>
  <c r="D939" i="27"/>
  <c r="D937" i="27"/>
  <c r="E937" i="27" s="1"/>
  <c r="D930" i="27"/>
  <c r="D938" i="27" s="1"/>
  <c r="D945" i="27" s="1"/>
  <c r="B1130" i="27"/>
  <c r="H1132" i="27" s="1"/>
  <c r="O1124" i="27"/>
  <c r="O1121" i="27"/>
  <c r="O1122" i="27"/>
  <c r="O1123" i="27"/>
  <c r="I582" i="27"/>
  <c r="K586" i="27"/>
  <c r="F581" i="27"/>
  <c r="F580" i="27"/>
  <c r="C580" i="27"/>
  <c r="F579" i="27"/>
  <c r="M578" i="27"/>
  <c r="L578" i="27"/>
  <c r="M577" i="27"/>
  <c r="L577" i="27"/>
  <c r="F577" i="27"/>
  <c r="M576" i="27"/>
  <c r="L576" i="27"/>
  <c r="F576" i="27"/>
  <c r="E576" i="27"/>
  <c r="M575" i="27"/>
  <c r="L575" i="27"/>
  <c r="F575" i="27"/>
  <c r="C575" i="27"/>
  <c r="E575" i="27" s="1"/>
  <c r="H573" i="27"/>
  <c r="C581" i="27" s="1"/>
  <c r="C573" i="27"/>
  <c r="G576" i="27" s="1"/>
  <c r="I625" i="27"/>
  <c r="Z351" i="26" s="1"/>
  <c r="J621" i="27"/>
  <c r="F620" i="27"/>
  <c r="F619" i="27"/>
  <c r="C619" i="27"/>
  <c r="G619" i="27" s="1"/>
  <c r="M618" i="27"/>
  <c r="L618" i="27"/>
  <c r="F618" i="27"/>
  <c r="M617" i="27"/>
  <c r="L617" i="27"/>
  <c r="F617" i="27"/>
  <c r="M616" i="27"/>
  <c r="L616" i="27"/>
  <c r="F616" i="27"/>
  <c r="E616" i="27"/>
  <c r="M615" i="27"/>
  <c r="L615" i="27"/>
  <c r="F615" i="27"/>
  <c r="C615" i="27"/>
  <c r="E615" i="27" s="1"/>
  <c r="H613" i="27"/>
  <c r="C617" i="27" s="1"/>
  <c r="C618" i="27" s="1"/>
  <c r="C613" i="27"/>
  <c r="G616" i="27" s="1"/>
  <c r="O1125" i="27"/>
  <c r="I1125" i="27"/>
  <c r="F1125" i="27"/>
  <c r="M1125" i="27" s="1"/>
  <c r="O1120" i="27"/>
  <c r="O1119" i="27"/>
  <c r="O1118" i="27"/>
  <c r="O1117" i="27"/>
  <c r="O1116" i="27"/>
  <c r="O1115" i="27"/>
  <c r="O1066" i="27"/>
  <c r="O1067" i="27"/>
  <c r="O1068" i="27"/>
  <c r="O1069" i="27"/>
  <c r="O1070" i="27"/>
  <c r="O1071" i="27"/>
  <c r="I1071" i="27"/>
  <c r="H952" i="27"/>
  <c r="N997" i="27"/>
  <c r="N985" i="27"/>
  <c r="B924" i="25"/>
  <c r="I923" i="25"/>
  <c r="N916" i="27"/>
  <c r="M1021" i="27" s="1"/>
  <c r="P1021" i="27" s="1"/>
  <c r="N917" i="27"/>
  <c r="L917" i="27"/>
  <c r="L916" i="27"/>
  <c r="O1065" i="27"/>
  <c r="B1057" i="27"/>
  <c r="H1058" i="27" s="1"/>
  <c r="O1055" i="27"/>
  <c r="M1055" i="27"/>
  <c r="I1055" i="27"/>
  <c r="O1054" i="27"/>
  <c r="M1054" i="27"/>
  <c r="I1054" i="27"/>
  <c r="O1053" i="27"/>
  <c r="M1053" i="27"/>
  <c r="I1053" i="27"/>
  <c r="O1052" i="27"/>
  <c r="M1052" i="27"/>
  <c r="I1052" i="27"/>
  <c r="B1048" i="27"/>
  <c r="H1049" i="27" s="1"/>
  <c r="O1044" i="27"/>
  <c r="M1044" i="27"/>
  <c r="I1044" i="27"/>
  <c r="O1038" i="27"/>
  <c r="M1038" i="27"/>
  <c r="G1038" i="27"/>
  <c r="I1038" i="27" s="1"/>
  <c r="O1037" i="27"/>
  <c r="M1037" i="27"/>
  <c r="I1037" i="27"/>
  <c r="O1036" i="27"/>
  <c r="M1036" i="27"/>
  <c r="I1036" i="27"/>
  <c r="O1035" i="27"/>
  <c r="M1035" i="27"/>
  <c r="I1035" i="27"/>
  <c r="H1035" i="27"/>
  <c r="B1039" i="27" s="1"/>
  <c r="H1040" i="27" s="1"/>
  <c r="B1031" i="27"/>
  <c r="H1032" i="27" s="1"/>
  <c r="O1028" i="27"/>
  <c r="M1028" i="27"/>
  <c r="I1028" i="27"/>
  <c r="O1027" i="27"/>
  <c r="M1027" i="27"/>
  <c r="I1027" i="27"/>
  <c r="O1026" i="27"/>
  <c r="M1026" i="27"/>
  <c r="I1026" i="27"/>
  <c r="B1022" i="27"/>
  <c r="H1023" i="27" s="1"/>
  <c r="O1021" i="27"/>
  <c r="I1021" i="27"/>
  <c r="O1020" i="27"/>
  <c r="M1020" i="27"/>
  <c r="I1020" i="27"/>
  <c r="O1019" i="27"/>
  <c r="M1019" i="27"/>
  <c r="I1019" i="27"/>
  <c r="O1018" i="27"/>
  <c r="M1018" i="27"/>
  <c r="I1018" i="27"/>
  <c r="O1017" i="27"/>
  <c r="M1017" i="27"/>
  <c r="I1017" i="27"/>
  <c r="O1016" i="27"/>
  <c r="M1016" i="27"/>
  <c r="I1016" i="27"/>
  <c r="B1011" i="27"/>
  <c r="H1012" i="27" s="1"/>
  <c r="O1010" i="27"/>
  <c r="M1010" i="27"/>
  <c r="P1010" i="27" s="1"/>
  <c r="I1010" i="27"/>
  <c r="O1009" i="27"/>
  <c r="M1009" i="27"/>
  <c r="I1009" i="27"/>
  <c r="O1008" i="27"/>
  <c r="M1008" i="27"/>
  <c r="I1008" i="27"/>
  <c r="O1007" i="27"/>
  <c r="M1007" i="27"/>
  <c r="I1007" i="27"/>
  <c r="O1006" i="27"/>
  <c r="M1006" i="27"/>
  <c r="I1006" i="27"/>
  <c r="O1005" i="27"/>
  <c r="M1005" i="27"/>
  <c r="I1005" i="27"/>
  <c r="B1000" i="27"/>
  <c r="H1001" i="27" s="1"/>
  <c r="O999" i="27"/>
  <c r="M999" i="27"/>
  <c r="G999" i="27"/>
  <c r="I999" i="27" s="1"/>
  <c r="O998" i="27"/>
  <c r="M998" i="27"/>
  <c r="I998" i="27"/>
  <c r="O997" i="27"/>
  <c r="M997" i="27"/>
  <c r="I997" i="27"/>
  <c r="O996" i="27"/>
  <c r="N996" i="27"/>
  <c r="M996" i="27"/>
  <c r="I996" i="27"/>
  <c r="O995" i="27"/>
  <c r="M995" i="27"/>
  <c r="I995" i="27"/>
  <c r="O989" i="27"/>
  <c r="M989" i="27"/>
  <c r="I989" i="27"/>
  <c r="O988" i="27"/>
  <c r="M988" i="27"/>
  <c r="I988" i="27"/>
  <c r="O987" i="27"/>
  <c r="M987" i="27"/>
  <c r="I987" i="27"/>
  <c r="O986" i="27"/>
  <c r="M986" i="27"/>
  <c r="I986" i="27"/>
  <c r="O985" i="27"/>
  <c r="M985" i="27"/>
  <c r="I985" i="27"/>
  <c r="O984" i="27"/>
  <c r="M984" i="27"/>
  <c r="I984" i="27"/>
  <c r="A976" i="27"/>
  <c r="H955" i="27" s="1"/>
  <c r="N973" i="27"/>
  <c r="L973" i="27"/>
  <c r="H973" i="27"/>
  <c r="N972" i="27"/>
  <c r="L972" i="27"/>
  <c r="H972" i="27"/>
  <c r="A967" i="27"/>
  <c r="N965" i="27"/>
  <c r="L965" i="27"/>
  <c r="H965" i="27"/>
  <c r="N964" i="27"/>
  <c r="L964" i="27"/>
  <c r="H964" i="27"/>
  <c r="N963" i="27"/>
  <c r="L963" i="27"/>
  <c r="H963" i="27"/>
  <c r="D926" i="27"/>
  <c r="D924" i="27"/>
  <c r="I929" i="27"/>
  <c r="J929" i="27" s="1"/>
  <c r="N915" i="27"/>
  <c r="M915" i="27"/>
  <c r="L915" i="27"/>
  <c r="H915" i="27"/>
  <c r="N914" i="27"/>
  <c r="M914" i="27"/>
  <c r="L914" i="27"/>
  <c r="H914" i="27"/>
  <c r="G914" i="27"/>
  <c r="Z264" i="26"/>
  <c r="N425" i="26"/>
  <c r="Z399" i="26" s="1"/>
  <c r="H61" i="26"/>
  <c r="Z102" i="26" s="1"/>
  <c r="D1236" i="27" l="1"/>
  <c r="Z496" i="26" s="1"/>
  <c r="Z363" i="26"/>
  <c r="J899" i="25"/>
  <c r="L915" i="25" s="1"/>
  <c r="C765" i="25"/>
  <c r="C766" i="25" s="1"/>
  <c r="O1231" i="27"/>
  <c r="O1230" i="27"/>
  <c r="O1210" i="27"/>
  <c r="O1232" i="27"/>
  <c r="O1209" i="27"/>
  <c r="P1209" i="27" s="1"/>
  <c r="G581" i="27"/>
  <c r="H581" i="27" s="1"/>
  <c r="P1121" i="27"/>
  <c r="B1077" i="27"/>
  <c r="H1079" i="27" s="1"/>
  <c r="C899" i="25" s="1"/>
  <c r="H1196" i="27"/>
  <c r="D925" i="27"/>
  <c r="G580" i="27"/>
  <c r="H580" i="27" s="1"/>
  <c r="P1067" i="27"/>
  <c r="P1122" i="27"/>
  <c r="E930" i="27"/>
  <c r="P1069" i="27"/>
  <c r="C577" i="27"/>
  <c r="G577" i="27" s="1"/>
  <c r="H577" i="27" s="1"/>
  <c r="G618" i="27"/>
  <c r="H618" i="27" s="1"/>
  <c r="D936" i="27"/>
  <c r="E936" i="27" s="1"/>
  <c r="P1037" i="27"/>
  <c r="C620" i="27"/>
  <c r="G620" i="27" s="1"/>
  <c r="H620" i="27" s="1"/>
  <c r="P1123" i="27"/>
  <c r="D931" i="27"/>
  <c r="P1068" i="27"/>
  <c r="C579" i="27"/>
  <c r="G579" i="27" s="1"/>
  <c r="H579" i="27" s="1"/>
  <c r="P1009" i="27"/>
  <c r="D941" i="27"/>
  <c r="E941" i="27" s="1"/>
  <c r="P1117" i="27"/>
  <c r="P1118" i="27"/>
  <c r="P1124" i="27"/>
  <c r="H576" i="27"/>
  <c r="G575" i="27"/>
  <c r="H575" i="27" s="1"/>
  <c r="I585" i="27"/>
  <c r="Z350" i="26" s="1"/>
  <c r="O916" i="27"/>
  <c r="P1071" i="27"/>
  <c r="M1079" i="27" s="1"/>
  <c r="C900" i="25" s="1"/>
  <c r="H616" i="27"/>
  <c r="P986" i="27"/>
  <c r="P1065" i="27"/>
  <c r="O917" i="27"/>
  <c r="P1070" i="27"/>
  <c r="P1066" i="27"/>
  <c r="P1115" i="27"/>
  <c r="P1125" i="27"/>
  <c r="M1133" i="27" s="1"/>
  <c r="J900" i="25" s="1"/>
  <c r="M900" i="25" s="1"/>
  <c r="E947" i="27"/>
  <c r="P998" i="27"/>
  <c r="P1052" i="27"/>
  <c r="P1116" i="27"/>
  <c r="P1120" i="27"/>
  <c r="P1028" i="27"/>
  <c r="P1036" i="27"/>
  <c r="P1119" i="27"/>
  <c r="H619" i="27"/>
  <c r="G615" i="27"/>
  <c r="H615" i="27" s="1"/>
  <c r="G617" i="27"/>
  <c r="H617" i="27" s="1"/>
  <c r="O973" i="27"/>
  <c r="P1007" i="27"/>
  <c r="P1017" i="27"/>
  <c r="P1026" i="27"/>
  <c r="O964" i="27"/>
  <c r="O972" i="27"/>
  <c r="P1006" i="27"/>
  <c r="P1020" i="27"/>
  <c r="P1038" i="27"/>
  <c r="P1044" i="27"/>
  <c r="Q1044" i="27" s="1"/>
  <c r="P1053" i="27"/>
  <c r="P995" i="27"/>
  <c r="P984" i="27"/>
  <c r="P989" i="27"/>
  <c r="O963" i="27"/>
  <c r="P988" i="27"/>
  <c r="P996" i="27"/>
  <c r="P999" i="27"/>
  <c r="P1005" i="27"/>
  <c r="P1019" i="27"/>
  <c r="P1055" i="27"/>
  <c r="P985" i="27"/>
  <c r="P1016" i="27"/>
  <c r="O914" i="27"/>
  <c r="O915" i="27"/>
  <c r="O965" i="27"/>
  <c r="P987" i="27"/>
  <c r="P997" i="27"/>
  <c r="P1008" i="27"/>
  <c r="P1018" i="27"/>
  <c r="P1027" i="27"/>
  <c r="P1035" i="27"/>
  <c r="P1054" i="27"/>
  <c r="B990" i="27"/>
  <c r="H991" i="27" s="1"/>
  <c r="F951" i="27" s="1"/>
  <c r="H951" i="27" s="1"/>
  <c r="E940" i="27"/>
  <c r="A918" i="27"/>
  <c r="H953" i="27" s="1"/>
  <c r="E939" i="27"/>
  <c r="M1134" i="27" l="1"/>
  <c r="J901" i="25" s="1"/>
  <c r="J902" i="25" s="1"/>
  <c r="M1080" i="27"/>
  <c r="C901" i="25" s="1"/>
  <c r="F901" i="25" s="1"/>
  <c r="E915" i="25"/>
  <c r="F900" i="25"/>
  <c r="O1214" i="27"/>
  <c r="H1236" i="27" s="1"/>
  <c r="Q1052" i="27"/>
  <c r="D923" i="27"/>
  <c r="Z231" i="26"/>
  <c r="D935" i="27"/>
  <c r="E935" i="27" s="1"/>
  <c r="E931" i="27"/>
  <c r="D922" i="27"/>
  <c r="O968" i="27"/>
  <c r="O977" i="27"/>
  <c r="I575" i="27"/>
  <c r="I584" i="27" s="1"/>
  <c r="Q1115" i="27"/>
  <c r="P1131" i="27"/>
  <c r="P963" i="27"/>
  <c r="P914" i="27"/>
  <c r="P972" i="27"/>
  <c r="Q1035" i="27"/>
  <c r="O919" i="27"/>
  <c r="J953" i="27" s="1"/>
  <c r="K953" i="27" s="1"/>
  <c r="Q984" i="27"/>
  <c r="Q1026" i="27"/>
  <c r="P991" i="27"/>
  <c r="Q1065" i="27"/>
  <c r="I615" i="27"/>
  <c r="I624" i="27" s="1"/>
  <c r="P1078" i="27"/>
  <c r="P1001" i="27"/>
  <c r="P1040" i="27"/>
  <c r="P1023" i="27"/>
  <c r="P1032" i="27"/>
  <c r="P1049" i="27"/>
  <c r="Q1016" i="27"/>
  <c r="Q995" i="27"/>
  <c r="Q1005" i="27"/>
  <c r="P1012" i="27"/>
  <c r="P1058" i="27"/>
  <c r="E945" i="27"/>
  <c r="E949" i="27"/>
  <c r="E948" i="27"/>
  <c r="E946" i="27"/>
  <c r="C924" i="25" l="1"/>
  <c r="J939" i="25"/>
  <c r="M901" i="25"/>
  <c r="C902" i="25"/>
  <c r="J955" i="27"/>
  <c r="K955" i="27" s="1"/>
  <c r="P1132" i="27"/>
  <c r="J1196" i="27"/>
  <c r="K1196" i="27" s="1"/>
  <c r="J951" i="27"/>
  <c r="K951" i="27" s="1"/>
  <c r="P1079" i="27"/>
  <c r="J952" i="27"/>
  <c r="K952" i="27" s="1"/>
  <c r="Z362" i="26"/>
  <c r="Z230" i="26"/>
  <c r="J811" i="25" l="1"/>
  <c r="J812" i="25" s="1"/>
  <c r="J824" i="25"/>
  <c r="J941" i="25"/>
  <c r="J940" i="25"/>
  <c r="C763" i="25"/>
  <c r="C768" i="25" s="1"/>
  <c r="J763" i="25"/>
  <c r="J768" i="25" s="1"/>
  <c r="J813" i="25"/>
  <c r="C926" i="25"/>
  <c r="C925" i="25"/>
  <c r="J769" i="25" l="1"/>
  <c r="M769" i="25" s="1"/>
  <c r="J826" i="25"/>
  <c r="J825" i="25"/>
  <c r="C769" i="25"/>
  <c r="F769" i="25" s="1"/>
  <c r="B199" i="26" l="1"/>
  <c r="C783" i="25"/>
  <c r="F783" i="25" s="1"/>
  <c r="J753" i="25"/>
  <c r="Z50" i="26"/>
  <c r="C778" i="25"/>
  <c r="C780" i="25" s="1"/>
  <c r="Z49" i="26"/>
  <c r="D696" i="27"/>
  <c r="E696" i="27" s="1"/>
  <c r="D692" i="27"/>
  <c r="E692" i="27" s="1"/>
  <c r="D690" i="27"/>
  <c r="D693" i="27" s="1"/>
  <c r="E693" i="27" s="1"/>
  <c r="D683" i="27"/>
  <c r="D682" i="27"/>
  <c r="E682" i="27" s="1"/>
  <c r="D681" i="27"/>
  <c r="E681" i="27" s="1"/>
  <c r="D687" i="27"/>
  <c r="E687" i="27" s="1"/>
  <c r="E683" i="27"/>
  <c r="M783" i="27"/>
  <c r="G71" i="27"/>
  <c r="G70" i="27"/>
  <c r="M744" i="27"/>
  <c r="M731" i="27"/>
  <c r="M737" i="27"/>
  <c r="M811" i="27"/>
  <c r="H802" i="27"/>
  <c r="D691" i="27" s="1"/>
  <c r="E691" i="27" s="1"/>
  <c r="M805" i="27"/>
  <c r="G805" i="27"/>
  <c r="M804" i="27"/>
  <c r="M803" i="27"/>
  <c r="M794" i="27"/>
  <c r="M795" i="27"/>
  <c r="M793" i="27"/>
  <c r="O794" i="27"/>
  <c r="I794" i="27"/>
  <c r="N711" i="27"/>
  <c r="L711" i="27"/>
  <c r="H711" i="27"/>
  <c r="N710" i="27"/>
  <c r="L710" i="27"/>
  <c r="H710" i="27"/>
  <c r="L709" i="27"/>
  <c r="M820" i="27"/>
  <c r="M819" i="27"/>
  <c r="O820" i="27"/>
  <c r="I820" i="27"/>
  <c r="O788" i="27"/>
  <c r="M788" i="27"/>
  <c r="P788" i="27" s="1"/>
  <c r="I788" i="27"/>
  <c r="O787" i="27"/>
  <c r="M787" i="27"/>
  <c r="I787" i="27"/>
  <c r="O786" i="27"/>
  <c r="M786" i="27"/>
  <c r="I786" i="27"/>
  <c r="O785" i="27"/>
  <c r="M785" i="27"/>
  <c r="I785" i="27"/>
  <c r="O784" i="27"/>
  <c r="M784" i="27"/>
  <c r="I784" i="27"/>
  <c r="O783" i="27"/>
  <c r="I783" i="27"/>
  <c r="O776" i="27"/>
  <c r="M776" i="27"/>
  <c r="I777" i="27"/>
  <c r="I776" i="27"/>
  <c r="O775" i="27"/>
  <c r="M775" i="27"/>
  <c r="I775" i="27"/>
  <c r="M774" i="27"/>
  <c r="M773" i="27"/>
  <c r="M766" i="27"/>
  <c r="G766" i="27"/>
  <c r="I766" i="27" s="1"/>
  <c r="O765" i="27"/>
  <c r="M765" i="27"/>
  <c r="M764" i="27"/>
  <c r="I765" i="27"/>
  <c r="N763" i="27"/>
  <c r="M763" i="27"/>
  <c r="H751" i="27"/>
  <c r="D680" i="27" s="1"/>
  <c r="M756" i="27"/>
  <c r="M755" i="27"/>
  <c r="M754" i="27"/>
  <c r="O755" i="27"/>
  <c r="I755" i="27"/>
  <c r="O754" i="27"/>
  <c r="I754" i="27"/>
  <c r="M753" i="27"/>
  <c r="M752" i="27"/>
  <c r="L719" i="27"/>
  <c r="L718" i="27"/>
  <c r="C781" i="25" l="1"/>
  <c r="C782" i="25" s="1"/>
  <c r="E690" i="27"/>
  <c r="D689" i="27"/>
  <c r="D694" i="27" s="1"/>
  <c r="E694" i="27" s="1"/>
  <c r="O711" i="27"/>
  <c r="E680" i="27"/>
  <c r="D688" i="27"/>
  <c r="D686" i="27"/>
  <c r="E686" i="27" s="1"/>
  <c r="D684" i="27"/>
  <c r="E684" i="27" s="1"/>
  <c r="D685" i="27"/>
  <c r="E685" i="27" s="1"/>
  <c r="P776" i="27"/>
  <c r="O710" i="27"/>
  <c r="P755" i="27"/>
  <c r="P765" i="27"/>
  <c r="P794" i="27"/>
  <c r="P784" i="27"/>
  <c r="P754" i="27"/>
  <c r="P775" i="27"/>
  <c r="P820" i="27"/>
  <c r="P786" i="27"/>
  <c r="P785" i="27"/>
  <c r="P787" i="27"/>
  <c r="M822" i="27"/>
  <c r="M821" i="27"/>
  <c r="B824" i="27"/>
  <c r="H825" i="27" s="1"/>
  <c r="O822" i="27"/>
  <c r="I822" i="27"/>
  <c r="O821" i="27"/>
  <c r="I821" i="27"/>
  <c r="O819" i="27"/>
  <c r="I819" i="27"/>
  <c r="O832" i="27"/>
  <c r="M831" i="27"/>
  <c r="M832" i="27"/>
  <c r="I832" i="27"/>
  <c r="M830" i="27"/>
  <c r="B849" i="27"/>
  <c r="F844" i="27"/>
  <c r="M844" i="27" s="1"/>
  <c r="G844" i="27"/>
  <c r="I844" i="27" s="1"/>
  <c r="O843" i="27"/>
  <c r="O844" i="27"/>
  <c r="B898" i="27"/>
  <c r="I897" i="27"/>
  <c r="H897" i="27"/>
  <c r="G897" i="27"/>
  <c r="E897" i="27"/>
  <c r="I896" i="27"/>
  <c r="H896" i="27"/>
  <c r="G896" i="27"/>
  <c r="E896" i="27"/>
  <c r="I895" i="27"/>
  <c r="H895" i="27"/>
  <c r="G895" i="27"/>
  <c r="E895" i="27"/>
  <c r="I894" i="27"/>
  <c r="H894" i="27"/>
  <c r="G894" i="27"/>
  <c r="E894" i="27"/>
  <c r="I893" i="27"/>
  <c r="H893" i="27"/>
  <c r="G893" i="27"/>
  <c r="E893" i="27"/>
  <c r="I892" i="27"/>
  <c r="H892" i="27"/>
  <c r="G892" i="27"/>
  <c r="E892" i="27"/>
  <c r="I891" i="27"/>
  <c r="H891" i="27"/>
  <c r="G891" i="27"/>
  <c r="E891" i="27"/>
  <c r="I890" i="27"/>
  <c r="H890" i="27"/>
  <c r="G890" i="27"/>
  <c r="E890" i="27"/>
  <c r="I889" i="27"/>
  <c r="H889" i="27"/>
  <c r="G889" i="27"/>
  <c r="E889" i="27"/>
  <c r="I888" i="27"/>
  <c r="H888" i="27"/>
  <c r="E888" i="27"/>
  <c r="O842" i="27"/>
  <c r="E689" i="27" l="1"/>
  <c r="J891" i="27"/>
  <c r="J895" i="27"/>
  <c r="J896" i="27"/>
  <c r="P822" i="27"/>
  <c r="D695" i="27"/>
  <c r="E695" i="27" s="1"/>
  <c r="E688" i="27"/>
  <c r="I679" i="27"/>
  <c r="H851" i="27"/>
  <c r="H852" i="27" s="1"/>
  <c r="I867" i="27" s="1"/>
  <c r="G898" i="27"/>
  <c r="P819" i="27"/>
  <c r="P842" i="27"/>
  <c r="P844" i="27"/>
  <c r="M851" i="27" s="1"/>
  <c r="M852" i="27" s="1"/>
  <c r="C804" i="25" s="1"/>
  <c r="P832" i="27"/>
  <c r="J893" i="27"/>
  <c r="P843" i="27"/>
  <c r="M850" i="27" s="1"/>
  <c r="M853" i="27" s="1"/>
  <c r="C805" i="25" s="1"/>
  <c r="F805" i="25" s="1"/>
  <c r="P821" i="27"/>
  <c r="J897" i="27"/>
  <c r="J890" i="27"/>
  <c r="J888" i="27"/>
  <c r="J889" i="27"/>
  <c r="J892" i="27"/>
  <c r="J894" i="27"/>
  <c r="E898" i="27"/>
  <c r="J361" i="25"/>
  <c r="J347" i="25"/>
  <c r="C306" i="25"/>
  <c r="K111" i="25"/>
  <c r="L111" i="25" s="1"/>
  <c r="K112" i="25"/>
  <c r="L112" i="25" s="1"/>
  <c r="K113" i="25"/>
  <c r="L113" i="25" s="1"/>
  <c r="K114" i="25"/>
  <c r="L114" i="25" s="1"/>
  <c r="K123" i="25"/>
  <c r="L123" i="25" s="1"/>
  <c r="K124" i="25"/>
  <c r="L124" i="25" s="1"/>
  <c r="K125" i="25"/>
  <c r="L125" i="25" s="1"/>
  <c r="K126" i="25"/>
  <c r="L126" i="25" s="1"/>
  <c r="I423" i="26"/>
  <c r="I288" i="26"/>
  <c r="I60" i="26"/>
  <c r="C806" i="25" l="1"/>
  <c r="F806" i="25" s="1"/>
  <c r="F804" i="25"/>
  <c r="E697" i="27"/>
  <c r="Q819" i="27"/>
  <c r="J898" i="27"/>
  <c r="K897" i="27"/>
  <c r="P825" i="27"/>
  <c r="Q840" i="27"/>
  <c r="P850" i="27"/>
  <c r="B423" i="26"/>
  <c r="B418" i="26"/>
  <c r="B417" i="26"/>
  <c r="Z401" i="26" s="1"/>
  <c r="B286" i="26"/>
  <c r="B285" i="26"/>
  <c r="Z281" i="26" s="1"/>
  <c r="B291" i="26"/>
  <c r="Z221" i="26"/>
  <c r="G62" i="27"/>
  <c r="Z354" i="26" s="1"/>
  <c r="Z353" i="26"/>
  <c r="I317" i="26"/>
  <c r="I448" i="26"/>
  <c r="I370" i="26"/>
  <c r="E383" i="26"/>
  <c r="E382" i="26"/>
  <c r="E381" i="26"/>
  <c r="E380" i="26"/>
  <c r="E379" i="26"/>
  <c r="E378" i="26"/>
  <c r="E377" i="26"/>
  <c r="E376" i="26"/>
  <c r="E375" i="26"/>
  <c r="E374" i="26"/>
  <c r="E373" i="26"/>
  <c r="E372" i="26"/>
  <c r="E371" i="26"/>
  <c r="E370" i="26"/>
  <c r="E369" i="26"/>
  <c r="E360" i="26"/>
  <c r="E359" i="26"/>
  <c r="E358" i="26"/>
  <c r="E357" i="26"/>
  <c r="E356" i="26"/>
  <c r="E355" i="26"/>
  <c r="E354" i="26"/>
  <c r="C354" i="26"/>
  <c r="E353" i="26"/>
  <c r="E352" i="26"/>
  <c r="E351" i="26"/>
  <c r="E350" i="26"/>
  <c r="E349" i="26"/>
  <c r="E348" i="26"/>
  <c r="E347" i="26"/>
  <c r="E346" i="26"/>
  <c r="E345" i="26"/>
  <c r="E344" i="26"/>
  <c r="E387" i="26"/>
  <c r="E388" i="26"/>
  <c r="B146" i="26"/>
  <c r="B152" i="26"/>
  <c r="B147" i="26"/>
  <c r="B145" i="26"/>
  <c r="G61" i="27"/>
  <c r="A178" i="26"/>
  <c r="B176" i="26"/>
  <c r="B174" i="26"/>
  <c r="H633" i="27"/>
  <c r="H595" i="27"/>
  <c r="H556" i="27"/>
  <c r="H539" i="27"/>
  <c r="H506" i="27"/>
  <c r="H489" i="27"/>
  <c r="C491" i="27"/>
  <c r="H473" i="27"/>
  <c r="H457" i="27"/>
  <c r="H443" i="27"/>
  <c r="X10" i="26"/>
  <c r="J14" i="26"/>
  <c r="Z43" i="26" s="1"/>
  <c r="G17" i="27" s="1"/>
  <c r="P13" i="27"/>
  <c r="O13" i="27"/>
  <c r="H13" i="27"/>
  <c r="D13" i="27"/>
  <c r="N13" i="27" s="1"/>
  <c r="F10" i="26"/>
  <c r="E21" i="26" s="1"/>
  <c r="Z56" i="26" s="1"/>
  <c r="F11" i="26"/>
  <c r="F18" i="26" s="1"/>
  <c r="Z53" i="26" s="1"/>
  <c r="F9" i="26"/>
  <c r="L11" i="26"/>
  <c r="L10" i="26"/>
  <c r="L9" i="26"/>
  <c r="F21" i="26"/>
  <c r="M9" i="26"/>
  <c r="M20" i="26"/>
  <c r="N27" i="26"/>
  <c r="M10" i="26"/>
  <c r="M11" i="26"/>
  <c r="F19" i="26" l="1"/>
  <c r="Z55" i="26" s="1"/>
  <c r="P851" i="27"/>
  <c r="J698" i="27"/>
  <c r="Z222" i="26"/>
  <c r="Q13" i="27"/>
  <c r="Q14" i="27" s="1"/>
  <c r="J13" i="27"/>
  <c r="G13" i="27"/>
  <c r="I13" i="27" s="1"/>
  <c r="I14" i="27" s="1"/>
  <c r="C635" i="27"/>
  <c r="C640" i="27"/>
  <c r="C638" i="27"/>
  <c r="G638" i="27" s="1"/>
  <c r="F638" i="27"/>
  <c r="H104" i="27"/>
  <c r="H94" i="27"/>
  <c r="H638" i="27" l="1"/>
  <c r="H16" i="27"/>
  <c r="C1115" i="25" s="1"/>
  <c r="K453" i="26"/>
  <c r="K322" i="26"/>
  <c r="B181" i="26"/>
  <c r="C1117" i="25" l="1"/>
  <c r="F1117" i="25" s="1"/>
  <c r="C1116" i="25"/>
  <c r="Z279" i="26" l="1"/>
  <c r="Z83" i="26"/>
  <c r="AB83" i="26"/>
  <c r="AA83" i="26"/>
  <c r="Z489" i="26"/>
  <c r="Z490" i="26"/>
  <c r="Z505" i="26"/>
  <c r="B157" i="26"/>
  <c r="B159" i="26" s="1"/>
  <c r="Z516" i="26"/>
  <c r="A525" i="26"/>
  <c r="C424" i="26" l="1"/>
  <c r="C423" i="26"/>
  <c r="C418" i="26"/>
  <c r="C417" i="26"/>
  <c r="C285" i="26"/>
  <c r="B156" i="26"/>
  <c r="C286" i="26"/>
  <c r="C291" i="26"/>
  <c r="C292" i="26"/>
  <c r="C154" i="26"/>
  <c r="C146" i="26"/>
  <c r="C145" i="26"/>
  <c r="C144" i="26"/>
  <c r="Z112" i="26" s="1"/>
  <c r="Z369" i="26"/>
  <c r="A394" i="26"/>
  <c r="A259" i="26"/>
  <c r="Z234" i="26" s="1"/>
  <c r="J411" i="26"/>
  <c r="E411" i="26"/>
  <c r="G411" i="26" s="1"/>
  <c r="E410" i="26"/>
  <c r="G410" i="26" s="1"/>
  <c r="E269" i="26"/>
  <c r="G269" i="26" s="1"/>
  <c r="E268" i="26"/>
  <c r="G268" i="26" s="1"/>
  <c r="E134" i="26"/>
  <c r="G134" i="26" s="1"/>
  <c r="H134" i="26" s="1"/>
  <c r="E135" i="26"/>
  <c r="I135" i="26" s="1"/>
  <c r="I413" i="26"/>
  <c r="H413" i="26"/>
  <c r="I271" i="26"/>
  <c r="H271" i="26"/>
  <c r="C584" i="26"/>
  <c r="C583" i="26"/>
  <c r="E596" i="26"/>
  <c r="E594" i="26"/>
  <c r="E597" i="26" s="1"/>
  <c r="E595" i="26"/>
  <c r="J531" i="26"/>
  <c r="L531" i="26"/>
  <c r="G531" i="26"/>
  <c r="H531" i="26" s="1"/>
  <c r="E531" i="26"/>
  <c r="K133" i="26"/>
  <c r="M133" i="26" s="1"/>
  <c r="K134" i="26"/>
  <c r="M134" i="26" s="1"/>
  <c r="N134" i="26" s="1"/>
  <c r="O134" i="26" s="1"/>
  <c r="E118" i="26"/>
  <c r="G118" i="26" s="1"/>
  <c r="H118" i="26" s="1"/>
  <c r="M411" i="26" l="1"/>
  <c r="N411" i="26"/>
  <c r="O359" i="26" s="1"/>
  <c r="N410" i="26"/>
  <c r="M410" i="26"/>
  <c r="I531" i="26"/>
  <c r="K531" i="26" s="1"/>
  <c r="Z282" i="26"/>
  <c r="Z402" i="26"/>
  <c r="N268" i="26"/>
  <c r="M268" i="26"/>
  <c r="N269" i="26"/>
  <c r="O224" i="26" s="1"/>
  <c r="M269" i="26"/>
  <c r="I134" i="26"/>
  <c r="G135" i="26"/>
  <c r="H135" i="26" s="1"/>
  <c r="N133" i="26"/>
  <c r="M136" i="26"/>
  <c r="Z105" i="26" s="1"/>
  <c r="Z397" i="26"/>
  <c r="Z262" i="26"/>
  <c r="Z226" i="26"/>
  <c r="Z225" i="26"/>
  <c r="C385" i="27"/>
  <c r="E385" i="27" s="1"/>
  <c r="C384" i="27"/>
  <c r="E384" i="27" s="1"/>
  <c r="C383" i="27"/>
  <c r="H381" i="27"/>
  <c r="C389" i="27" s="1"/>
  <c r="I390" i="27"/>
  <c r="H393" i="27" s="1"/>
  <c r="Z343" i="26" s="1"/>
  <c r="F389" i="27"/>
  <c r="F388" i="27"/>
  <c r="E388" i="27"/>
  <c r="F387" i="27"/>
  <c r="E387" i="27"/>
  <c r="F386" i="27"/>
  <c r="E386" i="27"/>
  <c r="G385" i="27"/>
  <c r="G388" i="27" s="1"/>
  <c r="F385" i="27"/>
  <c r="G384" i="27"/>
  <c r="G387" i="27" s="1"/>
  <c r="F384" i="27"/>
  <c r="G383" i="27"/>
  <c r="G386" i="27" s="1"/>
  <c r="F383" i="27"/>
  <c r="E383" i="27"/>
  <c r="Z96" i="26"/>
  <c r="F161" i="26"/>
  <c r="F162" i="26" s="1"/>
  <c r="Z100" i="26" s="1"/>
  <c r="H198" i="26"/>
  <c r="C88" i="26"/>
  <c r="J679" i="27"/>
  <c r="D673" i="27" s="1"/>
  <c r="O113" i="27"/>
  <c r="G117" i="27"/>
  <c r="Z45" i="26" s="1"/>
  <c r="H39" i="26"/>
  <c r="F26" i="26"/>
  <c r="Z22" i="26" s="1"/>
  <c r="J15" i="26"/>
  <c r="Z20" i="26" s="1"/>
  <c r="Z48" i="26" l="1"/>
  <c r="K698" i="27"/>
  <c r="H384" i="27"/>
  <c r="H385" i="27"/>
  <c r="Z228" i="26"/>
  <c r="H383" i="27"/>
  <c r="Z211" i="26"/>
  <c r="H386" i="27"/>
  <c r="O133" i="26"/>
  <c r="O136" i="26" s="1"/>
  <c r="N136" i="26"/>
  <c r="H387" i="27"/>
  <c r="H388" i="27"/>
  <c r="I392" i="27"/>
  <c r="N29" i="26" l="1"/>
  <c r="N28" i="26"/>
  <c r="N26" i="26"/>
  <c r="N25" i="26"/>
  <c r="N24" i="26"/>
  <c r="A1386" i="27"/>
  <c r="G1385" i="27"/>
  <c r="G1383" i="27"/>
  <c r="G1382" i="27"/>
  <c r="G1380" i="27"/>
  <c r="D1386" i="27"/>
  <c r="A1375" i="27"/>
  <c r="G1371" i="27"/>
  <c r="G1370" i="27"/>
  <c r="G1368" i="27"/>
  <c r="G1367" i="27"/>
  <c r="F1375" i="27"/>
  <c r="H1397" i="27" s="1"/>
  <c r="A1359" i="27"/>
  <c r="G1358" i="27"/>
  <c r="F1358" i="27"/>
  <c r="G1356" i="27"/>
  <c r="G1355" i="27"/>
  <c r="F1355" i="27"/>
  <c r="A1348" i="27"/>
  <c r="G1347" i="27"/>
  <c r="N1346" i="27"/>
  <c r="M1346" i="27"/>
  <c r="G1346" i="27"/>
  <c r="D1348" i="27"/>
  <c r="N1345" i="27"/>
  <c r="M1345" i="27"/>
  <c r="N1344" i="27"/>
  <c r="M1344" i="27"/>
  <c r="N1343" i="27"/>
  <c r="B1418" i="27" s="1"/>
  <c r="E1418" i="27" s="1"/>
  <c r="F1421" i="27" s="1"/>
  <c r="M1343" i="27"/>
  <c r="A1234" i="27"/>
  <c r="H1231" i="27"/>
  <c r="H1230" i="27"/>
  <c r="N1229" i="27"/>
  <c r="O1229" i="27" s="1"/>
  <c r="H1229" i="27"/>
  <c r="A1223" i="27"/>
  <c r="N1222" i="27"/>
  <c r="H1222" i="27"/>
  <c r="N1221" i="27"/>
  <c r="H1221" i="27"/>
  <c r="N1220" i="27"/>
  <c r="H1220" i="27"/>
  <c r="N1219" i="27"/>
  <c r="H1219" i="27"/>
  <c r="E950" i="27"/>
  <c r="B834" i="27"/>
  <c r="H702" i="27" s="1"/>
  <c r="D676" i="27" s="1"/>
  <c r="O831" i="27"/>
  <c r="I831" i="27"/>
  <c r="O830" i="27"/>
  <c r="I830" i="27"/>
  <c r="B815" i="27"/>
  <c r="H816" i="27" s="1"/>
  <c r="O811" i="27"/>
  <c r="I811" i="27"/>
  <c r="B806" i="27"/>
  <c r="H807" i="27" s="1"/>
  <c r="O805" i="27"/>
  <c r="I805" i="27"/>
  <c r="O804" i="27"/>
  <c r="I804" i="27"/>
  <c r="O803" i="27"/>
  <c r="I803" i="27"/>
  <c r="O802" i="27"/>
  <c r="M802" i="27"/>
  <c r="I802" i="27"/>
  <c r="B798" i="27"/>
  <c r="H799" i="27" s="1"/>
  <c r="O795" i="27"/>
  <c r="P795" i="27" s="1"/>
  <c r="I795" i="27"/>
  <c r="O793" i="27"/>
  <c r="P793" i="27" s="1"/>
  <c r="I793" i="27"/>
  <c r="B789" i="27"/>
  <c r="H790" i="27" s="1"/>
  <c r="B778" i="27"/>
  <c r="H779" i="27" s="1"/>
  <c r="O777" i="27"/>
  <c r="M777" i="27"/>
  <c r="O774" i="27"/>
  <c r="P774" i="27" s="1"/>
  <c r="I774" i="27"/>
  <c r="O773" i="27"/>
  <c r="P773" i="27" s="1"/>
  <c r="I773" i="27"/>
  <c r="O772" i="27"/>
  <c r="M772" i="27"/>
  <c r="I772" i="27"/>
  <c r="B767" i="27"/>
  <c r="H768" i="27" s="1"/>
  <c r="O766" i="27"/>
  <c r="P766" i="27" s="1"/>
  <c r="O764" i="27"/>
  <c r="P764" i="27" s="1"/>
  <c r="I764" i="27"/>
  <c r="O763" i="27"/>
  <c r="I763" i="27"/>
  <c r="P763" i="27" s="1"/>
  <c r="O762" i="27"/>
  <c r="M762" i="27"/>
  <c r="I762" i="27"/>
  <c r="B757" i="27"/>
  <c r="H758" i="27" s="1"/>
  <c r="O756" i="27"/>
  <c r="I756" i="27"/>
  <c r="O753" i="27"/>
  <c r="P753" i="27" s="1"/>
  <c r="I753" i="27"/>
  <c r="O752" i="27"/>
  <c r="P752" i="27" s="1"/>
  <c r="I752" i="27"/>
  <c r="O751" i="27"/>
  <c r="M751" i="27"/>
  <c r="I751" i="27"/>
  <c r="B745" i="27"/>
  <c r="O744" i="27"/>
  <c r="L744" i="27"/>
  <c r="I744" i="27"/>
  <c r="O743" i="27"/>
  <c r="M743" i="27"/>
  <c r="L743" i="27"/>
  <c r="I743" i="27"/>
  <c r="B738" i="27"/>
  <c r="O737" i="27"/>
  <c r="L737" i="27"/>
  <c r="I737" i="27"/>
  <c r="O736" i="27"/>
  <c r="M736" i="27"/>
  <c r="L736" i="27"/>
  <c r="I736" i="27"/>
  <c r="B732" i="27"/>
  <c r="H700" i="27" s="1"/>
  <c r="D674" i="27" s="1"/>
  <c r="O731" i="27"/>
  <c r="L731" i="27"/>
  <c r="I731" i="27"/>
  <c r="O730" i="27"/>
  <c r="M730" i="27"/>
  <c r="L730" i="27"/>
  <c r="I730" i="27"/>
  <c r="N719" i="27"/>
  <c r="H719" i="27"/>
  <c r="N718" i="27"/>
  <c r="A722" i="27"/>
  <c r="H701" i="27" s="1"/>
  <c r="D675" i="27" s="1"/>
  <c r="H718" i="27"/>
  <c r="N709" i="27"/>
  <c r="H709" i="27"/>
  <c r="A713" i="27"/>
  <c r="P783" i="27"/>
  <c r="N665" i="27"/>
  <c r="H665" i="27"/>
  <c r="M665" i="27"/>
  <c r="N664" i="27"/>
  <c r="M664" i="27"/>
  <c r="L664" i="27"/>
  <c r="H664" i="27"/>
  <c r="G664" i="27"/>
  <c r="A668" i="27" s="1"/>
  <c r="D672" i="27" s="1"/>
  <c r="Z47" i="26" s="1"/>
  <c r="K647" i="27"/>
  <c r="J642" i="27"/>
  <c r="F641" i="27"/>
  <c r="F640" i="27"/>
  <c r="M639" i="27"/>
  <c r="L639" i="27"/>
  <c r="F639" i="27"/>
  <c r="M637" i="27"/>
  <c r="G640" i="27" s="1"/>
  <c r="L637" i="27"/>
  <c r="F637" i="27"/>
  <c r="M636" i="27"/>
  <c r="L636" i="27"/>
  <c r="F636" i="27"/>
  <c r="E636" i="27"/>
  <c r="M635" i="27"/>
  <c r="L635" i="27"/>
  <c r="F635" i="27"/>
  <c r="E635" i="27"/>
  <c r="C641" i="27"/>
  <c r="G641" i="27" s="1"/>
  <c r="C633" i="27"/>
  <c r="J603" i="27"/>
  <c r="I607" i="27"/>
  <c r="F602" i="27"/>
  <c r="F601" i="27"/>
  <c r="C601" i="27"/>
  <c r="G601" i="27" s="1"/>
  <c r="M600" i="27"/>
  <c r="L600" i="27"/>
  <c r="F600" i="27"/>
  <c r="M599" i="27"/>
  <c r="L599" i="27"/>
  <c r="F599" i="27"/>
  <c r="M598" i="27"/>
  <c r="L598" i="27"/>
  <c r="F598" i="27"/>
  <c r="E598" i="27"/>
  <c r="M597" i="27"/>
  <c r="L597" i="27"/>
  <c r="F597" i="27"/>
  <c r="C597" i="27"/>
  <c r="E597" i="27" s="1"/>
  <c r="C602" i="27"/>
  <c r="C595" i="27"/>
  <c r="G597" i="27" s="1"/>
  <c r="K569" i="27"/>
  <c r="I568" i="27"/>
  <c r="F564" i="27"/>
  <c r="F563" i="27"/>
  <c r="C563" i="27"/>
  <c r="F562" i="27"/>
  <c r="M561" i="27"/>
  <c r="L561" i="27"/>
  <c r="M560" i="27"/>
  <c r="L560" i="27"/>
  <c r="F560" i="27"/>
  <c r="M559" i="27"/>
  <c r="L559" i="27"/>
  <c r="F559" i="27"/>
  <c r="E559" i="27"/>
  <c r="M558" i="27"/>
  <c r="L558" i="27"/>
  <c r="F558" i="27"/>
  <c r="C558" i="27"/>
  <c r="E558" i="27" s="1"/>
  <c r="C564" i="27"/>
  <c r="C556" i="27"/>
  <c r="G558" i="27" s="1"/>
  <c r="K553" i="27"/>
  <c r="I552" i="27"/>
  <c r="F547" i="27"/>
  <c r="F546" i="27"/>
  <c r="C546" i="27"/>
  <c r="F545" i="27"/>
  <c r="C545" i="27"/>
  <c r="M544" i="27"/>
  <c r="L544" i="27"/>
  <c r="F544" i="27"/>
  <c r="M543" i="27"/>
  <c r="L543" i="27"/>
  <c r="F543" i="27"/>
  <c r="M542" i="27"/>
  <c r="L542" i="27"/>
  <c r="F542" i="27"/>
  <c r="E542" i="27"/>
  <c r="M541" i="27"/>
  <c r="L541" i="27"/>
  <c r="F541" i="27"/>
  <c r="C541" i="27"/>
  <c r="E541" i="27" s="1"/>
  <c r="C547" i="27"/>
  <c r="C539" i="27"/>
  <c r="G541" i="27" s="1"/>
  <c r="J531" i="27"/>
  <c r="F530" i="27"/>
  <c r="F529" i="27"/>
  <c r="M528" i="27"/>
  <c r="L528" i="27"/>
  <c r="M527" i="27"/>
  <c r="L527" i="27"/>
  <c r="F527" i="27"/>
  <c r="M526" i="27"/>
  <c r="L526" i="27"/>
  <c r="F526" i="27"/>
  <c r="E526" i="27"/>
  <c r="M525" i="27"/>
  <c r="L525" i="27"/>
  <c r="F525" i="27"/>
  <c r="C525" i="27"/>
  <c r="E525" i="27" s="1"/>
  <c r="H523" i="27"/>
  <c r="C530" i="27" s="1"/>
  <c r="G530" i="27" s="1"/>
  <c r="C523" i="27"/>
  <c r="K519" i="27"/>
  <c r="J514" i="27"/>
  <c r="I518" i="27"/>
  <c r="Z32" i="26" s="1"/>
  <c r="F513" i="27"/>
  <c r="F512" i="27"/>
  <c r="C512" i="27"/>
  <c r="M511" i="27"/>
  <c r="L511" i="27"/>
  <c r="F511" i="27"/>
  <c r="M510" i="27"/>
  <c r="L510" i="27"/>
  <c r="F510" i="27"/>
  <c r="M509" i="27"/>
  <c r="L509" i="27"/>
  <c r="F509" i="27"/>
  <c r="E509" i="27"/>
  <c r="M508" i="27"/>
  <c r="L508" i="27"/>
  <c r="F508" i="27"/>
  <c r="C508" i="27"/>
  <c r="E508" i="27" s="1"/>
  <c r="C513" i="27"/>
  <c r="C506" i="27"/>
  <c r="G508" i="27" s="1"/>
  <c r="K503" i="27"/>
  <c r="J499" i="27"/>
  <c r="I502" i="27"/>
  <c r="Z31" i="26" s="1"/>
  <c r="F498" i="27"/>
  <c r="F496" i="27"/>
  <c r="C496" i="27"/>
  <c r="M495" i="27"/>
  <c r="L495" i="27"/>
  <c r="F495" i="27"/>
  <c r="F494" i="27"/>
  <c r="M493" i="27"/>
  <c r="L493" i="27"/>
  <c r="F493" i="27"/>
  <c r="M492" i="27"/>
  <c r="L492" i="27"/>
  <c r="F492" i="27"/>
  <c r="E492" i="27"/>
  <c r="M491" i="27"/>
  <c r="L491" i="27"/>
  <c r="F491" i="27"/>
  <c r="E491" i="27"/>
  <c r="C494" i="27"/>
  <c r="C489" i="27"/>
  <c r="G492" i="27" s="1"/>
  <c r="J482" i="27"/>
  <c r="F481" i="27"/>
  <c r="F480" i="27"/>
  <c r="F479" i="27"/>
  <c r="C479" i="27"/>
  <c r="C480" i="27" s="1"/>
  <c r="M478" i="27"/>
  <c r="L478" i="27"/>
  <c r="F478" i="27"/>
  <c r="M477" i="27"/>
  <c r="G479" i="27" s="1"/>
  <c r="L477" i="27"/>
  <c r="F477" i="27"/>
  <c r="M476" i="27"/>
  <c r="L476" i="27"/>
  <c r="F476" i="27"/>
  <c r="E476" i="27"/>
  <c r="M475" i="27"/>
  <c r="L475" i="27"/>
  <c r="F475" i="27"/>
  <c r="C475" i="27"/>
  <c r="E475" i="27" s="1"/>
  <c r="C473" i="27"/>
  <c r="G476" i="27" s="1"/>
  <c r="J466" i="27"/>
  <c r="I469" i="27"/>
  <c r="F465" i="27"/>
  <c r="F464" i="27"/>
  <c r="F463" i="27"/>
  <c r="C463" i="27"/>
  <c r="C464" i="27" s="1"/>
  <c r="M462" i="27"/>
  <c r="L462" i="27"/>
  <c r="F462" i="27"/>
  <c r="M461" i="27"/>
  <c r="G463" i="27" s="1"/>
  <c r="L461" i="27"/>
  <c r="F461" i="27"/>
  <c r="M460" i="27"/>
  <c r="L460" i="27"/>
  <c r="F460" i="27"/>
  <c r="E460" i="27"/>
  <c r="M459" i="27"/>
  <c r="L459" i="27"/>
  <c r="F459" i="27"/>
  <c r="C459" i="27"/>
  <c r="E459" i="27" s="1"/>
  <c r="C457" i="27"/>
  <c r="G459" i="27" s="1"/>
  <c r="I453" i="27"/>
  <c r="Z28" i="26" s="1"/>
  <c r="F449" i="27"/>
  <c r="M448" i="27"/>
  <c r="L448" i="27"/>
  <c r="F448" i="27"/>
  <c r="M447" i="27"/>
  <c r="L447" i="27"/>
  <c r="F447" i="27"/>
  <c r="M446" i="27"/>
  <c r="L446" i="27"/>
  <c r="F446" i="27"/>
  <c r="E446" i="27"/>
  <c r="M445" i="27"/>
  <c r="L445" i="27"/>
  <c r="F445" i="27"/>
  <c r="C445" i="27"/>
  <c r="E445" i="27" s="1"/>
  <c r="C449" i="27"/>
  <c r="C443" i="27"/>
  <c r="G446" i="27" s="1"/>
  <c r="I405" i="27"/>
  <c r="F404" i="27"/>
  <c r="F403" i="27"/>
  <c r="E403" i="27"/>
  <c r="F402" i="27"/>
  <c r="E402" i="27"/>
  <c r="G401" i="27"/>
  <c r="G403" i="27" s="1"/>
  <c r="F401" i="27"/>
  <c r="G400" i="27"/>
  <c r="G402" i="27" s="1"/>
  <c r="F400" i="27"/>
  <c r="C400" i="27"/>
  <c r="E400" i="27" s="1"/>
  <c r="H398" i="27"/>
  <c r="C404" i="27" s="1"/>
  <c r="I374" i="27"/>
  <c r="H377" i="27" s="1"/>
  <c r="F373" i="27"/>
  <c r="F372" i="27"/>
  <c r="E372" i="27"/>
  <c r="F371" i="27"/>
  <c r="E371" i="27"/>
  <c r="F370" i="27"/>
  <c r="E370" i="27"/>
  <c r="G369" i="27"/>
  <c r="G372" i="27" s="1"/>
  <c r="F369" i="27"/>
  <c r="C369" i="27"/>
  <c r="E369" i="27" s="1"/>
  <c r="G368" i="27"/>
  <c r="G371" i="27" s="1"/>
  <c r="F368" i="27"/>
  <c r="C368" i="27"/>
  <c r="E368" i="27" s="1"/>
  <c r="G367" i="27"/>
  <c r="G370" i="27" s="1"/>
  <c r="F367" i="27"/>
  <c r="C367" i="27"/>
  <c r="E367" i="27" s="1"/>
  <c r="H365" i="27"/>
  <c r="C373" i="27" s="1"/>
  <c r="G373" i="27" s="1"/>
  <c r="I359" i="27"/>
  <c r="H362" i="27" s="1"/>
  <c r="Z486" i="26" s="1"/>
  <c r="F358" i="27"/>
  <c r="F357" i="27"/>
  <c r="E357" i="27"/>
  <c r="F356" i="27"/>
  <c r="E356" i="27"/>
  <c r="G355" i="27"/>
  <c r="G357" i="27" s="1"/>
  <c r="F355" i="27"/>
  <c r="G354" i="27"/>
  <c r="G356" i="27" s="1"/>
  <c r="F354" i="27"/>
  <c r="C354" i="27"/>
  <c r="E354" i="27" s="1"/>
  <c r="H352" i="27"/>
  <c r="C358" i="27" s="1"/>
  <c r="I346" i="27"/>
  <c r="F344" i="27"/>
  <c r="F343" i="27"/>
  <c r="E343" i="27"/>
  <c r="F342" i="27"/>
  <c r="E342" i="27"/>
  <c r="G341" i="27"/>
  <c r="G343" i="27" s="1"/>
  <c r="F341" i="27"/>
  <c r="G340" i="27"/>
  <c r="G342" i="27" s="1"/>
  <c r="F340" i="27"/>
  <c r="C340" i="27"/>
  <c r="E340" i="27" s="1"/>
  <c r="H338" i="27"/>
  <c r="C344" i="27" s="1"/>
  <c r="G344" i="27" s="1"/>
  <c r="I331" i="27"/>
  <c r="H333" i="27" s="1"/>
  <c r="Z209" i="26" s="1"/>
  <c r="F329" i="27"/>
  <c r="F328" i="27"/>
  <c r="E328" i="27"/>
  <c r="G327" i="27"/>
  <c r="G328" i="27" s="1"/>
  <c r="F327" i="27"/>
  <c r="C327" i="27"/>
  <c r="E327" i="27" s="1"/>
  <c r="H325" i="27"/>
  <c r="C329" i="27" s="1"/>
  <c r="I320" i="27"/>
  <c r="H322" i="27" s="1"/>
  <c r="Z24" i="26" s="1"/>
  <c r="F319" i="27"/>
  <c r="F318" i="27"/>
  <c r="E318" i="27"/>
  <c r="G317" i="27"/>
  <c r="G318" i="27" s="1"/>
  <c r="F317" i="27"/>
  <c r="C317" i="27"/>
  <c r="E317" i="27" s="1"/>
  <c r="H315" i="27"/>
  <c r="C319" i="27" s="1"/>
  <c r="G319" i="27" s="1"/>
  <c r="I307" i="27"/>
  <c r="H311" i="27" s="1"/>
  <c r="Z484" i="26" s="1"/>
  <c r="F306" i="27"/>
  <c r="F305" i="27"/>
  <c r="E305" i="27"/>
  <c r="F304" i="27"/>
  <c r="E304" i="27"/>
  <c r="G303" i="27"/>
  <c r="G305" i="27" s="1"/>
  <c r="F303" i="27"/>
  <c r="G302" i="27"/>
  <c r="G304" i="27" s="1"/>
  <c r="F302" i="27"/>
  <c r="C302" i="27"/>
  <c r="C303" i="27" s="1"/>
  <c r="E303" i="27" s="1"/>
  <c r="H300" i="27"/>
  <c r="C306" i="27" s="1"/>
  <c r="G298" i="27"/>
  <c r="J294" i="27"/>
  <c r="I294" i="27"/>
  <c r="F293" i="27"/>
  <c r="F291" i="27"/>
  <c r="C291" i="27"/>
  <c r="E291" i="27" s="1"/>
  <c r="F290" i="27"/>
  <c r="E290" i="27"/>
  <c r="G288" i="27"/>
  <c r="G291" i="27" s="1"/>
  <c r="F288" i="27"/>
  <c r="G287" i="27"/>
  <c r="G290" i="27" s="1"/>
  <c r="F287" i="27"/>
  <c r="C287" i="27"/>
  <c r="H285" i="27"/>
  <c r="C293" i="27" s="1"/>
  <c r="G293" i="27" s="1"/>
  <c r="G283" i="27"/>
  <c r="G282" i="27"/>
  <c r="J279" i="27"/>
  <c r="I279" i="27"/>
  <c r="H280" i="27" s="1"/>
  <c r="F277" i="27"/>
  <c r="E277" i="27"/>
  <c r="G276" i="27"/>
  <c r="F276" i="27"/>
  <c r="C276" i="27"/>
  <c r="E276" i="27" s="1"/>
  <c r="F275" i="27"/>
  <c r="F274" i="27"/>
  <c r="G273" i="27"/>
  <c r="F273" i="27"/>
  <c r="N272" i="27"/>
  <c r="M272" i="27"/>
  <c r="G272" i="27"/>
  <c r="F272" i="27"/>
  <c r="N271" i="27"/>
  <c r="M271" i="27"/>
  <c r="G389" i="27" s="1"/>
  <c r="H389" i="27" s="1"/>
  <c r="G271" i="27"/>
  <c r="F271" i="27"/>
  <c r="C271" i="27"/>
  <c r="E271" i="27" s="1"/>
  <c r="N270" i="27"/>
  <c r="M270" i="27"/>
  <c r="G270" i="27"/>
  <c r="F270" i="27"/>
  <c r="C270" i="27"/>
  <c r="E270" i="27" s="1"/>
  <c r="N269" i="27"/>
  <c r="M269" i="27"/>
  <c r="H268" i="27"/>
  <c r="G266" i="27"/>
  <c r="I263" i="27"/>
  <c r="H264" i="27" s="1"/>
  <c r="Z27" i="26" s="1"/>
  <c r="J262" i="27"/>
  <c r="F261" i="27"/>
  <c r="E261" i="27"/>
  <c r="G260" i="27"/>
  <c r="F260" i="27"/>
  <c r="F259" i="27"/>
  <c r="N258" i="27"/>
  <c r="M258" i="27"/>
  <c r="F258" i="27"/>
  <c r="G257" i="27"/>
  <c r="F257" i="27"/>
  <c r="G256" i="27"/>
  <c r="F256" i="27"/>
  <c r="C256" i="27"/>
  <c r="E256" i="27" s="1"/>
  <c r="N255" i="27"/>
  <c r="M255" i="27"/>
  <c r="G255" i="27"/>
  <c r="F255" i="27"/>
  <c r="C255" i="27"/>
  <c r="E255" i="27" s="1"/>
  <c r="N254" i="27"/>
  <c r="M254" i="27"/>
  <c r="G254" i="27"/>
  <c r="F254" i="27"/>
  <c r="N253" i="27"/>
  <c r="M253" i="27"/>
  <c r="H252" i="27"/>
  <c r="G261" i="27" s="1"/>
  <c r="G250" i="27"/>
  <c r="C254" i="27" s="1"/>
  <c r="H243" i="27"/>
  <c r="H241" i="27"/>
  <c r="I240" i="27" s="1"/>
  <c r="G239" i="27"/>
  <c r="F239" i="27"/>
  <c r="G238" i="27"/>
  <c r="F238" i="27"/>
  <c r="F237" i="27"/>
  <c r="C237" i="27"/>
  <c r="G237" i="27" s="1"/>
  <c r="F236" i="27"/>
  <c r="C236" i="27"/>
  <c r="F235" i="27"/>
  <c r="F234" i="27"/>
  <c r="G233" i="27"/>
  <c r="F233" i="27"/>
  <c r="G232" i="27"/>
  <c r="F232" i="27"/>
  <c r="F231" i="27"/>
  <c r="C231" i="27"/>
  <c r="G231" i="27" s="1"/>
  <c r="F230" i="27"/>
  <c r="C230" i="27"/>
  <c r="G230" i="27" s="1"/>
  <c r="F229" i="27"/>
  <c r="F228" i="27"/>
  <c r="G227" i="27"/>
  <c r="F227" i="27"/>
  <c r="G226" i="27"/>
  <c r="F226" i="27"/>
  <c r="F225" i="27"/>
  <c r="C225" i="27"/>
  <c r="G225" i="27" s="1"/>
  <c r="F224" i="27"/>
  <c r="C224" i="27"/>
  <c r="G223" i="27"/>
  <c r="F223" i="27"/>
  <c r="G222" i="27"/>
  <c r="F222" i="27"/>
  <c r="G221" i="27"/>
  <c r="F221" i="27"/>
  <c r="G220" i="27"/>
  <c r="F220" i="27"/>
  <c r="F219" i="27"/>
  <c r="C219" i="27"/>
  <c r="G219" i="27" s="1"/>
  <c r="F218" i="27"/>
  <c r="C218" i="27"/>
  <c r="G217" i="27"/>
  <c r="F217" i="27"/>
  <c r="G216" i="27"/>
  <c r="F216" i="27"/>
  <c r="F214" i="27"/>
  <c r="J209" i="27"/>
  <c r="I209" i="27"/>
  <c r="G208" i="27"/>
  <c r="F208" i="27"/>
  <c r="E208" i="27"/>
  <c r="G207" i="27"/>
  <c r="F207" i="27"/>
  <c r="E207" i="27"/>
  <c r="G206" i="27"/>
  <c r="F206" i="27"/>
  <c r="E206" i="27"/>
  <c r="G205" i="27"/>
  <c r="F205" i="27"/>
  <c r="E205" i="27"/>
  <c r="G204" i="27"/>
  <c r="F204" i="27"/>
  <c r="E204" i="27"/>
  <c r="G203" i="27"/>
  <c r="Z360" i="26" s="1"/>
  <c r="F203" i="27"/>
  <c r="E203" i="27"/>
  <c r="G202" i="27"/>
  <c r="F202" i="27"/>
  <c r="E202" i="27"/>
  <c r="G201" i="27"/>
  <c r="F201" i="27"/>
  <c r="C201" i="27"/>
  <c r="E201" i="27" s="1"/>
  <c r="F199" i="27"/>
  <c r="I190" i="27"/>
  <c r="H191" i="27" s="1"/>
  <c r="M189" i="27"/>
  <c r="L189" i="27"/>
  <c r="G189" i="27"/>
  <c r="F189" i="27"/>
  <c r="C189" i="27"/>
  <c r="E189" i="27" s="1"/>
  <c r="M188" i="27"/>
  <c r="L188" i="27"/>
  <c r="G229" i="27" s="1"/>
  <c r="G188" i="27"/>
  <c r="F188" i="27"/>
  <c r="C188" i="27"/>
  <c r="E188" i="27" s="1"/>
  <c r="M187" i="27"/>
  <c r="L187" i="27"/>
  <c r="G187" i="27"/>
  <c r="F187" i="27"/>
  <c r="C187" i="27"/>
  <c r="E187" i="27" s="1"/>
  <c r="M186" i="27"/>
  <c r="L186" i="27"/>
  <c r="G186" i="27"/>
  <c r="F186" i="27"/>
  <c r="C186" i="27"/>
  <c r="E186" i="27" s="1"/>
  <c r="F184" i="27"/>
  <c r="J158" i="27"/>
  <c r="K158" i="27" s="1"/>
  <c r="P154" i="27"/>
  <c r="O154" i="27"/>
  <c r="N154" i="27"/>
  <c r="E149" i="27"/>
  <c r="D149" i="27"/>
  <c r="E148" i="27"/>
  <c r="D148" i="27"/>
  <c r="E147" i="27"/>
  <c r="D147" i="27"/>
  <c r="E146" i="27"/>
  <c r="D146" i="27"/>
  <c r="C142" i="27"/>
  <c r="P113" i="27"/>
  <c r="H113" i="27"/>
  <c r="D113" i="27"/>
  <c r="N113" i="27" s="1"/>
  <c r="G108" i="27"/>
  <c r="Z41" i="26" s="1"/>
  <c r="P103" i="27"/>
  <c r="O103" i="27"/>
  <c r="H103" i="27"/>
  <c r="D103" i="27"/>
  <c r="J103" i="27" s="1"/>
  <c r="G98" i="27"/>
  <c r="Z40" i="26" s="1"/>
  <c r="P93" i="27"/>
  <c r="O93" i="27"/>
  <c r="H93" i="27"/>
  <c r="D93" i="27"/>
  <c r="J93" i="27" s="1"/>
  <c r="G89" i="27"/>
  <c r="Z39" i="26" s="1"/>
  <c r="H85" i="27"/>
  <c r="P84" i="27"/>
  <c r="O84" i="27"/>
  <c r="H84" i="27"/>
  <c r="D84" i="27"/>
  <c r="J84" i="27" s="1"/>
  <c r="Z38" i="26"/>
  <c r="H76" i="27"/>
  <c r="P75" i="27"/>
  <c r="O75" i="27"/>
  <c r="H75" i="27"/>
  <c r="D75" i="27"/>
  <c r="J75" i="27" s="1"/>
  <c r="P66" i="27"/>
  <c r="O66" i="27"/>
  <c r="H66" i="27"/>
  <c r="D66" i="27"/>
  <c r="N66" i="27" s="1"/>
  <c r="P57" i="27"/>
  <c r="O57" i="27"/>
  <c r="H57" i="27"/>
  <c r="D57" i="27"/>
  <c r="J57" i="27" s="1"/>
  <c r="G51" i="27"/>
  <c r="G48" i="27"/>
  <c r="K46" i="27"/>
  <c r="P42" i="27"/>
  <c r="O42" i="27"/>
  <c r="H42" i="27"/>
  <c r="N42" i="27"/>
  <c r="G38" i="27"/>
  <c r="P34" i="27"/>
  <c r="O34" i="27"/>
  <c r="H34" i="27"/>
  <c r="D34" i="27"/>
  <c r="H30" i="27"/>
  <c r="G30" i="27" s="1"/>
  <c r="P26" i="27"/>
  <c r="O26" i="27"/>
  <c r="H26" i="27"/>
  <c r="D26" i="27"/>
  <c r="P3" i="27"/>
  <c r="O3" i="27"/>
  <c r="H3" i="27"/>
  <c r="D3" i="27"/>
  <c r="J3" i="27" s="1"/>
  <c r="L587" i="26"/>
  <c r="G587" i="26"/>
  <c r="H587" i="26" s="1"/>
  <c r="C585" i="26"/>
  <c r="I574" i="26"/>
  <c r="L573" i="26"/>
  <c r="Z506" i="26" s="1"/>
  <c r="L567" i="26"/>
  <c r="F567" i="26"/>
  <c r="E567" i="26"/>
  <c r="D567" i="26"/>
  <c r="P565" i="26"/>
  <c r="I565" i="26"/>
  <c r="K565" i="26" s="1"/>
  <c r="J565" i="26" s="1"/>
  <c r="H565" i="26"/>
  <c r="N565" i="26" s="1"/>
  <c r="O564" i="26"/>
  <c r="J564" i="26"/>
  <c r="G564" i="26"/>
  <c r="B564" i="26"/>
  <c r="H564" i="26" s="1"/>
  <c r="N564" i="26" s="1"/>
  <c r="K563" i="26"/>
  <c r="I563" i="26"/>
  <c r="B563" i="26"/>
  <c r="P562" i="26"/>
  <c r="M562" i="26"/>
  <c r="I562" i="26"/>
  <c r="H562" i="26"/>
  <c r="N562" i="26" s="1"/>
  <c r="G562" i="26"/>
  <c r="C562" i="26"/>
  <c r="O561" i="26"/>
  <c r="J561" i="26"/>
  <c r="H561" i="26"/>
  <c r="G561" i="26"/>
  <c r="Q545" i="26"/>
  <c r="M545" i="26"/>
  <c r="S544" i="26"/>
  <c r="S545" i="26" s="1"/>
  <c r="R544" i="26"/>
  <c r="I544" i="26"/>
  <c r="I545" i="26" s="1"/>
  <c r="H544" i="26"/>
  <c r="L544" i="26" s="1"/>
  <c r="L545" i="26" s="1"/>
  <c r="Q540" i="26"/>
  <c r="S539" i="26"/>
  <c r="V539" i="26" s="1"/>
  <c r="V540" i="26" s="1"/>
  <c r="R539" i="26"/>
  <c r="R540" i="26" s="1"/>
  <c r="I539" i="26"/>
  <c r="K539" i="26" s="1"/>
  <c r="H539" i="26"/>
  <c r="A537" i="26"/>
  <c r="E530" i="26"/>
  <c r="G530" i="26" s="1"/>
  <c r="L521" i="26"/>
  <c r="K521" i="26"/>
  <c r="I521" i="26"/>
  <c r="M509" i="26" s="1"/>
  <c r="M521" i="26" s="1"/>
  <c r="E519" i="26"/>
  <c r="C518" i="26"/>
  <c r="B518" i="26"/>
  <c r="E517" i="26"/>
  <c r="G517" i="26" s="1"/>
  <c r="H517" i="26" s="1"/>
  <c r="E516" i="26"/>
  <c r="G516" i="26" s="1"/>
  <c r="H516" i="26" s="1"/>
  <c r="E515" i="26"/>
  <c r="G515" i="26" s="1"/>
  <c r="H515" i="26" s="1"/>
  <c r="E514" i="26"/>
  <c r="G514" i="26" s="1"/>
  <c r="H514" i="26" s="1"/>
  <c r="E513" i="26"/>
  <c r="E512" i="26"/>
  <c r="E511" i="26"/>
  <c r="G511" i="26" s="1"/>
  <c r="H511" i="26" s="1"/>
  <c r="E510" i="26"/>
  <c r="G510" i="26" s="1"/>
  <c r="H510" i="26" s="1"/>
  <c r="E509" i="26"/>
  <c r="G509" i="26" s="1"/>
  <c r="Z518" i="26" s="1"/>
  <c r="L504" i="26"/>
  <c r="K504" i="26"/>
  <c r="E501" i="26"/>
  <c r="G501" i="26" s="1"/>
  <c r="H501" i="26" s="1"/>
  <c r="E500" i="26"/>
  <c r="G500" i="26" s="1"/>
  <c r="H500" i="26" s="1"/>
  <c r="E499" i="26"/>
  <c r="G499" i="26" s="1"/>
  <c r="H499" i="26" s="1"/>
  <c r="E498" i="26"/>
  <c r="G498" i="26" s="1"/>
  <c r="H498" i="26" s="1"/>
  <c r="E497" i="26"/>
  <c r="E496" i="26"/>
  <c r="G496" i="26" s="1"/>
  <c r="H496" i="26" s="1"/>
  <c r="E495" i="26"/>
  <c r="G495" i="26" s="1"/>
  <c r="H495" i="26" s="1"/>
  <c r="E494" i="26"/>
  <c r="G494" i="26" s="1"/>
  <c r="H494" i="26" s="1"/>
  <c r="E493" i="26"/>
  <c r="G493" i="26" s="1"/>
  <c r="H493" i="26" s="1"/>
  <c r="E492" i="26"/>
  <c r="G492" i="26" s="1"/>
  <c r="H492" i="26" s="1"/>
  <c r="E491" i="26"/>
  <c r="G491" i="26" s="1"/>
  <c r="Z494" i="26"/>
  <c r="E490" i="26"/>
  <c r="Z493" i="26"/>
  <c r="I504" i="26"/>
  <c r="E489" i="26"/>
  <c r="Z492" i="26"/>
  <c r="L459" i="26"/>
  <c r="K459" i="26"/>
  <c r="N459" i="26" s="1"/>
  <c r="N460" i="26" s="1"/>
  <c r="J459" i="26"/>
  <c r="J460" i="26" s="1"/>
  <c r="L454" i="26"/>
  <c r="O453" i="26"/>
  <c r="O454" i="26" s="1"/>
  <c r="J453" i="26"/>
  <c r="J454" i="26" s="1"/>
  <c r="Z382" i="26"/>
  <c r="M448" i="26"/>
  <c r="M449" i="26" s="1"/>
  <c r="I449" i="26"/>
  <c r="H449" i="26"/>
  <c r="P447" i="26"/>
  <c r="P448" i="26" s="1"/>
  <c r="Z395" i="26" s="1"/>
  <c r="M444" i="26"/>
  <c r="M445" i="26" s="1"/>
  <c r="K444" i="26"/>
  <c r="H444" i="26"/>
  <c r="I365" i="26" s="1"/>
  <c r="I344" i="26" s="1"/>
  <c r="C438" i="26"/>
  <c r="P437" i="26"/>
  <c r="Z384" i="26" s="1"/>
  <c r="B428" i="26"/>
  <c r="C427" i="26"/>
  <c r="B427" i="26"/>
  <c r="F459" i="26" s="1"/>
  <c r="Z392" i="26" s="1"/>
  <c r="P419" i="26"/>
  <c r="P418" i="26"/>
  <c r="L413" i="26"/>
  <c r="K413" i="26"/>
  <c r="J409" i="26"/>
  <c r="E409" i="26"/>
  <c r="G409" i="26" s="1"/>
  <c r="J408" i="26"/>
  <c r="E408" i="26"/>
  <c r="G408" i="26" s="1"/>
  <c r="N408" i="26" s="1"/>
  <c r="E407" i="26"/>
  <c r="G407" i="26" s="1"/>
  <c r="Z386" i="26"/>
  <c r="Z383" i="26"/>
  <c r="Z381" i="26"/>
  <c r="Z379" i="26"/>
  <c r="P396" i="26"/>
  <c r="P395" i="26"/>
  <c r="L390" i="26"/>
  <c r="K390" i="26"/>
  <c r="G388" i="26"/>
  <c r="H388" i="26" s="1"/>
  <c r="G387" i="26"/>
  <c r="H387" i="26" s="1"/>
  <c r="G383" i="26"/>
  <c r="H383" i="26" s="1"/>
  <c r="G382" i="26"/>
  <c r="H382" i="26" s="1"/>
  <c r="G380" i="26"/>
  <c r="H380" i="26" s="1"/>
  <c r="G379" i="26"/>
  <c r="H379" i="26" s="1"/>
  <c r="G374" i="26"/>
  <c r="H374" i="26" s="1"/>
  <c r="G372" i="26"/>
  <c r="H372" i="26" s="1"/>
  <c r="G371" i="26"/>
  <c r="H371" i="26" s="1"/>
  <c r="G370" i="26"/>
  <c r="G369" i="26"/>
  <c r="L364" i="26"/>
  <c r="K364" i="26"/>
  <c r="G359" i="26"/>
  <c r="G358" i="26"/>
  <c r="H358" i="26" s="1"/>
  <c r="G354" i="26"/>
  <c r="H354" i="26" s="1"/>
  <c r="G352" i="26"/>
  <c r="H352" i="26" s="1"/>
  <c r="Z358" i="26"/>
  <c r="Z357" i="26"/>
  <c r="G348" i="26"/>
  <c r="H348" i="26" s="1"/>
  <c r="Z355" i="26"/>
  <c r="G347" i="26"/>
  <c r="H347" i="26" s="1"/>
  <c r="M344" i="26"/>
  <c r="M364" i="26" s="1"/>
  <c r="L328" i="26"/>
  <c r="K328" i="26"/>
  <c r="K329" i="26" s="1"/>
  <c r="J328" i="26"/>
  <c r="J329" i="26" s="1"/>
  <c r="V324" i="26"/>
  <c r="R324" i="26"/>
  <c r="Q324" i="26"/>
  <c r="U323" i="26"/>
  <c r="U324" i="26" s="1"/>
  <c r="T323" i="26"/>
  <c r="S323" i="26"/>
  <c r="L323" i="26"/>
  <c r="O322" i="26"/>
  <c r="O323" i="26" s="1"/>
  <c r="J322" i="26"/>
  <c r="J323" i="26" s="1"/>
  <c r="Z320" i="26"/>
  <c r="Z245" i="26" s="1"/>
  <c r="M317" i="26"/>
  <c r="M318" i="26" s="1"/>
  <c r="J317" i="26"/>
  <c r="J318" i="26" s="1"/>
  <c r="L317" i="26"/>
  <c r="L318" i="26" s="1"/>
  <c r="P316" i="26"/>
  <c r="P317" i="26" s="1"/>
  <c r="Z261" i="26" s="1"/>
  <c r="F316" i="26"/>
  <c r="E316" i="26"/>
  <c r="D316" i="26"/>
  <c r="C316" i="26"/>
  <c r="M313" i="26"/>
  <c r="M314" i="26" s="1"/>
  <c r="H313" i="26"/>
  <c r="C307" i="26"/>
  <c r="P306" i="26"/>
  <c r="Z252" i="26" s="1"/>
  <c r="S302" i="26"/>
  <c r="B297" i="26"/>
  <c r="D295" i="26"/>
  <c r="C295" i="26"/>
  <c r="B295" i="26"/>
  <c r="F328" i="26" s="1"/>
  <c r="Z258" i="26" s="1"/>
  <c r="Z255" i="26"/>
  <c r="Z254" i="26"/>
  <c r="L271" i="26"/>
  <c r="K271" i="26"/>
  <c r="M270" i="26"/>
  <c r="Z251" i="26"/>
  <c r="J267" i="26"/>
  <c r="E267" i="26"/>
  <c r="G267" i="26" s="1"/>
  <c r="J266" i="26"/>
  <c r="E266" i="26"/>
  <c r="G266" i="26" s="1"/>
  <c r="N266" i="26" s="1"/>
  <c r="Z249" i="26"/>
  <c r="E265" i="26"/>
  <c r="G265" i="26" s="1"/>
  <c r="Z247" i="26"/>
  <c r="L255" i="26"/>
  <c r="K255" i="26"/>
  <c r="E253" i="26"/>
  <c r="G253" i="26" s="1"/>
  <c r="H253" i="26" s="1"/>
  <c r="E252" i="26"/>
  <c r="G252" i="26" s="1"/>
  <c r="H252" i="26" s="1"/>
  <c r="E249" i="26"/>
  <c r="G249" i="26" s="1"/>
  <c r="H249" i="26" s="1"/>
  <c r="E248" i="26"/>
  <c r="G248" i="26" s="1"/>
  <c r="H248" i="26" s="1"/>
  <c r="E247" i="26"/>
  <c r="G247" i="26" s="1"/>
  <c r="H247" i="26" s="1"/>
  <c r="E246" i="26"/>
  <c r="E245" i="26"/>
  <c r="G245" i="26" s="1"/>
  <c r="H245" i="26" s="1"/>
  <c r="E244" i="26"/>
  <c r="G244" i="26" s="1"/>
  <c r="H244" i="26" s="1"/>
  <c r="E243" i="26"/>
  <c r="E242" i="26"/>
  <c r="E241" i="26"/>
  <c r="E240" i="26"/>
  <c r="E239" i="26"/>
  <c r="G239" i="26" s="1"/>
  <c r="H239" i="26" s="1"/>
  <c r="E238" i="26"/>
  <c r="E237" i="26"/>
  <c r="G237" i="26" s="1"/>
  <c r="H237" i="26" s="1"/>
  <c r="E236" i="26"/>
  <c r="G236" i="26" s="1"/>
  <c r="H236" i="26" s="1"/>
  <c r="E235" i="26"/>
  <c r="G235" i="26" s="1"/>
  <c r="E234" i="26"/>
  <c r="G234" i="26" s="1"/>
  <c r="H234" i="26" s="1"/>
  <c r="L229" i="26"/>
  <c r="K229" i="26"/>
  <c r="E225" i="26"/>
  <c r="E224" i="26"/>
  <c r="G224" i="26" s="1"/>
  <c r="E223" i="26"/>
  <c r="G223" i="26" s="1"/>
  <c r="H223" i="26" s="1"/>
  <c r="E222" i="26"/>
  <c r="E221" i="26"/>
  <c r="E220" i="26"/>
  <c r="C219" i="26"/>
  <c r="E219" i="26" s="1"/>
  <c r="G219" i="26" s="1"/>
  <c r="H219" i="26" s="1"/>
  <c r="E218" i="26"/>
  <c r="E217" i="26"/>
  <c r="G217" i="26" s="1"/>
  <c r="H217" i="26" s="1"/>
  <c r="E216" i="26"/>
  <c r="E215" i="26"/>
  <c r="E214" i="26"/>
  <c r="E213" i="26"/>
  <c r="G213" i="26" s="1"/>
  <c r="H213" i="26" s="1"/>
  <c r="E212" i="26"/>
  <c r="G212" i="26" s="1"/>
  <c r="H212" i="26" s="1"/>
  <c r="E211" i="26"/>
  <c r="E210" i="26"/>
  <c r="E209" i="26"/>
  <c r="K196" i="26"/>
  <c r="Z73" i="26" s="1"/>
  <c r="F192" i="26"/>
  <c r="K191" i="26"/>
  <c r="K192" i="26" s="1"/>
  <c r="J191" i="26"/>
  <c r="J192" i="26" s="1"/>
  <c r="C187" i="26"/>
  <c r="F186" i="26"/>
  <c r="F187" i="26" s="1"/>
  <c r="B186" i="26"/>
  <c r="A186" i="26"/>
  <c r="A187" i="26" s="1"/>
  <c r="K182" i="26"/>
  <c r="Z99" i="26" s="1"/>
  <c r="F181" i="26"/>
  <c r="F182" i="26" s="1"/>
  <c r="A181" i="26"/>
  <c r="A182" i="26" s="1"/>
  <c r="K179" i="26"/>
  <c r="N178" i="26"/>
  <c r="K177" i="26"/>
  <c r="Z95" i="26" s="1"/>
  <c r="K176" i="26"/>
  <c r="Z94" i="26" s="1"/>
  <c r="F176" i="26"/>
  <c r="F177" i="26" s="1"/>
  <c r="B177" i="26"/>
  <c r="E176" i="26"/>
  <c r="E177" i="26" s="1"/>
  <c r="K175" i="26"/>
  <c r="Z93" i="26" s="1"/>
  <c r="K174" i="26"/>
  <c r="Z92" i="26" s="1"/>
  <c r="K172" i="26"/>
  <c r="F172" i="26"/>
  <c r="F173" i="26" s="1"/>
  <c r="D172" i="26"/>
  <c r="A172" i="26"/>
  <c r="Z69" i="26"/>
  <c r="C158" i="26"/>
  <c r="B158" i="26"/>
  <c r="F143" i="26" s="1"/>
  <c r="N155" i="26"/>
  <c r="N154" i="26"/>
  <c r="B153" i="26"/>
  <c r="B144" i="26"/>
  <c r="E136" i="26"/>
  <c r="G136" i="26" s="1"/>
  <c r="H136" i="26" s="1"/>
  <c r="E133" i="26"/>
  <c r="G133" i="26" s="1"/>
  <c r="E119" i="26"/>
  <c r="E117" i="26"/>
  <c r="G117" i="26" s="1"/>
  <c r="H117" i="26" s="1"/>
  <c r="E116" i="26"/>
  <c r="E115" i="26"/>
  <c r="G115" i="26" s="1"/>
  <c r="E114" i="26"/>
  <c r="E113" i="26"/>
  <c r="G113" i="26" s="1"/>
  <c r="H113" i="26" s="1"/>
  <c r="E112" i="26"/>
  <c r="E111" i="26"/>
  <c r="E110" i="26"/>
  <c r="E109" i="26"/>
  <c r="E108" i="26"/>
  <c r="E107" i="26"/>
  <c r="G107" i="26" s="1"/>
  <c r="H107" i="26" s="1"/>
  <c r="E106" i="26"/>
  <c r="G106" i="26" s="1"/>
  <c r="H106" i="26" s="1"/>
  <c r="E105" i="26"/>
  <c r="E104" i="26"/>
  <c r="E103" i="26"/>
  <c r="G103" i="26" s="1"/>
  <c r="H103" i="26" s="1"/>
  <c r="E102" i="26"/>
  <c r="G102" i="26" s="1"/>
  <c r="H102" i="26" s="1"/>
  <c r="E101" i="26"/>
  <c r="E91" i="26"/>
  <c r="G91" i="26" s="1"/>
  <c r="H91" i="26" s="1"/>
  <c r="C90" i="26"/>
  <c r="E90" i="26" s="1"/>
  <c r="G90" i="26" s="1"/>
  <c r="E89" i="26"/>
  <c r="G89" i="26" s="1"/>
  <c r="H89" i="26" s="1"/>
  <c r="E88" i="26"/>
  <c r="G88" i="26" s="1"/>
  <c r="H88" i="26" s="1"/>
  <c r="E87" i="26"/>
  <c r="E86" i="26"/>
  <c r="G86" i="26" s="1"/>
  <c r="H86" i="26" s="1"/>
  <c r="E85" i="26"/>
  <c r="G85" i="26" s="1"/>
  <c r="H85" i="26" s="1"/>
  <c r="E84" i="26"/>
  <c r="G84" i="26" s="1"/>
  <c r="H84" i="26" s="1"/>
  <c r="E83" i="26"/>
  <c r="G83" i="26" s="1"/>
  <c r="H83" i="26" s="1"/>
  <c r="E82" i="26"/>
  <c r="G82" i="26" s="1"/>
  <c r="H82" i="26" s="1"/>
  <c r="E81" i="26"/>
  <c r="E80" i="26"/>
  <c r="E79" i="26"/>
  <c r="G78" i="26"/>
  <c r="C77" i="26"/>
  <c r="E77" i="26" s="1"/>
  <c r="G77" i="26" s="1"/>
  <c r="Z74" i="26"/>
  <c r="Z72" i="26"/>
  <c r="D57" i="26"/>
  <c r="C57" i="26"/>
  <c r="B57" i="26"/>
  <c r="G39" i="26"/>
  <c r="E39" i="26"/>
  <c r="F33" i="26"/>
  <c r="F34" i="26" s="1"/>
  <c r="G26" i="26"/>
  <c r="H26" i="26" s="1"/>
  <c r="I25" i="26"/>
  <c r="J25" i="26" s="1"/>
  <c r="H25" i="26"/>
  <c r="F25" i="26"/>
  <c r="I24" i="26"/>
  <c r="J24" i="26" s="1"/>
  <c r="H24" i="26"/>
  <c r="F24" i="26"/>
  <c r="Z19" i="26" s="1"/>
  <c r="P19" i="26"/>
  <c r="J13" i="26"/>
  <c r="Z42" i="26" s="1"/>
  <c r="G7" i="27" s="1"/>
  <c r="L12" i="26"/>
  <c r="C12" i="26"/>
  <c r="G11" i="26"/>
  <c r="G10" i="26"/>
  <c r="G9" i="26"/>
  <c r="J9" i="26" s="1"/>
  <c r="N9" i="26" s="1"/>
  <c r="H491" i="26" l="1"/>
  <c r="Z517" i="26"/>
  <c r="M563" i="26"/>
  <c r="B567" i="26"/>
  <c r="L1310" i="27"/>
  <c r="O1310" i="27" s="1"/>
  <c r="L1298" i="27"/>
  <c r="O1298" i="27" s="1"/>
  <c r="H235" i="26"/>
  <c r="Z236" i="26"/>
  <c r="H370" i="26"/>
  <c r="Z371" i="26"/>
  <c r="G533" i="26"/>
  <c r="I530" i="26"/>
  <c r="H530" i="26"/>
  <c r="H533" i="26" s="1"/>
  <c r="K562" i="26"/>
  <c r="K567" i="26" s="1"/>
  <c r="I567" i="26"/>
  <c r="Z515" i="26" s="1"/>
  <c r="E172" i="26"/>
  <c r="I123" i="26"/>
  <c r="I101" i="26" s="1"/>
  <c r="K101" i="26" s="1"/>
  <c r="K122" i="26" s="1"/>
  <c r="I94" i="26"/>
  <c r="N561" i="26"/>
  <c r="J26" i="27"/>
  <c r="N26" i="27"/>
  <c r="Z111" i="26"/>
  <c r="B160" i="26"/>
  <c r="H32" i="26"/>
  <c r="Z525" i="26"/>
  <c r="Z523" i="26"/>
  <c r="G567" i="26"/>
  <c r="Z521" i="26" s="1"/>
  <c r="L313" i="26"/>
  <c r="I230" i="26"/>
  <c r="I209" i="26" s="1"/>
  <c r="I229" i="26" s="1"/>
  <c r="N32" i="26"/>
  <c r="D1237" i="27"/>
  <c r="Z495" i="26" s="1"/>
  <c r="T324" i="26"/>
  <c r="S324" i="26"/>
  <c r="H90" i="26"/>
  <c r="I77" i="26" s="1"/>
  <c r="H359" i="26"/>
  <c r="H224" i="26"/>
  <c r="H115" i="26"/>
  <c r="C1051" i="25"/>
  <c r="P804" i="27"/>
  <c r="O1219" i="27"/>
  <c r="O1222" i="27"/>
  <c r="O1221" i="27"/>
  <c r="P756" i="27"/>
  <c r="P762" i="27"/>
  <c r="Q783" i="27"/>
  <c r="P790" i="27"/>
  <c r="O664" i="27"/>
  <c r="O709" i="27"/>
  <c r="P751" i="27"/>
  <c r="P811" i="27"/>
  <c r="P802" i="27"/>
  <c r="O719" i="27"/>
  <c r="P803" i="27"/>
  <c r="P805" i="27"/>
  <c r="P830" i="27"/>
  <c r="H463" i="27"/>
  <c r="P772" i="27"/>
  <c r="P831" i="27"/>
  <c r="O718" i="27"/>
  <c r="H317" i="27"/>
  <c r="H303" i="27"/>
  <c r="H293" i="27"/>
  <c r="H530" i="27"/>
  <c r="G3" i="27"/>
  <c r="I3" i="27" s="1"/>
  <c r="I4" i="27" s="1"/>
  <c r="G47" i="27"/>
  <c r="I1371" i="27"/>
  <c r="I1370" i="27"/>
  <c r="G496" i="27"/>
  <c r="H496" i="27" s="1"/>
  <c r="C510" i="27"/>
  <c r="C511" i="27" s="1"/>
  <c r="G511" i="27" s="1"/>
  <c r="H511" i="27" s="1"/>
  <c r="G546" i="27"/>
  <c r="H546" i="27" s="1"/>
  <c r="I1368" i="27"/>
  <c r="G57" i="27"/>
  <c r="I57" i="27" s="1"/>
  <c r="I58" i="27" s="1"/>
  <c r="H229" i="27"/>
  <c r="H216" i="27"/>
  <c r="H222" i="27"/>
  <c r="H261" i="27"/>
  <c r="G274" i="27"/>
  <c r="H274" i="27" s="1"/>
  <c r="H357" i="27"/>
  <c r="G449" i="27"/>
  <c r="H449" i="27" s="1"/>
  <c r="G547" i="27"/>
  <c r="H547" i="27" s="1"/>
  <c r="O1220" i="27"/>
  <c r="G545" i="27"/>
  <c r="H545" i="27" s="1"/>
  <c r="P737" i="27"/>
  <c r="G93" i="27"/>
  <c r="I93" i="27" s="1"/>
  <c r="C560" i="27"/>
  <c r="G560" i="27" s="1"/>
  <c r="H560" i="27" s="1"/>
  <c r="P731" i="27"/>
  <c r="I1347" i="27"/>
  <c r="I1356" i="27"/>
  <c r="G513" i="27"/>
  <c r="H513" i="27" s="1"/>
  <c r="G94" i="27"/>
  <c r="I94" i="27" s="1"/>
  <c r="G103" i="27"/>
  <c r="I103" i="27" s="1"/>
  <c r="G104" i="27"/>
  <c r="I104" i="27" s="1"/>
  <c r="H237" i="27"/>
  <c r="H276" i="27"/>
  <c r="E302" i="27"/>
  <c r="H302" i="27" s="1"/>
  <c r="H305" i="27"/>
  <c r="H318" i="27"/>
  <c r="C637" i="27"/>
  <c r="I1385" i="27"/>
  <c r="J42" i="27"/>
  <c r="N84" i="27"/>
  <c r="Q84" i="27" s="1"/>
  <c r="Q86" i="27" s="1"/>
  <c r="N93" i="27"/>
  <c r="Q93" i="27" s="1"/>
  <c r="Q95" i="27" s="1"/>
  <c r="H204" i="27"/>
  <c r="H208" i="27"/>
  <c r="H217" i="27"/>
  <c r="H225" i="27"/>
  <c r="C233" i="27"/>
  <c r="E233" i="27" s="1"/>
  <c r="H233" i="27" s="1"/>
  <c r="H231" i="27"/>
  <c r="C239" i="27"/>
  <c r="E239" i="27" s="1"/>
  <c r="H239" i="27" s="1"/>
  <c r="H256" i="27"/>
  <c r="H344" i="27"/>
  <c r="H369" i="27"/>
  <c r="H403" i="27"/>
  <c r="G460" i="27"/>
  <c r="H460" i="27" s="1"/>
  <c r="H541" i="27"/>
  <c r="C599" i="27"/>
  <c r="C600" i="27" s="1"/>
  <c r="G600" i="27" s="1"/>
  <c r="H600" i="27" s="1"/>
  <c r="L665" i="27"/>
  <c r="O665" i="27" s="1"/>
  <c r="H203" i="27"/>
  <c r="H207" i="27"/>
  <c r="H223" i="27"/>
  <c r="H230" i="27"/>
  <c r="H304" i="27"/>
  <c r="H354" i="27"/>
  <c r="H476" i="27"/>
  <c r="H479" i="27"/>
  <c r="C562" i="27"/>
  <c r="I1382" i="27"/>
  <c r="F147" i="26"/>
  <c r="H147" i="26" s="1"/>
  <c r="Z213" i="26"/>
  <c r="Z487" i="26"/>
  <c r="Z345" i="26"/>
  <c r="G75" i="27"/>
  <c r="I75" i="27" s="1"/>
  <c r="Q154" i="27"/>
  <c r="Q155" i="27" s="1"/>
  <c r="H157" i="27" s="1"/>
  <c r="H219" i="27"/>
  <c r="J220" i="27"/>
  <c r="G234" i="27"/>
  <c r="H234" i="27" s="1"/>
  <c r="C275" i="27"/>
  <c r="G275" i="27" s="1"/>
  <c r="H275" i="27" s="1"/>
  <c r="G358" i="27"/>
  <c r="H358" i="27" s="1"/>
  <c r="G445" i="27"/>
  <c r="H445" i="27" s="1"/>
  <c r="G480" i="27"/>
  <c r="H480" i="27" s="1"/>
  <c r="H640" i="27"/>
  <c r="D1359" i="27"/>
  <c r="N3" i="27"/>
  <c r="Q3" i="27" s="1"/>
  <c r="Q4" i="27" s="1"/>
  <c r="G42" i="27"/>
  <c r="I42" i="27" s="1"/>
  <c r="I43" i="27" s="1"/>
  <c r="H45" i="27" s="1"/>
  <c r="Q42" i="27"/>
  <c r="Q43" i="27" s="1"/>
  <c r="Z36" i="26"/>
  <c r="H176" i="26"/>
  <c r="G76" i="27"/>
  <c r="I76" i="27" s="1"/>
  <c r="G84" i="27"/>
  <c r="I84" i="27" s="1"/>
  <c r="N103" i="27"/>
  <c r="Q103" i="27" s="1"/>
  <c r="Q105" i="27" s="1"/>
  <c r="H189" i="27"/>
  <c r="H202" i="27"/>
  <c r="H206" i="27"/>
  <c r="C221" i="27"/>
  <c r="E221" i="27" s="1"/>
  <c r="H221" i="27" s="1"/>
  <c r="C259" i="27"/>
  <c r="C272" i="27"/>
  <c r="E272" i="27" s="1"/>
  <c r="H272" i="27" s="1"/>
  <c r="G306" i="27"/>
  <c r="H306" i="27" s="1"/>
  <c r="H309" i="27"/>
  <c r="Z208" i="26" s="1"/>
  <c r="H319" i="27"/>
  <c r="G329" i="27"/>
  <c r="H329" i="27" s="1"/>
  <c r="C341" i="27"/>
  <c r="E341" i="27" s="1"/>
  <c r="H341" i="27" s="1"/>
  <c r="H373" i="27"/>
  <c r="H367" i="27"/>
  <c r="G509" i="27"/>
  <c r="H509" i="27" s="1"/>
  <c r="C527" i="27"/>
  <c r="G598" i="27"/>
  <c r="H598" i="27" s="1"/>
  <c r="Z219" i="26"/>
  <c r="P744" i="27"/>
  <c r="J1403" i="27"/>
  <c r="G46" i="27"/>
  <c r="N57" i="27"/>
  <c r="Q57" i="27" s="1"/>
  <c r="Q58" i="27" s="1"/>
  <c r="Z35" i="26"/>
  <c r="G176" i="26"/>
  <c r="N75" i="27"/>
  <c r="Q75" i="27" s="1"/>
  <c r="Q77" i="27" s="1"/>
  <c r="G85" i="27"/>
  <c r="I85" i="27" s="1"/>
  <c r="H205" i="27"/>
  <c r="J229" i="27"/>
  <c r="C238" i="27" s="1"/>
  <c r="E238" i="27" s="1"/>
  <c r="H238" i="27" s="1"/>
  <c r="G235" i="27"/>
  <c r="H235" i="27" s="1"/>
  <c r="G236" i="27"/>
  <c r="H236" i="27" s="1"/>
  <c r="G258" i="27"/>
  <c r="H258" i="27" s="1"/>
  <c r="G277" i="27"/>
  <c r="H277" i="27" s="1"/>
  <c r="C273" i="27"/>
  <c r="E273" i="27" s="1"/>
  <c r="H273" i="27" s="1"/>
  <c r="C274" i="27"/>
  <c r="H310" i="27"/>
  <c r="Z340" i="26" s="1"/>
  <c r="H328" i="27"/>
  <c r="H334" i="27"/>
  <c r="Z341" i="26" s="1"/>
  <c r="H356" i="27"/>
  <c r="H368" i="27"/>
  <c r="H372" i="27"/>
  <c r="I376" i="27"/>
  <c r="Z26" i="26" s="1"/>
  <c r="I485" i="27"/>
  <c r="H492" i="27"/>
  <c r="I535" i="27"/>
  <c r="C543" i="27"/>
  <c r="G563" i="27"/>
  <c r="H563" i="27" s="1"/>
  <c r="Z218" i="26"/>
  <c r="P730" i="27"/>
  <c r="P736" i="27"/>
  <c r="I1346" i="27"/>
  <c r="F1348" i="27"/>
  <c r="H1393" i="27" s="1"/>
  <c r="I1367" i="27"/>
  <c r="J113" i="27"/>
  <c r="G113" i="27"/>
  <c r="I113" i="27" s="1"/>
  <c r="I115" i="27" s="1"/>
  <c r="G228" i="27"/>
  <c r="H228" i="27" s="1"/>
  <c r="H255" i="27"/>
  <c r="H391" i="27"/>
  <c r="I383" i="27"/>
  <c r="H335" i="27"/>
  <c r="Z485" i="26" s="1"/>
  <c r="H371" i="27"/>
  <c r="G404" i="27"/>
  <c r="H404" i="27" s="1"/>
  <c r="Z29" i="26"/>
  <c r="Z346" i="26"/>
  <c r="Z214" i="26"/>
  <c r="G475" i="27"/>
  <c r="H475" i="27" s="1"/>
  <c r="G491" i="27"/>
  <c r="H491" i="27" s="1"/>
  <c r="G542" i="27"/>
  <c r="H542" i="27" s="1"/>
  <c r="Z217" i="26"/>
  <c r="Z349" i="26"/>
  <c r="Z34" i="26"/>
  <c r="H597" i="27"/>
  <c r="H601" i="27"/>
  <c r="P743" i="27"/>
  <c r="P777" i="27"/>
  <c r="I1355" i="27"/>
  <c r="I1358" i="27"/>
  <c r="I1383" i="27"/>
  <c r="G413" i="26"/>
  <c r="G271" i="26"/>
  <c r="Z239" i="26" s="1"/>
  <c r="D586" i="26"/>
  <c r="G220" i="26"/>
  <c r="H220" i="26" s="1"/>
  <c r="G225" i="26"/>
  <c r="H225" i="26" s="1"/>
  <c r="G80" i="26"/>
  <c r="H80" i="26" s="1"/>
  <c r="G519" i="26"/>
  <c r="G221" i="26"/>
  <c r="H221" i="26" s="1"/>
  <c r="G119" i="26"/>
  <c r="H119" i="26" s="1"/>
  <c r="I523" i="26"/>
  <c r="Z503" i="26" s="1"/>
  <c r="G497" i="26"/>
  <c r="H497" i="26" s="1"/>
  <c r="J539" i="26"/>
  <c r="G87" i="26"/>
  <c r="H87" i="26" s="1"/>
  <c r="G114" i="26"/>
  <c r="H114" i="26" s="1"/>
  <c r="G344" i="26"/>
  <c r="H344" i="26" s="1"/>
  <c r="J444" i="26"/>
  <c r="I133" i="26"/>
  <c r="G209" i="26"/>
  <c r="H209" i="26" s="1"/>
  <c r="G215" i="26"/>
  <c r="H215" i="26" s="1"/>
  <c r="G218" i="26"/>
  <c r="G360" i="26"/>
  <c r="H360" i="26" s="1"/>
  <c r="G377" i="26"/>
  <c r="H377" i="26" s="1"/>
  <c r="J407" i="26"/>
  <c r="J413" i="26" s="1"/>
  <c r="E518" i="26"/>
  <c r="G518" i="26" s="1"/>
  <c r="H518" i="26" s="1"/>
  <c r="C172" i="26"/>
  <c r="B182" i="26"/>
  <c r="G246" i="26"/>
  <c r="H246" i="26" s="1"/>
  <c r="G346" i="26"/>
  <c r="H346" i="26" s="1"/>
  <c r="G376" i="26"/>
  <c r="H376" i="26" s="1"/>
  <c r="G381" i="26"/>
  <c r="H381" i="26" s="1"/>
  <c r="Z377" i="26"/>
  <c r="G101" i="26"/>
  <c r="G108" i="26"/>
  <c r="H108" i="26" s="1"/>
  <c r="G110" i="26"/>
  <c r="H110" i="26" s="1"/>
  <c r="G112" i="26"/>
  <c r="H112" i="26" s="1"/>
  <c r="N159" i="26"/>
  <c r="Z66" i="26" s="1"/>
  <c r="G211" i="26"/>
  <c r="H211" i="26" s="1"/>
  <c r="G216" i="26"/>
  <c r="H216" i="26" s="1"/>
  <c r="G222" i="26"/>
  <c r="H222" i="26" s="1"/>
  <c r="G238" i="26"/>
  <c r="G240" i="26"/>
  <c r="H240" i="26" s="1"/>
  <c r="G345" i="26"/>
  <c r="H345" i="26" s="1"/>
  <c r="G349" i="26"/>
  <c r="H349" i="26" s="1"/>
  <c r="G375" i="26"/>
  <c r="H375" i="26" s="1"/>
  <c r="B429" i="26"/>
  <c r="G401" i="26" s="1"/>
  <c r="I401" i="26" s="1"/>
  <c r="I403" i="26" s="1"/>
  <c r="G490" i="26"/>
  <c r="H490" i="26" s="1"/>
  <c r="Z368" i="26"/>
  <c r="G241" i="26"/>
  <c r="H241" i="26" s="1"/>
  <c r="G243" i="26"/>
  <c r="H243" i="26" s="1"/>
  <c r="G351" i="26"/>
  <c r="H351" i="26" s="1"/>
  <c r="G357" i="26"/>
  <c r="H357" i="26" s="1"/>
  <c r="P397" i="26"/>
  <c r="Z394" i="26" s="1"/>
  <c r="I122" i="26"/>
  <c r="B401" i="26"/>
  <c r="G512" i="26"/>
  <c r="H512" i="26" s="1"/>
  <c r="J562" i="26"/>
  <c r="J567" i="26" s="1"/>
  <c r="O562" i="26"/>
  <c r="O567" i="26" s="1"/>
  <c r="K173" i="26"/>
  <c r="Z91" i="26" s="1"/>
  <c r="Z90" i="26"/>
  <c r="G210" i="26"/>
  <c r="H210" i="26" s="1"/>
  <c r="G242" i="26"/>
  <c r="H242" i="26" s="1"/>
  <c r="J265" i="26"/>
  <c r="J271" i="26" s="1"/>
  <c r="B298" i="26"/>
  <c r="G275" i="26" s="1"/>
  <c r="Z248" i="26" s="1"/>
  <c r="H318" i="26"/>
  <c r="K323" i="26"/>
  <c r="N328" i="26"/>
  <c r="N329" i="26" s="1"/>
  <c r="G355" i="26"/>
  <c r="H355" i="26" s="1"/>
  <c r="H563" i="26"/>
  <c r="N563" i="26" s="1"/>
  <c r="N567" i="26" s="1"/>
  <c r="Z519" i="26" s="1"/>
  <c r="P563" i="26"/>
  <c r="P567" i="26" s="1"/>
  <c r="C586" i="26"/>
  <c r="Z524" i="26" s="1"/>
  <c r="I318" i="26"/>
  <c r="M419" i="26"/>
  <c r="Z378" i="26" s="1"/>
  <c r="K448" i="26"/>
  <c r="K449" i="26" s="1"/>
  <c r="K460" i="26"/>
  <c r="G489" i="26"/>
  <c r="G504" i="26" s="1"/>
  <c r="U539" i="26"/>
  <c r="U540" i="26" s="1"/>
  <c r="U544" i="26"/>
  <c r="U545" i="26" s="1"/>
  <c r="J11" i="26"/>
  <c r="Z16" i="26" s="1"/>
  <c r="G79" i="26"/>
  <c r="G81" i="26"/>
  <c r="H81" i="26" s="1"/>
  <c r="I136" i="26"/>
  <c r="C176" i="26"/>
  <c r="C177" i="26" s="1"/>
  <c r="A177" i="26"/>
  <c r="B275" i="26"/>
  <c r="D275" i="26" s="1"/>
  <c r="K317" i="26"/>
  <c r="M322" i="26"/>
  <c r="G353" i="26"/>
  <c r="L539" i="26"/>
  <c r="G12" i="26"/>
  <c r="K25" i="26"/>
  <c r="L25" i="26" s="1"/>
  <c r="Z18" i="26"/>
  <c r="I39" i="26"/>
  <c r="J39" i="26" s="1"/>
  <c r="G109" i="26"/>
  <c r="H109" i="26" s="1"/>
  <c r="G111" i="26"/>
  <c r="H111" i="26" s="1"/>
  <c r="Z68" i="26"/>
  <c r="D176" i="26"/>
  <c r="D177" i="26" s="1"/>
  <c r="I191" i="26"/>
  <c r="I192" i="26" s="1"/>
  <c r="G214" i="26"/>
  <c r="H214" i="26" s="1"/>
  <c r="S304" i="26"/>
  <c r="G350" i="26"/>
  <c r="H350" i="26" s="1"/>
  <c r="G356" i="26"/>
  <c r="H356" i="26" s="1"/>
  <c r="M408" i="26"/>
  <c r="M489" i="26"/>
  <c r="M504" i="26" s="1"/>
  <c r="G513" i="26"/>
  <c r="H513" i="26" s="1"/>
  <c r="S540" i="26"/>
  <c r="T544" i="26"/>
  <c r="T545" i="26" s="1"/>
  <c r="C563" i="26"/>
  <c r="C567" i="26" s="1"/>
  <c r="G105" i="26"/>
  <c r="H105" i="26" s="1"/>
  <c r="J10" i="26"/>
  <c r="N10" i="26" s="1"/>
  <c r="O10" i="26" s="1"/>
  <c r="G104" i="26"/>
  <c r="H104" i="26" s="1"/>
  <c r="G116" i="26"/>
  <c r="H116" i="26" s="1"/>
  <c r="Z8" i="26"/>
  <c r="Q26" i="27"/>
  <c r="Q27" i="27" s="1"/>
  <c r="N34" i="27"/>
  <c r="Q34" i="27" s="1"/>
  <c r="Q35" i="27" s="1"/>
  <c r="G34" i="27"/>
  <c r="I34" i="27" s="1"/>
  <c r="I35" i="27" s="1"/>
  <c r="Q66" i="27"/>
  <c r="Q67" i="27" s="1"/>
  <c r="G224" i="27"/>
  <c r="H224" i="27" s="1"/>
  <c r="C227" i="27"/>
  <c r="E227" i="27" s="1"/>
  <c r="H227" i="27" s="1"/>
  <c r="H290" i="27"/>
  <c r="G26" i="27"/>
  <c r="I26" i="27" s="1"/>
  <c r="I27" i="27" s="1"/>
  <c r="Q113" i="27"/>
  <c r="Q115" i="27" s="1"/>
  <c r="H187" i="27"/>
  <c r="H201" i="27"/>
  <c r="H210" i="27"/>
  <c r="H270" i="27"/>
  <c r="H342" i="27"/>
  <c r="H407" i="27"/>
  <c r="H186" i="27"/>
  <c r="H188" i="27"/>
  <c r="E254" i="27"/>
  <c r="H254" i="27" s="1"/>
  <c r="C257" i="27"/>
  <c r="E257" i="27" s="1"/>
  <c r="H257" i="27" s="1"/>
  <c r="H271" i="27"/>
  <c r="C288" i="27"/>
  <c r="E288" i="27" s="1"/>
  <c r="H288" i="27" s="1"/>
  <c r="E287" i="27"/>
  <c r="H287" i="27" s="1"/>
  <c r="C465" i="27"/>
  <c r="G465" i="27" s="1"/>
  <c r="H465" i="27" s="1"/>
  <c r="C462" i="27"/>
  <c r="G462" i="27" s="1"/>
  <c r="H462" i="27" s="1"/>
  <c r="C461" i="27"/>
  <c r="G461" i="27" s="1"/>
  <c r="H461" i="27" s="1"/>
  <c r="H508" i="27"/>
  <c r="J34" i="27"/>
  <c r="H291" i="27"/>
  <c r="H296" i="27"/>
  <c r="Z23" i="26" s="1"/>
  <c r="H343" i="27"/>
  <c r="H348" i="27"/>
  <c r="Z25" i="26" s="1"/>
  <c r="H370" i="27"/>
  <c r="H400" i="27"/>
  <c r="H402" i="27"/>
  <c r="H459" i="27"/>
  <c r="G494" i="27"/>
  <c r="H494" i="27" s="1"/>
  <c r="C495" i="27"/>
  <c r="G495" i="27" s="1"/>
  <c r="H495" i="27" s="1"/>
  <c r="C481" i="27"/>
  <c r="G481" i="27" s="1"/>
  <c r="H481" i="27" s="1"/>
  <c r="C477" i="27"/>
  <c r="G218" i="27"/>
  <c r="H218" i="27" s="1"/>
  <c r="H361" i="27"/>
  <c r="G512" i="27"/>
  <c r="H512" i="27" s="1"/>
  <c r="I646" i="27"/>
  <c r="Z220" i="26" s="1"/>
  <c r="J66" i="27"/>
  <c r="G66" i="27"/>
  <c r="I66" i="27" s="1"/>
  <c r="I67" i="27" s="1"/>
  <c r="C401" i="27"/>
  <c r="E401" i="27" s="1"/>
  <c r="H401" i="27" s="1"/>
  <c r="C447" i="27"/>
  <c r="G525" i="27"/>
  <c r="H525" i="27" s="1"/>
  <c r="G526" i="27"/>
  <c r="H526" i="27" s="1"/>
  <c r="G559" i="27"/>
  <c r="H559" i="27" s="1"/>
  <c r="G564" i="27"/>
  <c r="H564" i="27" s="1"/>
  <c r="H327" i="27"/>
  <c r="H340" i="27"/>
  <c r="C355" i="27"/>
  <c r="E355" i="27" s="1"/>
  <c r="H355" i="27" s="1"/>
  <c r="H446" i="27"/>
  <c r="G464" i="27"/>
  <c r="H464" i="27" s="1"/>
  <c r="C498" i="27"/>
  <c r="G498" i="27" s="1"/>
  <c r="H498" i="27" s="1"/>
  <c r="C493" i="27"/>
  <c r="G493" i="27" s="1"/>
  <c r="H493" i="27" s="1"/>
  <c r="H558" i="27"/>
  <c r="G635" i="27"/>
  <c r="H635" i="27" s="1"/>
  <c r="G636" i="27"/>
  <c r="H636" i="27" s="1"/>
  <c r="H641" i="27"/>
  <c r="G602" i="27"/>
  <c r="H602" i="27" s="1"/>
  <c r="I1380" i="27"/>
  <c r="D1375" i="27"/>
  <c r="H77" i="26"/>
  <c r="K26" i="26"/>
  <c r="L26" i="26" s="1"/>
  <c r="H133" i="26"/>
  <c r="H138" i="26" s="1"/>
  <c r="G138" i="26"/>
  <c r="Z59" i="26" s="1"/>
  <c r="O328" i="26"/>
  <c r="O329" i="26" s="1"/>
  <c r="L329" i="26"/>
  <c r="K24" i="26"/>
  <c r="K32" i="26" s="1"/>
  <c r="G147" i="26"/>
  <c r="K159" i="26"/>
  <c r="Z65" i="26" s="1"/>
  <c r="E186" i="26"/>
  <c r="E187" i="26" s="1"/>
  <c r="B187" i="26"/>
  <c r="D186" i="26"/>
  <c r="D187" i="26" s="1"/>
  <c r="N407" i="26"/>
  <c r="M407" i="26"/>
  <c r="N409" i="26"/>
  <c r="M409" i="26"/>
  <c r="N267" i="26"/>
  <c r="M267" i="26"/>
  <c r="W314" i="26"/>
  <c r="Z246" i="26" s="1"/>
  <c r="O563" i="26"/>
  <c r="J563" i="26"/>
  <c r="B198" i="26"/>
  <c r="Z86" i="26" s="1"/>
  <c r="I235" i="26"/>
  <c r="N265" i="26"/>
  <c r="M265" i="26"/>
  <c r="M266" i="26"/>
  <c r="K313" i="26"/>
  <c r="J313" i="26"/>
  <c r="H143" i="26"/>
  <c r="G143" i="26"/>
  <c r="C182" i="26"/>
  <c r="E181" i="26"/>
  <c r="E182" i="26" s="1"/>
  <c r="D181" i="26"/>
  <c r="G191" i="26"/>
  <c r="C324" i="26"/>
  <c r="N322" i="26"/>
  <c r="N323" i="26" s="1"/>
  <c r="M328" i="26"/>
  <c r="M329" i="26" s="1"/>
  <c r="H369" i="26"/>
  <c r="G373" i="26"/>
  <c r="G378" i="26"/>
  <c r="H378" i="26" s="1"/>
  <c r="K454" i="26"/>
  <c r="M453" i="26"/>
  <c r="O459" i="26"/>
  <c r="O460" i="26" s="1"/>
  <c r="L460" i="26"/>
  <c r="M459" i="26"/>
  <c r="M460" i="26" s="1"/>
  <c r="L530" i="26"/>
  <c r="L533" i="26" s="1"/>
  <c r="I364" i="26"/>
  <c r="H545" i="26"/>
  <c r="J544" i="26"/>
  <c r="J545" i="26" s="1"/>
  <c r="M209" i="26"/>
  <c r="M229" i="26" s="1"/>
  <c r="H509" i="26"/>
  <c r="H521" i="26" s="1"/>
  <c r="O565" i="26"/>
  <c r="L444" i="26"/>
  <c r="L448" i="26"/>
  <c r="L449" i="26" s="1"/>
  <c r="V544" i="26"/>
  <c r="V545" i="26" s="1"/>
  <c r="R545" i="26"/>
  <c r="P564" i="26"/>
  <c r="C564" i="26"/>
  <c r="M564" i="26"/>
  <c r="M567" i="26" s="1"/>
  <c r="Z501" i="26" s="1"/>
  <c r="J448" i="26"/>
  <c r="J449" i="26" s="1"/>
  <c r="N453" i="26"/>
  <c r="T539" i="26"/>
  <c r="T540" i="26" s="1"/>
  <c r="K544" i="26"/>
  <c r="K545" i="26" s="1"/>
  <c r="C578" i="26" l="1"/>
  <c r="O1303" i="27"/>
  <c r="I1304" i="27" s="1"/>
  <c r="P1298" i="27"/>
  <c r="I392" i="26"/>
  <c r="H567" i="26"/>
  <c r="Z520" i="26" s="1"/>
  <c r="O1315" i="27"/>
  <c r="P1310" i="27"/>
  <c r="I533" i="26"/>
  <c r="J530" i="26" s="1"/>
  <c r="J533" i="26" s="1"/>
  <c r="K530" i="26"/>
  <c r="K533" i="26" s="1"/>
  <c r="C576" i="26" s="1"/>
  <c r="Z508" i="26" s="1"/>
  <c r="Z522" i="26"/>
  <c r="Z514" i="26"/>
  <c r="H373" i="26"/>
  <c r="H390" i="26" s="1"/>
  <c r="N370" i="26" s="1"/>
  <c r="N390" i="26" s="1"/>
  <c r="G390" i="26"/>
  <c r="G389" i="26"/>
  <c r="H353" i="26"/>
  <c r="Z370" i="26"/>
  <c r="H238" i="26"/>
  <c r="H255" i="26" s="1"/>
  <c r="N235" i="26" s="1"/>
  <c r="G254" i="26"/>
  <c r="G256" i="26" s="1"/>
  <c r="G255" i="26"/>
  <c r="Z238" i="26" s="1"/>
  <c r="Z235" i="26"/>
  <c r="H218" i="26"/>
  <c r="G521" i="26"/>
  <c r="Z513" i="26" s="1"/>
  <c r="H489" i="26"/>
  <c r="Z512" i="26"/>
  <c r="M454" i="26"/>
  <c r="Z376" i="26"/>
  <c r="N454" i="26"/>
  <c r="Z260" i="26"/>
  <c r="M323" i="26"/>
  <c r="Z244" i="26"/>
  <c r="Z241" i="26"/>
  <c r="J346" i="25"/>
  <c r="J350" i="25" s="1"/>
  <c r="C358" i="25"/>
  <c r="C362" i="25" s="1"/>
  <c r="C1076" i="25"/>
  <c r="C1075" i="25"/>
  <c r="C1080" i="25" s="1"/>
  <c r="G122" i="26"/>
  <c r="G123" i="26" s="1"/>
  <c r="Z54" i="26"/>
  <c r="H79" i="26"/>
  <c r="H93" i="26" s="1"/>
  <c r="L77" i="26" s="1"/>
  <c r="L93" i="26" s="1"/>
  <c r="G93" i="26"/>
  <c r="H229" i="26"/>
  <c r="J259" i="26" s="1"/>
  <c r="G229" i="26"/>
  <c r="Z237" i="26" s="1"/>
  <c r="G364" i="26"/>
  <c r="G365" i="26"/>
  <c r="H364" i="26"/>
  <c r="N344" i="26" s="1"/>
  <c r="N364" i="26" s="1"/>
  <c r="H363" i="26"/>
  <c r="C1064" i="25"/>
  <c r="C1063" i="25"/>
  <c r="C1068" i="25" s="1"/>
  <c r="J1396" i="27"/>
  <c r="C1052" i="25"/>
  <c r="C1056" i="25"/>
  <c r="I1375" i="27"/>
  <c r="J1367" i="27" s="1"/>
  <c r="O669" i="27"/>
  <c r="J699" i="27" s="1"/>
  <c r="K699" i="27" s="1"/>
  <c r="J923" i="25" s="1"/>
  <c r="P779" i="27"/>
  <c r="G562" i="27"/>
  <c r="H562" i="27" s="1"/>
  <c r="I558" i="27" s="1"/>
  <c r="P816" i="27"/>
  <c r="Z380" i="26"/>
  <c r="I275" i="26"/>
  <c r="I277" i="26" s="1"/>
  <c r="K318" i="26"/>
  <c r="Z61" i="26"/>
  <c r="Z64" i="26"/>
  <c r="C639" i="27"/>
  <c r="G637" i="27"/>
  <c r="H637" i="27" s="1"/>
  <c r="J12" i="26"/>
  <c r="Z17" i="26" s="1"/>
  <c r="M21" i="26"/>
  <c r="N21" i="26" s="1"/>
  <c r="P807" i="27"/>
  <c r="P733" i="27"/>
  <c r="I367" i="27"/>
  <c r="C345" i="25" s="1"/>
  <c r="C349" i="25" s="1"/>
  <c r="F349" i="25" s="1"/>
  <c r="P746" i="27"/>
  <c r="O1235" i="27"/>
  <c r="C232" i="27"/>
  <c r="E232" i="27" s="1"/>
  <c r="H232" i="27" s="1"/>
  <c r="Q811" i="27"/>
  <c r="Q802" i="27"/>
  <c r="Q730" i="27"/>
  <c r="I77" i="27"/>
  <c r="H79" i="27" s="1"/>
  <c r="J571" i="25" s="1"/>
  <c r="H6" i="27"/>
  <c r="H69" i="27"/>
  <c r="C505" i="25" s="1"/>
  <c r="Q743" i="27"/>
  <c r="Q736" i="27"/>
  <c r="P739" i="27"/>
  <c r="I1348" i="27"/>
  <c r="O1224" i="27"/>
  <c r="H1237" i="27" s="1"/>
  <c r="I302" i="27"/>
  <c r="Q762" i="27"/>
  <c r="I86" i="27"/>
  <c r="H88" i="27" s="1"/>
  <c r="C557" i="25" s="1"/>
  <c r="Q830" i="27"/>
  <c r="I317" i="27"/>
  <c r="J235" i="25" s="1"/>
  <c r="J239" i="25" s="1"/>
  <c r="H60" i="27"/>
  <c r="J518" i="25" s="1"/>
  <c r="H360" i="27"/>
  <c r="Q751" i="27"/>
  <c r="H347" i="27"/>
  <c r="P835" i="27"/>
  <c r="J702" i="27" s="1"/>
  <c r="K702" i="27" s="1"/>
  <c r="C749" i="25" s="1"/>
  <c r="C754" i="25" s="1"/>
  <c r="G510" i="27"/>
  <c r="H510" i="27" s="1"/>
  <c r="I508" i="27" s="1"/>
  <c r="C440" i="25" s="1"/>
  <c r="C442" i="25" s="1"/>
  <c r="F442" i="25" s="1"/>
  <c r="I105" i="27"/>
  <c r="H107" i="27" s="1"/>
  <c r="C612" i="25" s="1"/>
  <c r="H332" i="27"/>
  <c r="H321" i="27"/>
  <c r="H375" i="27"/>
  <c r="I95" i="27"/>
  <c r="H97" i="27" s="1"/>
  <c r="J625" i="25" s="1"/>
  <c r="H308" i="27"/>
  <c r="P709" i="27"/>
  <c r="I1386" i="27"/>
  <c r="J1380" i="27" s="1"/>
  <c r="G599" i="27"/>
  <c r="H599" i="27" s="1"/>
  <c r="I597" i="27" s="1"/>
  <c r="I186" i="27"/>
  <c r="C194" i="25" s="1"/>
  <c r="I201" i="27"/>
  <c r="C204" i="25" s="1"/>
  <c r="Q772" i="27"/>
  <c r="J1398" i="27"/>
  <c r="I1236" i="27"/>
  <c r="C939" i="25" s="1"/>
  <c r="Z352" i="26"/>
  <c r="Z342" i="26"/>
  <c r="Z210" i="26"/>
  <c r="Z348" i="26"/>
  <c r="Z33" i="26"/>
  <c r="Z216" i="26"/>
  <c r="P758" i="27"/>
  <c r="Z344" i="26"/>
  <c r="Z212" i="26"/>
  <c r="C529" i="27"/>
  <c r="G529" i="27" s="1"/>
  <c r="H529" i="27" s="1"/>
  <c r="G527" i="27"/>
  <c r="H527" i="27" s="1"/>
  <c r="G259" i="27"/>
  <c r="H259" i="27" s="1"/>
  <c r="C260" i="27"/>
  <c r="E260" i="27" s="1"/>
  <c r="H260" i="27" s="1"/>
  <c r="C220" i="27"/>
  <c r="E220" i="27" s="1"/>
  <c r="H220" i="27" s="1"/>
  <c r="C226" i="27"/>
  <c r="E226" i="27" s="1"/>
  <c r="H226" i="27" s="1"/>
  <c r="I491" i="27"/>
  <c r="J427" i="25" s="1"/>
  <c r="J429" i="25" s="1"/>
  <c r="M429" i="25" s="1"/>
  <c r="I400" i="27"/>
  <c r="O714" i="27"/>
  <c r="G543" i="27"/>
  <c r="H543" i="27" s="1"/>
  <c r="C544" i="27"/>
  <c r="G544" i="27" s="1"/>
  <c r="H544" i="27" s="1"/>
  <c r="Z347" i="26"/>
  <c r="Z215" i="26"/>
  <c r="Z30" i="26"/>
  <c r="M413" i="26"/>
  <c r="M271" i="26"/>
  <c r="N413" i="26"/>
  <c r="N271" i="26"/>
  <c r="M12" i="26"/>
  <c r="M17" i="26" s="1"/>
  <c r="Z9" i="26" s="1"/>
  <c r="I138" i="26"/>
  <c r="B166" i="26"/>
  <c r="D166" i="26" s="1"/>
  <c r="Z67" i="26" s="1"/>
  <c r="F1418" i="27" s="1"/>
  <c r="C1093" i="25" s="1"/>
  <c r="C275" i="26"/>
  <c r="H254" i="26"/>
  <c r="G92" i="26"/>
  <c r="H228" i="26"/>
  <c r="Z366" i="26"/>
  <c r="D401" i="26"/>
  <c r="C401" i="26"/>
  <c r="Z373" i="26" s="1"/>
  <c r="H101" i="26"/>
  <c r="H121" i="26" s="1"/>
  <c r="N11" i="26"/>
  <c r="O11" i="26" s="1"/>
  <c r="G94" i="26"/>
  <c r="Z58" i="26" s="1"/>
  <c r="Z367" i="26"/>
  <c r="G227" i="26"/>
  <c r="G230" i="26" s="1"/>
  <c r="M370" i="26"/>
  <c r="M390" i="26" s="1"/>
  <c r="I390" i="26"/>
  <c r="G121" i="26"/>
  <c r="G124" i="26" s="1"/>
  <c r="Z15" i="26"/>
  <c r="H116" i="27"/>
  <c r="C664" i="25" s="1"/>
  <c r="I459" i="27"/>
  <c r="H29" i="27"/>
  <c r="C214" i="25" s="1"/>
  <c r="Q793" i="27"/>
  <c r="P799" i="27"/>
  <c r="P1229" i="27"/>
  <c r="I1359" i="27"/>
  <c r="G447" i="27"/>
  <c r="H447" i="27" s="1"/>
  <c r="C448" i="27"/>
  <c r="G448" i="27" s="1"/>
  <c r="H448" i="27" s="1"/>
  <c r="P768" i="27"/>
  <c r="P1219" i="27"/>
  <c r="H295" i="27"/>
  <c r="I270" i="27"/>
  <c r="H278" i="27"/>
  <c r="O723" i="27"/>
  <c r="J701" i="27" s="1"/>
  <c r="K701" i="27" s="1"/>
  <c r="J749" i="25" s="1"/>
  <c r="P718" i="27"/>
  <c r="P664" i="27"/>
  <c r="I354" i="27"/>
  <c r="H406" i="27"/>
  <c r="I340" i="27"/>
  <c r="C292" i="25" s="1"/>
  <c r="C296" i="25" s="1"/>
  <c r="F296" i="25" s="1"/>
  <c r="I287" i="27"/>
  <c r="C235" i="25" s="1"/>
  <c r="C239" i="25" s="1"/>
  <c r="H37" i="27"/>
  <c r="J194" i="25" s="1"/>
  <c r="I327" i="27"/>
  <c r="C478" i="27"/>
  <c r="G478" i="27" s="1"/>
  <c r="H478" i="27" s="1"/>
  <c r="G477" i="27"/>
  <c r="H477" i="27" s="1"/>
  <c r="Z510" i="26"/>
  <c r="I93" i="26"/>
  <c r="K77" i="26"/>
  <c r="K93" i="26" s="1"/>
  <c r="D182" i="26"/>
  <c r="H191" i="26"/>
  <c r="H192" i="26" s="1"/>
  <c r="G192" i="26"/>
  <c r="M235" i="26"/>
  <c r="M255" i="26" s="1"/>
  <c r="F326" i="26" s="1"/>
  <c r="I255" i="26"/>
  <c r="L24" i="26"/>
  <c r="L32" i="26" s="1"/>
  <c r="H520" i="26"/>
  <c r="O12" i="26"/>
  <c r="H389" i="26"/>
  <c r="I1316" i="27" l="1"/>
  <c r="G1319" i="27" s="1"/>
  <c r="G1320" i="27" s="1"/>
  <c r="F457" i="26"/>
  <c r="Z390" i="26" s="1"/>
  <c r="J1304" i="27"/>
  <c r="Z375" i="26"/>
  <c r="Z13" i="26"/>
  <c r="G35" i="26"/>
  <c r="H504" i="26"/>
  <c r="N489" i="26" s="1"/>
  <c r="N504" i="26" s="1"/>
  <c r="H503" i="26"/>
  <c r="J258" i="26"/>
  <c r="Z243" i="26" s="1"/>
  <c r="J489" i="26"/>
  <c r="I524" i="26"/>
  <c r="Z502" i="26" s="1"/>
  <c r="J360" i="25"/>
  <c r="J364" i="25" s="1"/>
  <c r="J374" i="25"/>
  <c r="J378" i="25" s="1"/>
  <c r="C518" i="25"/>
  <c r="C507" i="25"/>
  <c r="F507" i="25" s="1"/>
  <c r="J248" i="25"/>
  <c r="J252" i="25" s="1"/>
  <c r="J263" i="25"/>
  <c r="J276" i="25" s="1"/>
  <c r="J280" i="25" s="1"/>
  <c r="J531" i="25"/>
  <c r="J520" i="25"/>
  <c r="M520" i="25" s="1"/>
  <c r="C1104" i="25"/>
  <c r="C1106" i="25" s="1"/>
  <c r="C262" i="25"/>
  <c r="C266" i="25" s="1"/>
  <c r="C249" i="25"/>
  <c r="C253" i="25" s="1"/>
  <c r="C275" i="25"/>
  <c r="C279" i="25" s="1"/>
  <c r="C318" i="25"/>
  <c r="C322" i="25" s="1"/>
  <c r="C305" i="25"/>
  <c r="C309" i="25" s="1"/>
  <c r="C331" i="25"/>
  <c r="C335" i="25" s="1"/>
  <c r="J332" i="25"/>
  <c r="J335" i="25" s="1"/>
  <c r="J319" i="25"/>
  <c r="J322" i="25" s="1"/>
  <c r="J305" i="25"/>
  <c r="J308" i="25" s="1"/>
  <c r="Z504" i="26"/>
  <c r="Z57" i="26"/>
  <c r="H122" i="26"/>
  <c r="I126" i="26" s="1"/>
  <c r="Z62" i="26" s="1"/>
  <c r="N17" i="26"/>
  <c r="J387" i="25"/>
  <c r="J389" i="25" s="1"/>
  <c r="M389" i="25" s="1"/>
  <c r="J400" i="25"/>
  <c r="J402" i="25" s="1"/>
  <c r="J413" i="25"/>
  <c r="J415" i="25" s="1"/>
  <c r="C625" i="25"/>
  <c r="C614" i="25"/>
  <c r="F614" i="25" s="1"/>
  <c r="J627" i="25"/>
  <c r="M627" i="25" s="1"/>
  <c r="J638" i="25"/>
  <c r="C666" i="25"/>
  <c r="F666" i="25" s="1"/>
  <c r="C677" i="25"/>
  <c r="C559" i="25"/>
  <c r="C570" i="25"/>
  <c r="J584" i="25"/>
  <c r="J573" i="25"/>
  <c r="M573" i="25" s="1"/>
  <c r="C755" i="25"/>
  <c r="F755" i="25" s="1"/>
  <c r="H1396" i="27"/>
  <c r="C1053" i="25" s="1"/>
  <c r="B196" i="26"/>
  <c r="Z85" i="26" s="1"/>
  <c r="I125" i="26"/>
  <c r="Z63" i="26" s="1"/>
  <c r="C1095" i="25"/>
  <c r="F1095" i="25" s="1"/>
  <c r="C1094" i="25"/>
  <c r="F1094" i="25" s="1"/>
  <c r="C940" i="25"/>
  <c r="C941" i="25"/>
  <c r="J924" i="25"/>
  <c r="J925" i="25"/>
  <c r="J700" i="27"/>
  <c r="K700" i="27" s="1"/>
  <c r="C779" i="25" s="1"/>
  <c r="C784" i="25" s="1"/>
  <c r="J697" i="27"/>
  <c r="K697" i="27" s="1"/>
  <c r="J797" i="25" s="1"/>
  <c r="I567" i="27"/>
  <c r="C479" i="25" s="1"/>
  <c r="J492" i="25"/>
  <c r="I254" i="27"/>
  <c r="J292" i="25" s="1"/>
  <c r="J295" i="25" s="1"/>
  <c r="M295" i="25" s="1"/>
  <c r="I606" i="27"/>
  <c r="J677" i="25"/>
  <c r="G639" i="27"/>
  <c r="H639" i="27" s="1"/>
  <c r="I635" i="27" s="1"/>
  <c r="H1392" i="27"/>
  <c r="H1394" i="27" s="1"/>
  <c r="C225" i="25" s="1"/>
  <c r="C227" i="25" s="1"/>
  <c r="J1346" i="27"/>
  <c r="H46" i="27"/>
  <c r="J204" i="25" s="1"/>
  <c r="I541" i="27"/>
  <c r="C453" i="25" s="1"/>
  <c r="I517" i="27"/>
  <c r="I216" i="27"/>
  <c r="J214" i="25" s="1"/>
  <c r="H262" i="27"/>
  <c r="I501" i="27"/>
  <c r="I475" i="27"/>
  <c r="I525" i="27"/>
  <c r="I445" i="27"/>
  <c r="J77" i="26"/>
  <c r="J93" i="26" s="1"/>
  <c r="J344" i="26"/>
  <c r="J364" i="26" s="1"/>
  <c r="I393" i="26"/>
  <c r="Z374" i="26" s="1"/>
  <c r="J370" i="26"/>
  <c r="J390" i="26" s="1"/>
  <c r="Z256" i="26"/>
  <c r="F458" i="26"/>
  <c r="Z391" i="26" s="1"/>
  <c r="J1355" i="27"/>
  <c r="I468" i="27"/>
  <c r="Z11" i="26"/>
  <c r="N255" i="26"/>
  <c r="J235" i="26"/>
  <c r="J255" i="26" s="1"/>
  <c r="J209" i="26"/>
  <c r="J229" i="26" s="1"/>
  <c r="N209" i="26"/>
  <c r="N229" i="26" s="1"/>
  <c r="O9" i="26"/>
  <c r="O17" i="26" s="1"/>
  <c r="Z12" i="26" s="1"/>
  <c r="J504" i="26"/>
  <c r="J509" i="26"/>
  <c r="J521" i="26" s="1"/>
  <c r="N509" i="26"/>
  <c r="N521" i="26" s="1"/>
  <c r="D8251" i="1"/>
  <c r="D8261" i="1"/>
  <c r="E8261" i="1" s="1"/>
  <c r="D8271" i="1"/>
  <c r="E8271" i="1" s="1"/>
  <c r="B8266" i="1"/>
  <c r="B8267" i="1" s="1"/>
  <c r="B8269" i="1"/>
  <c r="B8270" i="1" s="1"/>
  <c r="B8259" i="1"/>
  <c r="B8260" i="1" s="1"/>
  <c r="B8249" i="1"/>
  <c r="B8250" i="1" s="1"/>
  <c r="B8256" i="1"/>
  <c r="B8257" i="1" s="1"/>
  <c r="B8258" i="1" s="1"/>
  <c r="B8246" i="1"/>
  <c r="B8247" i="1" s="1"/>
  <c r="B8248" i="1" s="1"/>
  <c r="D8263" i="1"/>
  <c r="D8273" i="1" s="1"/>
  <c r="D8246" i="1"/>
  <c r="D8250" i="1"/>
  <c r="D8249" i="1"/>
  <c r="D8326" i="1"/>
  <c r="B8325" i="1"/>
  <c r="J863" i="25" l="1"/>
  <c r="J868" i="25" s="1"/>
  <c r="C863" i="25"/>
  <c r="J1316" i="27"/>
  <c r="C1105" i="25"/>
  <c r="I525" i="26"/>
  <c r="Z500" i="26" s="1"/>
  <c r="C577" i="26"/>
  <c r="Z509" i="26" s="1"/>
  <c r="J544" i="25"/>
  <c r="J533" i="25"/>
  <c r="C531" i="25"/>
  <c r="C520" i="25"/>
  <c r="J267" i="25"/>
  <c r="L101" i="26"/>
  <c r="L122" i="26" s="1"/>
  <c r="B197" i="26" s="1"/>
  <c r="Z84" i="26" s="1"/>
  <c r="Z87" i="26" s="1"/>
  <c r="J101" i="26"/>
  <c r="J122" i="26" s="1"/>
  <c r="I127" i="26" s="1"/>
  <c r="Z60" i="26" s="1"/>
  <c r="E8251" i="1"/>
  <c r="E753" i="25"/>
  <c r="C1054" i="25"/>
  <c r="D8256" i="1"/>
  <c r="D8266" i="1" s="1"/>
  <c r="L173" i="25" s="1"/>
  <c r="L193" i="25" s="1"/>
  <c r="L161" i="25" s="1"/>
  <c r="M161" i="25" s="1"/>
  <c r="E748" i="25"/>
  <c r="C492" i="25"/>
  <c r="C494" i="25" s="1"/>
  <c r="C481" i="25"/>
  <c r="J453" i="25"/>
  <c r="J440" i="25"/>
  <c r="J442" i="25" s="1"/>
  <c r="M442" i="25" s="1"/>
  <c r="C400" i="25"/>
  <c r="C402" i="25" s="1"/>
  <c r="F402" i="25" s="1"/>
  <c r="C427" i="25"/>
  <c r="C413" i="25"/>
  <c r="C415" i="25" s="1"/>
  <c r="C455" i="25"/>
  <c r="F455" i="25" s="1"/>
  <c r="C466" i="25"/>
  <c r="C468" i="25" s="1"/>
  <c r="J505" i="25"/>
  <c r="J507" i="25" s="1"/>
  <c r="J494" i="25"/>
  <c r="J679" i="25"/>
  <c r="J690" i="25"/>
  <c r="J692" i="25" s="1"/>
  <c r="D8259" i="1"/>
  <c r="D8269" i="1" s="1"/>
  <c r="E8269" i="1" s="1"/>
  <c r="E751" i="25"/>
  <c r="D8260" i="1"/>
  <c r="D8270" i="1" s="1"/>
  <c r="E8270" i="1" s="1"/>
  <c r="E752" i="25"/>
  <c r="J640" i="25"/>
  <c r="J651" i="25"/>
  <c r="J653" i="25" s="1"/>
  <c r="C679" i="25"/>
  <c r="C690" i="25"/>
  <c r="C692" i="25" s="1"/>
  <c r="C627" i="25"/>
  <c r="C638" i="25"/>
  <c r="C584" i="25"/>
  <c r="C572" i="25"/>
  <c r="J586" i="25"/>
  <c r="J597" i="25"/>
  <c r="C1055" i="25"/>
  <c r="F1055" i="25" s="1"/>
  <c r="E8250" i="1"/>
  <c r="M925" i="25"/>
  <c r="I1237" i="27"/>
  <c r="J837" i="25" s="1"/>
  <c r="E938" i="27"/>
  <c r="E951" i="27" s="1"/>
  <c r="D921" i="27" s="1"/>
  <c r="C785" i="25"/>
  <c r="F785" i="25" s="1"/>
  <c r="I645" i="27"/>
  <c r="C703" i="25"/>
  <c r="J260" i="26"/>
  <c r="Z240" i="26" s="1"/>
  <c r="I551" i="27"/>
  <c r="I484" i="27"/>
  <c r="I534" i="27"/>
  <c r="I452" i="27"/>
  <c r="C387" i="25"/>
  <c r="C389" i="25" s="1"/>
  <c r="F389" i="25" s="1"/>
  <c r="I394" i="26"/>
  <c r="Z372" i="26" s="1"/>
  <c r="F327" i="26"/>
  <c r="Z257" i="26" s="1"/>
  <c r="Z393" i="26"/>
  <c r="J1402" i="27"/>
  <c r="C1077" i="25" s="1"/>
  <c r="H1398" i="27"/>
  <c r="Z242" i="26"/>
  <c r="B8252" i="1"/>
  <c r="B8253" i="1" s="1"/>
  <c r="B8272" i="1"/>
  <c r="B8273" i="1" s="1"/>
  <c r="E8273" i="1" s="1"/>
  <c r="B8268" i="1"/>
  <c r="B8262" i="1"/>
  <c r="B8263" i="1" s="1"/>
  <c r="E8263" i="1" s="1"/>
  <c r="E8253" i="1"/>
  <c r="E8246" i="1"/>
  <c r="E8249" i="1"/>
  <c r="D8106" i="1"/>
  <c r="C877" i="25" l="1"/>
  <c r="C882" i="25" s="1"/>
  <c r="C868" i="25"/>
  <c r="J869" i="25"/>
  <c r="Z507" i="26"/>
  <c r="C1078" i="25"/>
  <c r="C1079" i="25"/>
  <c r="C533" i="25"/>
  <c r="C544" i="25"/>
  <c r="C546" i="25" s="1"/>
  <c r="J557" i="25"/>
  <c r="J559" i="25" s="1"/>
  <c r="J546" i="25"/>
  <c r="E8260" i="1"/>
  <c r="F753" i="25"/>
  <c r="E8256" i="1"/>
  <c r="E8266" i="1"/>
  <c r="E8259" i="1"/>
  <c r="L748" i="25"/>
  <c r="L762" i="25" s="1"/>
  <c r="M762" i="25" s="1"/>
  <c r="E715" i="25"/>
  <c r="F715" i="25" s="1"/>
  <c r="E762" i="25"/>
  <c r="E778" i="25" s="1"/>
  <c r="J455" i="25"/>
  <c r="J466" i="25"/>
  <c r="C429" i="25"/>
  <c r="C716" i="25"/>
  <c r="C705" i="25"/>
  <c r="E766" i="25"/>
  <c r="L752" i="25"/>
  <c r="L766" i="25" s="1"/>
  <c r="M766" i="25" s="1"/>
  <c r="F752" i="25"/>
  <c r="E765" i="25"/>
  <c r="F751" i="25"/>
  <c r="L751" i="25"/>
  <c r="L765" i="25" s="1"/>
  <c r="M765" i="25" s="1"/>
  <c r="C640" i="25"/>
  <c r="C651" i="25"/>
  <c r="C653" i="25" s="1"/>
  <c r="J612" i="25"/>
  <c r="J599" i="25"/>
  <c r="C586" i="25"/>
  <c r="C597" i="25"/>
  <c r="E8106" i="1"/>
  <c r="E1097" i="25"/>
  <c r="F1097" i="25" s="1"/>
  <c r="J1404" i="27"/>
  <c r="C1065" i="25"/>
  <c r="J839" i="25"/>
  <c r="J838" i="25"/>
  <c r="Z361" i="26"/>
  <c r="Z229" i="26"/>
  <c r="Z259" i="26"/>
  <c r="C869" i="25" l="1"/>
  <c r="F869" i="25" s="1"/>
  <c r="F868" i="25"/>
  <c r="C883" i="25"/>
  <c r="F883" i="25" s="1"/>
  <c r="E835" i="25"/>
  <c r="F835" i="25" s="1"/>
  <c r="E849" i="25"/>
  <c r="E862" i="25" s="1"/>
  <c r="J468" i="25"/>
  <c r="J479" i="25"/>
  <c r="J481" i="25" s="1"/>
  <c r="C718" i="25"/>
  <c r="E781" i="25"/>
  <c r="E852" i="25" s="1"/>
  <c r="E865" i="25" s="1"/>
  <c r="F765" i="25"/>
  <c r="E782" i="25"/>
  <c r="E853" i="25" s="1"/>
  <c r="E866" i="25" s="1"/>
  <c r="F766" i="25"/>
  <c r="C599" i="25"/>
  <c r="J614" i="25"/>
  <c r="C1066" i="25"/>
  <c r="C1067" i="25"/>
  <c r="D1689" i="1"/>
  <c r="D2095" i="1" s="1"/>
  <c r="D2360" i="1" s="1"/>
  <c r="B1681" i="1"/>
  <c r="D1678" i="1"/>
  <c r="E1678" i="1" s="1"/>
  <c r="B1653" i="1"/>
  <c r="D1367" i="1"/>
  <c r="B1360" i="1"/>
  <c r="B1335" i="1"/>
  <c r="D1339" i="1"/>
  <c r="D1364" i="1" s="1"/>
  <c r="E1364" i="1" s="1"/>
  <c r="D1360" i="1"/>
  <c r="D1357" i="1"/>
  <c r="E1357" i="1" s="1"/>
  <c r="B8408" i="1"/>
  <c r="B8398" i="1"/>
  <c r="D8393" i="1"/>
  <c r="B9355" i="1"/>
  <c r="D9351" i="1"/>
  <c r="E234" i="25" s="1"/>
  <c r="E880" i="25" l="1"/>
  <c r="F880" i="25" s="1"/>
  <c r="L866" i="25"/>
  <c r="M866" i="25" s="1"/>
  <c r="F866" i="25"/>
  <c r="E879" i="25"/>
  <c r="F879" i="25" s="1"/>
  <c r="L865" i="25"/>
  <c r="M865" i="25" s="1"/>
  <c r="F865" i="25"/>
  <c r="F862" i="25"/>
  <c r="E876" i="25"/>
  <c r="F876" i="25" s="1"/>
  <c r="L862" i="25"/>
  <c r="M862" i="25" s="1"/>
  <c r="L853" i="25"/>
  <c r="M853" i="25" s="1"/>
  <c r="F853" i="25"/>
  <c r="L852" i="25"/>
  <c r="M852" i="25" s="1"/>
  <c r="F852" i="25"/>
  <c r="L849" i="25"/>
  <c r="M849" i="25" s="1"/>
  <c r="F849" i="25"/>
  <c r="F781" i="25"/>
  <c r="E838" i="25"/>
  <c r="F838" i="25" s="1"/>
  <c r="F782" i="25"/>
  <c r="E839" i="25"/>
  <c r="F839" i="25" s="1"/>
  <c r="E291" i="25"/>
  <c r="E248" i="25" s="1"/>
  <c r="F248" i="25" s="1"/>
  <c r="L234" i="25"/>
  <c r="S234" i="25" s="1"/>
  <c r="D1657" i="1"/>
  <c r="D1685" i="1" s="1"/>
  <c r="E1360" i="1"/>
  <c r="B8518" i="1"/>
  <c r="E8518" i="1" s="1"/>
  <c r="E8517" i="1"/>
  <c r="B8516" i="1"/>
  <c r="D9375" i="1"/>
  <c r="E9375" i="1" s="1"/>
  <c r="D9376" i="1"/>
  <c r="B9377" i="1"/>
  <c r="B9376" i="1"/>
  <c r="B9397" i="1"/>
  <c r="B9394" i="1" s="1"/>
  <c r="B9396" i="1"/>
  <c r="B8239" i="1"/>
  <c r="B8238" i="1" s="1"/>
  <c r="B8230" i="1"/>
  <c r="B8229" i="1" s="1"/>
  <c r="D8224" i="1"/>
  <c r="D8233" i="1" s="1"/>
  <c r="S262" i="25" l="1"/>
  <c r="T262" i="25" s="1"/>
  <c r="S247" i="25"/>
  <c r="T247" i="25" s="1"/>
  <c r="T234" i="25"/>
  <c r="D8242" i="1"/>
  <c r="L802" i="25"/>
  <c r="E1685" i="1"/>
  <c r="D2091" i="1"/>
  <c r="L247" i="25"/>
  <c r="L262" i="25"/>
  <c r="E9376" i="1"/>
  <c r="B8515" i="1"/>
  <c r="B9374" i="1"/>
  <c r="L816" i="25" l="1"/>
  <c r="L829" i="25" s="1"/>
  <c r="L843" i="25" s="1"/>
  <c r="L928" i="25" s="1"/>
  <c r="E2091" i="1"/>
  <c r="D2356" i="1"/>
  <c r="E2356" i="1" s="1"/>
  <c r="E929" i="25"/>
  <c r="L944" i="25"/>
  <c r="E945" i="25" s="1"/>
  <c r="M247" i="25"/>
  <c r="L275" i="25"/>
  <c r="M275" i="25" s="1"/>
  <c r="B8528" i="1"/>
  <c r="B8508" i="1"/>
  <c r="B8498" i="1"/>
  <c r="B8488" i="1"/>
  <c r="B8478" i="1"/>
  <c r="B8468" i="1"/>
  <c r="B8458" i="1"/>
  <c r="B8448" i="1"/>
  <c r="B8438" i="1"/>
  <c r="B8428" i="1"/>
  <c r="B8418" i="1"/>
  <c r="B9356" i="1" l="1"/>
  <c r="B9407" i="1"/>
  <c r="B9406" i="1"/>
  <c r="B8090" i="1"/>
  <c r="B8089" i="1"/>
  <c r="B8082" i="1"/>
  <c r="B8081" i="1"/>
  <c r="B8074" i="1"/>
  <c r="B8073" i="1"/>
  <c r="B8066" i="1"/>
  <c r="B8065" i="1"/>
  <c r="B8058" i="1"/>
  <c r="B8057" i="1"/>
  <c r="B9404" i="1" l="1"/>
  <c r="D5883" i="1"/>
  <c r="D5860" i="1"/>
  <c r="D6919" i="1"/>
  <c r="D6942" i="1" s="1"/>
  <c r="E6942" i="1" s="1"/>
  <c r="D6918" i="1"/>
  <c r="D1565" i="1"/>
  <c r="D1864" i="1" s="1"/>
  <c r="E5860" i="1" l="1"/>
  <c r="D5943" i="1"/>
  <c r="E5943" i="1" s="1"/>
  <c r="D8720" i="1"/>
  <c r="E663" i="25" s="1"/>
  <c r="E676" i="25" s="1"/>
  <c r="E689" i="25" s="1"/>
  <c r="F689" i="25" l="1"/>
  <c r="L710" i="25"/>
  <c r="B8735" i="1"/>
  <c r="B8745" i="1" s="1"/>
  <c r="D8745" i="1"/>
  <c r="H8104" i="1"/>
  <c r="J8105" i="1" s="1"/>
  <c r="D8104" i="1"/>
  <c r="D8103" i="1"/>
  <c r="E8105" i="1"/>
  <c r="L726" i="25" l="1"/>
  <c r="M710" i="25"/>
  <c r="E8104" i="1"/>
  <c r="E1092" i="25"/>
  <c r="F1092" i="25" s="1"/>
  <c r="E8103" i="1"/>
  <c r="E1091" i="25"/>
  <c r="F1091" i="25" s="1"/>
  <c r="E8735" i="1"/>
  <c r="E8745" i="1"/>
  <c r="E729" i="25" l="1"/>
  <c r="F729" i="25" s="1"/>
  <c r="M726" i="25"/>
  <c r="B8107" i="1"/>
  <c r="E8107" i="1" s="1"/>
  <c r="F8107" i="1" s="1"/>
  <c r="C1098" i="25"/>
  <c r="F1098" i="25" s="1"/>
  <c r="I61" i="3"/>
  <c r="H61" i="3"/>
  <c r="I62" i="3" s="1"/>
  <c r="D8213" i="1"/>
  <c r="L782" i="25" s="1"/>
  <c r="M782" i="25" s="1"/>
  <c r="B8725" i="1"/>
  <c r="E8725" i="1" s="1"/>
  <c r="B9366" i="1"/>
  <c r="B9386" i="1"/>
  <c r="E9355" i="1"/>
  <c r="B8598" i="1"/>
  <c r="B8588" i="1"/>
  <c r="B8578" i="1"/>
  <c r="B8568" i="1"/>
  <c r="B8558" i="1"/>
  <c r="B8548" i="1"/>
  <c r="B8538" i="1"/>
  <c r="E8398" i="1"/>
  <c r="B9387" i="1"/>
  <c r="D9385" i="1"/>
  <c r="D9395" i="1" s="1"/>
  <c r="E9395" i="1" s="1"/>
  <c r="B9367" i="1"/>
  <c r="B9364" i="1" s="1"/>
  <c r="D8222" i="1" l="1"/>
  <c r="E9385" i="1"/>
  <c r="D9405" i="1"/>
  <c r="E9405" i="1" s="1"/>
  <c r="E8418" i="1"/>
  <c r="E9366" i="1"/>
  <c r="D9386" i="1"/>
  <c r="D9396" i="1" s="1"/>
  <c r="E9396" i="1" s="1"/>
  <c r="E8408" i="1"/>
  <c r="B9384" i="1"/>
  <c r="D9362" i="1"/>
  <c r="B8536" i="1"/>
  <c r="E8407" i="1"/>
  <c r="D8410" i="1"/>
  <c r="D8420" i="1" s="1"/>
  <c r="D8430" i="1" s="1"/>
  <c r="D8440" i="1" s="1"/>
  <c r="D8450" i="1" s="1"/>
  <c r="D8460" i="1" s="1"/>
  <c r="D8470" i="1" s="1"/>
  <c r="D8480" i="1" s="1"/>
  <c r="D8490" i="1" s="1"/>
  <c r="D8500" i="1" s="1"/>
  <c r="D8510" i="1" s="1"/>
  <c r="D8403" i="1"/>
  <c r="D8413" i="1" s="1"/>
  <c r="D8423" i="1" s="1"/>
  <c r="D8433" i="1" s="1"/>
  <c r="B8596" i="1"/>
  <c r="B8586" i="1"/>
  <c r="B8576" i="1"/>
  <c r="B8575" i="1" s="1"/>
  <c r="B8566" i="1"/>
  <c r="B8556" i="1"/>
  <c r="B8555" i="1" s="1"/>
  <c r="B8546" i="1"/>
  <c r="B8545" i="1" s="1"/>
  <c r="B8526" i="1"/>
  <c r="B8525" i="1" s="1"/>
  <c r="B8506" i="1"/>
  <c r="B8496" i="1"/>
  <c r="B8495" i="1" s="1"/>
  <c r="B8486" i="1"/>
  <c r="B8476" i="1"/>
  <c r="B8475" i="1" s="1"/>
  <c r="B8466" i="1"/>
  <c r="B8465" i="1" s="1"/>
  <c r="B8456" i="1"/>
  <c r="B8455" i="1" s="1"/>
  <c r="B8446" i="1"/>
  <c r="B8445" i="1" s="1"/>
  <c r="B8436" i="1"/>
  <c r="B8435" i="1" s="1"/>
  <c r="B8426" i="1"/>
  <c r="D8209" i="1"/>
  <c r="D8218" i="1" s="1"/>
  <c r="D8227" i="1" s="1"/>
  <c r="D8530" i="1" l="1"/>
  <c r="D8540" i="1" s="1"/>
  <c r="D8550" i="1" s="1"/>
  <c r="D8560" i="1" s="1"/>
  <c r="D8570" i="1" s="1"/>
  <c r="D8580" i="1" s="1"/>
  <c r="D8590" i="1" s="1"/>
  <c r="D8600" i="1" s="1"/>
  <c r="D8520" i="1"/>
  <c r="D9382" i="1"/>
  <c r="D9392" i="1" s="1"/>
  <c r="E9392" i="1" s="1"/>
  <c r="D9372" i="1"/>
  <c r="E9372" i="1" s="1"/>
  <c r="D8236" i="1"/>
  <c r="E8236" i="1" s="1"/>
  <c r="E8227" i="1"/>
  <c r="E8222" i="1"/>
  <c r="D8231" i="1"/>
  <c r="L800" i="25" s="1"/>
  <c r="E9386" i="1"/>
  <c r="D9406" i="1"/>
  <c r="E9406" i="1" s="1"/>
  <c r="E8428" i="1"/>
  <c r="E8458" i="1"/>
  <c r="E8448" i="1"/>
  <c r="E8488" i="1"/>
  <c r="E8438" i="1"/>
  <c r="E8478" i="1"/>
  <c r="E8468" i="1"/>
  <c r="D8443" i="1"/>
  <c r="E8433" i="1"/>
  <c r="B8595" i="1"/>
  <c r="B8585" i="1"/>
  <c r="B8565" i="1"/>
  <c r="B8535" i="1"/>
  <c r="B8505" i="1"/>
  <c r="B8485" i="1"/>
  <c r="B8425" i="1"/>
  <c r="M800" i="25" l="1"/>
  <c r="L814" i="25"/>
  <c r="E9382" i="1"/>
  <c r="D9402" i="1"/>
  <c r="E9402" i="1" s="1"/>
  <c r="E8231" i="1"/>
  <c r="D8240" i="1"/>
  <c r="E8240" i="1" s="1"/>
  <c r="E8498" i="1"/>
  <c r="E8417" i="1"/>
  <c r="D8453" i="1"/>
  <c r="E8443" i="1"/>
  <c r="L827" i="25" l="1"/>
  <c r="M814" i="25"/>
  <c r="D8528" i="1"/>
  <c r="E8508" i="1"/>
  <c r="E8427" i="1"/>
  <c r="D8463" i="1"/>
  <c r="E8453" i="1"/>
  <c r="L841" i="25" l="1"/>
  <c r="M827" i="25"/>
  <c r="D8538" i="1"/>
  <c r="E8528" i="1"/>
  <c r="E8437" i="1"/>
  <c r="E8463" i="1"/>
  <c r="D8473" i="1"/>
  <c r="M841" i="25" l="1"/>
  <c r="L926" i="25"/>
  <c r="D8548" i="1"/>
  <c r="E8538" i="1"/>
  <c r="E8447" i="1"/>
  <c r="D8483" i="1"/>
  <c r="E8473" i="1"/>
  <c r="M926" i="25" l="1"/>
  <c r="E927" i="25"/>
  <c r="F927" i="25" s="1"/>
  <c r="L942" i="25"/>
  <c r="E8548" i="1"/>
  <c r="D8558" i="1"/>
  <c r="E8457" i="1"/>
  <c r="E8483" i="1"/>
  <c r="D8493" i="1"/>
  <c r="C54" i="3"/>
  <c r="C56" i="3"/>
  <c r="D2085" i="1" l="1"/>
  <c r="D1107" i="1"/>
  <c r="E1107" i="1" s="1"/>
  <c r="D2072" i="1"/>
  <c r="D1679" i="1"/>
  <c r="D1358" i="1"/>
  <c r="E943" i="25"/>
  <c r="F943" i="25" s="1"/>
  <c r="M942" i="25"/>
  <c r="D8568" i="1"/>
  <c r="E8558" i="1"/>
  <c r="E8467" i="1"/>
  <c r="D8503" i="1"/>
  <c r="D8513" i="1" s="1"/>
  <c r="E8513" i="1" s="1"/>
  <c r="E8493" i="1"/>
  <c r="C18" i="20"/>
  <c r="E1679" i="1" l="1"/>
  <c r="D1680" i="1"/>
  <c r="E1680" i="1" s="1"/>
  <c r="E2072" i="1"/>
  <c r="D2337" i="1"/>
  <c r="E2337" i="1" s="1"/>
  <c r="E1358" i="1"/>
  <c r="D1359" i="1"/>
  <c r="E1359" i="1" s="1"/>
  <c r="D2086" i="1"/>
  <c r="E2085" i="1"/>
  <c r="D2350" i="1"/>
  <c r="E2350" i="1" s="1"/>
  <c r="D8578" i="1"/>
  <c r="E8568" i="1"/>
  <c r="E8477" i="1"/>
  <c r="E8503" i="1"/>
  <c r="D8523" i="1"/>
  <c r="C15" i="20"/>
  <c r="E2086" i="1" l="1"/>
  <c r="D2351" i="1"/>
  <c r="E2351" i="1" s="1"/>
  <c r="D8588" i="1"/>
  <c r="E8578" i="1"/>
  <c r="E8487" i="1"/>
  <c r="D8533" i="1"/>
  <c r="E8523" i="1"/>
  <c r="C185" i="20"/>
  <c r="D8598" i="1" l="1"/>
  <c r="E8598" i="1" s="1"/>
  <c r="E8588" i="1"/>
  <c r="E8497" i="1"/>
  <c r="E8533" i="1"/>
  <c r="D8543" i="1"/>
  <c r="C665" i="25"/>
  <c r="C704" i="25"/>
  <c r="C1042" i="25"/>
  <c r="C1040" i="25"/>
  <c r="C1041" i="25" s="1"/>
  <c r="C1039" i="25"/>
  <c r="F1039" i="25" s="1"/>
  <c r="C1038" i="25"/>
  <c r="C1031" i="25"/>
  <c r="F1031" i="25" s="1"/>
  <c r="E1030" i="25"/>
  <c r="F1030" i="25" s="1"/>
  <c r="C1029" i="25"/>
  <c r="F1029" i="25" s="1"/>
  <c r="E1028" i="25"/>
  <c r="F1028" i="25" s="1"/>
  <c r="E1027" i="25"/>
  <c r="F1027" i="25" s="1"/>
  <c r="E1018" i="25"/>
  <c r="C1018" i="25"/>
  <c r="F1017" i="25"/>
  <c r="E1016" i="25"/>
  <c r="F1016" i="25" s="1"/>
  <c r="C1009" i="25"/>
  <c r="F1009" i="25" s="1"/>
  <c r="C1008" i="25"/>
  <c r="F1008" i="25" s="1"/>
  <c r="E1007" i="25"/>
  <c r="F1007" i="25" s="1"/>
  <c r="J1004" i="25"/>
  <c r="M1004" i="25" s="1"/>
  <c r="L1003" i="25"/>
  <c r="J1002" i="25"/>
  <c r="J1001" i="25"/>
  <c r="F1001" i="25"/>
  <c r="L1000" i="25"/>
  <c r="M1000" i="25" s="1"/>
  <c r="I1000" i="25"/>
  <c r="C1000" i="25"/>
  <c r="F1000" i="25" s="1"/>
  <c r="L999" i="25"/>
  <c r="M999" i="25" s="1"/>
  <c r="E999" i="25"/>
  <c r="F999" i="25" s="1"/>
  <c r="M992" i="25"/>
  <c r="F992" i="25"/>
  <c r="J991" i="25"/>
  <c r="M991" i="25" s="1"/>
  <c r="C991" i="25"/>
  <c r="F991" i="25" s="1"/>
  <c r="M984" i="25"/>
  <c r="F984" i="25"/>
  <c r="J983" i="25"/>
  <c r="M983" i="25" s="1"/>
  <c r="C983" i="25"/>
  <c r="F983" i="25" s="1"/>
  <c r="F977" i="25"/>
  <c r="F976" i="25"/>
  <c r="E975" i="25"/>
  <c r="C975" i="25"/>
  <c r="J977" i="25"/>
  <c r="M977" i="25" s="1"/>
  <c r="M976" i="25"/>
  <c r="L975" i="25"/>
  <c r="M975" i="25" s="1"/>
  <c r="J799" i="25"/>
  <c r="J798" i="25"/>
  <c r="I797" i="25"/>
  <c r="M753" i="25"/>
  <c r="J751" i="25"/>
  <c r="J752" i="25" s="1"/>
  <c r="J754" i="25"/>
  <c r="E704" i="25"/>
  <c r="E703" i="25"/>
  <c r="F703" i="25" s="1"/>
  <c r="E702" i="25"/>
  <c r="J678" i="25"/>
  <c r="J626" i="25"/>
  <c r="C613" i="25"/>
  <c r="J572" i="25"/>
  <c r="C558" i="25"/>
  <c r="J493" i="25"/>
  <c r="C454" i="25"/>
  <c r="J441" i="25"/>
  <c r="C441" i="25"/>
  <c r="J428" i="25"/>
  <c r="C401" i="25"/>
  <c r="J388" i="25"/>
  <c r="C388" i="25"/>
  <c r="J306" i="25"/>
  <c r="C263" i="25"/>
  <c r="J293" i="25"/>
  <c r="C346" i="25"/>
  <c r="J264" i="25"/>
  <c r="C293" i="25"/>
  <c r="J236" i="25"/>
  <c r="C236" i="25"/>
  <c r="J228" i="25"/>
  <c r="M228" i="25" s="1"/>
  <c r="M227" i="25"/>
  <c r="L226" i="25"/>
  <c r="J226" i="25"/>
  <c r="C226" i="25"/>
  <c r="J216" i="25"/>
  <c r="C216" i="25"/>
  <c r="J215" i="25"/>
  <c r="C215" i="25"/>
  <c r="J206" i="25"/>
  <c r="C206" i="25"/>
  <c r="J205" i="25"/>
  <c r="C205" i="25"/>
  <c r="J196" i="25"/>
  <c r="C196" i="25"/>
  <c r="J195" i="25"/>
  <c r="C195" i="25"/>
  <c r="J176" i="25"/>
  <c r="J175" i="25"/>
  <c r="F167" i="25"/>
  <c r="F166" i="25"/>
  <c r="F159" i="25"/>
  <c r="E158" i="25"/>
  <c r="F158" i="25" s="1"/>
  <c r="E157" i="25"/>
  <c r="C157" i="25"/>
  <c r="F150" i="25"/>
  <c r="F149" i="25"/>
  <c r="F148" i="25"/>
  <c r="F147" i="25"/>
  <c r="E144" i="25"/>
  <c r="F144" i="25" s="1"/>
  <c r="F138" i="25"/>
  <c r="F137" i="25"/>
  <c r="F136" i="25"/>
  <c r="F135" i="25"/>
  <c r="F132" i="25"/>
  <c r="F126" i="25"/>
  <c r="F125" i="25"/>
  <c r="F124" i="25"/>
  <c r="F123" i="25"/>
  <c r="E122" i="25"/>
  <c r="E120" i="25"/>
  <c r="F114" i="25"/>
  <c r="F113" i="25"/>
  <c r="F112" i="25"/>
  <c r="F111" i="25"/>
  <c r="E110" i="25"/>
  <c r="F110" i="25" s="1"/>
  <c r="E108" i="25"/>
  <c r="F108" i="25" s="1"/>
  <c r="F102" i="25"/>
  <c r="F101" i="25"/>
  <c r="F94" i="25"/>
  <c r="F93" i="25"/>
  <c r="F92" i="25"/>
  <c r="F91" i="25"/>
  <c r="E90" i="25"/>
  <c r="F90" i="25" s="1"/>
  <c r="E88" i="25"/>
  <c r="F88" i="25" s="1"/>
  <c r="F82" i="25"/>
  <c r="C81" i="25"/>
  <c r="F75" i="25"/>
  <c r="F74" i="25"/>
  <c r="E73" i="25"/>
  <c r="C73" i="25"/>
  <c r="F67" i="25"/>
  <c r="F66" i="25"/>
  <c r="C65" i="25"/>
  <c r="F59" i="25"/>
  <c r="F58" i="25"/>
  <c r="F57" i="25"/>
  <c r="L56" i="25"/>
  <c r="F56" i="25"/>
  <c r="L55" i="25"/>
  <c r="K54" i="25"/>
  <c r="L54" i="25" s="1"/>
  <c r="E81" i="25" s="1"/>
  <c r="L50" i="25"/>
  <c r="L49" i="25"/>
  <c r="L48" i="25"/>
  <c r="F48" i="25"/>
  <c r="C47" i="25"/>
  <c r="L45" i="25"/>
  <c r="K44" i="25"/>
  <c r="L44" i="25" s="1"/>
  <c r="L43" i="25"/>
  <c r="L42" i="25"/>
  <c r="L41" i="25"/>
  <c r="F41" i="25"/>
  <c r="F40" i="25"/>
  <c r="F39" i="25"/>
  <c r="L38" i="25"/>
  <c r="F38" i="25"/>
  <c r="L37" i="25"/>
  <c r="E37" i="25"/>
  <c r="F37" i="25" s="1"/>
  <c r="K36" i="25"/>
  <c r="L36" i="25" s="1"/>
  <c r="E35" i="25"/>
  <c r="F35" i="25" s="1"/>
  <c r="L32" i="25"/>
  <c r="L31" i="25"/>
  <c r="L30" i="25"/>
  <c r="F29" i="25"/>
  <c r="F28" i="25"/>
  <c r="L27" i="25"/>
  <c r="F27" i="25"/>
  <c r="K26" i="25"/>
  <c r="L26" i="25" s="1"/>
  <c r="F26" i="25"/>
  <c r="L25" i="25"/>
  <c r="E25" i="25"/>
  <c r="L24" i="25"/>
  <c r="E23" i="25"/>
  <c r="E16" i="25"/>
  <c r="F16" i="25" s="1"/>
  <c r="E15" i="25"/>
  <c r="F15" i="25" s="1"/>
  <c r="E14" i="25"/>
  <c r="F14" i="25" s="1"/>
  <c r="E13" i="25"/>
  <c r="F13" i="25" s="1"/>
  <c r="C6" i="25"/>
  <c r="F6" i="25" s="1"/>
  <c r="E5" i="25"/>
  <c r="F5" i="25" s="1"/>
  <c r="E4" i="25"/>
  <c r="F4" i="25" s="1"/>
  <c r="E3" i="25"/>
  <c r="F3" i="25" s="1"/>
  <c r="M993" i="25" l="1"/>
  <c r="L1001" i="25"/>
  <c r="M1001" i="25" s="1"/>
  <c r="F702" i="25"/>
  <c r="M752" i="25"/>
  <c r="F23" i="25"/>
  <c r="K108" i="25"/>
  <c r="E134" i="25"/>
  <c r="K122" i="25"/>
  <c r="L122" i="25" s="1"/>
  <c r="F25" i="25"/>
  <c r="K110" i="25"/>
  <c r="L110" i="25" s="1"/>
  <c r="F120" i="25"/>
  <c r="K120" i="25"/>
  <c r="L120" i="25" s="1"/>
  <c r="E344" i="25"/>
  <c r="M493" i="25"/>
  <c r="F985" i="25"/>
  <c r="F987" i="25" s="1"/>
  <c r="F73" i="25"/>
  <c r="F77" i="25" s="1"/>
  <c r="F169" i="25"/>
  <c r="F157" i="25"/>
  <c r="F161" i="25" s="1"/>
  <c r="E8507" i="1"/>
  <c r="D8553" i="1"/>
  <c r="E8543" i="1"/>
  <c r="F8" i="25"/>
  <c r="M751" i="25"/>
  <c r="F1012" i="25"/>
  <c r="L51" i="25"/>
  <c r="K53" i="25" s="1"/>
  <c r="L53" i="25" s="1"/>
  <c r="L57" i="25" s="1"/>
  <c r="F18" i="25"/>
  <c r="M985" i="25"/>
  <c r="M987" i="25" s="1"/>
  <c r="F975" i="25"/>
  <c r="F979" i="25" s="1"/>
  <c r="F291" i="25"/>
  <c r="L46" i="25"/>
  <c r="M193" i="25"/>
  <c r="F81" i="25"/>
  <c r="F84" i="25" s="1"/>
  <c r="E100" i="25"/>
  <c r="F100" i="25" s="1"/>
  <c r="F104" i="25" s="1"/>
  <c r="F1032" i="25"/>
  <c r="L28" i="25"/>
  <c r="E24" i="25" s="1"/>
  <c r="K109" i="25" s="1"/>
  <c r="M173" i="25"/>
  <c r="F704" i="25"/>
  <c r="J755" i="25"/>
  <c r="M755" i="25" s="1"/>
  <c r="M754" i="25"/>
  <c r="F122" i="25"/>
  <c r="M226" i="25"/>
  <c r="F1003" i="25"/>
  <c r="L33" i="25"/>
  <c r="K35" i="25" s="1"/>
  <c r="L35" i="25" s="1"/>
  <c r="L39" i="25" s="1"/>
  <c r="E55" i="25" s="1"/>
  <c r="M979" i="25"/>
  <c r="F993" i="25"/>
  <c r="F995" i="25" s="1"/>
  <c r="F1018" i="25"/>
  <c r="C1019" i="25"/>
  <c r="F1019" i="25" s="1"/>
  <c r="M995" i="25"/>
  <c r="J1003" i="25"/>
  <c r="M1003" i="25" s="1"/>
  <c r="M1002" i="25"/>
  <c r="J750" i="25"/>
  <c r="C708" i="25" l="1"/>
  <c r="F344" i="25"/>
  <c r="E357" i="25"/>
  <c r="F357" i="25" s="1"/>
  <c r="L109" i="25"/>
  <c r="K134" i="25"/>
  <c r="L134" i="25" s="1"/>
  <c r="E146" i="25"/>
  <c r="F146" i="25" s="1"/>
  <c r="K135" i="25"/>
  <c r="L135" i="25" s="1"/>
  <c r="L108" i="25"/>
  <c r="K133" i="25"/>
  <c r="L133" i="25" s="1"/>
  <c r="F748" i="25"/>
  <c r="F762" i="25"/>
  <c r="F234" i="25"/>
  <c r="F134" i="25"/>
  <c r="L203" i="25"/>
  <c r="E261" i="25"/>
  <c r="E304" i="25" s="1"/>
  <c r="E274" i="25" s="1"/>
  <c r="F1022" i="25"/>
  <c r="D8537" i="1"/>
  <c r="E8527" i="1"/>
  <c r="D8563" i="1"/>
  <c r="E8553" i="1"/>
  <c r="E47" i="25"/>
  <c r="F47" i="25" s="1"/>
  <c r="E49" i="25" s="1"/>
  <c r="F49" i="25" s="1"/>
  <c r="E36" i="25"/>
  <c r="F36" i="25" s="1"/>
  <c r="F43" i="25" s="1"/>
  <c r="M1008" i="25"/>
  <c r="E65" i="25"/>
  <c r="F65" i="25" s="1"/>
  <c r="F69" i="25" s="1"/>
  <c r="F55" i="25"/>
  <c r="F61" i="25" s="1"/>
  <c r="E1041" i="25" s="1"/>
  <c r="F1041" i="25" s="1"/>
  <c r="E89" i="25"/>
  <c r="F24" i="25"/>
  <c r="F31" i="25" s="1"/>
  <c r="L116" i="25" l="1"/>
  <c r="F274" i="25"/>
  <c r="E317" i="25"/>
  <c r="M203" i="25"/>
  <c r="E203" i="25"/>
  <c r="L141" i="25"/>
  <c r="M234" i="25"/>
  <c r="E1040" i="25"/>
  <c r="F1040" i="25" s="1"/>
  <c r="M748" i="25"/>
  <c r="F778" i="25"/>
  <c r="F304" i="25"/>
  <c r="E1042" i="25"/>
  <c r="F1042" i="25" s="1"/>
  <c r="F261" i="25"/>
  <c r="F51" i="25"/>
  <c r="D8547" i="1"/>
  <c r="E8537" i="1"/>
  <c r="D8573" i="1"/>
  <c r="E8563" i="1"/>
  <c r="E109" i="25"/>
  <c r="F89" i="25"/>
  <c r="F96" i="25" s="1"/>
  <c r="L291" i="25"/>
  <c r="L304" i="25" s="1"/>
  <c r="L318" i="25" s="1"/>
  <c r="M262" i="25"/>
  <c r="F317" i="25" l="1"/>
  <c r="E330" i="25"/>
  <c r="F330" i="25" s="1"/>
  <c r="M318" i="25"/>
  <c r="L331" i="25"/>
  <c r="E213" i="25"/>
  <c r="E193" i="25"/>
  <c r="F193" i="25" s="1"/>
  <c r="F203" i="25"/>
  <c r="E8547" i="1"/>
  <c r="D8557" i="1"/>
  <c r="E8573" i="1"/>
  <c r="D8583" i="1"/>
  <c r="E121" i="25"/>
  <c r="K121" i="25" s="1"/>
  <c r="L121" i="25" s="1"/>
  <c r="L128" i="25" s="1"/>
  <c r="F109" i="25"/>
  <c r="F116" i="25" s="1"/>
  <c r="L345" i="25"/>
  <c r="M291" i="25"/>
  <c r="M331" i="25" l="1"/>
  <c r="E224" i="25"/>
  <c r="F213" i="25"/>
  <c r="L213" i="25"/>
  <c r="M213" i="25" s="1"/>
  <c r="M345" i="25"/>
  <c r="L359" i="25"/>
  <c r="L796" i="25" s="1"/>
  <c r="M867" i="25" s="1"/>
  <c r="E8557" i="1"/>
  <c r="D8567" i="1"/>
  <c r="E8583" i="1"/>
  <c r="D8593" i="1"/>
  <c r="E8593" i="1" s="1"/>
  <c r="M304" i="25"/>
  <c r="E133" i="25"/>
  <c r="F121" i="25"/>
  <c r="F128" i="25" s="1"/>
  <c r="L810" i="25" l="1"/>
  <c r="L823" i="25" s="1"/>
  <c r="M823" i="25" s="1"/>
  <c r="L778" i="25"/>
  <c r="M778" i="25" s="1"/>
  <c r="M359" i="25"/>
  <c r="L373" i="25"/>
  <c r="M373" i="25" s="1"/>
  <c r="F224" i="25"/>
  <c r="L224" i="25"/>
  <c r="M224" i="25" s="1"/>
  <c r="D8577" i="1"/>
  <c r="E8567" i="1"/>
  <c r="E145" i="25"/>
  <c r="F145" i="25" s="1"/>
  <c r="F152" i="25" s="1"/>
  <c r="F133" i="25"/>
  <c r="F140" i="25" s="1"/>
  <c r="L836" i="25" l="1"/>
  <c r="M836" i="25" s="1"/>
  <c r="E8577" i="1"/>
  <c r="D8587" i="1"/>
  <c r="L922" i="25" l="1"/>
  <c r="F676" i="25"/>
  <c r="E923" i="25"/>
  <c r="L938" i="25"/>
  <c r="E8587" i="1"/>
  <c r="D8597" i="1"/>
  <c r="E8597" i="1" s="1"/>
  <c r="M938" i="25" l="1"/>
  <c r="E938" i="25"/>
  <c r="F663" i="25"/>
  <c r="B239" i="20" l="1"/>
  <c r="B114" i="20"/>
  <c r="A102" i="20"/>
  <c r="A114" i="20" s="1"/>
  <c r="B211" i="20"/>
  <c r="A218" i="20"/>
  <c r="C159" i="20"/>
  <c r="C66" i="20"/>
  <c r="D18" i="20" l="1"/>
  <c r="E18" i="20" l="1"/>
  <c r="D15" i="20"/>
  <c r="E15" i="20" s="1"/>
  <c r="C22" i="20" l="1"/>
  <c r="A172" i="20" l="1"/>
  <c r="A179" i="20"/>
  <c r="A159" i="20" s="1"/>
  <c r="B142" i="20"/>
  <c r="C84" i="20"/>
  <c r="C79" i="20"/>
  <c r="E17" i="20"/>
  <c r="D185" i="20" s="1"/>
  <c r="B218" i="20" l="1"/>
  <c r="C211" i="20"/>
  <c r="E95" i="3" l="1"/>
  <c r="F95" i="3" s="1"/>
  <c r="E96" i="3"/>
  <c r="F96" i="3" s="1"/>
  <c r="D7399" i="1" l="1"/>
  <c r="D7401" i="1" s="1"/>
  <c r="D3184" i="1"/>
  <c r="D3235" i="1"/>
  <c r="D3228" i="1" s="1"/>
  <c r="E3228" i="1" s="1"/>
  <c r="D3223" i="1"/>
  <c r="D3167" i="1"/>
  <c r="D7579" i="1"/>
  <c r="D7581" i="1" s="1"/>
  <c r="D7543" i="1"/>
  <c r="D7542" i="1"/>
  <c r="D7471" i="1"/>
  <c r="D7480" i="1" s="1"/>
  <c r="D7497" i="1" s="1"/>
  <c r="D7584" i="1" s="1"/>
  <c r="D7470" i="1"/>
  <c r="D7479" i="1" s="1"/>
  <c r="D7496" i="1" s="1"/>
  <c r="D7583" i="1" s="1"/>
  <c r="D3041" i="1"/>
  <c r="D2322" i="1"/>
  <c r="D2328" i="1"/>
  <c r="D2250" i="1"/>
  <c r="B2246" i="1"/>
  <c r="D1844" i="1" l="1"/>
  <c r="D2064" i="1"/>
  <c r="D1529" i="1"/>
  <c r="D7363" i="1"/>
  <c r="D7362" i="1"/>
  <c r="D9424" i="1" l="1"/>
  <c r="D8723" i="1"/>
  <c r="D8642" i="1"/>
  <c r="D8733" i="1" l="1"/>
  <c r="D8616" i="1"/>
  <c r="H5973" i="1"/>
  <c r="D9415" i="1"/>
  <c r="E9415" i="1" s="1"/>
  <c r="B9416" i="1"/>
  <c r="B9414" i="1" s="1"/>
  <c r="D8625" i="1" l="1"/>
  <c r="E390" i="25"/>
  <c r="F1106" i="25"/>
  <c r="B8329" i="1"/>
  <c r="B8328" i="1"/>
  <c r="D8634" i="1" l="1"/>
  <c r="E416" i="25"/>
  <c r="F390" i="25"/>
  <c r="E403" i="25"/>
  <c r="F403" i="25" s="1"/>
  <c r="L390" i="25"/>
  <c r="M390" i="25" s="1"/>
  <c r="E8330" i="1"/>
  <c r="L403" i="25" l="1"/>
  <c r="M403" i="25" s="1"/>
  <c r="E430" i="25"/>
  <c r="L416" i="25"/>
  <c r="F416" i="25"/>
  <c r="B8042" i="1"/>
  <c r="B8041" i="1"/>
  <c r="B8406" i="1"/>
  <c r="B8405" i="1" s="1"/>
  <c r="B9434" i="1"/>
  <c r="B8742" i="1"/>
  <c r="B8316" i="1"/>
  <c r="B8307" i="1"/>
  <c r="B8306" i="1" s="1"/>
  <c r="B8298" i="1"/>
  <c r="B8297" i="1" s="1"/>
  <c r="L430" i="25" l="1"/>
  <c r="M416" i="25"/>
  <c r="E443" i="25"/>
  <c r="F430" i="25"/>
  <c r="B9432" i="1"/>
  <c r="B8315" i="1"/>
  <c r="L443" i="25" l="1"/>
  <c r="M430" i="25"/>
  <c r="F443" i="25"/>
  <c r="E456" i="25"/>
  <c r="B334" i="20"/>
  <c r="F456" i="25" l="1"/>
  <c r="E469" i="25"/>
  <c r="L456" i="25"/>
  <c r="M443" i="25"/>
  <c r="B344" i="20"/>
  <c r="B338" i="20"/>
  <c r="B339" i="20"/>
  <c r="B341" i="20"/>
  <c r="B340" i="20"/>
  <c r="B332" i="20"/>
  <c r="B333" i="20"/>
  <c r="B331" i="20"/>
  <c r="B303" i="20"/>
  <c r="G303" i="20" s="1"/>
  <c r="L469" i="25" l="1"/>
  <c r="M456" i="25"/>
  <c r="F469" i="25"/>
  <c r="E482" i="25"/>
  <c r="D2785" i="1"/>
  <c r="D3934" i="1"/>
  <c r="D3595" i="1"/>
  <c r="D3959" i="1"/>
  <c r="D7987" i="1"/>
  <c r="D7314" i="1"/>
  <c r="D7404" i="1" s="1"/>
  <c r="D7313" i="1"/>
  <c r="D7403" i="1" s="1"/>
  <c r="D7288" i="1"/>
  <c r="D7297" i="1" s="1"/>
  <c r="D7287" i="1"/>
  <c r="D7296" i="1" s="1"/>
  <c r="D7216" i="1"/>
  <c r="D7218" i="1" s="1"/>
  <c r="D7221" i="1"/>
  <c r="D7220" i="1"/>
  <c r="D7180" i="1"/>
  <c r="D7179" i="1"/>
  <c r="D7133" i="1"/>
  <c r="D7132" i="1"/>
  <c r="D7108" i="1"/>
  <c r="D7116" i="1" s="1"/>
  <c r="D7107" i="1"/>
  <c r="D7115" i="1" s="1"/>
  <c r="D7043" i="1"/>
  <c r="D7042" i="1"/>
  <c r="D7039" i="1"/>
  <c r="D7040" i="1" s="1"/>
  <c r="D7005" i="1"/>
  <c r="D7004" i="1"/>
  <c r="D6961" i="1"/>
  <c r="D6968" i="1" s="1"/>
  <c r="D6960" i="1"/>
  <c r="D6967" i="1" s="1"/>
  <c r="D6927" i="1"/>
  <c r="D6926" i="1"/>
  <c r="D6941" i="1" s="1"/>
  <c r="E6941" i="1" s="1"/>
  <c r="D5960" i="1"/>
  <c r="D5937" i="1"/>
  <c r="D5234" i="1"/>
  <c r="D5184" i="1"/>
  <c r="D5268" i="1" s="1"/>
  <c r="D5372" i="1" s="1"/>
  <c r="D5183" i="1"/>
  <c r="D5267" i="1" s="1"/>
  <c r="D5371" i="1" s="1"/>
  <c r="E4105" i="1"/>
  <c r="D3971" i="1"/>
  <c r="E3971" i="1" s="1"/>
  <c r="D3966" i="1"/>
  <c r="E3966" i="1" s="1"/>
  <c r="E3965" i="1"/>
  <c r="D3838" i="1"/>
  <c r="D3823" i="1"/>
  <c r="E3823" i="1" s="1"/>
  <c r="E3819" i="1"/>
  <c r="D3627" i="1"/>
  <c r="D3617" i="1" s="1"/>
  <c r="D3622" i="1"/>
  <c r="E495" i="25" l="1"/>
  <c r="F495" i="25" s="1"/>
  <c r="F482" i="25"/>
  <c r="L482" i="25"/>
  <c r="M469" i="25"/>
  <c r="D4109" i="1"/>
  <c r="E4109" i="1" s="1"/>
  <c r="L495" i="25" l="1"/>
  <c r="M482" i="25"/>
  <c r="E3627" i="1"/>
  <c r="D3626" i="1"/>
  <c r="D3625" i="1"/>
  <c r="E3625" i="1" s="1"/>
  <c r="E3622" i="1"/>
  <c r="E3621" i="1"/>
  <c r="D3566" i="1"/>
  <c r="B3564" i="1"/>
  <c r="E3564" i="1" s="1"/>
  <c r="D3554" i="1"/>
  <c r="D3106" i="1"/>
  <c r="D3093" i="1"/>
  <c r="D3055" i="1"/>
  <c r="D2979" i="1"/>
  <c r="D2967" i="1"/>
  <c r="D2929" i="1"/>
  <c r="D2915" i="1"/>
  <c r="D2895" i="1"/>
  <c r="D2836" i="1"/>
  <c r="D2830" i="1" s="1"/>
  <c r="E2830" i="1" s="1"/>
  <c r="D2825" i="1"/>
  <c r="D2820" i="1"/>
  <c r="D2771" i="1"/>
  <c r="D2764" i="1"/>
  <c r="D2757" i="1"/>
  <c r="D2777" i="1"/>
  <c r="D1795" i="1"/>
  <c r="D2122" i="1" s="1"/>
  <c r="D2387" i="1" s="1"/>
  <c r="B1787" i="1"/>
  <c r="D1729" i="1"/>
  <c r="D1958" i="1"/>
  <c r="D1972" i="1" s="1"/>
  <c r="B1968" i="1"/>
  <c r="B1476" i="1"/>
  <c r="D1495" i="1"/>
  <c r="B1488" i="1"/>
  <c r="C539" i="3"/>
  <c r="D1392" i="1" s="1"/>
  <c r="B1462" i="1"/>
  <c r="B1463" i="1" s="1"/>
  <c r="D1470" i="1"/>
  <c r="C676" i="3"/>
  <c r="D1407" i="1"/>
  <c r="D1391" i="1"/>
  <c r="B1399" i="1"/>
  <c r="B1400" i="1" s="1"/>
  <c r="L508" i="25" l="1"/>
  <c r="M495" i="25"/>
  <c r="D2972" i="1"/>
  <c r="E2972" i="1" s="1"/>
  <c r="D3098" i="1"/>
  <c r="E3098" i="1" s="1"/>
  <c r="B1720" i="1"/>
  <c r="B1721" i="1" s="1"/>
  <c r="B1813" i="1"/>
  <c r="B1814" i="1" s="1"/>
  <c r="E3626" i="1"/>
  <c r="D3970" i="1"/>
  <c r="L680" i="25" l="1"/>
  <c r="M508" i="25"/>
  <c r="G318" i="20"/>
  <c r="G317" i="20"/>
  <c r="G316" i="20"/>
  <c r="G315" i="20"/>
  <c r="G314" i="20"/>
  <c r="G313" i="20"/>
  <c r="G302" i="20"/>
  <c r="G304" i="20"/>
  <c r="G305" i="20"/>
  <c r="G306" i="20"/>
  <c r="G307" i="20"/>
  <c r="G301" i="20"/>
  <c r="E301" i="20"/>
  <c r="D290" i="20"/>
  <c r="D289" i="20"/>
  <c r="G283" i="20"/>
  <c r="E283" i="20"/>
  <c r="C265" i="20"/>
  <c r="C274" i="20" s="1"/>
  <c r="F253" i="20"/>
  <c r="F254" i="20"/>
  <c r="F252" i="20"/>
  <c r="E268" i="20"/>
  <c r="F277" i="20" s="1"/>
  <c r="B266" i="20"/>
  <c r="B267" i="20"/>
  <c r="B268" i="20"/>
  <c r="B269" i="20"/>
  <c r="C256" i="20"/>
  <c r="F256" i="20" s="1"/>
  <c r="C255" i="20"/>
  <c r="F255" i="20" s="1"/>
  <c r="E313" i="20"/>
  <c r="E314" i="20"/>
  <c r="E315" i="20"/>
  <c r="E316" i="20"/>
  <c r="E317" i="20"/>
  <c r="E318" i="20"/>
  <c r="E269" i="20"/>
  <c r="F278" i="20" s="1"/>
  <c r="E267" i="20"/>
  <c r="F276" i="20" s="1"/>
  <c r="C266" i="20"/>
  <c r="C267" i="20"/>
  <c r="B265" i="20"/>
  <c r="L693" i="25" l="1"/>
  <c r="M680" i="25"/>
  <c r="F257" i="20"/>
  <c r="F267" i="20"/>
  <c r="H301" i="20"/>
  <c r="C268" i="20"/>
  <c r="C269" i="20"/>
  <c r="D6993" i="1"/>
  <c r="E6993" i="1" s="1"/>
  <c r="D6994" i="1"/>
  <c r="E6994" i="1" s="1"/>
  <c r="D6995" i="1"/>
  <c r="E6995" i="1" s="1"/>
  <c r="D6996" i="1"/>
  <c r="E6996" i="1" s="1"/>
  <c r="D6997" i="1"/>
  <c r="E6997" i="1" s="1"/>
  <c r="D7000" i="1"/>
  <c r="E7000" i="1" s="1"/>
  <c r="D7001" i="1"/>
  <c r="E7001" i="1" s="1"/>
  <c r="D7002" i="1"/>
  <c r="E7002" i="1" s="1"/>
  <c r="D7003" i="1"/>
  <c r="E7003" i="1" s="1"/>
  <c r="E7004" i="1"/>
  <c r="E7005" i="1"/>
  <c r="D7008" i="1"/>
  <c r="E7008" i="1" s="1"/>
  <c r="D7009" i="1"/>
  <c r="E7009" i="1" s="1"/>
  <c r="D7010" i="1"/>
  <c r="E7010" i="1" s="1"/>
  <c r="D7011" i="1"/>
  <c r="E7011" i="1" s="1"/>
  <c r="D7016" i="1"/>
  <c r="E7016" i="1" s="1"/>
  <c r="D7019" i="1"/>
  <c r="E7019" i="1" s="1"/>
  <c r="D7020" i="1"/>
  <c r="E7020" i="1" s="1"/>
  <c r="D7021" i="1"/>
  <c r="E7021" i="1" s="1"/>
  <c r="D7024" i="1"/>
  <c r="E7024" i="1" s="1"/>
  <c r="D7025" i="1"/>
  <c r="E7025" i="1" s="1"/>
  <c r="D7026" i="1"/>
  <c r="E7026" i="1" s="1"/>
  <c r="D368" i="3"/>
  <c r="D311" i="3"/>
  <c r="D312" i="3"/>
  <c r="D313" i="3"/>
  <c r="D314" i="3"/>
  <c r="D315" i="3"/>
  <c r="D316" i="3"/>
  <c r="D310" i="3"/>
  <c r="D119" i="13"/>
  <c r="C397" i="3"/>
  <c r="E706" i="25" l="1"/>
  <c r="M693" i="25"/>
  <c r="F269" i="20"/>
  <c r="C278" i="20"/>
  <c r="G278" i="20" s="1"/>
  <c r="C277" i="20"/>
  <c r="G277" i="20" s="1"/>
  <c r="F268" i="20"/>
  <c r="D7012" i="1"/>
  <c r="E7012" i="1" s="1"/>
  <c r="F6997" i="1"/>
  <c r="D7018" i="1"/>
  <c r="E7018" i="1" s="1"/>
  <c r="F7005" i="1"/>
  <c r="D7017" i="1"/>
  <c r="E7017" i="1" s="1"/>
  <c r="D7013" i="1"/>
  <c r="E7013" i="1" s="1"/>
  <c r="P53" i="22"/>
  <c r="M53" i="22"/>
  <c r="B53" i="22"/>
  <c r="M52" i="22"/>
  <c r="B52" i="22"/>
  <c r="M51" i="22"/>
  <c r="B51" i="22"/>
  <c r="P49" i="22"/>
  <c r="M49" i="22"/>
  <c r="B49" i="22"/>
  <c r="B48" i="22"/>
  <c r="B47" i="22"/>
  <c r="B46" i="22"/>
  <c r="M45" i="22"/>
  <c r="B45" i="22"/>
  <c r="B44" i="22"/>
  <c r="B43" i="22"/>
  <c r="B42" i="22"/>
  <c r="M41" i="22"/>
  <c r="B41" i="22"/>
  <c r="B40" i="22"/>
  <c r="B39" i="22"/>
  <c r="B38" i="22"/>
  <c r="M37" i="22"/>
  <c r="B37" i="22"/>
  <c r="B36" i="22"/>
  <c r="B35" i="22"/>
  <c r="B34" i="22"/>
  <c r="B33" i="22"/>
  <c r="B32" i="22"/>
  <c r="B31" i="22"/>
  <c r="B30" i="22"/>
  <c r="B29" i="22"/>
  <c r="M28" i="22"/>
  <c r="B28" i="22"/>
  <c r="B27" i="22"/>
  <c r="B26" i="22"/>
  <c r="B25" i="22"/>
  <c r="P24" i="22"/>
  <c r="M24" i="22"/>
  <c r="B24" i="22"/>
  <c r="B23" i="22"/>
  <c r="B22" i="22"/>
  <c r="B21" i="22"/>
  <c r="C24" i="22" s="1"/>
  <c r="P20" i="22"/>
  <c r="M20" i="22"/>
  <c r="H20" i="22"/>
  <c r="I20" i="22" s="1"/>
  <c r="B20" i="22"/>
  <c r="B19" i="22"/>
  <c r="B18" i="22"/>
  <c r="B17" i="22"/>
  <c r="B16" i="22"/>
  <c r="C20" i="22" s="1"/>
  <c r="P15" i="22"/>
  <c r="M15" i="22"/>
  <c r="H15" i="22"/>
  <c r="I15" i="22" s="1"/>
  <c r="B15" i="22"/>
  <c r="B14" i="22"/>
  <c r="B13" i="22"/>
  <c r="B12" i="22"/>
  <c r="B11" i="22"/>
  <c r="C15" i="22" s="1"/>
  <c r="P10" i="22"/>
  <c r="M10" i="22"/>
  <c r="H10" i="22"/>
  <c r="I10" i="22" s="1"/>
  <c r="B10" i="22"/>
  <c r="B9" i="22"/>
  <c r="B8" i="22"/>
  <c r="B7" i="22"/>
  <c r="B6" i="22"/>
  <c r="C10" i="22" s="1"/>
  <c r="P5" i="22"/>
  <c r="M5" i="22"/>
  <c r="I5" i="22"/>
  <c r="B5" i="22"/>
  <c r="P3" i="22"/>
  <c r="M3" i="22"/>
  <c r="B3" i="22"/>
  <c r="C3" i="22" s="1"/>
  <c r="C2" i="22" s="1"/>
  <c r="H326" i="20"/>
  <c r="H325" i="20"/>
  <c r="H318" i="20"/>
  <c r="H317" i="20"/>
  <c r="H316" i="20"/>
  <c r="H315" i="20"/>
  <c r="H314" i="20"/>
  <c r="H313" i="20"/>
  <c r="H307" i="20"/>
  <c r="H306" i="20"/>
  <c r="H305" i="20"/>
  <c r="H304" i="20"/>
  <c r="H302" i="20"/>
  <c r="C290" i="20"/>
  <c r="B290" i="20"/>
  <c r="C289" i="20"/>
  <c r="C294" i="20" s="1"/>
  <c r="B289" i="20"/>
  <c r="G284" i="20"/>
  <c r="B278" i="20"/>
  <c r="B276" i="20"/>
  <c r="E266" i="20"/>
  <c r="B275" i="20"/>
  <c r="E265" i="20"/>
  <c r="B274" i="20"/>
  <c r="A231" i="20"/>
  <c r="A237" i="20" s="1"/>
  <c r="B245" i="20" s="1"/>
  <c r="C198" i="20"/>
  <c r="C218" i="20"/>
  <c r="B172" i="20"/>
  <c r="D172" i="20" s="1"/>
  <c r="A154" i="20"/>
  <c r="B148" i="20"/>
  <c r="B179" i="20" s="1"/>
  <c r="B198" i="20" s="1"/>
  <c r="A121" i="20"/>
  <c r="A127" i="20" s="1"/>
  <c r="A101" i="20"/>
  <c r="C101" i="20" s="1"/>
  <c r="A60" i="20"/>
  <c r="A59" i="20"/>
  <c r="A58" i="20"/>
  <c r="B52" i="20"/>
  <c r="A52" i="20"/>
  <c r="B51" i="20"/>
  <c r="A51" i="20"/>
  <c r="D50" i="20"/>
  <c r="A50" i="20"/>
  <c r="D29" i="20"/>
  <c r="E87" i="17"/>
  <c r="E86" i="17"/>
  <c r="E85" i="17"/>
  <c r="E84" i="17"/>
  <c r="E83" i="17"/>
  <c r="E82" i="17"/>
  <c r="E81" i="17"/>
  <c r="E80" i="17"/>
  <c r="E79" i="17"/>
  <c r="E78" i="17"/>
  <c r="E77" i="17"/>
  <c r="E76" i="17"/>
  <c r="E75" i="17"/>
  <c r="E74" i="17"/>
  <c r="E73" i="17"/>
  <c r="E69" i="17"/>
  <c r="E68" i="17"/>
  <c r="E67" i="17"/>
  <c r="E66" i="17"/>
  <c r="E52" i="17"/>
  <c r="E51" i="17"/>
  <c r="E50" i="17"/>
  <c r="D49" i="17"/>
  <c r="E49" i="17" s="1"/>
  <c r="E48" i="17"/>
  <c r="B47" i="17"/>
  <c r="E47" i="17" s="1"/>
  <c r="E46" i="17"/>
  <c r="E45" i="17"/>
  <c r="D44" i="17"/>
  <c r="E44" i="17" s="1"/>
  <c r="B53" i="17" s="1"/>
  <c r="E53" i="17" s="1"/>
  <c r="F40" i="17"/>
  <c r="F39" i="17"/>
  <c r="F38" i="17"/>
  <c r="F37" i="17"/>
  <c r="D36" i="17"/>
  <c r="E36" i="17" s="1"/>
  <c r="F32" i="17"/>
  <c r="F31" i="17"/>
  <c r="F30" i="17"/>
  <c r="F29" i="17"/>
  <c r="F28" i="17"/>
  <c r="F27" i="17"/>
  <c r="F26" i="17"/>
  <c r="F25" i="17"/>
  <c r="F24" i="17"/>
  <c r="F23" i="17"/>
  <c r="D22" i="17"/>
  <c r="E22" i="17" s="1"/>
  <c r="E17" i="17"/>
  <c r="E16" i="17"/>
  <c r="D13" i="17"/>
  <c r="E7" i="17"/>
  <c r="B6" i="17"/>
  <c r="E6" i="17" s="1"/>
  <c r="E5" i="17"/>
  <c r="D4" i="17"/>
  <c r="E4" i="17" s="1"/>
  <c r="E3" i="17"/>
  <c r="E29" i="16"/>
  <c r="E28" i="16"/>
  <c r="E27" i="16"/>
  <c r="E26" i="16"/>
  <c r="E25" i="16"/>
  <c r="E24" i="16"/>
  <c r="E23" i="16"/>
  <c r="E22" i="16"/>
  <c r="E21" i="16"/>
  <c r="E20" i="16"/>
  <c r="B19" i="16"/>
  <c r="E19" i="16" s="1"/>
  <c r="E17" i="16"/>
  <c r="B16" i="16"/>
  <c r="E16" i="16" s="1"/>
  <c r="B15" i="16"/>
  <c r="E15" i="16" s="1"/>
  <c r="B13" i="16"/>
  <c r="B12" i="16"/>
  <c r="B11" i="16"/>
  <c r="B10" i="16"/>
  <c r="B9" i="16"/>
  <c r="B8" i="16"/>
  <c r="H10" i="16" s="1"/>
  <c r="I341" i="15"/>
  <c r="C36" i="14"/>
  <c r="C22" i="14"/>
  <c r="C17" i="14"/>
  <c r="C18" i="14" s="1"/>
  <c r="C16" i="14"/>
  <c r="C15" i="14"/>
  <c r="D13" i="14"/>
  <c r="E11" i="14"/>
  <c r="F11" i="14" s="1"/>
  <c r="B353" i="13"/>
  <c r="D351" i="13"/>
  <c r="D352" i="13" s="1"/>
  <c r="B351" i="13"/>
  <c r="E344" i="13"/>
  <c r="E343" i="13"/>
  <c r="B340" i="13"/>
  <c r="B341" i="13" s="1"/>
  <c r="B342" i="13" s="1"/>
  <c r="E342" i="13" s="1"/>
  <c r="E339" i="13"/>
  <c r="E328" i="13"/>
  <c r="D327" i="13"/>
  <c r="E327" i="13" s="1"/>
  <c r="D326" i="13"/>
  <c r="E326" i="13" s="1"/>
  <c r="D325" i="13"/>
  <c r="E325" i="13" s="1"/>
  <c r="D324" i="13"/>
  <c r="E324" i="13" s="1"/>
  <c r="D323" i="13"/>
  <c r="E323" i="13" s="1"/>
  <c r="D322" i="13"/>
  <c r="E322" i="13" s="1"/>
  <c r="D321" i="13"/>
  <c r="E321" i="13" s="1"/>
  <c r="E308" i="13"/>
  <c r="E307" i="13"/>
  <c r="E306" i="13"/>
  <c r="E305" i="13"/>
  <c r="D299" i="13"/>
  <c r="A299" i="13"/>
  <c r="D298" i="13"/>
  <c r="A298" i="13"/>
  <c r="E297" i="13"/>
  <c r="D296" i="13"/>
  <c r="E296" i="13" s="1"/>
  <c r="D295" i="13"/>
  <c r="E295" i="13" s="1"/>
  <c r="D293" i="13"/>
  <c r="E293" i="13" s="1"/>
  <c r="D292" i="13"/>
  <c r="E292" i="13" s="1"/>
  <c r="D291" i="13"/>
  <c r="B291" i="13"/>
  <c r="D282" i="13"/>
  <c r="E282" i="13" s="1"/>
  <c r="D280" i="13"/>
  <c r="E280" i="13" s="1"/>
  <c r="D279" i="13"/>
  <c r="E279" i="13" s="1"/>
  <c r="D278" i="13"/>
  <c r="E278" i="13" s="1"/>
  <c r="D277" i="13"/>
  <c r="E277" i="13" s="1"/>
  <c r="D276" i="13"/>
  <c r="E276" i="13" s="1"/>
  <c r="C265" i="13"/>
  <c r="D265" i="13" s="1"/>
  <c r="C264" i="13"/>
  <c r="D264" i="13" s="1"/>
  <c r="B250" i="13"/>
  <c r="D248" i="13"/>
  <c r="E248" i="13" s="1"/>
  <c r="D246" i="13"/>
  <c r="E246" i="13" s="1"/>
  <c r="D243" i="13"/>
  <c r="E243" i="13" s="1"/>
  <c r="D241" i="13"/>
  <c r="E241" i="13" s="1"/>
  <c r="D235" i="13"/>
  <c r="E235" i="13" s="1"/>
  <c r="D231" i="13"/>
  <c r="B231" i="13"/>
  <c r="D229" i="13"/>
  <c r="B229" i="13"/>
  <c r="D212" i="13"/>
  <c r="E212" i="13" s="1"/>
  <c r="D211" i="13"/>
  <c r="E211" i="13" s="1"/>
  <c r="D205" i="13"/>
  <c r="D204" i="13"/>
  <c r="D203" i="13"/>
  <c r="E119" i="13"/>
  <c r="E118" i="13"/>
  <c r="D118" i="13"/>
  <c r="D117" i="13"/>
  <c r="E117" i="13" s="1"/>
  <c r="D116" i="13"/>
  <c r="E116" i="13" s="1"/>
  <c r="D109" i="13"/>
  <c r="D108" i="13"/>
  <c r="D107" i="13"/>
  <c r="D106" i="13"/>
  <c r="D105" i="13"/>
  <c r="D104" i="13"/>
  <c r="D103" i="13"/>
  <c r="D93" i="13"/>
  <c r="E93" i="13" s="1"/>
  <c r="D92" i="13"/>
  <c r="E92" i="13" s="1"/>
  <c r="D91" i="13"/>
  <c r="E91" i="13" s="1"/>
  <c r="D90" i="13"/>
  <c r="E90" i="13" s="1"/>
  <c r="D82" i="13"/>
  <c r="D81" i="13"/>
  <c r="D80" i="13"/>
  <c r="D79" i="13"/>
  <c r="D78" i="13"/>
  <c r="D77" i="13"/>
  <c r="D76" i="13"/>
  <c r="D48" i="13"/>
  <c r="D47" i="13"/>
  <c r="D46" i="13"/>
  <c r="D45" i="13"/>
  <c r="D44" i="13"/>
  <c r="B38" i="13"/>
  <c r="E38" i="13" s="1"/>
  <c r="E37" i="13"/>
  <c r="E36" i="13"/>
  <c r="D28" i="13"/>
  <c r="E27" i="13"/>
  <c r="J25" i="13"/>
  <c r="J24" i="13"/>
  <c r="J23" i="13"/>
  <c r="M22" i="13"/>
  <c r="J22" i="13"/>
  <c r="B16" i="13"/>
  <c r="E16" i="13" s="1"/>
  <c r="E15" i="13"/>
  <c r="E14" i="13"/>
  <c r="B7" i="13"/>
  <c r="E7" i="13" s="1"/>
  <c r="D6" i="13"/>
  <c r="E6" i="13" s="1"/>
  <c r="E719" i="25" l="1"/>
  <c r="F719" i="25" s="1"/>
  <c r="F706" i="25"/>
  <c r="C49" i="22"/>
  <c r="D49" i="22" s="1"/>
  <c r="C32" i="22"/>
  <c r="D32" i="22" s="1"/>
  <c r="E229" i="13"/>
  <c r="E232" i="13" s="1"/>
  <c r="E231" i="13"/>
  <c r="D5" i="22"/>
  <c r="E19" i="17"/>
  <c r="N20" i="22"/>
  <c r="C28" i="22"/>
  <c r="D28" i="22" s="1"/>
  <c r="E94" i="13"/>
  <c r="E95" i="13" s="1"/>
  <c r="E291" i="13"/>
  <c r="E9" i="17"/>
  <c r="C45" i="22"/>
  <c r="D45" i="22" s="1"/>
  <c r="F41" i="17"/>
  <c r="F35" i="17" s="1"/>
  <c r="N10" i="22"/>
  <c r="N24" i="22"/>
  <c r="D15" i="22"/>
  <c r="Q20" i="22"/>
  <c r="F275" i="20"/>
  <c r="F266" i="20"/>
  <c r="B294" i="20"/>
  <c r="G294" i="20" s="1"/>
  <c r="G289" i="20"/>
  <c r="F274" i="20"/>
  <c r="G274" i="20" s="1"/>
  <c r="F265" i="20"/>
  <c r="G290" i="20"/>
  <c r="D198" i="20"/>
  <c r="E290" i="20"/>
  <c r="E185" i="20"/>
  <c r="D148" i="20"/>
  <c r="G285" i="20"/>
  <c r="H319" i="20"/>
  <c r="H327" i="20"/>
  <c r="E284" i="20"/>
  <c r="E331" i="13"/>
  <c r="E333" i="13" s="1"/>
  <c r="E335" i="13" s="1"/>
  <c r="D51" i="20"/>
  <c r="E51" i="20" s="1"/>
  <c r="E29" i="20"/>
  <c r="N53" i="22"/>
  <c r="C121" i="20"/>
  <c r="H308" i="20"/>
  <c r="Q15" i="22"/>
  <c r="N49" i="22"/>
  <c r="Q53" i="22"/>
  <c r="E9" i="13"/>
  <c r="E10" i="13" s="1"/>
  <c r="E88" i="17"/>
  <c r="D20" i="22"/>
  <c r="N37" i="22"/>
  <c r="Q49" i="22"/>
  <c r="E40" i="13"/>
  <c r="E41" i="13" s="1"/>
  <c r="D66" i="13" s="1"/>
  <c r="E121" i="13"/>
  <c r="E122" i="13" s="1"/>
  <c r="D190" i="13" s="1"/>
  <c r="E16" i="20"/>
  <c r="D66" i="20" s="1"/>
  <c r="C41" i="22"/>
  <c r="D41" i="22" s="1"/>
  <c r="D51" i="22"/>
  <c r="D266" i="13"/>
  <c r="N15" i="22"/>
  <c r="D111" i="13"/>
  <c r="E340" i="13"/>
  <c r="F33" i="17"/>
  <c r="D61" i="17" s="1"/>
  <c r="D62" i="17" s="1"/>
  <c r="E289" i="20"/>
  <c r="D24" i="22"/>
  <c r="N45" i="22"/>
  <c r="N51" i="22"/>
  <c r="N28" i="22"/>
  <c r="B14" i="16"/>
  <c r="E14" i="16" s="1"/>
  <c r="N5" i="22"/>
  <c r="D52" i="22"/>
  <c r="E70" i="17"/>
  <c r="Q5" i="22"/>
  <c r="C37" i="22"/>
  <c r="D37" i="22" s="1"/>
  <c r="N52" i="22"/>
  <c r="D84" i="13"/>
  <c r="D294" i="13" s="1"/>
  <c r="E294" i="13" s="1"/>
  <c r="E213" i="13"/>
  <c r="D225" i="13" s="1"/>
  <c r="E309" i="13"/>
  <c r="C114" i="20"/>
  <c r="D10" i="22"/>
  <c r="N41" i="22"/>
  <c r="D53" i="22"/>
  <c r="F7013" i="1"/>
  <c r="F7021" i="1"/>
  <c r="Q10" i="22"/>
  <c r="Q24" i="22"/>
  <c r="E294" i="20"/>
  <c r="C275" i="20"/>
  <c r="D30" i="20"/>
  <c r="B136" i="20" s="1"/>
  <c r="D59" i="20"/>
  <c r="E59" i="20" s="1"/>
  <c r="D179" i="20"/>
  <c r="C231" i="20"/>
  <c r="C276" i="20"/>
  <c r="G276" i="20" s="1"/>
  <c r="D211" i="20"/>
  <c r="E54" i="17"/>
  <c r="B8" i="17"/>
  <c r="B18" i="17"/>
  <c r="B18" i="16"/>
  <c r="E18" i="16" s="1"/>
  <c r="C11" i="14"/>
  <c r="C12" i="14"/>
  <c r="C10" i="14"/>
  <c r="E17" i="14"/>
  <c r="E352" i="13"/>
  <c r="D353" i="13"/>
  <c r="E353" i="13" s="1"/>
  <c r="E18" i="13"/>
  <c r="E19" i="13" s="1"/>
  <c r="D237" i="13"/>
  <c r="E237" i="13" s="1"/>
  <c r="E341" i="13"/>
  <c r="E351" i="13"/>
  <c r="D367" i="3"/>
  <c r="C386" i="3"/>
  <c r="C321" i="3"/>
  <c r="C318" i="3"/>
  <c r="C307" i="3"/>
  <c r="C305" i="3"/>
  <c r="C304" i="3"/>
  <c r="E30" i="16" l="1"/>
  <c r="E31" i="16" s="1"/>
  <c r="D160" i="13"/>
  <c r="B102" i="20"/>
  <c r="C102" i="20" s="1"/>
  <c r="C103" i="20" s="1"/>
  <c r="C93" i="20"/>
  <c r="D93" i="20" s="1"/>
  <c r="D65" i="13"/>
  <c r="D67" i="13"/>
  <c r="B64" i="13"/>
  <c r="D130" i="13"/>
  <c r="B66" i="13"/>
  <c r="C69" i="13"/>
  <c r="B68" i="13"/>
  <c r="D184" i="13"/>
  <c r="C64" i="13"/>
  <c r="D140" i="13"/>
  <c r="B65" i="13"/>
  <c r="D155" i="13"/>
  <c r="B63" i="13"/>
  <c r="F21" i="17"/>
  <c r="D64" i="13"/>
  <c r="D143" i="13"/>
  <c r="B67" i="13"/>
  <c r="D224" i="13"/>
  <c r="D217" i="13"/>
  <c r="D223" i="13"/>
  <c r="D222" i="13"/>
  <c r="B79" i="20"/>
  <c r="B84" i="20" s="1"/>
  <c r="B28" i="20"/>
  <c r="E28" i="20" s="1"/>
  <c r="D187" i="13"/>
  <c r="D177" i="13"/>
  <c r="D133" i="13"/>
  <c r="D194" i="13"/>
  <c r="D127" i="13"/>
  <c r="D171" i="13"/>
  <c r="D150" i="13"/>
  <c r="D189" i="13"/>
  <c r="D166" i="13"/>
  <c r="D169" i="13"/>
  <c r="D148" i="13"/>
  <c r="D132" i="13"/>
  <c r="D154" i="13"/>
  <c r="D170" i="13"/>
  <c r="D188" i="13"/>
  <c r="D153" i="13"/>
  <c r="D191" i="13"/>
  <c r="D142" i="13"/>
  <c r="D159" i="13"/>
  <c r="D176" i="13"/>
  <c r="D193" i="13"/>
  <c r="D183" i="13"/>
  <c r="D147" i="13"/>
  <c r="D164" i="13"/>
  <c r="D182" i="13"/>
  <c r="D218" i="13"/>
  <c r="D216" i="13"/>
  <c r="D221" i="13"/>
  <c r="D250" i="13" s="1"/>
  <c r="E250" i="13" s="1"/>
  <c r="D161" i="13"/>
  <c r="D141" i="13"/>
  <c r="D158" i="13"/>
  <c r="D175" i="13"/>
  <c r="D192" i="13"/>
  <c r="D165" i="13"/>
  <c r="D195" i="13"/>
  <c r="D146" i="13"/>
  <c r="D163" i="13"/>
  <c r="D181" i="13"/>
  <c r="D144" i="13"/>
  <c r="D129" i="13"/>
  <c r="D152" i="13"/>
  <c r="D168" i="13"/>
  <c r="D186" i="13"/>
  <c r="C68" i="13"/>
  <c r="C67" i="13"/>
  <c r="C66" i="13"/>
  <c r="D69" i="13"/>
  <c r="C65" i="13"/>
  <c r="G275" i="20"/>
  <c r="G279" i="20" s="1"/>
  <c r="B298" i="13"/>
  <c r="B299" i="13" s="1"/>
  <c r="E299" i="13" s="1"/>
  <c r="E347" i="13"/>
  <c r="D219" i="13"/>
  <c r="D220" i="13"/>
  <c r="D179" i="13"/>
  <c r="D145" i="13"/>
  <c r="D162" i="13"/>
  <c r="D180" i="13"/>
  <c r="D196" i="13"/>
  <c r="D173" i="13"/>
  <c r="D128" i="13"/>
  <c r="D151" i="13"/>
  <c r="D167" i="13"/>
  <c r="D185" i="13"/>
  <c r="D157" i="13"/>
  <c r="D136" i="13"/>
  <c r="D156" i="13"/>
  <c r="D172" i="13"/>
  <c r="C63" i="13"/>
  <c r="D68" i="13"/>
  <c r="B69" i="13"/>
  <c r="D63" i="13"/>
  <c r="E11" i="13"/>
  <c r="F270" i="20"/>
  <c r="B203" i="20"/>
  <c r="B191" i="20" s="1"/>
  <c r="E66" i="20"/>
  <c r="D60" i="20"/>
  <c r="E60" i="20" s="1"/>
  <c r="D52" i="20"/>
  <c r="E52" i="20" s="1"/>
  <c r="E30" i="20"/>
  <c r="D58" i="17"/>
  <c r="D59" i="17" s="1"/>
  <c r="F44" i="17"/>
  <c r="A60" i="17" s="1"/>
  <c r="D354" i="13"/>
  <c r="E354" i="13" s="1"/>
  <c r="E356" i="13" s="1"/>
  <c r="D236" i="13"/>
  <c r="E236" i="13" s="1"/>
  <c r="E238" i="13" s="1"/>
  <c r="D230" i="13"/>
  <c r="E230" i="13" s="1"/>
  <c r="D242" i="13"/>
  <c r="E242" i="13" s="1"/>
  <c r="E244" i="13" s="1"/>
  <c r="D247" i="13"/>
  <c r="E247" i="13" s="1"/>
  <c r="D281" i="13"/>
  <c r="E281" i="13" s="1"/>
  <c r="E283" i="13" s="1"/>
  <c r="E284" i="13" s="1"/>
  <c r="C499" i="3"/>
  <c r="E31" i="20" l="1"/>
  <c r="E298" i="13"/>
  <c r="E300" i="13" s="1"/>
  <c r="E301" i="13" s="1"/>
  <c r="E360" i="13"/>
  <c r="E366" i="13" s="1"/>
  <c r="F260" i="20"/>
  <c r="E251" i="13"/>
  <c r="D203" i="20"/>
  <c r="B154" i="20"/>
  <c r="D154" i="20" s="1"/>
  <c r="D79" i="20"/>
  <c r="B72" i="20"/>
  <c r="D84" i="20"/>
  <c r="D191" i="20"/>
  <c r="B210" i="20"/>
  <c r="B58" i="20"/>
  <c r="E58" i="20" s="1"/>
  <c r="B50" i="20"/>
  <c r="E50" i="20" s="1"/>
  <c r="C419" i="3"/>
  <c r="C418" i="3"/>
  <c r="C417" i="3"/>
  <c r="D3174" i="1" s="1"/>
  <c r="C416" i="3"/>
  <c r="D3048" i="1" s="1"/>
  <c r="C415" i="3"/>
  <c r="D2922" i="1" s="1"/>
  <c r="C363" i="3"/>
  <c r="C362" i="3"/>
  <c r="C361" i="3"/>
  <c r="C360" i="3"/>
  <c r="C359" i="3"/>
  <c r="C355" i="3"/>
  <c r="C354" i="3"/>
  <c r="C353" i="3"/>
  <c r="C352" i="3"/>
  <c r="C351" i="3"/>
  <c r="C349" i="3"/>
  <c r="C348" i="3"/>
  <c r="C347" i="3"/>
  <c r="C346" i="3"/>
  <c r="C345" i="3"/>
  <c r="E732" i="25" l="1"/>
  <c r="F732" i="25" s="1"/>
  <c r="E882" i="25"/>
  <c r="F882" i="25" s="1"/>
  <c r="E855" i="25"/>
  <c r="F855" i="25" s="1"/>
  <c r="E1079" i="25"/>
  <c r="F1079" i="25" s="1"/>
  <c r="E640" i="25"/>
  <c r="F640" i="25" s="1"/>
  <c r="E586" i="25"/>
  <c r="F586" i="25" s="1"/>
  <c r="L768" i="25"/>
  <c r="M768" i="25" s="1"/>
  <c r="L267" i="25"/>
  <c r="D9443" i="1"/>
  <c r="E481" i="25"/>
  <c r="F481" i="25" s="1"/>
  <c r="L468" i="25"/>
  <c r="M468" i="25" s="1"/>
  <c r="E429" i="25"/>
  <c r="F429" i="25" s="1"/>
  <c r="E692" i="25"/>
  <c r="F692" i="25" s="1"/>
  <c r="E926" i="25"/>
  <c r="F926" i="25" s="1"/>
  <c r="E718" i="25"/>
  <c r="F718" i="25" s="1"/>
  <c r="L692" i="25"/>
  <c r="M692" i="25" s="1"/>
  <c r="L507" i="25"/>
  <c r="M507" i="25" s="1"/>
  <c r="L415" i="25"/>
  <c r="M415" i="25" s="1"/>
  <c r="E533" i="25"/>
  <c r="F533" i="25" s="1"/>
  <c r="L653" i="25"/>
  <c r="M653" i="25" s="1"/>
  <c r="L895" i="25"/>
  <c r="L378" i="25"/>
  <c r="M378" i="25" s="1"/>
  <c r="E322" i="25"/>
  <c r="F322" i="25" s="1"/>
  <c r="L322" i="25"/>
  <c r="M322" i="25" s="1"/>
  <c r="L546" i="25"/>
  <c r="M546" i="25" s="1"/>
  <c r="L826" i="25"/>
  <c r="M826" i="25" s="1"/>
  <c r="E266" i="25"/>
  <c r="F266" i="25" s="1"/>
  <c r="L599" i="25"/>
  <c r="M599" i="25" s="1"/>
  <c r="L350" i="25"/>
  <c r="M350" i="25" s="1"/>
  <c r="L781" i="25"/>
  <c r="M781" i="25" s="1"/>
  <c r="L855" i="25"/>
  <c r="M855" i="25" s="1"/>
  <c r="L559" i="25"/>
  <c r="M559" i="25" s="1"/>
  <c r="L614" i="25"/>
  <c r="M614" i="25" s="1"/>
  <c r="L839" i="25"/>
  <c r="M839" i="25" s="1"/>
  <c r="L280" i="25"/>
  <c r="M280" i="25" s="1"/>
  <c r="E494" i="25"/>
  <c r="F494" i="25" s="1"/>
  <c r="L481" i="25"/>
  <c r="M481" i="25" s="1"/>
  <c r="E599" i="25"/>
  <c r="F599" i="25" s="1"/>
  <c r="E335" i="25"/>
  <c r="F335" i="25" s="1"/>
  <c r="L335" i="25"/>
  <c r="M335" i="25" s="1"/>
  <c r="E279" i="25"/>
  <c r="F279" i="25" s="1"/>
  <c r="E653" i="25"/>
  <c r="F653" i="25" s="1"/>
  <c r="E546" i="25"/>
  <c r="F546" i="25" s="1"/>
  <c r="E941" i="25"/>
  <c r="F941" i="25" s="1"/>
  <c r="L729" i="25"/>
  <c r="M729" i="25" s="1"/>
  <c r="L868" i="25"/>
  <c r="M868" i="25" s="1"/>
  <c r="E841" i="25"/>
  <c r="E1067" i="25"/>
  <c r="F1067" i="25" s="1"/>
  <c r="L679" i="25"/>
  <c r="M679" i="25" s="1"/>
  <c r="L494" i="25"/>
  <c r="M494" i="25" s="1"/>
  <c r="L941" i="25"/>
  <c r="M941" i="25" s="1"/>
  <c r="E253" i="25"/>
  <c r="F253" i="25" s="1"/>
  <c r="E362" i="25"/>
  <c r="F362" i="25" s="1"/>
  <c r="L364" i="25"/>
  <c r="M364" i="25" s="1"/>
  <c r="E705" i="25"/>
  <c r="F705" i="25" s="1"/>
  <c r="L402" i="25"/>
  <c r="M402" i="25" s="1"/>
  <c r="E309" i="25"/>
  <c r="F309" i="25" s="1"/>
  <c r="L308" i="25"/>
  <c r="M308" i="25" s="1"/>
  <c r="E468" i="25"/>
  <c r="F468" i="25" s="1"/>
  <c r="L455" i="25"/>
  <c r="M455" i="25" s="1"/>
  <c r="E520" i="25"/>
  <c r="F520" i="25" s="1"/>
  <c r="E679" i="25"/>
  <c r="F679" i="25" s="1"/>
  <c r="E627" i="25"/>
  <c r="F627" i="25" s="1"/>
  <c r="L586" i="25"/>
  <c r="M586" i="25" s="1"/>
  <c r="L813" i="25"/>
  <c r="M813" i="25" s="1"/>
  <c r="L252" i="25"/>
  <c r="L640" i="25"/>
  <c r="M640" i="25" s="1"/>
  <c r="E768" i="25"/>
  <c r="F768" i="25" s="1"/>
  <c r="E415" i="25"/>
  <c r="F415" i="25" s="1"/>
  <c r="L533" i="25"/>
  <c r="M533" i="25" s="1"/>
  <c r="E572" i="25"/>
  <c r="F572" i="25" s="1"/>
  <c r="E895" i="25"/>
  <c r="A225" i="20"/>
  <c r="C225" i="20" s="1"/>
  <c r="E61" i="20"/>
  <c r="D8289" i="1"/>
  <c r="D8298" i="1" s="1"/>
  <c r="F262" i="20"/>
  <c r="G262" i="20" s="1"/>
  <c r="E53" i="20"/>
  <c r="B159" i="20"/>
  <c r="D159" i="20" s="1"/>
  <c r="E72" i="20"/>
  <c r="B92" i="20"/>
  <c r="D92" i="20" s="1"/>
  <c r="D94" i="20" s="1"/>
  <c r="A217" i="20"/>
  <c r="C217" i="20" s="1"/>
  <c r="C219" i="20" s="1"/>
  <c r="D210" i="20"/>
  <c r="D212" i="20" s="1"/>
  <c r="D85" i="20"/>
  <c r="A109" i="20"/>
  <c r="C109" i="20" s="1"/>
  <c r="B7987" i="1"/>
  <c r="E7987" i="1" s="1"/>
  <c r="E896" i="25" l="1"/>
  <c r="E902" i="25"/>
  <c r="F902" i="25" s="1"/>
  <c r="F895" i="25"/>
  <c r="S267" i="25"/>
  <c r="T267" i="25" s="1"/>
  <c r="M267" i="25"/>
  <c r="S252" i="25"/>
  <c r="T252" i="25" s="1"/>
  <c r="M252" i="25"/>
  <c r="L896" i="25"/>
  <c r="M895" i="25"/>
  <c r="B133" i="20"/>
  <c r="B134" i="20" s="1"/>
  <c r="A42" i="20"/>
  <c r="C42" i="20" s="1"/>
  <c r="C43" i="20" s="1"/>
  <c r="C35" i="20"/>
  <c r="A165" i="20"/>
  <c r="C165" i="20" s="1"/>
  <c r="C166" i="20" s="1"/>
  <c r="B3551" i="1"/>
  <c r="E3551" i="1" s="1"/>
  <c r="L897" i="25" l="1"/>
  <c r="M896" i="25"/>
  <c r="E897" i="25"/>
  <c r="F897" i="25" s="1"/>
  <c r="E909" i="25"/>
  <c r="F909" i="25" s="1"/>
  <c r="F896" i="25"/>
  <c r="E9894" i="1"/>
  <c r="E9893" i="1"/>
  <c r="E9892" i="1"/>
  <c r="E9891" i="1"/>
  <c r="L902" i="25" l="1"/>
  <c r="M897" i="25"/>
  <c r="E9890" i="1"/>
  <c r="L909" i="25" l="1"/>
  <c r="M909" i="25" s="1"/>
  <c r="M902" i="25"/>
  <c r="E8724" i="1"/>
  <c r="B8722" i="1"/>
  <c r="D8734" i="1" l="1"/>
  <c r="B8732" i="1"/>
  <c r="D8744" i="1" l="1"/>
  <c r="E8744" i="1" s="1"/>
  <c r="E560" i="25"/>
  <c r="E8734" i="1"/>
  <c r="E5903" i="1"/>
  <c r="E573" i="25" l="1"/>
  <c r="F560" i="25"/>
  <c r="D7356" i="1"/>
  <c r="E587" i="25" l="1"/>
  <c r="L574" i="25"/>
  <c r="F573" i="25"/>
  <c r="B8377" i="1"/>
  <c r="B8375" i="1"/>
  <c r="B8373" i="1"/>
  <c r="B8374" i="1" s="1"/>
  <c r="B8372" i="1"/>
  <c r="B8371" i="1"/>
  <c r="B8369" i="1"/>
  <c r="B8370" i="1" s="1"/>
  <c r="L587" i="25" l="1"/>
  <c r="M574" i="25"/>
  <c r="E600" i="25"/>
  <c r="F600" i="25" s="1"/>
  <c r="F587" i="25"/>
  <c r="E9983" i="1"/>
  <c r="D9975" i="1"/>
  <c r="D9985" i="1" s="1"/>
  <c r="D9979" i="1"/>
  <c r="D9989" i="1" s="1"/>
  <c r="D9974" i="1"/>
  <c r="D9984" i="1" s="1"/>
  <c r="D9994" i="1" s="1"/>
  <c r="D9966" i="1"/>
  <c r="D9976" i="1" s="1"/>
  <c r="E9998" i="1"/>
  <c r="E9997" i="1"/>
  <c r="E9993" i="1"/>
  <c r="E9988" i="1"/>
  <c r="E9987" i="1"/>
  <c r="E9969" i="1"/>
  <c r="E9968" i="1"/>
  <c r="E9967" i="1"/>
  <c r="E9965" i="1"/>
  <c r="E9964" i="1"/>
  <c r="E9963" i="1"/>
  <c r="E9978" i="1"/>
  <c r="E9977" i="1"/>
  <c r="E9973" i="1"/>
  <c r="D9333" i="1"/>
  <c r="E9333" i="1" s="1"/>
  <c r="D9336" i="1"/>
  <c r="B9334" i="1"/>
  <c r="B9332" i="1" s="1"/>
  <c r="B8185" i="1"/>
  <c r="B8184" i="1"/>
  <c r="B8177" i="1"/>
  <c r="B8176" i="1"/>
  <c r="L600" i="25" l="1"/>
  <c r="M587" i="25"/>
  <c r="E9989" i="1"/>
  <c r="D9999" i="1"/>
  <c r="E9999" i="1" s="1"/>
  <c r="D9995" i="1"/>
  <c r="E9995" i="1" s="1"/>
  <c r="E9985" i="1"/>
  <c r="E9966" i="1"/>
  <c r="B9970" i="1" s="1"/>
  <c r="E9970" i="1" s="1"/>
  <c r="F9970" i="1" s="1"/>
  <c r="E9976" i="1"/>
  <c r="D9986" i="1"/>
  <c r="E9994" i="1"/>
  <c r="E9984" i="1"/>
  <c r="E9975" i="1"/>
  <c r="E9979" i="1"/>
  <c r="E9974" i="1"/>
  <c r="D8365" i="1"/>
  <c r="E8365" i="1" s="1"/>
  <c r="B8366" i="1"/>
  <c r="B8355" i="1"/>
  <c r="B8364" i="1"/>
  <c r="B8361" i="1"/>
  <c r="B8362" i="1"/>
  <c r="B8363" i="1" s="1"/>
  <c r="B8358" i="1"/>
  <c r="B8359" i="1" s="1"/>
  <c r="B8360" i="1"/>
  <c r="B8340" i="1"/>
  <c r="B8341" i="1"/>
  <c r="E8354" i="1"/>
  <c r="M600" i="25" l="1"/>
  <c r="L615" i="25"/>
  <c r="E9986" i="1"/>
  <c r="B9990" i="1" s="1"/>
  <c r="E9990" i="1" s="1"/>
  <c r="F9990" i="1" s="1"/>
  <c r="D9996" i="1"/>
  <c r="E9996" i="1" s="1"/>
  <c r="B10000" i="1" s="1"/>
  <c r="E10000" i="1" s="1"/>
  <c r="F10000" i="1" s="1"/>
  <c r="B9980" i="1"/>
  <c r="E9980" i="1" s="1"/>
  <c r="F9980" i="1" s="1"/>
  <c r="E8376" i="1"/>
  <c r="B9325" i="1"/>
  <c r="B8169" i="1"/>
  <c r="B8168" i="1"/>
  <c r="B8161" i="1"/>
  <c r="B8160" i="1"/>
  <c r="E615" i="25" l="1"/>
  <c r="F615" i="25" s="1"/>
  <c r="L628" i="25"/>
  <c r="M615" i="25"/>
  <c r="B9649" i="1"/>
  <c r="E9648" i="1"/>
  <c r="B9640" i="1"/>
  <c r="B9638" i="1" s="1"/>
  <c r="E9639" i="1"/>
  <c r="B9631" i="1"/>
  <c r="E9630" i="1"/>
  <c r="B9622" i="1"/>
  <c r="E9621" i="1"/>
  <c r="B9613" i="1"/>
  <c r="B9611" i="1" s="1"/>
  <c r="E9612" i="1"/>
  <c r="B9604" i="1"/>
  <c r="B9602" i="1" s="1"/>
  <c r="E9603" i="1"/>
  <c r="B9595" i="1"/>
  <c r="B9593" i="1" s="1"/>
  <c r="E9594" i="1"/>
  <c r="B9586" i="1"/>
  <c r="B9584" i="1" s="1"/>
  <c r="E9585" i="1"/>
  <c r="B9577" i="1"/>
  <c r="B9575" i="1" s="1"/>
  <c r="E9576" i="1"/>
  <c r="B9568" i="1"/>
  <c r="E9567" i="1"/>
  <c r="B9559" i="1"/>
  <c r="E9558" i="1"/>
  <c r="B9550" i="1"/>
  <c r="E9549" i="1"/>
  <c r="D8783" i="1"/>
  <c r="E8783" i="1" s="1"/>
  <c r="D8774" i="1"/>
  <c r="E8774" i="1" s="1"/>
  <c r="D8765" i="1"/>
  <c r="E8765" i="1" s="1"/>
  <c r="B8781" i="1"/>
  <c r="B8772" i="1"/>
  <c r="B8763" i="1"/>
  <c r="B8289" i="1"/>
  <c r="B8288" i="1" s="1"/>
  <c r="B8280" i="1"/>
  <c r="B8279" i="1" s="1"/>
  <c r="E8715" i="1"/>
  <c r="B8713" i="1"/>
  <c r="B8153" i="1"/>
  <c r="B8152" i="1"/>
  <c r="L641" i="25" l="1"/>
  <c r="E628" i="25"/>
  <c r="F628" i="25" s="1"/>
  <c r="M628" i="25"/>
  <c r="B9566" i="1"/>
  <c r="B9629" i="1"/>
  <c r="B9620" i="1"/>
  <c r="B9647" i="1"/>
  <c r="B9557" i="1"/>
  <c r="B9548" i="1"/>
  <c r="B1513" i="1"/>
  <c r="D8290" i="1"/>
  <c r="D8299" i="1" s="1"/>
  <c r="B8145" i="1"/>
  <c r="B8144" i="1"/>
  <c r="B8221" i="1"/>
  <c r="D9296" i="1"/>
  <c r="E9296" i="1" s="1"/>
  <c r="E9297" i="1"/>
  <c r="B9295" i="1"/>
  <c r="E9288" i="1"/>
  <c r="E9287" i="1"/>
  <c r="B9286" i="1"/>
  <c r="B9541" i="1"/>
  <c r="B9539" i="1" s="1"/>
  <c r="E9540" i="1"/>
  <c r="E9531" i="1"/>
  <c r="B9532" i="1"/>
  <c r="B9530" i="1" s="1"/>
  <c r="E9522" i="1"/>
  <c r="B9523" i="1"/>
  <c r="B9278" i="1"/>
  <c r="B9277" i="1"/>
  <c r="B9269" i="1"/>
  <c r="B9268" i="1"/>
  <c r="B9260" i="1"/>
  <c r="B9259" i="1"/>
  <c r="D9243" i="1"/>
  <c r="E9243" i="1" s="1"/>
  <c r="B9241" i="1"/>
  <c r="B9232" i="1"/>
  <c r="B9251" i="1"/>
  <c r="B9250" i="1"/>
  <c r="B9242" i="1"/>
  <c r="E9234" i="1"/>
  <c r="B9233" i="1"/>
  <c r="E9225" i="1"/>
  <c r="B9224" i="1"/>
  <c r="B9223" i="1"/>
  <c r="L654" i="25" l="1"/>
  <c r="M654" i="25" s="1"/>
  <c r="E641" i="25"/>
  <c r="M641" i="25"/>
  <c r="D8281" i="1"/>
  <c r="D8283" i="1"/>
  <c r="D8301" i="1" s="1"/>
  <c r="D8310" i="1" s="1"/>
  <c r="D8319" i="1" s="1"/>
  <c r="D8292" i="1"/>
  <c r="B8220" i="1"/>
  <c r="D9252" i="1"/>
  <c r="B9521" i="1"/>
  <c r="E9914" i="1"/>
  <c r="E9913" i="1"/>
  <c r="E9915" i="1" s="1"/>
  <c r="F641" i="25" l="1"/>
  <c r="E654" i="25"/>
  <c r="F654" i="25" s="1"/>
  <c r="E8281" i="1"/>
  <c r="E8290" i="1"/>
  <c r="E9252" i="1"/>
  <c r="D9261" i="1"/>
  <c r="E9916" i="1"/>
  <c r="D9108" i="1"/>
  <c r="E8299" i="1" l="1"/>
  <c r="D8308" i="1"/>
  <c r="D9270" i="1"/>
  <c r="E9261" i="1"/>
  <c r="D7680" i="1"/>
  <c r="E7680" i="1" s="1"/>
  <c r="D7662" i="1"/>
  <c r="E7662" i="1" s="1"/>
  <c r="D7501" i="1"/>
  <c r="D7503" i="1" s="1"/>
  <c r="E7503" i="1" s="1"/>
  <c r="D7483" i="1"/>
  <c r="D7485" i="1" s="1"/>
  <c r="E7485" i="1" s="1"/>
  <c r="D7318" i="1"/>
  <c r="E7318" i="1" s="1"/>
  <c r="D7300" i="1"/>
  <c r="D7302" i="1" s="1"/>
  <c r="E7302" i="1" s="1"/>
  <c r="D7139" i="1"/>
  <c r="D7103" i="1"/>
  <c r="E7103" i="1" s="1"/>
  <c r="D6934" i="1"/>
  <c r="E6934" i="1" s="1"/>
  <c r="D6933" i="1"/>
  <c r="E6933" i="1" s="1"/>
  <c r="D6932" i="1"/>
  <c r="E6932" i="1" s="1"/>
  <c r="D6931" i="1"/>
  <c r="E6931" i="1" s="1"/>
  <c r="E6930" i="1"/>
  <c r="D8317" i="1" l="1"/>
  <c r="E8317" i="1" s="1"/>
  <c r="E8308" i="1"/>
  <c r="E7483" i="1"/>
  <c r="E7501" i="1"/>
  <c r="D9279" i="1"/>
  <c r="E9279" i="1" s="1"/>
  <c r="E9270" i="1"/>
  <c r="E7300" i="1"/>
  <c r="D7646" i="1"/>
  <c r="D7664" i="1"/>
  <c r="E7664" i="1" s="1"/>
  <c r="D7682" i="1"/>
  <c r="E7682" i="1" s="1"/>
  <c r="D7105" i="1"/>
  <c r="E7105" i="1" s="1"/>
  <c r="D7320" i="1"/>
  <c r="E7320" i="1" s="1"/>
  <c r="D7283" i="1"/>
  <c r="E7283" i="1" s="1"/>
  <c r="D7466" i="1"/>
  <c r="E7139" i="1"/>
  <c r="F6934" i="1"/>
  <c r="E6927" i="1"/>
  <c r="E6926" i="1"/>
  <c r="D6925" i="1"/>
  <c r="E6925" i="1" s="1"/>
  <c r="D6924" i="1"/>
  <c r="E6924" i="1" s="1"/>
  <c r="E6923" i="1"/>
  <c r="E7646" i="1" l="1"/>
  <c r="D7648" i="1"/>
  <c r="E7648" i="1" s="1"/>
  <c r="E7466" i="1"/>
  <c r="D7468" i="1"/>
  <c r="E7468" i="1" s="1"/>
  <c r="D7285" i="1"/>
  <c r="E7285" i="1" s="1"/>
  <c r="F6927" i="1"/>
  <c r="B9461" i="1"/>
  <c r="B9459" i="1" s="1"/>
  <c r="B9452" i="1"/>
  <c r="B9450" i="1" s="1"/>
  <c r="D9442" i="1"/>
  <c r="E9442" i="1" s="1"/>
  <c r="B9443" i="1"/>
  <c r="B9441" i="1" s="1"/>
  <c r="B9425" i="1"/>
  <c r="B9423" i="1" s="1"/>
  <c r="B9143" i="1"/>
  <c r="B9134" i="1"/>
  <c r="B9125" i="1"/>
  <c r="B9107" i="1"/>
  <c r="B9106" i="1" s="1"/>
  <c r="B9098" i="1"/>
  <c r="B9089" i="1"/>
  <c r="B9088" i="1" s="1"/>
  <c r="B9080" i="1"/>
  <c r="B9062" i="1"/>
  <c r="B9053" i="1"/>
  <c r="B9044" i="1"/>
  <c r="B9035" i="1"/>
  <c r="D9018" i="1"/>
  <c r="E9018" i="1" s="1"/>
  <c r="B9017" i="1"/>
  <c r="D9009" i="1"/>
  <c r="E9009" i="1" s="1"/>
  <c r="B9008" i="1"/>
  <c r="D9000" i="1"/>
  <c r="E9000" i="1" s="1"/>
  <c r="B8999" i="1"/>
  <c r="B8998" i="1" s="1"/>
  <c r="D8982" i="1"/>
  <c r="E8982" i="1" s="1"/>
  <c r="B8981" i="1"/>
  <c r="B8980" i="1" s="1"/>
  <c r="D8973" i="1"/>
  <c r="E8973" i="1" s="1"/>
  <c r="D8964" i="1"/>
  <c r="E8964" i="1" s="1"/>
  <c r="B8972" i="1"/>
  <c r="B8971" i="1" s="1"/>
  <c r="B8963" i="1"/>
  <c r="D8955" i="1"/>
  <c r="E8955" i="1" s="1"/>
  <c r="B8954" i="1"/>
  <c r="B8953" i="1" s="1"/>
  <c r="D8936" i="1"/>
  <c r="E8936" i="1" s="1"/>
  <c r="D8927" i="1"/>
  <c r="E8927" i="1" s="1"/>
  <c r="D8918" i="1"/>
  <c r="E8918" i="1" s="1"/>
  <c r="B8935" i="1"/>
  <c r="B8926" i="1"/>
  <c r="B8917" i="1"/>
  <c r="D8909" i="1"/>
  <c r="E8909" i="1" s="1"/>
  <c r="B8908" i="1"/>
  <c r="B8907" i="1" s="1"/>
  <c r="D8882" i="1"/>
  <c r="E8882" i="1" s="1"/>
  <c r="D8891" i="1"/>
  <c r="E8891" i="1" s="1"/>
  <c r="D8873" i="1"/>
  <c r="E8873" i="1" s="1"/>
  <c r="B8890" i="1"/>
  <c r="B8889" i="1" s="1"/>
  <c r="B8881" i="1"/>
  <c r="B8880" i="1" s="1"/>
  <c r="B8872" i="1"/>
  <c r="B8871" i="1" s="1"/>
  <c r="D8855" i="1"/>
  <c r="E8855" i="1" s="1"/>
  <c r="B8854" i="1"/>
  <c r="D8846" i="1"/>
  <c r="E8846" i="1" s="1"/>
  <c r="B8845" i="1"/>
  <c r="D8837" i="1"/>
  <c r="E8837" i="1" s="1"/>
  <c r="B8836" i="1"/>
  <c r="B8835" i="1" s="1"/>
  <c r="D8819" i="1"/>
  <c r="E8819" i="1" s="1"/>
  <c r="D8810" i="1"/>
  <c r="E8810" i="1" s="1"/>
  <c r="D8801" i="1"/>
  <c r="E8801" i="1" s="1"/>
  <c r="B8818" i="1"/>
  <c r="B8817" i="1" s="1"/>
  <c r="B8809" i="1"/>
  <c r="B8808" i="1" s="1"/>
  <c r="B8800" i="1"/>
  <c r="B8799" i="1" s="1"/>
  <c r="E9365" i="1"/>
  <c r="B9353" i="1"/>
  <c r="E9354" i="1"/>
  <c r="E9344" i="1"/>
  <c r="D9347" i="1"/>
  <c r="D9358" i="1" s="1"/>
  <c r="B9345" i="1"/>
  <c r="D9321" i="1"/>
  <c r="B9323" i="1"/>
  <c r="E9324" i="1"/>
  <c r="B9116" i="1"/>
  <c r="B9071" i="1"/>
  <c r="B9070" i="1" s="1"/>
  <c r="B9026" i="1"/>
  <c r="B8990" i="1"/>
  <c r="B8989" i="1" s="1"/>
  <c r="D9149" i="1"/>
  <c r="E9149" i="1" s="1"/>
  <c r="B9151" i="1"/>
  <c r="B8945" i="1"/>
  <c r="B8944" i="1" s="1"/>
  <c r="B8899" i="1"/>
  <c r="B8863" i="1"/>
  <c r="B8827" i="1"/>
  <c r="B8791" i="1"/>
  <c r="B8790" i="1" s="1"/>
  <c r="B8705" i="1"/>
  <c r="B8696" i="1"/>
  <c r="B8687" i="1"/>
  <c r="B8678" i="1"/>
  <c r="B8669" i="1"/>
  <c r="B8668" i="1" s="1"/>
  <c r="B8660" i="1"/>
  <c r="B8651" i="1"/>
  <c r="B8642" i="1"/>
  <c r="B8633" i="1"/>
  <c r="B8624" i="1"/>
  <c r="B8615" i="1"/>
  <c r="B8606" i="1"/>
  <c r="D8609" i="1"/>
  <c r="D8618" i="1" s="1"/>
  <c r="B8416" i="1"/>
  <c r="B8415" i="1" s="1"/>
  <c r="E8397" i="1"/>
  <c r="B8396" i="1"/>
  <c r="D9369" i="1" l="1"/>
  <c r="E241" i="25"/>
  <c r="D8627" i="1"/>
  <c r="D8636" i="1" s="1"/>
  <c r="D8645" i="1" s="1"/>
  <c r="D8654" i="1" s="1"/>
  <c r="D8663" i="1" s="1"/>
  <c r="D8672" i="1" s="1"/>
  <c r="D8681" i="1" s="1"/>
  <c r="D8690" i="1" s="1"/>
  <c r="D8699" i="1" s="1"/>
  <c r="D8708" i="1" s="1"/>
  <c r="D8794" i="1" s="1"/>
  <c r="D8717" i="1" s="1"/>
  <c r="D8737" i="1" s="1"/>
  <c r="E392" i="25"/>
  <c r="D9389" i="1"/>
  <c r="D9379" i="1"/>
  <c r="D9427" i="1"/>
  <c r="D9436" i="1" s="1"/>
  <c r="D9418" i="1"/>
  <c r="E8393" i="1"/>
  <c r="E9424" i="1"/>
  <c r="D9433" i="1"/>
  <c r="E9433" i="1" s="1"/>
  <c r="E9321" i="1"/>
  <c r="D9330" i="1"/>
  <c r="E9330" i="1" s="1"/>
  <c r="D9460" i="1"/>
  <c r="E9460" i="1" s="1"/>
  <c r="D9451" i="1"/>
  <c r="E9451" i="1" s="1"/>
  <c r="B9142" i="1"/>
  <c r="B9133" i="1"/>
  <c r="B9124" i="1"/>
  <c r="B9097" i="1"/>
  <c r="B9079" i="1"/>
  <c r="B9061" i="1"/>
  <c r="B9052" i="1"/>
  <c r="B9043" i="1"/>
  <c r="B9034" i="1"/>
  <c r="B9016" i="1"/>
  <c r="B9007" i="1"/>
  <c r="B8962" i="1"/>
  <c r="B8934" i="1"/>
  <c r="B8925" i="1"/>
  <c r="B8916" i="1"/>
  <c r="B8853" i="1"/>
  <c r="B8844" i="1"/>
  <c r="B9343" i="1"/>
  <c r="D9341" i="1"/>
  <c r="E8607" i="1"/>
  <c r="B9115" i="1"/>
  <c r="B9025" i="1"/>
  <c r="B8898" i="1"/>
  <c r="B8862" i="1"/>
  <c r="B8826" i="1"/>
  <c r="B8704" i="1"/>
  <c r="B8695" i="1"/>
  <c r="B8686" i="1"/>
  <c r="B8677" i="1"/>
  <c r="B8659" i="1"/>
  <c r="B8650" i="1"/>
  <c r="B8641" i="1"/>
  <c r="B8632" i="1"/>
  <c r="B8623" i="1"/>
  <c r="B8614" i="1"/>
  <c r="B8605" i="1"/>
  <c r="B8395" i="1"/>
  <c r="E9910" i="1"/>
  <c r="E9909" i="1"/>
  <c r="E9908" i="1"/>
  <c r="B9907" i="1"/>
  <c r="E9907" i="1" s="1"/>
  <c r="E9906" i="1"/>
  <c r="E9903" i="1"/>
  <c r="E9902" i="1"/>
  <c r="E9901" i="1"/>
  <c r="E9900" i="1"/>
  <c r="E9899" i="1"/>
  <c r="B9898" i="1"/>
  <c r="E9898" i="1" s="1"/>
  <c r="D8803" i="1" l="1"/>
  <c r="D8727" i="1" s="1"/>
  <c r="E670" i="25" s="1"/>
  <c r="E683" i="25" s="1"/>
  <c r="E696" i="25" s="1"/>
  <c r="E405" i="25"/>
  <c r="L392" i="25"/>
  <c r="D8747" i="1"/>
  <c r="E563" i="25"/>
  <c r="E576" i="25" s="1"/>
  <c r="L241" i="25"/>
  <c r="E298" i="25"/>
  <c r="E1110" i="25"/>
  <c r="E1121" i="25" s="1"/>
  <c r="D8830" i="1"/>
  <c r="D9409" i="1"/>
  <c r="D9399" i="1"/>
  <c r="D9445" i="1"/>
  <c r="D9454" i="1" s="1"/>
  <c r="D9463" i="1" s="1"/>
  <c r="E8403" i="1"/>
  <c r="D8767" i="1"/>
  <c r="D8866" i="1"/>
  <c r="D8839" i="1"/>
  <c r="D8848" i="1" s="1"/>
  <c r="D8857" i="1" s="1"/>
  <c r="E9341" i="1"/>
  <c r="E8616" i="1"/>
  <c r="E8413" i="1"/>
  <c r="D8603" i="1"/>
  <c r="E9905" i="1"/>
  <c r="E9897" i="1"/>
  <c r="L254" i="25" l="1"/>
  <c r="S241" i="25"/>
  <c r="S254" i="25" s="1"/>
  <c r="S269" i="25" s="1"/>
  <c r="D8812" i="1"/>
  <c r="D8821" i="1" s="1"/>
  <c r="D8785" i="1" s="1"/>
  <c r="E590" i="25"/>
  <c r="E603" i="25" s="1"/>
  <c r="L577" i="25"/>
  <c r="L590" i="25" s="1"/>
  <c r="L603" i="25" s="1"/>
  <c r="L618" i="25" s="1"/>
  <c r="E255" i="25"/>
  <c r="L282" i="25" s="1"/>
  <c r="L269" i="25"/>
  <c r="E351" i="25"/>
  <c r="E418" i="25"/>
  <c r="L405" i="25"/>
  <c r="E8423" i="1"/>
  <c r="D8902" i="1"/>
  <c r="D8875" i="1"/>
  <c r="D8884" i="1" s="1"/>
  <c r="D8893" i="1" s="1"/>
  <c r="E9351" i="1"/>
  <c r="D9412" i="1"/>
  <c r="E9412" i="1" s="1"/>
  <c r="E8625" i="1"/>
  <c r="D8612" i="1"/>
  <c r="E386" i="25" s="1"/>
  <c r="E8603" i="1"/>
  <c r="F9815" i="1"/>
  <c r="F9819" i="1"/>
  <c r="F9818" i="1"/>
  <c r="F9817" i="1"/>
  <c r="F9813" i="1"/>
  <c r="D8776" i="1" l="1"/>
  <c r="E432" i="25"/>
  <c r="E445" i="25" s="1"/>
  <c r="E458" i="25" s="1"/>
  <c r="E471" i="25" s="1"/>
  <c r="E484" i="25" s="1"/>
  <c r="E497" i="25" s="1"/>
  <c r="L418" i="25"/>
  <c r="L432" i="25" s="1"/>
  <c r="L445" i="25" s="1"/>
  <c r="L458" i="25" s="1"/>
  <c r="L471" i="25" s="1"/>
  <c r="L484" i="25" s="1"/>
  <c r="L497" i="25" s="1"/>
  <c r="L510" i="25" s="1"/>
  <c r="L682" i="25" s="1"/>
  <c r="L695" i="25" s="1"/>
  <c r="E708" i="25" s="1"/>
  <c r="E618" i="25"/>
  <c r="L631" i="25"/>
  <c r="E364" i="25"/>
  <c r="E268" i="25"/>
  <c r="E311" i="25" s="1"/>
  <c r="E281" i="25" s="1"/>
  <c r="E324" i="25" s="1"/>
  <c r="E337" i="25" s="1"/>
  <c r="E399" i="25"/>
  <c r="L386" i="25"/>
  <c r="F386" i="25"/>
  <c r="E9362" i="1"/>
  <c r="D9421" i="1"/>
  <c r="D9430" i="1" s="1"/>
  <c r="E9430" i="1" s="1"/>
  <c r="D8948" i="1"/>
  <c r="D8911" i="1"/>
  <c r="D8920" i="1" s="1"/>
  <c r="D8929" i="1" s="1"/>
  <c r="D8938" i="1" s="1"/>
  <c r="E8634" i="1"/>
  <c r="E8612" i="1"/>
  <c r="D8621" i="1"/>
  <c r="B8212" i="1"/>
  <c r="B8211" i="1" s="1"/>
  <c r="E8213" i="1"/>
  <c r="L644" i="25" l="1"/>
  <c r="E631" i="25"/>
  <c r="E721" i="25"/>
  <c r="L717" i="25" s="1"/>
  <c r="L733" i="25" s="1"/>
  <c r="E736" i="25" s="1"/>
  <c r="F708" i="25"/>
  <c r="L399" i="25"/>
  <c r="M386" i="25"/>
  <c r="E412" i="25"/>
  <c r="F399" i="25"/>
  <c r="E8209" i="1"/>
  <c r="D8286" i="1"/>
  <c r="E9421" i="1"/>
  <c r="D9439" i="1"/>
  <c r="D8993" i="1"/>
  <c r="D8957" i="1"/>
  <c r="D8966" i="1" s="1"/>
  <c r="D8975" i="1" s="1"/>
  <c r="D8984" i="1" s="1"/>
  <c r="E8643" i="1"/>
  <c r="D8652" i="1"/>
  <c r="E8621" i="1"/>
  <c r="D8630" i="1"/>
  <c r="E9216" i="1"/>
  <c r="B9214" i="1"/>
  <c r="E9207" i="1"/>
  <c r="B9205" i="1"/>
  <c r="E9198" i="1"/>
  <c r="B9196" i="1"/>
  <c r="E9189" i="1"/>
  <c r="B9187" i="1"/>
  <c r="E9180" i="1"/>
  <c r="B9179" i="1"/>
  <c r="B9178" i="1"/>
  <c r="B9170" i="1"/>
  <c r="B9169" i="1"/>
  <c r="E9171" i="1"/>
  <c r="E9513" i="1"/>
  <c r="B9514" i="1"/>
  <c r="B9512" i="1" s="1"/>
  <c r="B9505" i="1"/>
  <c r="B9503" i="1" s="1"/>
  <c r="E9504" i="1"/>
  <c r="B9496" i="1"/>
  <c r="B9494" i="1" s="1"/>
  <c r="E9495" i="1"/>
  <c r="B8137" i="1"/>
  <c r="B8136" i="1"/>
  <c r="D8131" i="1"/>
  <c r="D8139" i="1" s="1"/>
  <c r="D8147" i="1" s="1"/>
  <c r="D8155" i="1" s="1"/>
  <c r="D8163" i="1" s="1"/>
  <c r="D8171" i="1" s="1"/>
  <c r="D8179" i="1" s="1"/>
  <c r="D8187" i="1" s="1"/>
  <c r="B8129" i="1"/>
  <c r="B8128" i="1"/>
  <c r="L657" i="25" l="1"/>
  <c r="E644" i="25"/>
  <c r="E657" i="25" s="1"/>
  <c r="E426" i="25"/>
  <c r="F412" i="25"/>
  <c r="M399" i="25"/>
  <c r="L412" i="25"/>
  <c r="E8286" i="1"/>
  <c r="E8218" i="1"/>
  <c r="D8277" i="1"/>
  <c r="E9439" i="1"/>
  <c r="D9448" i="1"/>
  <c r="D9029" i="1"/>
  <c r="D9002" i="1"/>
  <c r="D9011" i="1" s="1"/>
  <c r="D9020" i="1" s="1"/>
  <c r="E8652" i="1"/>
  <c r="D8661" i="1"/>
  <c r="D8639" i="1"/>
  <c r="E8630" i="1"/>
  <c r="E1103" i="25" l="1"/>
  <c r="E1052" i="25"/>
  <c r="M412" i="25"/>
  <c r="L426" i="25"/>
  <c r="M426" i="25" s="1"/>
  <c r="F426" i="25"/>
  <c r="E439" i="25"/>
  <c r="E8277" i="1"/>
  <c r="D8295" i="1"/>
  <c r="E9448" i="1"/>
  <c r="D9457" i="1"/>
  <c r="E9457" i="1" s="1"/>
  <c r="D9074" i="1"/>
  <c r="D9038" i="1"/>
  <c r="D9047" i="1" s="1"/>
  <c r="D9056" i="1" s="1"/>
  <c r="D9065" i="1" s="1"/>
  <c r="E8661" i="1"/>
  <c r="D8670" i="1"/>
  <c r="D8648" i="1"/>
  <c r="E8639" i="1"/>
  <c r="E9887" i="1"/>
  <c r="E9886" i="1"/>
  <c r="E9882" i="1"/>
  <c r="E9881" i="1"/>
  <c r="E9880" i="1"/>
  <c r="E9879" i="1"/>
  <c r="F1052" i="25" l="1"/>
  <c r="E1064" i="25"/>
  <c r="E1114" i="25"/>
  <c r="F1114" i="25" s="1"/>
  <c r="F1103" i="25"/>
  <c r="E452" i="25"/>
  <c r="L439" i="25"/>
  <c r="F439" i="25"/>
  <c r="E8295" i="1"/>
  <c r="D8304" i="1"/>
  <c r="D9119" i="1"/>
  <c r="D9128" i="1" s="1"/>
  <c r="D9137" i="1" s="1"/>
  <c r="D9146" i="1" s="1"/>
  <c r="D9083" i="1"/>
  <c r="D9092" i="1" s="1"/>
  <c r="D9101" i="1" s="1"/>
  <c r="D9110" i="1" s="1"/>
  <c r="E8670" i="1"/>
  <c r="D8679" i="1"/>
  <c r="D8657" i="1"/>
  <c r="E8648" i="1"/>
  <c r="E9888" i="1"/>
  <c r="E9885" i="1" s="1"/>
  <c r="E9883" i="1"/>
  <c r="F1064" i="25" l="1"/>
  <c r="E1076" i="25"/>
  <c r="F1076" i="25" s="1"/>
  <c r="E465" i="25"/>
  <c r="F452" i="25"/>
  <c r="L452" i="25"/>
  <c r="M439" i="25"/>
  <c r="E8304" i="1"/>
  <c r="D8313" i="1"/>
  <c r="E8679" i="1"/>
  <c r="D8688" i="1"/>
  <c r="E8657" i="1"/>
  <c r="D8666" i="1"/>
  <c r="B9488" i="1"/>
  <c r="B9486" i="1" s="1"/>
  <c r="B8121" i="1"/>
  <c r="B8120" i="1"/>
  <c r="B8113" i="1"/>
  <c r="B8112" i="1"/>
  <c r="L504" i="25" l="1"/>
  <c r="M504" i="25" s="1"/>
  <c r="L465" i="25"/>
  <c r="M452" i="25"/>
  <c r="E478" i="25"/>
  <c r="F465" i="25"/>
  <c r="E8313" i="1"/>
  <c r="E8326" i="1"/>
  <c r="E8688" i="1"/>
  <c r="D8697" i="1"/>
  <c r="E8666" i="1"/>
  <c r="D8675" i="1"/>
  <c r="E9874" i="1"/>
  <c r="E9873" i="1"/>
  <c r="E9872" i="1"/>
  <c r="E9871" i="1"/>
  <c r="B9870" i="1"/>
  <c r="E9869" i="1"/>
  <c r="E9868" i="1"/>
  <c r="E9867" i="1"/>
  <c r="E491" i="25" l="1"/>
  <c r="F491" i="25" s="1"/>
  <c r="F478" i="25"/>
  <c r="M465" i="25"/>
  <c r="L478" i="25"/>
  <c r="E8697" i="1"/>
  <c r="D8706" i="1"/>
  <c r="E8675" i="1"/>
  <c r="D8684" i="1"/>
  <c r="B9858" i="1"/>
  <c r="E9858" i="1" s="1"/>
  <c r="B9860" i="1"/>
  <c r="E9860" i="1" s="1"/>
  <c r="B9859" i="1"/>
  <c r="E9859" i="1" s="1"/>
  <c r="A9857" i="1"/>
  <c r="E9856" i="1"/>
  <c r="F9672" i="1"/>
  <c r="M478" i="25" l="1"/>
  <c r="L491" i="25"/>
  <c r="M491" i="25" s="1"/>
  <c r="E8706" i="1"/>
  <c r="D8693" i="1"/>
  <c r="E8684" i="1"/>
  <c r="D22" i="1"/>
  <c r="E22" i="1" s="1"/>
  <c r="E21" i="1"/>
  <c r="E8792" i="1" l="1"/>
  <c r="E8693" i="1"/>
  <c r="D8702" i="1"/>
  <c r="B23" i="1"/>
  <c r="E23" i="1" s="1"/>
  <c r="F23" i="1" s="1"/>
  <c r="D9851" i="1"/>
  <c r="E9851" i="1" s="1"/>
  <c r="D9850" i="1"/>
  <c r="E9850" i="1" s="1"/>
  <c r="D9849" i="1"/>
  <c r="E9849" i="1" s="1"/>
  <c r="D9848" i="1"/>
  <c r="E9848" i="1" s="1"/>
  <c r="D9847" i="1"/>
  <c r="E9847" i="1" s="1"/>
  <c r="E8828" i="1" l="1"/>
  <c r="E8702" i="1"/>
  <c r="D8788" i="1"/>
  <c r="E9852" i="1"/>
  <c r="E9845" i="1" s="1"/>
  <c r="D8797" i="1" l="1"/>
  <c r="E8720" i="1" s="1"/>
  <c r="D8711" i="1"/>
  <c r="E8864" i="1"/>
  <c r="E8788" i="1"/>
  <c r="D8824" i="1"/>
  <c r="D8833" i="1" s="1"/>
  <c r="E8711" i="1" l="1"/>
  <c r="E8797" i="1"/>
  <c r="D8761" i="1"/>
  <c r="E8761" i="1" s="1"/>
  <c r="D8806" i="1"/>
  <c r="D8842" i="1"/>
  <c r="E8833" i="1"/>
  <c r="E8900" i="1"/>
  <c r="D8860" i="1"/>
  <c r="D8869" i="1" s="1"/>
  <c r="E8824" i="1"/>
  <c r="E9735" i="1"/>
  <c r="F9735" i="1" s="1"/>
  <c r="C9733" i="1"/>
  <c r="F9733" i="1" s="1"/>
  <c r="E9726" i="1"/>
  <c r="E8806" i="1" l="1"/>
  <c r="D8770" i="1"/>
  <c r="E8770" i="1" s="1"/>
  <c r="D8815" i="1"/>
  <c r="D8878" i="1"/>
  <c r="E8869" i="1"/>
  <c r="E8842" i="1"/>
  <c r="D8851" i="1"/>
  <c r="E8851" i="1" s="1"/>
  <c r="E8946" i="1"/>
  <c r="E8860" i="1"/>
  <c r="D8896" i="1"/>
  <c r="D8905" i="1" s="1"/>
  <c r="E9839" i="1"/>
  <c r="B9838" i="1"/>
  <c r="E9838" i="1" s="1"/>
  <c r="E9837" i="1"/>
  <c r="D9836" i="1"/>
  <c r="E9836" i="1" s="1"/>
  <c r="E9835" i="1"/>
  <c r="F9832" i="1"/>
  <c r="F9831" i="1"/>
  <c r="F9830" i="1"/>
  <c r="F9829" i="1"/>
  <c r="F9826" i="1"/>
  <c r="F9809" i="1"/>
  <c r="F9808" i="1"/>
  <c r="F9807" i="1"/>
  <c r="F9804" i="1"/>
  <c r="C9799" i="1"/>
  <c r="F9799" i="1" s="1"/>
  <c r="F9798" i="1"/>
  <c r="F9793" i="1"/>
  <c r="F9791" i="1"/>
  <c r="C9790" i="1"/>
  <c r="F9790" i="1" s="1"/>
  <c r="F9789" i="1"/>
  <c r="F9788" i="1"/>
  <c r="F9787" i="1"/>
  <c r="F9786" i="1"/>
  <c r="F9785" i="1"/>
  <c r="F9784" i="1"/>
  <c r="F9779" i="1"/>
  <c r="F9778" i="1"/>
  <c r="F9777" i="1"/>
  <c r="F9772" i="1"/>
  <c r="F9771" i="1"/>
  <c r="F9770" i="1"/>
  <c r="F9769" i="1"/>
  <c r="E9768" i="1"/>
  <c r="F9768" i="1" s="1"/>
  <c r="F9763" i="1"/>
  <c r="E9762" i="1"/>
  <c r="F9762" i="1" s="1"/>
  <c r="E9761" i="1"/>
  <c r="F9761" i="1" s="1"/>
  <c r="F9760" i="1"/>
  <c r="F9754" i="1"/>
  <c r="F9753" i="1"/>
  <c r="F9752" i="1"/>
  <c r="F9751" i="1"/>
  <c r="F9750" i="1"/>
  <c r="F9749" i="1"/>
  <c r="F9742" i="1"/>
  <c r="C9741" i="1"/>
  <c r="F9741" i="1" s="1"/>
  <c r="F9740" i="1"/>
  <c r="F9729" i="1"/>
  <c r="F9728" i="1"/>
  <c r="F9725" i="1"/>
  <c r="C9724" i="1"/>
  <c r="F9724" i="1" s="1"/>
  <c r="F9717" i="1"/>
  <c r="F9716" i="1"/>
  <c r="E9715" i="1"/>
  <c r="F9715" i="1" s="1"/>
  <c r="D9714" i="1"/>
  <c r="E8815" i="1" l="1"/>
  <c r="D8779" i="1"/>
  <c r="E8779" i="1" s="1"/>
  <c r="D8914" i="1"/>
  <c r="E8905" i="1"/>
  <c r="E8878" i="1"/>
  <c r="D8887" i="1"/>
  <c r="E8887" i="1" s="1"/>
  <c r="E8991" i="1"/>
  <c r="D9027" i="1"/>
  <c r="D9063" i="1" s="1"/>
  <c r="E8896" i="1"/>
  <c r="D8942" i="1"/>
  <c r="D8951" i="1" s="1"/>
  <c r="E9714" i="1"/>
  <c r="C9719" i="1"/>
  <c r="F9719" i="1" s="1"/>
  <c r="C9718" i="1"/>
  <c r="F9718" i="1" s="1"/>
  <c r="D9840" i="1"/>
  <c r="E9840" i="1" s="1"/>
  <c r="E9841" i="1" s="1"/>
  <c r="E9794" i="1"/>
  <c r="F9794" i="1" s="1"/>
  <c r="E9792" i="1"/>
  <c r="F9792" i="1" s="1"/>
  <c r="E9800" i="1"/>
  <c r="F9800" i="1" s="1"/>
  <c r="F9801" i="1" s="1"/>
  <c r="E9773" i="1"/>
  <c r="F9773" i="1" s="1"/>
  <c r="F9774" i="1" s="1"/>
  <c r="E9780" i="1"/>
  <c r="F9780" i="1" s="1"/>
  <c r="F9781" i="1" s="1"/>
  <c r="E9743" i="1"/>
  <c r="F9743" i="1" s="1"/>
  <c r="F9744" i="1" s="1"/>
  <c r="E9764" i="1"/>
  <c r="F9764" i="1" s="1"/>
  <c r="F9765" i="1" s="1"/>
  <c r="E9755" i="1"/>
  <c r="F9755" i="1" s="1"/>
  <c r="F9756" i="1" s="1"/>
  <c r="F9795" i="1" l="1"/>
  <c r="E9063" i="1"/>
  <c r="D9054" i="1"/>
  <c r="E9054" i="1" s="1"/>
  <c r="D9045" i="1"/>
  <c r="E9045" i="1" s="1"/>
  <c r="D9036" i="1"/>
  <c r="E9036" i="1" s="1"/>
  <c r="D8960" i="1"/>
  <c r="E8951" i="1"/>
  <c r="E8914" i="1"/>
  <c r="D8923" i="1"/>
  <c r="E9027" i="1"/>
  <c r="E8942" i="1"/>
  <c r="D8987" i="1"/>
  <c r="D8996" i="1" s="1"/>
  <c r="F9720" i="1"/>
  <c r="F9713" i="1" s="1"/>
  <c r="F9709" i="1"/>
  <c r="F9708" i="1"/>
  <c r="F9707" i="1"/>
  <c r="F9706" i="1"/>
  <c r="E9705" i="1"/>
  <c r="F9705" i="1" s="1"/>
  <c r="C9704" i="1"/>
  <c r="F9704" i="1" s="1"/>
  <c r="F9703" i="1"/>
  <c r="F9702" i="1"/>
  <c r="F9701" i="1"/>
  <c r="D9700" i="1"/>
  <c r="E9700" i="1" s="1"/>
  <c r="C9710" i="1" s="1"/>
  <c r="F9710" i="1" s="1"/>
  <c r="F9690" i="1"/>
  <c r="F9695" i="1"/>
  <c r="F9694" i="1"/>
  <c r="E9693" i="1"/>
  <c r="F9693" i="1" s="1"/>
  <c r="C9692" i="1"/>
  <c r="F9692" i="1" s="1"/>
  <c r="F9691" i="1"/>
  <c r="D9689" i="1"/>
  <c r="E9689" i="1" s="1"/>
  <c r="C9696" i="1" s="1"/>
  <c r="F9684" i="1"/>
  <c r="F9683" i="1"/>
  <c r="F9682" i="1"/>
  <c r="F9681" i="1"/>
  <c r="E9680" i="1"/>
  <c r="F9680" i="1" s="1"/>
  <c r="C9679" i="1"/>
  <c r="F9679" i="1" s="1"/>
  <c r="F9678" i="1"/>
  <c r="F9677" i="1"/>
  <c r="D9676" i="1"/>
  <c r="E9676" i="1" s="1"/>
  <c r="D9099" i="1" l="1"/>
  <c r="E9099" i="1" s="1"/>
  <c r="D9081" i="1"/>
  <c r="D9090" i="1"/>
  <c r="E9090" i="1" s="1"/>
  <c r="E8996" i="1"/>
  <c r="D9005" i="1"/>
  <c r="E8960" i="1"/>
  <c r="D8969" i="1"/>
  <c r="D8932" i="1"/>
  <c r="E8932" i="1" s="1"/>
  <c r="E8923" i="1"/>
  <c r="D9023" i="1"/>
  <c r="D9032" i="1" s="1"/>
  <c r="E8987" i="1"/>
  <c r="E9072" i="1"/>
  <c r="E9117" i="1"/>
  <c r="F9696" i="1"/>
  <c r="F9697" i="1" s="1"/>
  <c r="F9688" i="1" s="1"/>
  <c r="C9685" i="1"/>
  <c r="F9685" i="1" s="1"/>
  <c r="F9686" i="1" s="1"/>
  <c r="F9675" i="1" s="1"/>
  <c r="F9711" i="1"/>
  <c r="F9699" i="1" s="1"/>
  <c r="D9144" i="1" l="1"/>
  <c r="E9144" i="1" s="1"/>
  <c r="D9135" i="1"/>
  <c r="E9135" i="1" s="1"/>
  <c r="D9126" i="1"/>
  <c r="E9126" i="1" s="1"/>
  <c r="E9081" i="1"/>
  <c r="E9108" i="1"/>
  <c r="E9032" i="1"/>
  <c r="D9041" i="1"/>
  <c r="E8969" i="1"/>
  <c r="D8978" i="1"/>
  <c r="E8978" i="1" s="1"/>
  <c r="D9014" i="1"/>
  <c r="E9014" i="1" s="1"/>
  <c r="E9005" i="1"/>
  <c r="D9068" i="1"/>
  <c r="D9077" i="1" s="1"/>
  <c r="E9023" i="1"/>
  <c r="D6124" i="1"/>
  <c r="B2232" i="1"/>
  <c r="E9077" i="1" l="1"/>
  <c r="D9086" i="1"/>
  <c r="E9041" i="1"/>
  <c r="D9050" i="1"/>
  <c r="E9068" i="1"/>
  <c r="D9113" i="1"/>
  <c r="B1954" i="1"/>
  <c r="C698" i="3"/>
  <c r="E9113" i="1" l="1"/>
  <c r="D9122" i="1"/>
  <c r="E9086" i="1"/>
  <c r="D9095" i="1"/>
  <c r="E9050" i="1"/>
  <c r="D9059" i="1"/>
  <c r="E9059" i="1" s="1"/>
  <c r="E800" i="1"/>
  <c r="E779" i="1"/>
  <c r="E748" i="1"/>
  <c r="E727" i="1"/>
  <c r="E716" i="1"/>
  <c r="E707" i="1"/>
  <c r="E698" i="1"/>
  <c r="E688" i="1"/>
  <c r="E679" i="1"/>
  <c r="E638" i="1"/>
  <c r="E617" i="1"/>
  <c r="E586" i="1"/>
  <c r="E546" i="1"/>
  <c r="E535" i="1"/>
  <c r="E526" i="1"/>
  <c r="E517" i="1"/>
  <c r="E508" i="1"/>
  <c r="E499" i="1"/>
  <c r="E458" i="1"/>
  <c r="E437" i="1"/>
  <c r="E406" i="1"/>
  <c r="E385" i="1"/>
  <c r="E374" i="1"/>
  <c r="E365" i="1"/>
  <c r="E356" i="1"/>
  <c r="E347" i="1"/>
  <c r="E338" i="1"/>
  <c r="E307" i="1"/>
  <c r="E296" i="1"/>
  <c r="E285" i="1"/>
  <c r="E274" i="1"/>
  <c r="E263" i="1"/>
  <c r="E252" i="1"/>
  <c r="E241" i="1"/>
  <c r="E224" i="1"/>
  <c r="E213" i="1"/>
  <c r="E202" i="1"/>
  <c r="E193" i="1"/>
  <c r="E184" i="1"/>
  <c r="E175" i="1"/>
  <c r="E166" i="1"/>
  <c r="E38" i="1"/>
  <c r="E66" i="1"/>
  <c r="E52" i="1"/>
  <c r="E9122" i="1" l="1"/>
  <c r="D9131" i="1"/>
  <c r="E9095" i="1"/>
  <c r="D9104" i="1"/>
  <c r="E9104" i="1" s="1"/>
  <c r="F9668" i="1"/>
  <c r="F9667" i="1"/>
  <c r="F9666" i="1"/>
  <c r="F9665" i="1"/>
  <c r="F9664" i="1"/>
  <c r="F9663" i="1"/>
  <c r="F9662" i="1"/>
  <c r="F9661" i="1"/>
  <c r="F9660" i="1"/>
  <c r="F9659" i="1"/>
  <c r="F9658" i="1"/>
  <c r="F9657" i="1"/>
  <c r="F9656" i="1"/>
  <c r="F9655" i="1"/>
  <c r="D6964" i="1"/>
  <c r="D6965" i="1" s="1"/>
  <c r="D9478" i="1"/>
  <c r="D9481" i="1"/>
  <c r="B9479" i="1"/>
  <c r="B9477" i="1" s="1"/>
  <c r="D9162" i="1"/>
  <c r="E9162" i="1" s="1"/>
  <c r="D9164" i="1"/>
  <c r="D9173" i="1" s="1"/>
  <c r="D9182" i="1" s="1"/>
  <c r="D9191" i="1" s="1"/>
  <c r="D9200" i="1" s="1"/>
  <c r="D9209" i="1" s="1"/>
  <c r="D9218" i="1" s="1"/>
  <c r="D9227" i="1" s="1"/>
  <c r="D9236" i="1" s="1"/>
  <c r="D9245" i="1" s="1"/>
  <c r="D9254" i="1" s="1"/>
  <c r="D9263" i="1" s="1"/>
  <c r="D9272" i="1" s="1"/>
  <c r="D9281" i="1" s="1"/>
  <c r="D9290" i="1" s="1"/>
  <c r="D9299" i="1" s="1"/>
  <c r="E510" i="25" s="1"/>
  <c r="E523" i="25" s="1"/>
  <c r="B9161" i="1"/>
  <c r="B9160" i="1"/>
  <c r="B8097" i="1"/>
  <c r="B8098" i="1"/>
  <c r="D8052" i="1"/>
  <c r="D8068" i="1" s="1"/>
  <c r="D8084" i="1" s="1"/>
  <c r="B8050" i="1"/>
  <c r="B8049" i="1"/>
  <c r="B8033" i="1"/>
  <c r="B9152" i="1"/>
  <c r="D9466" i="1"/>
  <c r="E9466" i="1" s="1"/>
  <c r="B9470" i="1"/>
  <c r="B9468" i="1" s="1"/>
  <c r="E9469" i="1"/>
  <c r="D9158" i="1"/>
  <c r="E9153" i="1"/>
  <c r="D8031" i="1"/>
  <c r="E8031" i="1" s="1"/>
  <c r="B8034" i="1"/>
  <c r="L523" i="25" l="1"/>
  <c r="E536" i="25"/>
  <c r="D8100" i="1"/>
  <c r="D8044" i="1"/>
  <c r="D8060" i="1" s="1"/>
  <c r="D8076" i="1" s="1"/>
  <c r="D8092" i="1" s="1"/>
  <c r="D9489" i="1"/>
  <c r="D9498" i="1" s="1"/>
  <c r="D9507" i="1" s="1"/>
  <c r="D9516" i="1" s="1"/>
  <c r="D9525" i="1"/>
  <c r="D9534" i="1" s="1"/>
  <c r="D9543" i="1" s="1"/>
  <c r="D9552" i="1" s="1"/>
  <c r="D9561" i="1" s="1"/>
  <c r="D9570" i="1" s="1"/>
  <c r="D9579" i="1" s="1"/>
  <c r="D9588" i="1" s="1"/>
  <c r="D9597" i="1" s="1"/>
  <c r="D9606" i="1" s="1"/>
  <c r="D9615" i="1" s="1"/>
  <c r="D9624" i="1" s="1"/>
  <c r="E7119" i="1"/>
  <c r="D7121" i="1"/>
  <c r="D9140" i="1"/>
  <c r="E9140" i="1" s="1"/>
  <c r="E9131" i="1"/>
  <c r="E9158" i="1"/>
  <c r="D9167" i="1"/>
  <c r="D9221" i="1" s="1"/>
  <c r="E9478" i="1"/>
  <c r="E9487" i="1"/>
  <c r="D9475" i="1"/>
  <c r="D9519" i="1" s="1"/>
  <c r="D8047" i="1"/>
  <c r="C681" i="3"/>
  <c r="D7990" i="1" s="1"/>
  <c r="C306" i="3"/>
  <c r="D9633" i="1" l="1"/>
  <c r="D9642" i="1" s="1"/>
  <c r="D9651" i="1" s="1"/>
  <c r="L297" i="25"/>
  <c r="L310" i="25" s="1"/>
  <c r="E549" i="25"/>
  <c r="L536" i="25"/>
  <c r="D8039" i="1"/>
  <c r="D8063" i="1"/>
  <c r="E9519" i="1"/>
  <c r="D9528" i="1"/>
  <c r="E7121" i="1"/>
  <c r="E9167" i="1"/>
  <c r="D9176" i="1"/>
  <c r="E9475" i="1"/>
  <c r="D9492" i="1"/>
  <c r="D9501" i="1" s="1"/>
  <c r="E8047" i="1"/>
  <c r="D8095" i="1"/>
  <c r="C694" i="3"/>
  <c r="E559" i="25" l="1"/>
  <c r="F559" i="25" s="1"/>
  <c r="L549" i="25"/>
  <c r="L562" i="25" s="1"/>
  <c r="L352" i="25"/>
  <c r="L366" i="25" s="1"/>
  <c r="L380" i="25" s="1"/>
  <c r="L323" i="25"/>
  <c r="D8079" i="1"/>
  <c r="E8079" i="1" s="1"/>
  <c r="E8063" i="1"/>
  <c r="E8039" i="1"/>
  <c r="D8055" i="1"/>
  <c r="E9528" i="1"/>
  <c r="D9537" i="1"/>
  <c r="D9185" i="1"/>
  <c r="E9176" i="1"/>
  <c r="E9501" i="1"/>
  <c r="D9510" i="1"/>
  <c r="E9510" i="1" s="1"/>
  <c r="E9492" i="1"/>
  <c r="E8095" i="1"/>
  <c r="D8110" i="1"/>
  <c r="B1577" i="1"/>
  <c r="B1571" i="1"/>
  <c r="B1565" i="1"/>
  <c r="B1559" i="1"/>
  <c r="B1553" i="1"/>
  <c r="M323" i="25" l="1"/>
  <c r="L336" i="25"/>
  <c r="M336" i="25" s="1"/>
  <c r="D8071" i="1"/>
  <c r="E8055" i="1"/>
  <c r="E9537" i="1"/>
  <c r="D9546" i="1"/>
  <c r="E9185" i="1"/>
  <c r="D9194" i="1"/>
  <c r="E8110" i="1"/>
  <c r="D8118" i="1"/>
  <c r="D10072" i="1"/>
  <c r="D10018" i="1"/>
  <c r="D9958" i="1"/>
  <c r="D10036" i="1"/>
  <c r="D10054" i="1"/>
  <c r="D6371" i="1"/>
  <c r="D6324" i="1"/>
  <c r="E6324" i="1" s="1"/>
  <c r="D6325" i="1"/>
  <c r="E6325" i="1" s="1"/>
  <c r="D6327" i="1"/>
  <c r="E6327" i="1" s="1"/>
  <c r="D6212" i="1"/>
  <c r="D6157" i="1"/>
  <c r="D5803" i="1"/>
  <c r="D3464" i="1"/>
  <c r="D3344" i="1"/>
  <c r="D3218" i="1"/>
  <c r="D3088" i="1"/>
  <c r="D1865" i="1"/>
  <c r="E1865" i="1" s="1"/>
  <c r="D1856" i="1"/>
  <c r="D1022" i="1"/>
  <c r="D1010" i="1"/>
  <c r="D497" i="1"/>
  <c r="E8071" i="1" l="1"/>
  <c r="D8087" i="1"/>
  <c r="E8087" i="1" s="1"/>
  <c r="E9546" i="1"/>
  <c r="D9555" i="1"/>
  <c r="E9194" i="1"/>
  <c r="D9203" i="1"/>
  <c r="E8118" i="1"/>
  <c r="D8126" i="1"/>
  <c r="C57" i="3"/>
  <c r="C55" i="3"/>
  <c r="D1511" i="1" l="1"/>
  <c r="E1511" i="1" s="1"/>
  <c r="D1475" i="1"/>
  <c r="E1475" i="1" s="1"/>
  <c r="E9555" i="1"/>
  <c r="D9564" i="1"/>
  <c r="E9203" i="1"/>
  <c r="D9212" i="1"/>
  <c r="E8126" i="1"/>
  <c r="D8134" i="1"/>
  <c r="D1547" i="1"/>
  <c r="D1512" i="1" l="1"/>
  <c r="E1512" i="1" s="1"/>
  <c r="E9564" i="1"/>
  <c r="D9573" i="1"/>
  <c r="E8134" i="1"/>
  <c r="D8142" i="1"/>
  <c r="E9212" i="1"/>
  <c r="D664" i="3"/>
  <c r="D617" i="3"/>
  <c r="D616" i="3"/>
  <c r="D614" i="3"/>
  <c r="D601" i="3"/>
  <c r="D598" i="3"/>
  <c r="D566" i="3"/>
  <c r="D565" i="3"/>
  <c r="D564" i="3"/>
  <c r="D563" i="3"/>
  <c r="D562" i="3"/>
  <c r="E9573" i="1" l="1"/>
  <c r="D9582" i="1"/>
  <c r="E8142" i="1"/>
  <c r="D8150" i="1"/>
  <c r="D9230" i="1"/>
  <c r="D9239" i="1" s="1"/>
  <c r="D9248" i="1" s="1"/>
  <c r="D9257" i="1" s="1"/>
  <c r="E9221" i="1"/>
  <c r="D494" i="3"/>
  <c r="D491" i="3"/>
  <c r="D537" i="3"/>
  <c r="D535" i="3"/>
  <c r="E8150" i="1" l="1"/>
  <c r="D8158" i="1"/>
  <c r="D9591" i="1"/>
  <c r="E9582" i="1"/>
  <c r="D9266" i="1"/>
  <c r="E9257" i="1"/>
  <c r="E9230" i="1"/>
  <c r="D17" i="1"/>
  <c r="C325" i="3"/>
  <c r="E8158" i="1" l="1"/>
  <c r="D8166" i="1"/>
  <c r="E9591" i="1"/>
  <c r="D9600" i="1"/>
  <c r="D9275" i="1"/>
  <c r="E9266" i="1"/>
  <c r="E9239" i="1"/>
  <c r="E9248" i="1"/>
  <c r="C568" i="3"/>
  <c r="E8166" i="1" l="1"/>
  <c r="D8174" i="1"/>
  <c r="E9600" i="1"/>
  <c r="D9609" i="1"/>
  <c r="E9275" i="1"/>
  <c r="D9284" i="1"/>
  <c r="C319" i="3"/>
  <c r="C320" i="3"/>
  <c r="C322" i="3"/>
  <c r="C323" i="3"/>
  <c r="C324" i="3"/>
  <c r="D8348" i="1" s="1"/>
  <c r="D8359" i="1" s="1"/>
  <c r="C326" i="3"/>
  <c r="C369" i="3"/>
  <c r="C370" i="3"/>
  <c r="C371" i="3"/>
  <c r="C373" i="3"/>
  <c r="C374" i="3"/>
  <c r="C375" i="3"/>
  <c r="C377" i="3"/>
  <c r="C378" i="3"/>
  <c r="C379" i="3"/>
  <c r="C380" i="3"/>
  <c r="C381" i="3"/>
  <c r="C382" i="3"/>
  <c r="C384" i="3"/>
  <c r="C385" i="3"/>
  <c r="C387" i="3"/>
  <c r="C388" i="3"/>
  <c r="C390" i="3"/>
  <c r="C391" i="3"/>
  <c r="C392" i="3"/>
  <c r="C393" i="3"/>
  <c r="C394" i="3"/>
  <c r="C395" i="3"/>
  <c r="C398" i="3"/>
  <c r="D2080" i="1" s="1"/>
  <c r="C399" i="3"/>
  <c r="C400" i="3"/>
  <c r="C401" i="3"/>
  <c r="C402" i="3"/>
  <c r="C403" i="3"/>
  <c r="C404" i="3"/>
  <c r="C405" i="3"/>
  <c r="C406" i="3"/>
  <c r="C407" i="3"/>
  <c r="D1847" i="1" s="1"/>
  <c r="C408" i="3"/>
  <c r="C409" i="3"/>
  <c r="D2331" i="1" s="1"/>
  <c r="C410" i="3"/>
  <c r="C411" i="3"/>
  <c r="C428" i="3"/>
  <c r="C444" i="3"/>
  <c r="C446" i="3"/>
  <c r="C448" i="3"/>
  <c r="C454" i="3"/>
  <c r="C455" i="3"/>
  <c r="C456" i="3"/>
  <c r="C461" i="3"/>
  <c r="C462" i="3"/>
  <c r="C466" i="3"/>
  <c r="C469" i="3"/>
  <c r="C470" i="3"/>
  <c r="C471" i="3"/>
  <c r="C472" i="3"/>
  <c r="C477" i="3"/>
  <c r="D5878" i="1" s="1"/>
  <c r="C479" i="3"/>
  <c r="C480" i="3"/>
  <c r="C481" i="3"/>
  <c r="C482" i="3"/>
  <c r="C483" i="3"/>
  <c r="C484" i="3"/>
  <c r="C488" i="3"/>
  <c r="C489" i="3"/>
  <c r="C490" i="3"/>
  <c r="C491" i="3"/>
  <c r="C492" i="3"/>
  <c r="C493" i="3"/>
  <c r="C494" i="3"/>
  <c r="C495" i="3"/>
  <c r="C500" i="3"/>
  <c r="C511" i="3"/>
  <c r="C512" i="3"/>
  <c r="C513" i="3"/>
  <c r="D5185" i="1" s="1"/>
  <c r="D5269" i="1" s="1"/>
  <c r="D5373" i="1" s="1"/>
  <c r="C519" i="3"/>
  <c r="C520" i="3"/>
  <c r="C521" i="3"/>
  <c r="C522" i="3"/>
  <c r="C523" i="3"/>
  <c r="C524" i="3"/>
  <c r="C534" i="3"/>
  <c r="C535" i="3"/>
  <c r="C536" i="3"/>
  <c r="C537" i="3"/>
  <c r="C540" i="3"/>
  <c r="D1455" i="1" s="1"/>
  <c r="C541" i="3"/>
  <c r="D1073" i="1" s="1"/>
  <c r="C542" i="3"/>
  <c r="D1530" i="1" s="1"/>
  <c r="C544" i="3"/>
  <c r="D1393" i="1" s="1"/>
  <c r="C545" i="3"/>
  <c r="D1456" i="1" s="1"/>
  <c r="C546" i="3"/>
  <c r="C547" i="3"/>
  <c r="D1531" i="1" s="1"/>
  <c r="C549" i="3"/>
  <c r="C550" i="3"/>
  <c r="C551" i="3"/>
  <c r="C552" i="3"/>
  <c r="C553" i="3"/>
  <c r="C554" i="3"/>
  <c r="C556" i="3"/>
  <c r="C557" i="3"/>
  <c r="C558" i="3"/>
  <c r="C559" i="3"/>
  <c r="C560" i="3"/>
  <c r="C562" i="3"/>
  <c r="C563" i="3"/>
  <c r="C564" i="3"/>
  <c r="C565" i="3"/>
  <c r="C566" i="3"/>
  <c r="C569" i="3"/>
  <c r="C570" i="3"/>
  <c r="C571" i="3"/>
  <c r="C572" i="3"/>
  <c r="C574" i="3"/>
  <c r="C575" i="3"/>
  <c r="C576" i="3"/>
  <c r="C577" i="3"/>
  <c r="C578" i="3"/>
  <c r="C592" i="3"/>
  <c r="C593" i="3"/>
  <c r="C594" i="3"/>
  <c r="C595" i="3"/>
  <c r="C596" i="3"/>
  <c r="C597" i="3"/>
  <c r="C598" i="3"/>
  <c r="C600" i="3"/>
  <c r="C601" i="3"/>
  <c r="C605" i="3"/>
  <c r="C606" i="3"/>
  <c r="C607" i="3"/>
  <c r="C608" i="3"/>
  <c r="C611" i="3"/>
  <c r="C612" i="3"/>
  <c r="C613" i="3"/>
  <c r="C614" i="3"/>
  <c r="C615" i="3"/>
  <c r="C616" i="3"/>
  <c r="C617" i="3"/>
  <c r="C618" i="3"/>
  <c r="C622" i="3"/>
  <c r="C623" i="3"/>
  <c r="C624" i="3"/>
  <c r="C626" i="3"/>
  <c r="C627" i="3"/>
  <c r="C628" i="3"/>
  <c r="C629" i="3"/>
  <c r="C630" i="3"/>
  <c r="C631" i="3"/>
  <c r="C632" i="3"/>
  <c r="C633" i="3"/>
  <c r="C648" i="3"/>
  <c r="C652" i="3"/>
  <c r="C653" i="3"/>
  <c r="C654" i="3"/>
  <c r="C655" i="3"/>
  <c r="C656" i="3"/>
  <c r="C658" i="3"/>
  <c r="C659" i="3"/>
  <c r="C660" i="3"/>
  <c r="C661" i="3"/>
  <c r="C662" i="3"/>
  <c r="C670" i="3"/>
  <c r="C671" i="3"/>
  <c r="C673" i="3"/>
  <c r="C675" i="3"/>
  <c r="C677" i="3"/>
  <c r="C682" i="3"/>
  <c r="D8007" i="1" s="1"/>
  <c r="C683" i="3"/>
  <c r="C684" i="3"/>
  <c r="C685" i="3"/>
  <c r="C686" i="3"/>
  <c r="C687" i="3"/>
  <c r="C689" i="3"/>
  <c r="D8347" i="1"/>
  <c r="C308" i="3"/>
  <c r="C713" i="3"/>
  <c r="C714" i="3"/>
  <c r="C716" i="3"/>
  <c r="C717" i="3"/>
  <c r="C718" i="3"/>
  <c r="C719" i="3"/>
  <c r="C720" i="3"/>
  <c r="C721" i="3"/>
  <c r="C723" i="3"/>
  <c r="C724" i="3"/>
  <c r="C725" i="3"/>
  <c r="C727" i="3"/>
  <c r="C728" i="3"/>
  <c r="C695" i="3"/>
  <c r="C696" i="3"/>
  <c r="C697" i="3"/>
  <c r="C699" i="3"/>
  <c r="C700" i="3"/>
  <c r="C701" i="3"/>
  <c r="C702" i="3"/>
  <c r="C703" i="3"/>
  <c r="C704" i="3"/>
  <c r="C705" i="3"/>
  <c r="C706" i="3"/>
  <c r="C707" i="3"/>
  <c r="C708" i="3"/>
  <c r="C709" i="3"/>
  <c r="C710" i="3"/>
  <c r="C711" i="3"/>
  <c r="D5974" i="1" l="1"/>
  <c r="D6034" i="1"/>
  <c r="E6034" i="1" s="1"/>
  <c r="D6089" i="1"/>
  <c r="E6089" i="1" s="1"/>
  <c r="D1961" i="1"/>
  <c r="D2107" i="1"/>
  <c r="D2359" i="1"/>
  <c r="E2359" i="1" s="1"/>
  <c r="D2345" i="1"/>
  <c r="E2345" i="1" s="1"/>
  <c r="D6033" i="1"/>
  <c r="E6033" i="1" s="1"/>
  <c r="D6088" i="1"/>
  <c r="E6088" i="1" s="1"/>
  <c r="E2080" i="1"/>
  <c r="D2094" i="1"/>
  <c r="E2094" i="1" s="1"/>
  <c r="D2253" i="1"/>
  <c r="D2372" i="1"/>
  <c r="E2372" i="1" s="1"/>
  <c r="D2386" i="1"/>
  <c r="E2386" i="1" s="1"/>
  <c r="D2329" i="1"/>
  <c r="D1845" i="1"/>
  <c r="D2065" i="1"/>
  <c r="D1975" i="1"/>
  <c r="E1975" i="1" s="1"/>
  <c r="D2067" i="1"/>
  <c r="D2330" i="1"/>
  <c r="D2066" i="1"/>
  <c r="D1846" i="1"/>
  <c r="D1794" i="1"/>
  <c r="D1807" i="1"/>
  <c r="D1714" i="1"/>
  <c r="D1481" i="1"/>
  <c r="D1959" i="1"/>
  <c r="D1973" i="1" s="1"/>
  <c r="D3596" i="1"/>
  <c r="D3935" i="1"/>
  <c r="D4236" i="1" s="1"/>
  <c r="D1482" i="1"/>
  <c r="D1960" i="1"/>
  <c r="D1974" i="1" s="1"/>
  <c r="D8396" i="1"/>
  <c r="D9325" i="1"/>
  <c r="D8212" i="1"/>
  <c r="D8221" i="1" s="1"/>
  <c r="D8230" i="1" s="1"/>
  <c r="D8034" i="1"/>
  <c r="D9170" i="1"/>
  <c r="D9470" i="1"/>
  <c r="D8358" i="1"/>
  <c r="E8347" i="1"/>
  <c r="D8370" i="1"/>
  <c r="E8370" i="1" s="1"/>
  <c r="E8359" i="1"/>
  <c r="D8399" i="1"/>
  <c r="D8409" i="1" s="1"/>
  <c r="D8419" i="1" s="1"/>
  <c r="D8429" i="1" s="1"/>
  <c r="D8439" i="1" s="1"/>
  <c r="D8449" i="1" s="1"/>
  <c r="D8459" i="1" s="1"/>
  <c r="D8469" i="1" s="1"/>
  <c r="D8479" i="1" s="1"/>
  <c r="D8489" i="1" s="1"/>
  <c r="D8499" i="1" s="1"/>
  <c r="D8509" i="1" s="1"/>
  <c r="D9326" i="1"/>
  <c r="D8214" i="1"/>
  <c r="D8035" i="1"/>
  <c r="D8051" i="1" s="1"/>
  <c r="D9154" i="1"/>
  <c r="D8714" i="1"/>
  <c r="D9188" i="1"/>
  <c r="D9152" i="1"/>
  <c r="D9161" i="1" s="1"/>
  <c r="E9161" i="1" s="1"/>
  <c r="D3552" i="1"/>
  <c r="E9736" i="1"/>
  <c r="F9736" i="1" s="1"/>
  <c r="E8174" i="1"/>
  <c r="D8182" i="1"/>
  <c r="E8182" i="1" s="1"/>
  <c r="E9609" i="1"/>
  <c r="D9618" i="1"/>
  <c r="E9284" i="1"/>
  <c r="D9293" i="1"/>
  <c r="D87" i="1"/>
  <c r="E87" i="1" s="1"/>
  <c r="D80" i="1"/>
  <c r="D89" i="1"/>
  <c r="D82" i="1"/>
  <c r="D88" i="1"/>
  <c r="E88" i="1" s="1"/>
  <c r="D86" i="1"/>
  <c r="E86" i="1" s="1"/>
  <c r="D85" i="1"/>
  <c r="E85" i="1" s="1"/>
  <c r="E2107" i="1" l="1"/>
  <c r="D2121" i="1"/>
  <c r="E2121" i="1" s="1"/>
  <c r="D8223" i="1"/>
  <c r="D8232" i="1" s="1"/>
  <c r="L801" i="25" s="1"/>
  <c r="L815" i="25" s="1"/>
  <c r="L783" i="25"/>
  <c r="M783" i="25" s="1"/>
  <c r="D8252" i="1"/>
  <c r="E754" i="25" s="1"/>
  <c r="L799" i="25"/>
  <c r="M799" i="25" s="1"/>
  <c r="E9293" i="1"/>
  <c r="E504" i="25"/>
  <c r="D8529" i="1"/>
  <c r="D8539" i="1" s="1"/>
  <c r="D8549" i="1" s="1"/>
  <c r="D8559" i="1" s="1"/>
  <c r="D8569" i="1" s="1"/>
  <c r="D8579" i="1" s="1"/>
  <c r="D8589" i="1" s="1"/>
  <c r="D8599" i="1" s="1"/>
  <c r="D8519" i="1"/>
  <c r="D8239" i="1"/>
  <c r="E8239" i="1" s="1"/>
  <c r="E8230" i="1"/>
  <c r="D8043" i="1"/>
  <c r="D8059" i="1" s="1"/>
  <c r="D8075" i="1" s="1"/>
  <c r="D8091" i="1" s="1"/>
  <c r="D8067" i="1"/>
  <c r="D8083" i="1" s="1"/>
  <c r="D8406" i="1"/>
  <c r="D1493" i="1"/>
  <c r="E1493" i="1" s="1"/>
  <c r="D1792" i="1"/>
  <c r="D2119" i="1" s="1"/>
  <c r="D2251" i="1"/>
  <c r="D1494" i="1"/>
  <c r="E1494" i="1" s="1"/>
  <c r="D2252" i="1"/>
  <c r="D1793" i="1"/>
  <c r="D2120" i="1" s="1"/>
  <c r="E8733" i="1"/>
  <c r="D8743" i="1"/>
  <c r="E8743" i="1" s="1"/>
  <c r="E3552" i="1"/>
  <c r="D7988" i="1"/>
  <c r="E7988" i="1" s="1"/>
  <c r="D9471" i="1"/>
  <c r="D9163" i="1"/>
  <c r="D8369" i="1"/>
  <c r="E8369" i="1" s="1"/>
  <c r="E8358" i="1"/>
  <c r="E8212" i="1"/>
  <c r="E9326" i="1"/>
  <c r="D9335" i="1"/>
  <c r="E9335" i="1" s="1"/>
  <c r="D9346" i="1"/>
  <c r="E8035" i="1"/>
  <c r="D9479" i="1"/>
  <c r="E9470" i="1"/>
  <c r="D9345" i="1"/>
  <c r="E9325" i="1"/>
  <c r="D9334" i="1"/>
  <c r="E9334" i="1" s="1"/>
  <c r="E9188" i="1"/>
  <c r="D9197" i="1"/>
  <c r="E9170" i="1"/>
  <c r="D9179" i="1"/>
  <c r="E9179" i="1" s="1"/>
  <c r="D9224" i="1"/>
  <c r="E8396" i="1"/>
  <c r="E9618" i="1"/>
  <c r="D9627" i="1"/>
  <c r="B89" i="1"/>
  <c r="E89" i="1" s="1"/>
  <c r="F89" i="1" s="1"/>
  <c r="D5359" i="1"/>
  <c r="E5359" i="1" s="1"/>
  <c r="D5466" i="1"/>
  <c r="E5466" i="1" s="1"/>
  <c r="D5570" i="1"/>
  <c r="E5570" i="1" s="1"/>
  <c r="D5680" i="1"/>
  <c r="E5680" i="1" s="1"/>
  <c r="D5790" i="1"/>
  <c r="E5790" i="1" s="1"/>
  <c r="D5779" i="1"/>
  <c r="E5779" i="1" s="1"/>
  <c r="D5661" i="1"/>
  <c r="E5661" i="1" s="1"/>
  <c r="D5559" i="1"/>
  <c r="E5559" i="1" s="1"/>
  <c r="D5455" i="1"/>
  <c r="E5455" i="1" s="1"/>
  <c r="D5348" i="1"/>
  <c r="E5348" i="1" s="1"/>
  <c r="D5763" i="1"/>
  <c r="E5763" i="1" s="1"/>
  <c r="D5754" i="1"/>
  <c r="E5754" i="1" s="1"/>
  <c r="D5651" i="1"/>
  <c r="E5651" i="1" s="1"/>
  <c r="D5642" i="1"/>
  <c r="E5642" i="1" s="1"/>
  <c r="D5549" i="1"/>
  <c r="E5549" i="1" s="1"/>
  <c r="D5539" i="1"/>
  <c r="E5539" i="1" s="1"/>
  <c r="D5432" i="1"/>
  <c r="E5432" i="1" s="1"/>
  <c r="D5328" i="1"/>
  <c r="E5328" i="1" s="1"/>
  <c r="D5745" i="1"/>
  <c r="E5745" i="1" s="1"/>
  <c r="D5731" i="1"/>
  <c r="E5731" i="1" s="1"/>
  <c r="D5706" i="1"/>
  <c r="E5706" i="1" s="1"/>
  <c r="D5694" i="1"/>
  <c r="E5694" i="1" s="1"/>
  <c r="D5633" i="1"/>
  <c r="D5615" i="1"/>
  <c r="E5615" i="1" s="1"/>
  <c r="D5595" i="1"/>
  <c r="E5595" i="1" s="1"/>
  <c r="D5583" i="1"/>
  <c r="E5583" i="1" s="1"/>
  <c r="D5530" i="1"/>
  <c r="E5530" i="1" s="1"/>
  <c r="D5511" i="1"/>
  <c r="E5511" i="1" s="1"/>
  <c r="D5491" i="1"/>
  <c r="E5491" i="1" s="1"/>
  <c r="D5479" i="1"/>
  <c r="E5479" i="1" s="1"/>
  <c r="D5423" i="1"/>
  <c r="E5423" i="1" s="1"/>
  <c r="D5405" i="1"/>
  <c r="E5405" i="1" s="1"/>
  <c r="D5385" i="1"/>
  <c r="E5385" i="1" s="1"/>
  <c r="E5373" i="1"/>
  <c r="D5319" i="1"/>
  <c r="E5319" i="1" s="1"/>
  <c r="D5301" i="1"/>
  <c r="E5301" i="1" s="1"/>
  <c r="D5281" i="1"/>
  <c r="E5281" i="1" s="1"/>
  <c r="E5269" i="1"/>
  <c r="D5227" i="1"/>
  <c r="E5227" i="1" s="1"/>
  <c r="D5215" i="1"/>
  <c r="E5215" i="1" s="1"/>
  <c r="D5195" i="1"/>
  <c r="E5195" i="1" s="1"/>
  <c r="E5185" i="1"/>
  <c r="E7063" i="1"/>
  <c r="D7060" i="1"/>
  <c r="D7061" i="1"/>
  <c r="E7061" i="1" s="1"/>
  <c r="B7060" i="1"/>
  <c r="D7059" i="1"/>
  <c r="E7059" i="1" s="1"/>
  <c r="D7058" i="1"/>
  <c r="E7058" i="1" s="1"/>
  <c r="E2820" i="1"/>
  <c r="D5258" i="1"/>
  <c r="E5258" i="1" s="1"/>
  <c r="D5249" i="1"/>
  <c r="E5249" i="1" s="1"/>
  <c r="D5241" i="1"/>
  <c r="D2962" i="1"/>
  <c r="E2962" i="1" s="1"/>
  <c r="E1864" i="1"/>
  <c r="D1780" i="1"/>
  <c r="D1779" i="1"/>
  <c r="D2106" i="1" s="1"/>
  <c r="D1778" i="1"/>
  <c r="D2105" i="1" s="1"/>
  <c r="D1777" i="1"/>
  <c r="D2104" i="1" s="1"/>
  <c r="D1773" i="1"/>
  <c r="B1773" i="1"/>
  <c r="D1772" i="1"/>
  <c r="D2099" i="1" s="1"/>
  <c r="D1771" i="1"/>
  <c r="D2098" i="1" s="1"/>
  <c r="D6957" i="1"/>
  <c r="E6957" i="1" s="1"/>
  <c r="D6915" i="1"/>
  <c r="D7095" i="1" s="1"/>
  <c r="E7095" i="1" s="1"/>
  <c r="D10059" i="1"/>
  <c r="E10059" i="1" s="1"/>
  <c r="D10058" i="1"/>
  <c r="D9944" i="1" s="1"/>
  <c r="E9944" i="1" s="1"/>
  <c r="E17" i="1"/>
  <c r="D11" i="1"/>
  <c r="E11" i="1" s="1"/>
  <c r="D12" i="1"/>
  <c r="E12" i="1" s="1"/>
  <c r="D16" i="1"/>
  <c r="E16" i="1" s="1"/>
  <c r="B18" i="1" s="1"/>
  <c r="D28" i="1"/>
  <c r="E28" i="1" s="1"/>
  <c r="E29" i="1"/>
  <c r="E30" i="1"/>
  <c r="E31" i="1"/>
  <c r="E32" i="1"/>
  <c r="D35" i="1"/>
  <c r="E35" i="1" s="1"/>
  <c r="D36" i="1"/>
  <c r="E36" i="1" s="1"/>
  <c r="D37" i="1"/>
  <c r="E37" i="1" s="1"/>
  <c r="D42" i="1"/>
  <c r="E42" i="1" s="1"/>
  <c r="D43" i="1"/>
  <c r="E43" i="1" s="1"/>
  <c r="D44" i="1"/>
  <c r="E44" i="1" s="1"/>
  <c r="D49" i="1"/>
  <c r="E49" i="1" s="1"/>
  <c r="D50" i="1"/>
  <c r="E50" i="1" s="1"/>
  <c r="D51" i="1"/>
  <c r="E51" i="1" s="1"/>
  <c r="D56" i="1"/>
  <c r="E56" i="1" s="1"/>
  <c r="D57" i="1"/>
  <c r="E57" i="1" s="1"/>
  <c r="D58" i="1"/>
  <c r="E58" i="1" s="1"/>
  <c r="D63" i="1"/>
  <c r="E63" i="1" s="1"/>
  <c r="D64" i="1"/>
  <c r="E64" i="1" s="1"/>
  <c r="D65" i="1"/>
  <c r="E65" i="1" s="1"/>
  <c r="D67" i="1"/>
  <c r="D70" i="1"/>
  <c r="E70" i="1" s="1"/>
  <c r="D71" i="1"/>
  <c r="E71" i="1" s="1"/>
  <c r="D72" i="1"/>
  <c r="E72" i="1" s="1"/>
  <c r="D73" i="1"/>
  <c r="E73" i="1" s="1"/>
  <c r="D78" i="1"/>
  <c r="D92" i="1" s="1"/>
  <c r="E92" i="1" s="1"/>
  <c r="D79" i="1"/>
  <c r="E79" i="1" s="1"/>
  <c r="D94" i="1"/>
  <c r="E94" i="1" s="1"/>
  <c r="D81" i="1"/>
  <c r="E81" i="1" s="1"/>
  <c r="D100" i="1"/>
  <c r="E100" i="1" s="1"/>
  <c r="D101" i="1"/>
  <c r="E101" i="1" s="1"/>
  <c r="D102" i="1"/>
  <c r="D109" i="1" s="1"/>
  <c r="E109" i="1" s="1"/>
  <c r="D103" i="1"/>
  <c r="E103" i="1" s="1"/>
  <c r="D104" i="1"/>
  <c r="D107" i="1"/>
  <c r="E107" i="1" s="1"/>
  <c r="D108" i="1"/>
  <c r="E108" i="1" s="1"/>
  <c r="D110" i="1"/>
  <c r="E110" i="1" s="1"/>
  <c r="D111" i="1"/>
  <c r="D114" i="1"/>
  <c r="E114" i="1" s="1"/>
  <c r="D115" i="1"/>
  <c r="E115" i="1" s="1"/>
  <c r="D117" i="1"/>
  <c r="E117" i="1" s="1"/>
  <c r="D123" i="1"/>
  <c r="E123" i="1" s="1"/>
  <c r="D124" i="1"/>
  <c r="E124" i="1" s="1"/>
  <c r="D126" i="1"/>
  <c r="E126" i="1" s="1"/>
  <c r="D127" i="1"/>
  <c r="D130" i="1"/>
  <c r="E130" i="1" s="1"/>
  <c r="D131" i="1"/>
  <c r="E131" i="1" s="1"/>
  <c r="D133" i="1"/>
  <c r="E133" i="1" s="1"/>
  <c r="D138" i="1"/>
  <c r="E138" i="1" s="1"/>
  <c r="D139" i="1"/>
  <c r="E139" i="1" s="1"/>
  <c r="D141" i="1"/>
  <c r="E141" i="1" s="1"/>
  <c r="D142" i="1"/>
  <c r="D145" i="1"/>
  <c r="E145" i="1" s="1"/>
  <c r="D146" i="1"/>
  <c r="E146" i="1" s="1"/>
  <c r="D148" i="1"/>
  <c r="E148" i="1" s="1"/>
  <c r="D149" i="1"/>
  <c r="D152" i="1"/>
  <c r="E152" i="1" s="1"/>
  <c r="D153" i="1"/>
  <c r="E153" i="1" s="1"/>
  <c r="D155" i="1"/>
  <c r="E155" i="1" s="1"/>
  <c r="D156" i="1"/>
  <c r="D161" i="1"/>
  <c r="E161" i="1" s="1"/>
  <c r="D162" i="1"/>
  <c r="E162" i="1" s="1"/>
  <c r="D163" i="1"/>
  <c r="E163" i="1" s="1"/>
  <c r="D164" i="1"/>
  <c r="E164" i="1" s="1"/>
  <c r="D165" i="1"/>
  <c r="E165" i="1" s="1"/>
  <c r="D170" i="1"/>
  <c r="E170" i="1" s="1"/>
  <c r="D171" i="1"/>
  <c r="E171" i="1" s="1"/>
  <c r="D172" i="1"/>
  <c r="E172" i="1" s="1"/>
  <c r="D173" i="1"/>
  <c r="E173" i="1" s="1"/>
  <c r="D174" i="1"/>
  <c r="E174" i="1" s="1"/>
  <c r="D179" i="1"/>
  <c r="E179" i="1" s="1"/>
  <c r="D180" i="1"/>
  <c r="E180" i="1" s="1"/>
  <c r="D181" i="1"/>
  <c r="E181" i="1" s="1"/>
  <c r="D182" i="1"/>
  <c r="E182" i="1" s="1"/>
  <c r="D183" i="1"/>
  <c r="E183" i="1" s="1"/>
  <c r="D188" i="1"/>
  <c r="E188" i="1" s="1"/>
  <c r="D189" i="1"/>
  <c r="E189" i="1" s="1"/>
  <c r="D190" i="1"/>
  <c r="E190" i="1" s="1"/>
  <c r="D191" i="1"/>
  <c r="E191" i="1" s="1"/>
  <c r="D192" i="1"/>
  <c r="E192" i="1" s="1"/>
  <c r="D197" i="1"/>
  <c r="E197" i="1" s="1"/>
  <c r="D198" i="1"/>
  <c r="E198" i="1" s="1"/>
  <c r="D199" i="1"/>
  <c r="E199" i="1" s="1"/>
  <c r="D200" i="1"/>
  <c r="E200" i="1" s="1"/>
  <c r="D201" i="1"/>
  <c r="E201" i="1" s="1"/>
  <c r="D203" i="1"/>
  <c r="D206" i="1"/>
  <c r="E206" i="1" s="1"/>
  <c r="D207" i="1"/>
  <c r="E207" i="1" s="1"/>
  <c r="D208" i="1"/>
  <c r="E208" i="1" s="1"/>
  <c r="D209" i="1"/>
  <c r="E209" i="1" s="1"/>
  <c r="D210" i="1"/>
  <c r="E210" i="1" s="1"/>
  <c r="D211" i="1"/>
  <c r="E211" i="1" s="1"/>
  <c r="D212" i="1"/>
  <c r="E212" i="1" s="1"/>
  <c r="D217" i="1"/>
  <c r="E217" i="1" s="1"/>
  <c r="D218" i="1"/>
  <c r="E218" i="1" s="1"/>
  <c r="D220" i="1"/>
  <c r="E220" i="1" s="1"/>
  <c r="D221" i="1"/>
  <c r="E221" i="1" s="1"/>
  <c r="D222" i="1"/>
  <c r="E222" i="1" s="1"/>
  <c r="D223" i="1"/>
  <c r="E223" i="1" s="1"/>
  <c r="D225" i="1"/>
  <c r="D234" i="1"/>
  <c r="E234" i="1" s="1"/>
  <c r="D235" i="1"/>
  <c r="E235" i="1" s="1"/>
  <c r="D237" i="1"/>
  <c r="E237" i="1" s="1"/>
  <c r="D238" i="1"/>
  <c r="E238" i="1" s="1"/>
  <c r="D239" i="1"/>
  <c r="E239" i="1" s="1"/>
  <c r="D240" i="1"/>
  <c r="E240" i="1" s="1"/>
  <c r="D245" i="1"/>
  <c r="E245" i="1" s="1"/>
  <c r="D246" i="1"/>
  <c r="E246" i="1" s="1"/>
  <c r="D248" i="1"/>
  <c r="E248" i="1" s="1"/>
  <c r="D249" i="1"/>
  <c r="E249" i="1" s="1"/>
  <c r="D250" i="1"/>
  <c r="E250" i="1" s="1"/>
  <c r="D251" i="1"/>
  <c r="E251" i="1" s="1"/>
  <c r="D253" i="1"/>
  <c r="D256" i="1"/>
  <c r="E256" i="1" s="1"/>
  <c r="D257" i="1"/>
  <c r="E257" i="1" s="1"/>
  <c r="D259" i="1"/>
  <c r="E259" i="1" s="1"/>
  <c r="D260" i="1"/>
  <c r="E260" i="1" s="1"/>
  <c r="D261" i="1"/>
  <c r="E261" i="1" s="1"/>
  <c r="D262" i="1"/>
  <c r="E262" i="1" s="1"/>
  <c r="D264" i="1"/>
  <c r="D267" i="1"/>
  <c r="E267" i="1" s="1"/>
  <c r="D268" i="1"/>
  <c r="E268" i="1" s="1"/>
  <c r="D270" i="1"/>
  <c r="E270" i="1" s="1"/>
  <c r="D271" i="1"/>
  <c r="E271" i="1" s="1"/>
  <c r="D272" i="1"/>
  <c r="E272" i="1" s="1"/>
  <c r="D273" i="1"/>
  <c r="E273" i="1" s="1"/>
  <c r="D278" i="1"/>
  <c r="E278" i="1" s="1"/>
  <c r="D279" i="1"/>
  <c r="E279" i="1" s="1"/>
  <c r="D281" i="1"/>
  <c r="E281" i="1" s="1"/>
  <c r="D282" i="1"/>
  <c r="E282" i="1" s="1"/>
  <c r="D283" i="1"/>
  <c r="E283" i="1" s="1"/>
  <c r="D284" i="1"/>
  <c r="E284" i="1" s="1"/>
  <c r="D286" i="1"/>
  <c r="D289" i="1"/>
  <c r="E289" i="1" s="1"/>
  <c r="D290" i="1"/>
  <c r="E290" i="1" s="1"/>
  <c r="D292" i="1"/>
  <c r="E292" i="1" s="1"/>
  <c r="D293" i="1"/>
  <c r="E293" i="1" s="1"/>
  <c r="D294" i="1"/>
  <c r="E294" i="1" s="1"/>
  <c r="D295" i="1"/>
  <c r="E295" i="1" s="1"/>
  <c r="D300" i="1"/>
  <c r="E300" i="1" s="1"/>
  <c r="D301" i="1"/>
  <c r="E301" i="1" s="1"/>
  <c r="D303" i="1"/>
  <c r="E303" i="1" s="1"/>
  <c r="D304" i="1"/>
  <c r="E304" i="1" s="1"/>
  <c r="D305" i="1"/>
  <c r="E305" i="1" s="1"/>
  <c r="D306" i="1"/>
  <c r="E306" i="1" s="1"/>
  <c r="D308" i="1"/>
  <c r="D311" i="1"/>
  <c r="E311" i="1" s="1"/>
  <c r="D312" i="1"/>
  <c r="E312" i="1" s="1"/>
  <c r="D314" i="1"/>
  <c r="E314" i="1" s="1"/>
  <c r="D315" i="1"/>
  <c r="E315" i="1" s="1"/>
  <c r="D316" i="1"/>
  <c r="E316" i="1" s="1"/>
  <c r="D317" i="1"/>
  <c r="E317" i="1" s="1"/>
  <c r="D318" i="1"/>
  <c r="D321" i="1"/>
  <c r="E321" i="1" s="1"/>
  <c r="D322" i="1"/>
  <c r="E322" i="1" s="1"/>
  <c r="D324" i="1"/>
  <c r="E324" i="1" s="1"/>
  <c r="D325" i="1"/>
  <c r="E325" i="1" s="1"/>
  <c r="D326" i="1"/>
  <c r="E326" i="1" s="1"/>
  <c r="D327" i="1"/>
  <c r="E327" i="1" s="1"/>
  <c r="D328" i="1"/>
  <c r="D333" i="1"/>
  <c r="E333" i="1" s="1"/>
  <c r="D334" i="1"/>
  <c r="E334" i="1" s="1"/>
  <c r="D335" i="1"/>
  <c r="E335" i="1" s="1"/>
  <c r="D336" i="1"/>
  <c r="E336" i="1" s="1"/>
  <c r="D337" i="1"/>
  <c r="E337" i="1" s="1"/>
  <c r="D342" i="1"/>
  <c r="E342" i="1" s="1"/>
  <c r="D343" i="1"/>
  <c r="E343" i="1" s="1"/>
  <c r="D344" i="1"/>
  <c r="E344" i="1" s="1"/>
  <c r="D345" i="1"/>
  <c r="E345" i="1" s="1"/>
  <c r="D346" i="1"/>
  <c r="E346" i="1" s="1"/>
  <c r="D351" i="1"/>
  <c r="E351" i="1" s="1"/>
  <c r="D352" i="1"/>
  <c r="E352" i="1" s="1"/>
  <c r="D353" i="1"/>
  <c r="E353" i="1" s="1"/>
  <c r="D354" i="1"/>
  <c r="E354" i="1" s="1"/>
  <c r="D355" i="1"/>
  <c r="E355" i="1" s="1"/>
  <c r="D360" i="1"/>
  <c r="E360" i="1" s="1"/>
  <c r="D361" i="1"/>
  <c r="E361" i="1" s="1"/>
  <c r="D362" i="1"/>
  <c r="E362" i="1" s="1"/>
  <c r="D363" i="1"/>
  <c r="E363" i="1" s="1"/>
  <c r="D364" i="1"/>
  <c r="E364" i="1" s="1"/>
  <c r="D369" i="1"/>
  <c r="E369" i="1" s="1"/>
  <c r="D370" i="1"/>
  <c r="E370" i="1" s="1"/>
  <c r="D371" i="1"/>
  <c r="E371" i="1" s="1"/>
  <c r="D372" i="1"/>
  <c r="E372" i="1" s="1"/>
  <c r="D373" i="1"/>
  <c r="E373" i="1" s="1"/>
  <c r="D375" i="1"/>
  <c r="D378" i="1"/>
  <c r="E378" i="1" s="1"/>
  <c r="D379" i="1"/>
  <c r="E379" i="1" s="1"/>
  <c r="D380" i="1"/>
  <c r="E380" i="1" s="1"/>
  <c r="D381" i="1"/>
  <c r="E381" i="1" s="1"/>
  <c r="D382" i="1"/>
  <c r="E382" i="1" s="1"/>
  <c r="D383" i="1"/>
  <c r="E383" i="1" s="1"/>
  <c r="D384" i="1"/>
  <c r="E384" i="1" s="1"/>
  <c r="D389" i="1"/>
  <c r="E389" i="1" s="1"/>
  <c r="D390" i="1"/>
  <c r="E390" i="1" s="1"/>
  <c r="D392" i="1"/>
  <c r="E392" i="1" s="1"/>
  <c r="D393" i="1"/>
  <c r="E393" i="1" s="1"/>
  <c r="D394" i="1"/>
  <c r="E394" i="1" s="1"/>
  <c r="D395" i="1"/>
  <c r="E395" i="1" s="1"/>
  <c r="D396" i="1"/>
  <c r="D399" i="1"/>
  <c r="E399" i="1" s="1"/>
  <c r="D400" i="1"/>
  <c r="E400" i="1" s="1"/>
  <c r="D402" i="1"/>
  <c r="E402" i="1" s="1"/>
  <c r="D403" i="1"/>
  <c r="E403" i="1" s="1"/>
  <c r="D404" i="1"/>
  <c r="E404" i="1" s="1"/>
  <c r="D405" i="1"/>
  <c r="E405" i="1" s="1"/>
  <c r="D410" i="1"/>
  <c r="E410" i="1" s="1"/>
  <c r="D411" i="1"/>
  <c r="E411" i="1" s="1"/>
  <c r="D413" i="1"/>
  <c r="E413" i="1" s="1"/>
  <c r="D414" i="1"/>
  <c r="E414" i="1" s="1"/>
  <c r="D415" i="1"/>
  <c r="E415" i="1" s="1"/>
  <c r="D416" i="1"/>
  <c r="E416" i="1" s="1"/>
  <c r="D417" i="1"/>
  <c r="D420" i="1"/>
  <c r="E420" i="1" s="1"/>
  <c r="D421" i="1"/>
  <c r="E421" i="1" s="1"/>
  <c r="D423" i="1"/>
  <c r="E423" i="1" s="1"/>
  <c r="D424" i="1"/>
  <c r="E424" i="1" s="1"/>
  <c r="D425" i="1"/>
  <c r="E425" i="1" s="1"/>
  <c r="D426" i="1"/>
  <c r="E426" i="1" s="1"/>
  <c r="D427" i="1"/>
  <c r="D430" i="1"/>
  <c r="E430" i="1" s="1"/>
  <c r="D431" i="1"/>
  <c r="E431" i="1" s="1"/>
  <c r="D433" i="1"/>
  <c r="E433" i="1" s="1"/>
  <c r="D434" i="1"/>
  <c r="E434" i="1" s="1"/>
  <c r="D435" i="1"/>
  <c r="E435" i="1" s="1"/>
  <c r="D436" i="1"/>
  <c r="E436" i="1" s="1"/>
  <c r="D441" i="1"/>
  <c r="E441" i="1" s="1"/>
  <c r="D442" i="1"/>
  <c r="E442" i="1" s="1"/>
  <c r="D444" i="1"/>
  <c r="E444" i="1" s="1"/>
  <c r="D445" i="1"/>
  <c r="E445" i="1" s="1"/>
  <c r="D446" i="1"/>
  <c r="E446" i="1" s="1"/>
  <c r="D447" i="1"/>
  <c r="E447" i="1" s="1"/>
  <c r="D448" i="1"/>
  <c r="D451" i="1"/>
  <c r="E451" i="1" s="1"/>
  <c r="D452" i="1"/>
  <c r="E452" i="1" s="1"/>
  <c r="D454" i="1"/>
  <c r="E454" i="1" s="1"/>
  <c r="D455" i="1"/>
  <c r="E455" i="1" s="1"/>
  <c r="D456" i="1"/>
  <c r="E456" i="1" s="1"/>
  <c r="D457" i="1"/>
  <c r="E457" i="1" s="1"/>
  <c r="D462" i="1"/>
  <c r="E462" i="1" s="1"/>
  <c r="D463" i="1"/>
  <c r="E463" i="1" s="1"/>
  <c r="D465" i="1"/>
  <c r="E465" i="1" s="1"/>
  <c r="D466" i="1"/>
  <c r="E466" i="1" s="1"/>
  <c r="D467" i="1"/>
  <c r="E467" i="1" s="1"/>
  <c r="D468" i="1"/>
  <c r="E468" i="1" s="1"/>
  <c r="D469" i="1"/>
  <c r="D472" i="1"/>
  <c r="E472" i="1" s="1"/>
  <c r="D473" i="1"/>
  <c r="E473" i="1" s="1"/>
  <c r="D475" i="1"/>
  <c r="E475" i="1" s="1"/>
  <c r="D476" i="1"/>
  <c r="E476" i="1" s="1"/>
  <c r="D477" i="1"/>
  <c r="E477" i="1" s="1"/>
  <c r="D478" i="1"/>
  <c r="E478" i="1" s="1"/>
  <c r="D479" i="1"/>
  <c r="D482" i="1"/>
  <c r="E482" i="1" s="1"/>
  <c r="D483" i="1"/>
  <c r="E483" i="1" s="1"/>
  <c r="D485" i="1"/>
  <c r="E485" i="1" s="1"/>
  <c r="D486" i="1"/>
  <c r="E486" i="1" s="1"/>
  <c r="D487" i="1"/>
  <c r="E487" i="1" s="1"/>
  <c r="D488" i="1"/>
  <c r="E488" i="1" s="1"/>
  <c r="D489" i="1"/>
  <c r="D494" i="1"/>
  <c r="E494" i="1" s="1"/>
  <c r="D495" i="1"/>
  <c r="E495" i="1" s="1"/>
  <c r="D496" i="1"/>
  <c r="E496" i="1" s="1"/>
  <c r="E497" i="1"/>
  <c r="D498" i="1"/>
  <c r="E498" i="1" s="1"/>
  <c r="D503" i="1"/>
  <c r="E503" i="1" s="1"/>
  <c r="D504" i="1"/>
  <c r="E504" i="1" s="1"/>
  <c r="D505" i="1"/>
  <c r="E505" i="1" s="1"/>
  <c r="D506" i="1"/>
  <c r="E506" i="1" s="1"/>
  <c r="D507" i="1"/>
  <c r="E507" i="1" s="1"/>
  <c r="D512" i="1"/>
  <c r="E512" i="1" s="1"/>
  <c r="D513" i="1"/>
  <c r="E513" i="1" s="1"/>
  <c r="D514" i="1"/>
  <c r="E514" i="1" s="1"/>
  <c r="D515" i="1"/>
  <c r="E515" i="1" s="1"/>
  <c r="D516" i="1"/>
  <c r="E516" i="1" s="1"/>
  <c r="D521" i="1"/>
  <c r="E521" i="1" s="1"/>
  <c r="D522" i="1"/>
  <c r="E522" i="1" s="1"/>
  <c r="D523" i="1"/>
  <c r="E523" i="1" s="1"/>
  <c r="D524" i="1"/>
  <c r="E524" i="1" s="1"/>
  <c r="D525" i="1"/>
  <c r="E525" i="1" s="1"/>
  <c r="D530" i="1"/>
  <c r="E530" i="1" s="1"/>
  <c r="D531" i="1"/>
  <c r="E531" i="1" s="1"/>
  <c r="D532" i="1"/>
  <c r="E532" i="1" s="1"/>
  <c r="D533" i="1"/>
  <c r="E533" i="1" s="1"/>
  <c r="D534" i="1"/>
  <c r="E534" i="1" s="1"/>
  <c r="D536" i="1"/>
  <c r="D539" i="1"/>
  <c r="E539" i="1" s="1"/>
  <c r="D540" i="1"/>
  <c r="E540" i="1" s="1"/>
  <c r="D541" i="1"/>
  <c r="E541" i="1" s="1"/>
  <c r="D542" i="1"/>
  <c r="E542" i="1" s="1"/>
  <c r="D543" i="1"/>
  <c r="E543" i="1" s="1"/>
  <c r="D544" i="1"/>
  <c r="E544" i="1" s="1"/>
  <c r="D545" i="1"/>
  <c r="E545" i="1" s="1"/>
  <c r="D569" i="1"/>
  <c r="E569" i="1" s="1"/>
  <c r="D570" i="1"/>
  <c r="E570" i="1" s="1"/>
  <c r="D572" i="1"/>
  <c r="E572" i="1" s="1"/>
  <c r="D573" i="1"/>
  <c r="E573" i="1" s="1"/>
  <c r="D574" i="1"/>
  <c r="E574" i="1" s="1"/>
  <c r="D575" i="1"/>
  <c r="E575" i="1" s="1"/>
  <c r="D576" i="1"/>
  <c r="D579" i="1"/>
  <c r="E579" i="1" s="1"/>
  <c r="D580" i="1"/>
  <c r="E580" i="1" s="1"/>
  <c r="D582" i="1"/>
  <c r="E582" i="1" s="1"/>
  <c r="D583" i="1"/>
  <c r="E583" i="1" s="1"/>
  <c r="D584" i="1"/>
  <c r="E584" i="1" s="1"/>
  <c r="D585" i="1"/>
  <c r="E585" i="1" s="1"/>
  <c r="D590" i="1"/>
  <c r="E590" i="1" s="1"/>
  <c r="D591" i="1"/>
  <c r="E591" i="1" s="1"/>
  <c r="D593" i="1"/>
  <c r="E593" i="1" s="1"/>
  <c r="D594" i="1"/>
  <c r="E594" i="1" s="1"/>
  <c r="D595" i="1"/>
  <c r="E595" i="1" s="1"/>
  <c r="D596" i="1"/>
  <c r="E596" i="1" s="1"/>
  <c r="D597" i="1"/>
  <c r="D600" i="1"/>
  <c r="E600" i="1" s="1"/>
  <c r="D601" i="1"/>
  <c r="E601" i="1" s="1"/>
  <c r="D603" i="1"/>
  <c r="E603" i="1" s="1"/>
  <c r="D604" i="1"/>
  <c r="E604" i="1" s="1"/>
  <c r="D605" i="1"/>
  <c r="E605" i="1" s="1"/>
  <c r="D606" i="1"/>
  <c r="E606" i="1" s="1"/>
  <c r="D607" i="1"/>
  <c r="D610" i="1"/>
  <c r="E610" i="1" s="1"/>
  <c r="D611" i="1"/>
  <c r="E611" i="1" s="1"/>
  <c r="D613" i="1"/>
  <c r="E613" i="1" s="1"/>
  <c r="D614" i="1"/>
  <c r="E614" i="1" s="1"/>
  <c r="D615" i="1"/>
  <c r="E615" i="1" s="1"/>
  <c r="D616" i="1"/>
  <c r="E616" i="1" s="1"/>
  <c r="D621" i="1"/>
  <c r="E621" i="1" s="1"/>
  <c r="D622" i="1"/>
  <c r="E622" i="1" s="1"/>
  <c r="D624" i="1"/>
  <c r="E624" i="1" s="1"/>
  <c r="D625" i="1"/>
  <c r="E625" i="1" s="1"/>
  <c r="D626" i="1"/>
  <c r="E626" i="1" s="1"/>
  <c r="D627" i="1"/>
  <c r="E627" i="1" s="1"/>
  <c r="D628" i="1"/>
  <c r="D631" i="1"/>
  <c r="E631" i="1" s="1"/>
  <c r="D632" i="1"/>
  <c r="E632" i="1" s="1"/>
  <c r="D634" i="1"/>
  <c r="E634" i="1" s="1"/>
  <c r="D635" i="1"/>
  <c r="E635" i="1" s="1"/>
  <c r="D636" i="1"/>
  <c r="E636" i="1" s="1"/>
  <c r="D637" i="1"/>
  <c r="E637" i="1" s="1"/>
  <c r="D642" i="1"/>
  <c r="E642" i="1" s="1"/>
  <c r="D643" i="1"/>
  <c r="E643" i="1" s="1"/>
  <c r="D645" i="1"/>
  <c r="E645" i="1" s="1"/>
  <c r="D646" i="1"/>
  <c r="E646" i="1" s="1"/>
  <c r="D647" i="1"/>
  <c r="E647" i="1" s="1"/>
  <c r="D648" i="1"/>
  <c r="E648" i="1" s="1"/>
  <c r="D649" i="1"/>
  <c r="D652" i="1"/>
  <c r="E652" i="1" s="1"/>
  <c r="D653" i="1"/>
  <c r="E653" i="1" s="1"/>
  <c r="D655" i="1"/>
  <c r="E655" i="1" s="1"/>
  <c r="D656" i="1"/>
  <c r="E656" i="1" s="1"/>
  <c r="D657" i="1"/>
  <c r="E657" i="1" s="1"/>
  <c r="D658" i="1"/>
  <c r="E658" i="1" s="1"/>
  <c r="D659" i="1"/>
  <c r="D662" i="1"/>
  <c r="E662" i="1" s="1"/>
  <c r="D663" i="1"/>
  <c r="E663" i="1" s="1"/>
  <c r="D665" i="1"/>
  <c r="E665" i="1" s="1"/>
  <c r="D666" i="1"/>
  <c r="E666" i="1" s="1"/>
  <c r="D667" i="1"/>
  <c r="E667" i="1" s="1"/>
  <c r="D668" i="1"/>
  <c r="E668" i="1" s="1"/>
  <c r="D669" i="1"/>
  <c r="D674" i="1"/>
  <c r="E674" i="1" s="1"/>
  <c r="D675" i="1"/>
  <c r="E675" i="1" s="1"/>
  <c r="D676" i="1"/>
  <c r="E676" i="1" s="1"/>
  <c r="D677" i="1"/>
  <c r="D678" i="1"/>
  <c r="E678" i="1" s="1"/>
  <c r="D680" i="1"/>
  <c r="D683" i="1"/>
  <c r="E683" i="1" s="1"/>
  <c r="D684" i="1"/>
  <c r="E684" i="1" s="1"/>
  <c r="D685" i="1"/>
  <c r="E685" i="1" s="1"/>
  <c r="D693" i="1"/>
  <c r="E693" i="1" s="1"/>
  <c r="D694" i="1"/>
  <c r="E694" i="1" s="1"/>
  <c r="D695" i="1"/>
  <c r="E695" i="1" s="1"/>
  <c r="D702" i="1"/>
  <c r="E702" i="1" s="1"/>
  <c r="D703" i="1"/>
  <c r="E703" i="1" s="1"/>
  <c r="D704" i="1"/>
  <c r="E704" i="1" s="1"/>
  <c r="D711" i="1"/>
  <c r="E711" i="1" s="1"/>
  <c r="D712" i="1"/>
  <c r="E712" i="1" s="1"/>
  <c r="D713" i="1"/>
  <c r="E713" i="1" s="1"/>
  <c r="D717" i="1"/>
  <c r="D720" i="1"/>
  <c r="E720" i="1" s="1"/>
  <c r="D721" i="1"/>
  <c r="E721" i="1" s="1"/>
  <c r="D722" i="1"/>
  <c r="E722" i="1" s="1"/>
  <c r="D723" i="1"/>
  <c r="E723" i="1" s="1"/>
  <c r="D725" i="1"/>
  <c r="E725" i="1" s="1"/>
  <c r="D731" i="1"/>
  <c r="E731" i="1" s="1"/>
  <c r="D732" i="1"/>
  <c r="E732" i="1" s="1"/>
  <c r="D734" i="1"/>
  <c r="E734" i="1" s="1"/>
  <c r="D737" i="1"/>
  <c r="D738" i="1"/>
  <c r="D741" i="1"/>
  <c r="E741" i="1" s="1"/>
  <c r="D742" i="1"/>
  <c r="E742" i="1" s="1"/>
  <c r="D744" i="1"/>
  <c r="E744" i="1" s="1"/>
  <c r="D752" i="1"/>
  <c r="E752" i="1" s="1"/>
  <c r="D753" i="1"/>
  <c r="E753" i="1" s="1"/>
  <c r="D755" i="1"/>
  <c r="E755" i="1" s="1"/>
  <c r="D759" i="1"/>
  <c r="D762" i="1"/>
  <c r="E762" i="1" s="1"/>
  <c r="D763" i="1"/>
  <c r="E763" i="1" s="1"/>
  <c r="D765" i="1"/>
  <c r="E765" i="1" s="1"/>
  <c r="D769" i="1"/>
  <c r="D772" i="1"/>
  <c r="E772" i="1" s="1"/>
  <c r="D773" i="1"/>
  <c r="E773" i="1" s="1"/>
  <c r="D775" i="1"/>
  <c r="E775" i="1" s="1"/>
  <c r="D783" i="1"/>
  <c r="E783" i="1" s="1"/>
  <c r="D784" i="1"/>
  <c r="E784" i="1" s="1"/>
  <c r="D786" i="1"/>
  <c r="E786" i="1" s="1"/>
  <c r="D790" i="1"/>
  <c r="D793" i="1"/>
  <c r="E793" i="1" s="1"/>
  <c r="D794" i="1"/>
  <c r="E794" i="1" s="1"/>
  <c r="D796" i="1"/>
  <c r="E796" i="1" s="1"/>
  <c r="D804" i="1"/>
  <c r="E804" i="1" s="1"/>
  <c r="D805" i="1"/>
  <c r="E805" i="1" s="1"/>
  <c r="D807" i="1"/>
  <c r="E807" i="1" s="1"/>
  <c r="D811" i="1"/>
  <c r="D814" i="1"/>
  <c r="E814" i="1" s="1"/>
  <c r="D815" i="1"/>
  <c r="E815" i="1" s="1"/>
  <c r="D817" i="1"/>
  <c r="E817" i="1" s="1"/>
  <c r="D821" i="1"/>
  <c r="D824" i="1"/>
  <c r="E824" i="1" s="1"/>
  <c r="D825" i="1"/>
  <c r="E825" i="1" s="1"/>
  <c r="D827" i="1"/>
  <c r="E827" i="1" s="1"/>
  <c r="D831" i="1"/>
  <c r="D836" i="1"/>
  <c r="E836" i="1" s="1"/>
  <c r="D837" i="1"/>
  <c r="E837" i="1" s="1"/>
  <c r="D838" i="1"/>
  <c r="E838" i="1" s="1"/>
  <c r="D839" i="1"/>
  <c r="E839" i="1" s="1"/>
  <c r="D840" i="1"/>
  <c r="E840" i="1" s="1"/>
  <c r="D841" i="1"/>
  <c r="D844" i="1"/>
  <c r="E844" i="1" s="1"/>
  <c r="D845" i="1"/>
  <c r="E845" i="1" s="1"/>
  <c r="D846" i="1"/>
  <c r="E846" i="1" s="1"/>
  <c r="D849" i="1"/>
  <c r="D852" i="1"/>
  <c r="E852" i="1" s="1"/>
  <c r="D853" i="1"/>
  <c r="E853" i="1" s="1"/>
  <c r="D854" i="1"/>
  <c r="E854" i="1" s="1"/>
  <c r="D857" i="1"/>
  <c r="D860" i="1"/>
  <c r="E860" i="1" s="1"/>
  <c r="D861" i="1"/>
  <c r="E861" i="1" s="1"/>
  <c r="D862" i="1"/>
  <c r="E862" i="1" s="1"/>
  <c r="D865" i="1"/>
  <c r="D868" i="1"/>
  <c r="E868" i="1" s="1"/>
  <c r="D869" i="1"/>
  <c r="E869" i="1" s="1"/>
  <c r="D870" i="1"/>
  <c r="E870" i="1" s="1"/>
  <c r="D873" i="1"/>
  <c r="D876" i="1"/>
  <c r="E876" i="1" s="1"/>
  <c r="D877" i="1"/>
  <c r="E877" i="1" s="1"/>
  <c r="D878" i="1"/>
  <c r="E878" i="1" s="1"/>
  <c r="D879" i="1"/>
  <c r="E879" i="1" s="1"/>
  <c r="D881" i="1"/>
  <c r="E881" i="1" s="1"/>
  <c r="D883" i="1"/>
  <c r="D886" i="1"/>
  <c r="E886" i="1" s="1"/>
  <c r="D887" i="1"/>
  <c r="E887" i="1" s="1"/>
  <c r="D889" i="1"/>
  <c r="E889" i="1" s="1"/>
  <c r="D892" i="1"/>
  <c r="E892" i="1" s="1"/>
  <c r="D893" i="1"/>
  <c r="D895" i="1"/>
  <c r="E895" i="1" s="1"/>
  <c r="D896" i="1"/>
  <c r="E896" i="1" s="1"/>
  <c r="D898" i="1"/>
  <c r="E898" i="1" s="1"/>
  <c r="D902" i="1"/>
  <c r="D905" i="1"/>
  <c r="E905" i="1" s="1"/>
  <c r="D906" i="1"/>
  <c r="E906" i="1" s="1"/>
  <c r="D908" i="1"/>
  <c r="E908" i="1" s="1"/>
  <c r="D912" i="1"/>
  <c r="D915" i="1"/>
  <c r="E915" i="1" s="1"/>
  <c r="D916" i="1"/>
  <c r="E916" i="1" s="1"/>
  <c r="D918" i="1"/>
  <c r="E918" i="1" s="1"/>
  <c r="D922" i="1"/>
  <c r="D925" i="1"/>
  <c r="E925" i="1" s="1"/>
  <c r="D926" i="1"/>
  <c r="E926" i="1" s="1"/>
  <c r="D928" i="1"/>
  <c r="E928" i="1" s="1"/>
  <c r="D932" i="1"/>
  <c r="D935" i="1"/>
  <c r="E935" i="1" s="1"/>
  <c r="D936" i="1"/>
  <c r="E936" i="1" s="1"/>
  <c r="D938" i="1"/>
  <c r="E938" i="1" s="1"/>
  <c r="D942" i="1"/>
  <c r="D945" i="1"/>
  <c r="E945" i="1" s="1"/>
  <c r="D946" i="1"/>
  <c r="E946" i="1" s="1"/>
  <c r="D948" i="1"/>
  <c r="E948" i="1" s="1"/>
  <c r="D952" i="1"/>
  <c r="D955" i="1"/>
  <c r="E955" i="1" s="1"/>
  <c r="D956" i="1"/>
  <c r="E956" i="1" s="1"/>
  <c r="D958" i="1"/>
  <c r="E958" i="1" s="1"/>
  <c r="D962" i="1"/>
  <c r="D965" i="1"/>
  <c r="E965" i="1" s="1"/>
  <c r="D966" i="1"/>
  <c r="E966" i="1" s="1"/>
  <c r="D968" i="1"/>
  <c r="E968" i="1" s="1"/>
  <c r="D972" i="1"/>
  <c r="D975" i="1"/>
  <c r="E975" i="1" s="1"/>
  <c r="D976" i="1"/>
  <c r="E976" i="1" s="1"/>
  <c r="D978" i="1"/>
  <c r="E978" i="1" s="1"/>
  <c r="D982" i="1"/>
  <c r="D992" i="1" s="1"/>
  <c r="D987" i="1"/>
  <c r="E987" i="1" s="1"/>
  <c r="D988" i="1"/>
  <c r="E988" i="1" s="1"/>
  <c r="D989" i="1"/>
  <c r="E989" i="1" s="1"/>
  <c r="D990" i="1"/>
  <c r="E990" i="1" s="1"/>
  <c r="D991" i="1"/>
  <c r="E991" i="1" s="1"/>
  <c r="D997" i="1"/>
  <c r="D1002" i="1" s="1"/>
  <c r="E1002" i="1" s="1"/>
  <c r="B1005" i="1" s="1"/>
  <c r="D998" i="1"/>
  <c r="E998" i="1" s="1"/>
  <c r="D1004" i="1"/>
  <c r="E1004" i="1" s="1"/>
  <c r="E1010" i="1"/>
  <c r="D1016" i="1"/>
  <c r="E1016" i="1" s="1"/>
  <c r="E1022" i="1"/>
  <c r="D1023" i="1"/>
  <c r="D1028" i="1"/>
  <c r="E1028" i="1" s="1"/>
  <c r="D1029" i="1"/>
  <c r="D1036" i="1"/>
  <c r="D1046" i="1" s="1"/>
  <c r="E1046" i="1" s="1"/>
  <c r="D1037" i="1"/>
  <c r="E1037" i="1" s="1"/>
  <c r="D1038" i="1"/>
  <c r="D1048" i="1" s="1"/>
  <c r="E1048" i="1" s="1"/>
  <c r="D1050" i="1"/>
  <c r="E1050" i="1" s="1"/>
  <c r="D1060" i="1"/>
  <c r="D1059" i="1"/>
  <c r="E1059" i="1" s="1"/>
  <c r="D1067" i="1"/>
  <c r="E1067" i="1" s="1"/>
  <c r="D1068" i="1"/>
  <c r="E1068" i="1" s="1"/>
  <c r="B1069" i="1"/>
  <c r="D1069" i="1"/>
  <c r="E1072" i="1"/>
  <c r="E1073" i="1"/>
  <c r="D1074" i="1"/>
  <c r="E1074" i="1" s="1"/>
  <c r="D1075" i="1"/>
  <c r="D1078" i="1"/>
  <c r="E1078" i="1" s="1"/>
  <c r="D1079" i="1"/>
  <c r="E1079" i="1" s="1"/>
  <c r="B1080" i="1"/>
  <c r="D1080" i="1"/>
  <c r="D1083" i="1"/>
  <c r="E1083" i="1" s="1"/>
  <c r="D1084" i="1"/>
  <c r="E1084" i="1" s="1"/>
  <c r="D1085" i="1"/>
  <c r="E1085" i="1" s="1"/>
  <c r="D1086" i="1"/>
  <c r="D1095" i="1"/>
  <c r="E1095" i="1" s="1"/>
  <c r="D1096" i="1"/>
  <c r="E1096" i="1" s="1"/>
  <c r="B1097" i="1"/>
  <c r="D1097" i="1"/>
  <c r="D1100" i="1"/>
  <c r="E1100" i="1" s="1"/>
  <c r="D1101" i="1"/>
  <c r="D1102" i="1"/>
  <c r="D1119" i="1"/>
  <c r="E1119" i="1" s="1"/>
  <c r="D1120" i="1"/>
  <c r="E1120" i="1" s="1"/>
  <c r="B1121" i="1"/>
  <c r="D1121" i="1"/>
  <c r="D1124" i="1"/>
  <c r="E1124" i="1" s="1"/>
  <c r="D1125" i="1"/>
  <c r="E1125" i="1" s="1"/>
  <c r="D1126" i="1"/>
  <c r="E1126" i="1" s="1"/>
  <c r="D1127" i="1"/>
  <c r="D1130" i="1"/>
  <c r="E1130" i="1" s="1"/>
  <c r="D1131" i="1"/>
  <c r="E1131" i="1" s="1"/>
  <c r="B1132" i="1"/>
  <c r="D1132" i="1"/>
  <c r="D1135" i="1"/>
  <c r="E1135" i="1" s="1"/>
  <c r="D1136" i="1"/>
  <c r="E1136" i="1" s="1"/>
  <c r="D1137" i="1"/>
  <c r="E1137" i="1" s="1"/>
  <c r="D1138" i="1"/>
  <c r="D1149" i="1" s="1"/>
  <c r="D1188" i="1" s="1"/>
  <c r="D1141" i="1"/>
  <c r="E1141" i="1" s="1"/>
  <c r="D1142" i="1"/>
  <c r="E1142" i="1" s="1"/>
  <c r="B1143" i="1"/>
  <c r="D1143" i="1"/>
  <c r="D1146" i="1"/>
  <c r="E1146" i="1" s="1"/>
  <c r="D1147" i="1"/>
  <c r="E1147" i="1" s="1"/>
  <c r="D1148" i="1"/>
  <c r="E1148" i="1" s="1"/>
  <c r="D1158" i="1"/>
  <c r="E1158" i="1" s="1"/>
  <c r="D1159" i="1"/>
  <c r="E1159" i="1" s="1"/>
  <c r="B1160" i="1"/>
  <c r="D1160" i="1"/>
  <c r="D1163" i="1"/>
  <c r="E1163" i="1" s="1"/>
  <c r="D1164" i="1"/>
  <c r="E1164" i="1" s="1"/>
  <c r="D1165" i="1"/>
  <c r="E1165" i="1" s="1"/>
  <c r="D1166" i="1"/>
  <c r="D1169" i="1"/>
  <c r="E1169" i="1" s="1"/>
  <c r="D1170" i="1"/>
  <c r="E1170" i="1" s="1"/>
  <c r="B1171" i="1"/>
  <c r="D1171" i="1"/>
  <c r="D1174" i="1"/>
  <c r="E1174" i="1" s="1"/>
  <c r="D1175" i="1"/>
  <c r="E1175" i="1" s="1"/>
  <c r="D1176" i="1"/>
  <c r="E1176" i="1" s="1"/>
  <c r="D1177" i="1"/>
  <c r="D1180" i="1"/>
  <c r="E1180" i="1" s="1"/>
  <c r="D1181" i="1"/>
  <c r="E1181" i="1" s="1"/>
  <c r="B1182" i="1"/>
  <c r="D1182" i="1"/>
  <c r="D1185" i="1"/>
  <c r="E1185" i="1" s="1"/>
  <c r="D1186" i="1"/>
  <c r="E1186" i="1" s="1"/>
  <c r="D1187" i="1"/>
  <c r="E1187" i="1" s="1"/>
  <c r="D1191" i="1"/>
  <c r="E1191" i="1" s="1"/>
  <c r="D1192" i="1"/>
  <c r="E1192" i="1" s="1"/>
  <c r="B1193" i="1"/>
  <c r="D1193" i="1"/>
  <c r="D1196" i="1"/>
  <c r="E1196" i="1" s="1"/>
  <c r="D1197" i="1"/>
  <c r="E1197" i="1" s="1"/>
  <c r="D1198" i="1"/>
  <c r="E1198" i="1" s="1"/>
  <c r="D1208" i="1"/>
  <c r="E1208" i="1" s="1"/>
  <c r="D1209" i="1"/>
  <c r="E1209" i="1" s="1"/>
  <c r="B1210" i="1"/>
  <c r="D1210" i="1"/>
  <c r="D1213" i="1"/>
  <c r="E1213" i="1" s="1"/>
  <c r="D1214" i="1"/>
  <c r="E1214" i="1" s="1"/>
  <c r="D1215" i="1"/>
  <c r="E1215" i="1" s="1"/>
  <c r="D1216" i="1"/>
  <c r="D1219" i="1"/>
  <c r="E1219" i="1" s="1"/>
  <c r="D1220" i="1"/>
  <c r="E1220" i="1" s="1"/>
  <c r="B1221" i="1"/>
  <c r="D1221" i="1"/>
  <c r="D1224" i="1"/>
  <c r="E1224" i="1" s="1"/>
  <c r="D1225" i="1"/>
  <c r="E1225" i="1" s="1"/>
  <c r="D1226" i="1"/>
  <c r="E1226" i="1" s="1"/>
  <c r="D1227" i="1"/>
  <c r="D1230" i="1"/>
  <c r="E1230" i="1" s="1"/>
  <c r="D1231" i="1"/>
  <c r="E1231" i="1" s="1"/>
  <c r="B1232" i="1"/>
  <c r="D1232" i="1"/>
  <c r="E1235" i="1"/>
  <c r="D1236" i="1"/>
  <c r="E1236" i="1" s="1"/>
  <c r="D1237" i="1"/>
  <c r="E1237" i="1" s="1"/>
  <c r="D1241" i="1"/>
  <c r="E1241" i="1" s="1"/>
  <c r="D1242" i="1"/>
  <c r="E1242" i="1" s="1"/>
  <c r="B1243" i="1"/>
  <c r="D1243" i="1"/>
  <c r="D1246" i="1"/>
  <c r="E1246" i="1" s="1"/>
  <c r="D1247" i="1"/>
  <c r="E1247" i="1" s="1"/>
  <c r="D1248" i="1"/>
  <c r="E1248" i="1" s="1"/>
  <c r="D1249" i="1"/>
  <c r="D1258" i="1"/>
  <c r="E1258" i="1" s="1"/>
  <c r="D1259" i="1"/>
  <c r="E1259" i="1" s="1"/>
  <c r="B1260" i="1"/>
  <c r="D1260" i="1"/>
  <c r="D1263" i="1"/>
  <c r="E1263" i="1" s="1"/>
  <c r="D1264" i="1"/>
  <c r="E1264" i="1" s="1"/>
  <c r="D1265" i="1"/>
  <c r="E1265" i="1" s="1"/>
  <c r="D1266" i="1"/>
  <c r="D1269" i="1"/>
  <c r="E1269" i="1" s="1"/>
  <c r="D1270" i="1"/>
  <c r="E1270" i="1" s="1"/>
  <c r="B1271" i="1"/>
  <c r="D1271" i="1"/>
  <c r="D1275" i="1"/>
  <c r="E1275" i="1" s="1"/>
  <c r="D1276" i="1"/>
  <c r="E1276" i="1" s="1"/>
  <c r="D1277" i="1"/>
  <c r="E1277" i="1" s="1"/>
  <c r="D1278" i="1"/>
  <c r="D1281" i="1"/>
  <c r="E1281" i="1" s="1"/>
  <c r="D1282" i="1"/>
  <c r="E1282" i="1" s="1"/>
  <c r="B1283" i="1"/>
  <c r="D1283" i="1"/>
  <c r="D1287" i="1"/>
  <c r="E1287" i="1" s="1"/>
  <c r="D1288" i="1"/>
  <c r="E1288" i="1" s="1"/>
  <c r="D1289" i="1"/>
  <c r="E1289" i="1" s="1"/>
  <c r="D1290" i="1"/>
  <c r="D1302" i="1" s="1"/>
  <c r="D1293" i="1"/>
  <c r="E1293" i="1" s="1"/>
  <c r="D1294" i="1"/>
  <c r="E1294" i="1" s="1"/>
  <c r="B1295" i="1"/>
  <c r="D1295" i="1"/>
  <c r="D1299" i="1"/>
  <c r="E1299" i="1" s="1"/>
  <c r="D1300" i="1"/>
  <c r="E1300" i="1" s="1"/>
  <c r="D1308" i="1"/>
  <c r="E1308" i="1" s="1"/>
  <c r="D1309" i="1"/>
  <c r="E1309" i="1" s="1"/>
  <c r="B1310" i="1"/>
  <c r="D1310" i="1"/>
  <c r="D1314" i="1"/>
  <c r="E1314" i="1" s="1"/>
  <c r="D1315" i="1"/>
  <c r="E1315" i="1" s="1"/>
  <c r="D1316" i="1"/>
  <c r="E1316" i="1" s="1"/>
  <c r="D1317" i="1"/>
  <c r="D1320" i="1"/>
  <c r="D1321" i="1"/>
  <c r="B1322" i="1"/>
  <c r="D1322" i="1"/>
  <c r="D1335" i="1" s="1"/>
  <c r="E1335" i="1" s="1"/>
  <c r="D1326" i="1"/>
  <c r="D1327" i="1"/>
  <c r="D1328" i="1"/>
  <c r="D1329" i="1"/>
  <c r="D1345" i="1"/>
  <c r="E1345" i="1" s="1"/>
  <c r="D1346" i="1"/>
  <c r="E1346" i="1" s="1"/>
  <c r="B1347" i="1"/>
  <c r="D1347" i="1"/>
  <c r="D1351" i="1"/>
  <c r="E1351" i="1" s="1"/>
  <c r="D1352" i="1"/>
  <c r="E1352" i="1" s="1"/>
  <c r="D1353" i="1"/>
  <c r="E1353" i="1" s="1"/>
  <c r="D1371" i="1"/>
  <c r="E1371" i="1" s="1"/>
  <c r="D1372" i="1"/>
  <c r="E1372" i="1" s="1"/>
  <c r="B1373" i="1"/>
  <c r="D1373" i="1"/>
  <c r="D1377" i="1"/>
  <c r="E1377" i="1" s="1"/>
  <c r="D1378" i="1"/>
  <c r="E1378" i="1" s="1"/>
  <c r="D1379" i="1"/>
  <c r="E1379" i="1" s="1"/>
  <c r="D1380" i="1"/>
  <c r="D1385" i="1"/>
  <c r="D1386" i="1"/>
  <c r="B1387" i="1"/>
  <c r="D1387" i="1"/>
  <c r="D1400" i="1" s="1"/>
  <c r="E1400" i="1" s="1"/>
  <c r="D1410" i="1"/>
  <c r="E1410" i="1" s="1"/>
  <c r="D1411" i="1"/>
  <c r="E1411" i="1" s="1"/>
  <c r="B1412" i="1"/>
  <c r="D1412" i="1"/>
  <c r="D1416" i="1"/>
  <c r="E1416" i="1" s="1"/>
  <c r="D1417" i="1"/>
  <c r="E1417" i="1" s="1"/>
  <c r="D1418" i="1"/>
  <c r="E1418" i="1" s="1"/>
  <c r="D1419" i="1"/>
  <c r="D1422" i="1"/>
  <c r="E1422" i="1" s="1"/>
  <c r="D1423" i="1"/>
  <c r="E1423" i="1" s="1"/>
  <c r="B1424" i="1"/>
  <c r="D1424" i="1"/>
  <c r="D1428" i="1"/>
  <c r="E1428" i="1" s="1"/>
  <c r="D1429" i="1"/>
  <c r="E1429" i="1" s="1"/>
  <c r="D1430" i="1"/>
  <c r="E1430" i="1" s="1"/>
  <c r="D1431" i="1"/>
  <c r="D1434" i="1"/>
  <c r="E1434" i="1" s="1"/>
  <c r="D1435" i="1"/>
  <c r="E1435" i="1" s="1"/>
  <c r="B1436" i="1"/>
  <c r="D1436" i="1"/>
  <c r="D1440" i="1"/>
  <c r="E1440" i="1" s="1"/>
  <c r="D1441" i="1"/>
  <c r="E1441" i="1" s="1"/>
  <c r="D1442" i="1"/>
  <c r="E1442" i="1" s="1"/>
  <c r="D1443" i="1"/>
  <c r="D1448" i="1"/>
  <c r="D1460" i="1" s="1"/>
  <c r="D1449" i="1"/>
  <c r="B1450" i="1"/>
  <c r="D1450" i="1"/>
  <c r="D1463" i="1" s="1"/>
  <c r="E1463" i="1" s="1"/>
  <c r="D1473" i="1"/>
  <c r="D1474" i="1"/>
  <c r="D1476" i="1"/>
  <c r="D1488" i="1" s="1"/>
  <c r="E1488" i="1" s="1"/>
  <c r="E1481" i="1"/>
  <c r="E1482" i="1"/>
  <c r="D1498" i="1"/>
  <c r="D1499" i="1"/>
  <c r="E1499" i="1" s="1"/>
  <c r="B1500" i="1"/>
  <c r="D1500" i="1"/>
  <c r="D1513" i="1" s="1"/>
  <c r="E1513" i="1" s="1"/>
  <c r="D1504" i="1"/>
  <c r="D1517" i="1" s="1"/>
  <c r="D1505" i="1"/>
  <c r="D1518" i="1" s="1"/>
  <c r="D1506" i="1"/>
  <c r="D1519" i="1" s="1"/>
  <c r="D1507" i="1"/>
  <c r="D1599" i="1" s="1"/>
  <c r="D1625" i="1" s="1"/>
  <c r="D1523" i="1"/>
  <c r="E1523" i="1" s="1"/>
  <c r="D1524" i="1"/>
  <c r="E1524" i="1" s="1"/>
  <c r="B1525" i="1"/>
  <c r="D1525" i="1"/>
  <c r="E1529" i="1"/>
  <c r="E1530" i="1"/>
  <c r="E1531" i="1"/>
  <c r="D1537" i="1"/>
  <c r="E1537" i="1" s="1"/>
  <c r="D1538" i="1"/>
  <c r="E1538" i="1" s="1"/>
  <c r="D1540" i="1"/>
  <c r="E1540" i="1" s="1"/>
  <c r="D1541" i="1"/>
  <c r="E1541" i="1" s="1"/>
  <c r="D1542" i="1"/>
  <c r="D1548" i="1" s="1"/>
  <c r="D1554" i="1" s="1"/>
  <c r="D1545" i="1"/>
  <c r="E1545" i="1" s="1"/>
  <c r="E1547" i="1"/>
  <c r="E1551" i="1"/>
  <c r="E1557" i="1"/>
  <c r="D1563" i="1"/>
  <c r="E1563" i="1" s="1"/>
  <c r="E1569" i="1"/>
  <c r="E1575" i="1"/>
  <c r="D1589" i="1"/>
  <c r="E1589" i="1" s="1"/>
  <c r="D1590" i="1"/>
  <c r="E1590" i="1" s="1"/>
  <c r="B1591" i="1"/>
  <c r="D1591" i="1"/>
  <c r="D1595" i="1"/>
  <c r="E1595" i="1" s="1"/>
  <c r="D1596" i="1"/>
  <c r="E1596" i="1" s="1"/>
  <c r="D1597" i="1"/>
  <c r="E1597" i="1" s="1"/>
  <c r="D1598" i="1"/>
  <c r="D1602" i="1"/>
  <c r="E1602" i="1" s="1"/>
  <c r="D1603" i="1"/>
  <c r="E1603" i="1" s="1"/>
  <c r="B1604" i="1"/>
  <c r="D1604" i="1"/>
  <c r="D1608" i="1"/>
  <c r="E1608" i="1" s="1"/>
  <c r="D1609" i="1"/>
  <c r="E1609" i="1" s="1"/>
  <c r="D1610" i="1"/>
  <c r="E1610" i="1" s="1"/>
  <c r="D1611" i="1"/>
  <c r="E1611" i="1" s="1"/>
  <c r="D1615" i="1"/>
  <c r="E1615" i="1" s="1"/>
  <c r="D1616" i="1"/>
  <c r="E1616" i="1" s="1"/>
  <c r="B1617" i="1"/>
  <c r="D1617" i="1"/>
  <c r="D1621" i="1"/>
  <c r="E1621" i="1" s="1"/>
  <c r="D1622" i="1"/>
  <c r="E1622" i="1" s="1"/>
  <c r="D1623" i="1"/>
  <c r="E1623" i="1" s="1"/>
  <c r="D1637" i="1"/>
  <c r="D1638" i="1"/>
  <c r="B1639" i="1"/>
  <c r="D1639" i="1"/>
  <c r="D1653" i="1" s="1"/>
  <c r="D1643" i="1"/>
  <c r="D1644" i="1"/>
  <c r="D1645" i="1"/>
  <c r="D1665" i="1"/>
  <c r="E1665" i="1" s="1"/>
  <c r="D1666" i="1"/>
  <c r="E1666" i="1" s="1"/>
  <c r="B1667" i="1"/>
  <c r="D1667" i="1"/>
  <c r="D1671" i="1"/>
  <c r="E1671" i="1" s="1"/>
  <c r="D1672" i="1"/>
  <c r="D1673" i="1"/>
  <c r="D1692" i="1"/>
  <c r="E1692" i="1" s="1"/>
  <c r="D1693" i="1"/>
  <c r="E1693" i="1" s="1"/>
  <c r="B1694" i="1"/>
  <c r="D1694" i="1"/>
  <c r="D1698" i="1"/>
  <c r="E1698" i="1" s="1"/>
  <c r="D1699" i="1"/>
  <c r="E1699" i="1" s="1"/>
  <c r="D1700" i="1"/>
  <c r="E1700" i="1" s="1"/>
  <c r="D1705" i="1"/>
  <c r="D1706" i="1"/>
  <c r="B1707" i="1"/>
  <c r="D1707" i="1"/>
  <c r="D1721" i="1" s="1"/>
  <c r="E1721" i="1" s="1"/>
  <c r="D1732" i="1"/>
  <c r="E1732" i="1" s="1"/>
  <c r="D1733" i="1"/>
  <c r="E1733" i="1" s="1"/>
  <c r="B1734" i="1"/>
  <c r="D1734" i="1"/>
  <c r="D1738" i="1"/>
  <c r="E1738" i="1" s="1"/>
  <c r="D1739" i="1"/>
  <c r="E1739" i="1" s="1"/>
  <c r="D1740" i="1"/>
  <c r="E1740" i="1" s="1"/>
  <c r="D1745" i="1"/>
  <c r="E1745" i="1" s="1"/>
  <c r="D1746" i="1"/>
  <c r="E1746" i="1" s="1"/>
  <c r="B1747" i="1"/>
  <c r="D1747" i="1"/>
  <c r="D1751" i="1"/>
  <c r="E1751" i="1" s="1"/>
  <c r="D1752" i="1"/>
  <c r="E1752" i="1" s="1"/>
  <c r="D1753" i="1"/>
  <c r="E1753" i="1" s="1"/>
  <c r="D1758" i="1"/>
  <c r="E1758" i="1" s="1"/>
  <c r="D1759" i="1"/>
  <c r="E1759" i="1" s="1"/>
  <c r="B1760" i="1"/>
  <c r="D1760" i="1"/>
  <c r="D1764" i="1"/>
  <c r="E1764" i="1" s="1"/>
  <c r="D1765" i="1"/>
  <c r="E1765" i="1" s="1"/>
  <c r="D1766" i="1"/>
  <c r="E1766" i="1" s="1"/>
  <c r="D1798" i="1"/>
  <c r="D1799" i="1"/>
  <c r="B1800" i="1"/>
  <c r="D1800" i="1"/>
  <c r="D1814" i="1" s="1"/>
  <c r="E1814" i="1" s="1"/>
  <c r="D1804" i="1"/>
  <c r="D1805" i="1"/>
  <c r="D1806" i="1"/>
  <c r="D1825" i="1"/>
  <c r="E1825" i="1" s="1"/>
  <c r="D1826" i="1"/>
  <c r="E1826" i="1" s="1"/>
  <c r="B1827" i="1"/>
  <c r="D1827" i="1"/>
  <c r="D1831" i="1"/>
  <c r="E1831" i="1" s="1"/>
  <c r="D1832" i="1"/>
  <c r="E1832" i="1" s="1"/>
  <c r="D1833" i="1"/>
  <c r="E1833" i="1" s="1"/>
  <c r="D1838" i="1"/>
  <c r="E1838" i="1" s="1"/>
  <c r="D1839" i="1"/>
  <c r="E1839" i="1" s="1"/>
  <c r="B1840" i="1"/>
  <c r="D1840" i="1"/>
  <c r="E1844" i="1"/>
  <c r="E1845" i="1"/>
  <c r="E1846" i="1"/>
  <c r="E1847" i="1"/>
  <c r="D1857" i="1"/>
  <c r="D1881" i="1" s="1"/>
  <c r="D1894" i="1" s="1"/>
  <c r="D1851" i="1"/>
  <c r="E1851" i="1" s="1"/>
  <c r="D1852" i="1"/>
  <c r="E1852" i="1" s="1"/>
  <c r="D1854" i="1"/>
  <c r="E1854" i="1" s="1"/>
  <c r="D1855" i="1"/>
  <c r="E1855" i="1" s="1"/>
  <c r="E1856" i="1"/>
  <c r="D1871" i="1"/>
  <c r="E1871" i="1" s="1"/>
  <c r="D1872" i="1"/>
  <c r="E1872" i="1" s="1"/>
  <c r="B1873" i="1"/>
  <c r="D1873" i="1"/>
  <c r="D1877" i="1"/>
  <c r="E1877" i="1" s="1"/>
  <c r="D1878" i="1"/>
  <c r="E1878" i="1" s="1"/>
  <c r="D1879" i="1"/>
  <c r="E1879" i="1" s="1"/>
  <c r="D1880" i="1"/>
  <c r="D1906" i="1" s="1"/>
  <c r="D1947" i="1" s="1"/>
  <c r="E1947" i="1" s="1"/>
  <c r="D1884" i="1"/>
  <c r="E1884" i="1" s="1"/>
  <c r="D1885" i="1"/>
  <c r="E1885" i="1" s="1"/>
  <c r="B1886" i="1"/>
  <c r="D1886" i="1"/>
  <c r="D1890" i="1"/>
  <c r="E1890" i="1" s="1"/>
  <c r="D1891" i="1"/>
  <c r="E1891" i="1" s="1"/>
  <c r="D1892" i="1"/>
  <c r="E1892" i="1" s="1"/>
  <c r="D1893" i="1"/>
  <c r="E1893" i="1" s="1"/>
  <c r="D1897" i="1"/>
  <c r="E1897" i="1" s="1"/>
  <c r="D1898" i="1"/>
  <c r="E1898" i="1" s="1"/>
  <c r="B1899" i="1"/>
  <c r="D1899" i="1"/>
  <c r="D1903" i="1"/>
  <c r="E1903" i="1" s="1"/>
  <c r="D1904" i="1"/>
  <c r="E1904" i="1" s="1"/>
  <c r="D1905" i="1"/>
  <c r="E1905" i="1" s="1"/>
  <c r="D1912" i="1"/>
  <c r="E1912" i="1" s="1"/>
  <c r="D1913" i="1"/>
  <c r="E1913" i="1" s="1"/>
  <c r="B1914" i="1"/>
  <c r="D1914" i="1"/>
  <c r="D1918" i="1"/>
  <c r="E1918" i="1" s="1"/>
  <c r="D1919" i="1"/>
  <c r="E1919" i="1" s="1"/>
  <c r="D1920" i="1"/>
  <c r="E1920" i="1" s="1"/>
  <c r="D1925" i="1"/>
  <c r="E1925" i="1" s="1"/>
  <c r="D1926" i="1"/>
  <c r="E1926" i="1" s="1"/>
  <c r="B1927" i="1"/>
  <c r="D1927" i="1"/>
  <c r="D1931" i="1"/>
  <c r="E1931" i="1" s="1"/>
  <c r="D1932" i="1"/>
  <c r="E1932" i="1" s="1"/>
  <c r="D1933" i="1"/>
  <c r="E1933" i="1" s="1"/>
  <c r="D1938" i="1"/>
  <c r="E1938" i="1" s="1"/>
  <c r="D1939" i="1"/>
  <c r="E1939" i="1" s="1"/>
  <c r="B1940" i="1"/>
  <c r="D1940" i="1"/>
  <c r="D1944" i="1"/>
  <c r="E1944" i="1" s="1"/>
  <c r="D1945" i="1"/>
  <c r="E1945" i="1" s="1"/>
  <c r="D1946" i="1"/>
  <c r="E1946" i="1" s="1"/>
  <c r="D1980" i="1"/>
  <c r="D1981" i="1"/>
  <c r="B1982" i="1"/>
  <c r="D1982" i="1"/>
  <c r="D1954" i="1" s="1"/>
  <c r="D1986" i="1"/>
  <c r="D1987" i="1"/>
  <c r="D1988" i="1"/>
  <c r="D1989" i="1"/>
  <c r="D1992" i="1"/>
  <c r="E1992" i="1" s="1"/>
  <c r="D1993" i="1"/>
  <c r="B1994" i="1"/>
  <c r="D1994" i="1"/>
  <c r="D1998" i="1"/>
  <c r="D1999" i="1"/>
  <c r="D2000" i="1"/>
  <c r="D2001" i="1"/>
  <c r="D2005" i="1"/>
  <c r="E2005" i="1" s="1"/>
  <c r="D2006" i="1"/>
  <c r="E2006" i="1" s="1"/>
  <c r="B2007" i="1"/>
  <c r="D2007" i="1"/>
  <c r="D2011" i="1"/>
  <c r="E2011" i="1" s="1"/>
  <c r="D2012" i="1"/>
  <c r="E2012" i="1" s="1"/>
  <c r="D2013" i="1"/>
  <c r="E2013" i="1" s="1"/>
  <c r="D2018" i="1"/>
  <c r="E2018" i="1" s="1"/>
  <c r="D2019" i="1"/>
  <c r="E2019" i="1" s="1"/>
  <c r="B2020" i="1"/>
  <c r="D2020" i="1"/>
  <c r="D2024" i="1"/>
  <c r="E2024" i="1" s="1"/>
  <c r="D2025" i="1"/>
  <c r="E2025" i="1" s="1"/>
  <c r="D2026" i="1"/>
  <c r="E2026" i="1" s="1"/>
  <c r="D2031" i="1"/>
  <c r="E2031" i="1" s="1"/>
  <c r="D2032" i="1"/>
  <c r="E2032" i="1" s="1"/>
  <c r="B2033" i="1"/>
  <c r="D2033" i="1"/>
  <c r="D2037" i="1"/>
  <c r="E2037" i="1" s="1"/>
  <c r="D2038" i="1"/>
  <c r="E2038" i="1" s="1"/>
  <c r="D2039" i="1"/>
  <c r="E2039" i="1" s="1"/>
  <c r="D2044" i="1"/>
  <c r="E2044" i="1" s="1"/>
  <c r="D2045" i="1"/>
  <c r="E2045" i="1" s="1"/>
  <c r="B2046" i="1"/>
  <c r="D2046" i="1"/>
  <c r="D2050" i="1"/>
  <c r="E2050" i="1" s="1"/>
  <c r="D2051" i="1"/>
  <c r="E2051" i="1" s="1"/>
  <c r="D2052" i="1"/>
  <c r="E2052" i="1" s="1"/>
  <c r="D2058" i="1"/>
  <c r="E2058" i="1" s="1"/>
  <c r="D2059" i="1"/>
  <c r="E2059" i="1" s="1"/>
  <c r="B2060" i="1"/>
  <c r="D2060" i="1"/>
  <c r="E2064" i="1"/>
  <c r="E2065" i="1"/>
  <c r="E2066" i="1"/>
  <c r="E2067" i="1"/>
  <c r="D2128" i="1"/>
  <c r="E2128" i="1" s="1"/>
  <c r="D2129" i="1"/>
  <c r="E2129" i="1" s="1"/>
  <c r="D2131" i="1"/>
  <c r="E2131" i="1" s="1"/>
  <c r="D2132" i="1"/>
  <c r="E2132" i="1" s="1"/>
  <c r="D2133" i="1"/>
  <c r="E2133" i="1" s="1"/>
  <c r="D2139" i="1"/>
  <c r="E2139" i="1" s="1"/>
  <c r="D2140" i="1"/>
  <c r="E2140" i="1" s="1"/>
  <c r="B2141" i="1"/>
  <c r="D2141" i="1"/>
  <c r="D2145" i="1"/>
  <c r="E2145" i="1" s="1"/>
  <c r="D2146" i="1"/>
  <c r="E2146" i="1" s="1"/>
  <c r="D2147" i="1"/>
  <c r="E2147" i="1" s="1"/>
  <c r="D2148" i="1"/>
  <c r="E2148" i="1" s="1"/>
  <c r="D2152" i="1"/>
  <c r="E2152" i="1" s="1"/>
  <c r="D2153" i="1"/>
  <c r="E2153" i="1" s="1"/>
  <c r="B2154" i="1"/>
  <c r="D2154" i="1"/>
  <c r="D2158" i="1"/>
  <c r="E2158" i="1" s="1"/>
  <c r="D2159" i="1"/>
  <c r="E2159" i="1" s="1"/>
  <c r="D2160" i="1"/>
  <c r="E2160" i="1" s="1"/>
  <c r="D2161" i="1"/>
  <c r="E2161" i="1" s="1"/>
  <c r="D2165" i="1"/>
  <c r="E2165" i="1" s="1"/>
  <c r="D2166" i="1"/>
  <c r="E2166" i="1" s="1"/>
  <c r="B2167" i="1"/>
  <c r="D2167" i="1"/>
  <c r="D2171" i="1"/>
  <c r="E2171" i="1" s="1"/>
  <c r="D2172" i="1"/>
  <c r="E2172" i="1" s="1"/>
  <c r="D2173" i="1"/>
  <c r="E2173" i="1" s="1"/>
  <c r="D2178" i="1"/>
  <c r="E2178" i="1" s="1"/>
  <c r="D2179" i="1"/>
  <c r="E2179" i="1" s="1"/>
  <c r="B2180" i="1"/>
  <c r="D2180" i="1"/>
  <c r="D2184" i="1"/>
  <c r="E2184" i="1" s="1"/>
  <c r="D2185" i="1"/>
  <c r="E2185" i="1" s="1"/>
  <c r="D2186" i="1"/>
  <c r="E2186" i="1" s="1"/>
  <c r="D2191" i="1"/>
  <c r="E2191" i="1" s="1"/>
  <c r="D2192" i="1"/>
  <c r="E2192" i="1" s="1"/>
  <c r="B2193" i="1"/>
  <c r="D2193" i="1"/>
  <c r="D2197" i="1"/>
  <c r="E2197" i="1" s="1"/>
  <c r="D2198" i="1"/>
  <c r="E2198" i="1" s="1"/>
  <c r="D2199" i="1"/>
  <c r="E2199" i="1" s="1"/>
  <c r="D2204" i="1"/>
  <c r="E2204" i="1" s="1"/>
  <c r="D2205" i="1"/>
  <c r="E2205" i="1" s="1"/>
  <c r="B2206" i="1"/>
  <c r="D2206" i="1"/>
  <c r="D2210" i="1"/>
  <c r="E2210" i="1" s="1"/>
  <c r="D2211" i="1"/>
  <c r="E2211" i="1" s="1"/>
  <c r="D2212" i="1"/>
  <c r="E2212" i="1" s="1"/>
  <c r="D2217" i="1"/>
  <c r="D2218" i="1"/>
  <c r="B2219" i="1"/>
  <c r="D2219" i="1"/>
  <c r="D2232" i="1" s="1"/>
  <c r="D2245" i="1" s="1"/>
  <c r="E2245" i="1" s="1"/>
  <c r="D2223" i="1"/>
  <c r="D2224" i="1"/>
  <c r="D2225" i="1"/>
  <c r="D2226" i="1"/>
  <c r="D2257" i="1"/>
  <c r="E2257" i="1" s="1"/>
  <c r="D2258" i="1"/>
  <c r="E2258" i="1" s="1"/>
  <c r="B2259" i="1"/>
  <c r="D2259" i="1"/>
  <c r="D2263" i="1"/>
  <c r="E2263" i="1" s="1"/>
  <c r="D2264" i="1"/>
  <c r="E2264" i="1" s="1"/>
  <c r="D2265" i="1"/>
  <c r="E2265" i="1" s="1"/>
  <c r="D2266" i="1"/>
  <c r="E2266" i="1" s="1"/>
  <c r="D2270" i="1"/>
  <c r="E2270" i="1" s="1"/>
  <c r="D2271" i="1"/>
  <c r="E2271" i="1" s="1"/>
  <c r="B2272" i="1"/>
  <c r="D2272" i="1"/>
  <c r="D2276" i="1"/>
  <c r="E2276" i="1" s="1"/>
  <c r="D2277" i="1"/>
  <c r="E2277" i="1" s="1"/>
  <c r="D2278" i="1"/>
  <c r="E2278" i="1" s="1"/>
  <c r="D2282" i="1"/>
  <c r="E2282" i="1" s="1"/>
  <c r="D2283" i="1"/>
  <c r="E2283" i="1" s="1"/>
  <c r="B2284" i="1"/>
  <c r="D2284" i="1"/>
  <c r="D2288" i="1"/>
  <c r="E2288" i="1" s="1"/>
  <c r="D2289" i="1"/>
  <c r="E2289" i="1" s="1"/>
  <c r="D2290" i="1"/>
  <c r="E2290" i="1" s="1"/>
  <c r="D2295" i="1"/>
  <c r="E2295" i="1" s="1"/>
  <c r="D2296" i="1"/>
  <c r="E2296" i="1" s="1"/>
  <c r="B2297" i="1"/>
  <c r="D2297" i="1"/>
  <c r="D2301" i="1"/>
  <c r="E2301" i="1" s="1"/>
  <c r="D2302" i="1"/>
  <c r="E2302" i="1" s="1"/>
  <c r="D2303" i="1"/>
  <c r="E2303" i="1" s="1"/>
  <c r="D2308" i="1"/>
  <c r="E2308" i="1" s="1"/>
  <c r="D2309" i="1"/>
  <c r="E2309" i="1" s="1"/>
  <c r="B2310" i="1"/>
  <c r="D2310" i="1"/>
  <c r="D2314" i="1"/>
  <c r="E2314" i="1" s="1"/>
  <c r="D2315" i="1"/>
  <c r="E2315" i="1" s="1"/>
  <c r="D2316" i="1"/>
  <c r="E2316" i="1" s="1"/>
  <c r="E2322" i="1"/>
  <c r="D2323" i="1"/>
  <c r="E2323" i="1" s="1"/>
  <c r="B2324" i="1"/>
  <c r="D2324" i="1"/>
  <c r="E2328" i="1"/>
  <c r="E2329" i="1"/>
  <c r="E2330" i="1"/>
  <c r="E2331" i="1"/>
  <c r="D2395" i="1"/>
  <c r="E2395" i="1" s="1"/>
  <c r="D2396" i="1"/>
  <c r="E2396" i="1" s="1"/>
  <c r="D2398" i="1"/>
  <c r="E2398" i="1" s="1"/>
  <c r="D2399" i="1"/>
  <c r="E2399" i="1" s="1"/>
  <c r="D2400" i="1"/>
  <c r="E2400" i="1" s="1"/>
  <c r="D2406" i="1"/>
  <c r="E2406" i="1" s="1"/>
  <c r="D2407" i="1"/>
  <c r="E2407" i="1" s="1"/>
  <c r="B2408" i="1"/>
  <c r="D2408" i="1"/>
  <c r="D2412" i="1"/>
  <c r="E2412" i="1" s="1"/>
  <c r="D2413" i="1"/>
  <c r="E2413" i="1" s="1"/>
  <c r="D2414" i="1"/>
  <c r="E2414" i="1" s="1"/>
  <c r="D2415" i="1"/>
  <c r="E2415" i="1" s="1"/>
  <c r="D2419" i="1"/>
  <c r="E2419" i="1" s="1"/>
  <c r="D2420" i="1"/>
  <c r="E2420" i="1" s="1"/>
  <c r="B2421" i="1"/>
  <c r="D2421" i="1"/>
  <c r="D2425" i="1"/>
  <c r="E2425" i="1" s="1"/>
  <c r="D2426" i="1"/>
  <c r="E2426" i="1" s="1"/>
  <c r="D2427" i="1"/>
  <c r="E2427" i="1" s="1"/>
  <c r="D2428" i="1"/>
  <c r="E2428" i="1" s="1"/>
  <c r="D2432" i="1"/>
  <c r="E2432" i="1" s="1"/>
  <c r="D2433" i="1"/>
  <c r="E2433" i="1" s="1"/>
  <c r="B2434" i="1"/>
  <c r="D2434" i="1"/>
  <c r="D2438" i="1"/>
  <c r="E2438" i="1" s="1"/>
  <c r="D2439" i="1"/>
  <c r="E2439" i="1" s="1"/>
  <c r="D2440" i="1"/>
  <c r="E2440" i="1" s="1"/>
  <c r="D2445" i="1"/>
  <c r="E2445" i="1" s="1"/>
  <c r="D2446" i="1"/>
  <c r="E2446" i="1" s="1"/>
  <c r="B2447" i="1"/>
  <c r="D2447" i="1"/>
  <c r="D2451" i="1"/>
  <c r="E2451" i="1" s="1"/>
  <c r="D2452" i="1"/>
  <c r="E2452" i="1" s="1"/>
  <c r="D2453" i="1"/>
  <c r="E2453" i="1" s="1"/>
  <c r="D2458" i="1"/>
  <c r="E2458" i="1" s="1"/>
  <c r="D2459" i="1"/>
  <c r="E2459" i="1" s="1"/>
  <c r="B2460" i="1"/>
  <c r="D2460" i="1"/>
  <c r="D2464" i="1"/>
  <c r="E2464" i="1" s="1"/>
  <c r="D2465" i="1"/>
  <c r="E2465" i="1" s="1"/>
  <c r="D2466" i="1"/>
  <c r="E2466" i="1" s="1"/>
  <c r="D2471" i="1"/>
  <c r="E2471" i="1" s="1"/>
  <c r="D2472" i="1"/>
  <c r="E2472" i="1" s="1"/>
  <c r="B2473" i="1"/>
  <c r="D2473" i="1"/>
  <c r="D2477" i="1"/>
  <c r="E2477" i="1" s="1"/>
  <c r="D2478" i="1"/>
  <c r="E2478" i="1" s="1"/>
  <c r="D2479" i="1"/>
  <c r="E2479" i="1" s="1"/>
  <c r="D2484" i="1"/>
  <c r="E2484" i="1" s="1"/>
  <c r="D2485" i="1"/>
  <c r="E2485" i="1" s="1"/>
  <c r="B2486" i="1"/>
  <c r="D2486" i="1"/>
  <c r="D2490" i="1"/>
  <c r="E2490" i="1" s="1"/>
  <c r="D2491" i="1"/>
  <c r="E2491" i="1" s="1"/>
  <c r="D2492" i="1"/>
  <c r="E2492" i="1" s="1"/>
  <c r="D2493" i="1"/>
  <c r="E2493" i="1" s="1"/>
  <c r="D2496" i="1"/>
  <c r="E2496" i="1" s="1"/>
  <c r="D2497" i="1"/>
  <c r="E2497" i="1" s="1"/>
  <c r="B2498" i="1"/>
  <c r="D2498" i="1"/>
  <c r="D2502" i="1"/>
  <c r="E2502" i="1" s="1"/>
  <c r="D2503" i="1"/>
  <c r="E2503" i="1" s="1"/>
  <c r="D2504" i="1"/>
  <c r="E2504" i="1" s="1"/>
  <c r="D2505" i="1"/>
  <c r="D2518" i="1" s="1"/>
  <c r="E2518" i="1" s="1"/>
  <c r="D2509" i="1"/>
  <c r="E2509" i="1" s="1"/>
  <c r="D2510" i="1"/>
  <c r="E2510" i="1" s="1"/>
  <c r="B2511" i="1"/>
  <c r="D2511" i="1"/>
  <c r="D2515" i="1"/>
  <c r="E2515" i="1" s="1"/>
  <c r="D2516" i="1"/>
  <c r="E2516" i="1" s="1"/>
  <c r="D2517" i="1"/>
  <c r="E2517" i="1" s="1"/>
  <c r="D2522" i="1"/>
  <c r="E2522" i="1" s="1"/>
  <c r="D2523" i="1"/>
  <c r="E2523" i="1" s="1"/>
  <c r="B2524" i="1"/>
  <c r="D2524" i="1"/>
  <c r="D2528" i="1"/>
  <c r="E2528" i="1" s="1"/>
  <c r="D2529" i="1"/>
  <c r="E2529" i="1" s="1"/>
  <c r="D2535" i="1"/>
  <c r="E2535" i="1" s="1"/>
  <c r="D2536" i="1"/>
  <c r="E2536" i="1" s="1"/>
  <c r="B2537" i="1"/>
  <c r="D2537" i="1"/>
  <c r="D2541" i="1"/>
  <c r="E2541" i="1" s="1"/>
  <c r="D2542" i="1"/>
  <c r="E2542" i="1" s="1"/>
  <c r="D2543" i="1"/>
  <c r="E2543" i="1" s="1"/>
  <c r="D2548" i="1"/>
  <c r="E2548" i="1" s="1"/>
  <c r="D2549" i="1"/>
  <c r="E2549" i="1" s="1"/>
  <c r="B2550" i="1"/>
  <c r="D2550" i="1"/>
  <c r="D2554" i="1"/>
  <c r="E2554" i="1" s="1"/>
  <c r="D2555" i="1"/>
  <c r="E2555" i="1" s="1"/>
  <c r="D2556" i="1"/>
  <c r="E2556" i="1" s="1"/>
  <c r="D2561" i="1"/>
  <c r="E2561" i="1" s="1"/>
  <c r="D2562" i="1"/>
  <c r="E2562" i="1" s="1"/>
  <c r="B2563" i="1"/>
  <c r="D2563" i="1"/>
  <c r="D2567" i="1"/>
  <c r="E2567" i="1" s="1"/>
  <c r="D2568" i="1"/>
  <c r="E2568" i="1" s="1"/>
  <c r="D2569" i="1"/>
  <c r="E2569" i="1" s="1"/>
  <c r="D2570" i="1"/>
  <c r="E2570" i="1" s="1"/>
  <c r="D2574" i="1"/>
  <c r="E2574" i="1" s="1"/>
  <c r="D2575" i="1"/>
  <c r="E2575" i="1" s="1"/>
  <c r="D2577" i="1"/>
  <c r="E2577" i="1" s="1"/>
  <c r="D2578" i="1"/>
  <c r="E2578" i="1" s="1"/>
  <c r="D2579" i="1"/>
  <c r="E2579" i="1" s="1"/>
  <c r="D2585" i="1"/>
  <c r="E2585" i="1" s="1"/>
  <c r="D2586" i="1"/>
  <c r="E2586" i="1" s="1"/>
  <c r="B2587" i="1"/>
  <c r="D2587" i="1"/>
  <c r="D2591" i="1"/>
  <c r="E2591" i="1" s="1"/>
  <c r="D2592" i="1"/>
  <c r="E2592" i="1" s="1"/>
  <c r="D2593" i="1"/>
  <c r="E2593" i="1" s="1"/>
  <c r="D2594" i="1"/>
  <c r="E2594" i="1" s="1"/>
  <c r="D2598" i="1"/>
  <c r="E2598" i="1" s="1"/>
  <c r="D2599" i="1"/>
  <c r="E2599" i="1" s="1"/>
  <c r="B2600" i="1"/>
  <c r="D2600" i="1"/>
  <c r="D2604" i="1"/>
  <c r="E2604" i="1" s="1"/>
  <c r="D2605" i="1"/>
  <c r="E2605" i="1" s="1"/>
  <c r="D2606" i="1"/>
  <c r="E2606" i="1" s="1"/>
  <c r="D2607" i="1"/>
  <c r="E2607" i="1" s="1"/>
  <c r="D2611" i="1"/>
  <c r="E2611" i="1" s="1"/>
  <c r="D2612" i="1"/>
  <c r="E2612" i="1" s="1"/>
  <c r="B2613" i="1"/>
  <c r="D2613" i="1"/>
  <c r="D2617" i="1"/>
  <c r="E2617" i="1" s="1"/>
  <c r="D2618" i="1"/>
  <c r="E2618" i="1" s="1"/>
  <c r="D2619" i="1"/>
  <c r="E2619" i="1" s="1"/>
  <c r="D2624" i="1"/>
  <c r="E2624" i="1" s="1"/>
  <c r="D2625" i="1"/>
  <c r="E2625" i="1" s="1"/>
  <c r="B2626" i="1"/>
  <c r="D2626" i="1"/>
  <c r="D2630" i="1"/>
  <c r="E2630" i="1" s="1"/>
  <c r="D2631" i="1"/>
  <c r="E2631" i="1" s="1"/>
  <c r="D2632" i="1"/>
  <c r="E2632" i="1" s="1"/>
  <c r="D2637" i="1"/>
  <c r="E2637" i="1" s="1"/>
  <c r="D2638" i="1"/>
  <c r="E2638" i="1" s="1"/>
  <c r="B2639" i="1"/>
  <c r="D2639" i="1"/>
  <c r="D2643" i="1"/>
  <c r="E2643" i="1" s="1"/>
  <c r="D2644" i="1"/>
  <c r="E2644" i="1" s="1"/>
  <c r="D2645" i="1"/>
  <c r="E2645" i="1" s="1"/>
  <c r="D2649" i="1"/>
  <c r="E2649" i="1" s="1"/>
  <c r="D2650" i="1"/>
  <c r="E2650" i="1" s="1"/>
  <c r="B2651" i="1"/>
  <c r="D2651" i="1"/>
  <c r="D2655" i="1"/>
  <c r="E2655" i="1" s="1"/>
  <c r="D2656" i="1"/>
  <c r="E2656" i="1" s="1"/>
  <c r="D2657" i="1"/>
  <c r="E2657" i="1" s="1"/>
  <c r="D2658" i="1"/>
  <c r="E2658" i="1" s="1"/>
  <c r="D2662" i="1"/>
  <c r="E2662" i="1" s="1"/>
  <c r="D2663" i="1"/>
  <c r="E2663" i="1" s="1"/>
  <c r="B2664" i="1"/>
  <c r="D2664" i="1"/>
  <c r="D2668" i="1"/>
  <c r="E2668" i="1" s="1"/>
  <c r="D2669" i="1"/>
  <c r="E2669" i="1" s="1"/>
  <c r="D2670" i="1"/>
  <c r="E2670" i="1" s="1"/>
  <c r="D2671" i="1"/>
  <c r="D2675" i="1"/>
  <c r="E2675" i="1" s="1"/>
  <c r="D2676" i="1"/>
  <c r="E2676" i="1" s="1"/>
  <c r="B2677" i="1"/>
  <c r="D2677" i="1"/>
  <c r="D2681" i="1"/>
  <c r="E2681" i="1" s="1"/>
  <c r="D2682" i="1"/>
  <c r="E2682" i="1" s="1"/>
  <c r="D2683" i="1"/>
  <c r="E2683" i="1" s="1"/>
  <c r="D2688" i="1"/>
  <c r="E2688" i="1" s="1"/>
  <c r="D2689" i="1"/>
  <c r="E2689" i="1" s="1"/>
  <c r="B2690" i="1"/>
  <c r="D2690" i="1"/>
  <c r="D2694" i="1"/>
  <c r="E2694" i="1" s="1"/>
  <c r="D2695" i="1"/>
  <c r="E2695" i="1" s="1"/>
  <c r="D2696" i="1"/>
  <c r="E2696" i="1" s="1"/>
  <c r="D2700" i="1"/>
  <c r="E2700" i="1" s="1"/>
  <c r="D2701" i="1"/>
  <c r="E2701" i="1" s="1"/>
  <c r="B2702" i="1"/>
  <c r="D2702" i="1"/>
  <c r="D2706" i="1"/>
  <c r="E2706" i="1" s="1"/>
  <c r="D2707" i="1"/>
  <c r="E2707" i="1" s="1"/>
  <c r="D2708" i="1"/>
  <c r="E2708" i="1" s="1"/>
  <c r="D2713" i="1"/>
  <c r="E2713" i="1" s="1"/>
  <c r="D2714" i="1"/>
  <c r="E2714" i="1" s="1"/>
  <c r="B2715" i="1"/>
  <c r="D2715" i="1"/>
  <c r="D2719" i="1"/>
  <c r="E2719" i="1" s="1"/>
  <c r="D2720" i="1"/>
  <c r="E2720" i="1" s="1"/>
  <c r="D2721" i="1"/>
  <c r="E2721" i="1" s="1"/>
  <c r="D2725" i="1"/>
  <c r="E2725" i="1" s="1"/>
  <c r="D2726" i="1"/>
  <c r="E2726" i="1" s="1"/>
  <c r="B2727" i="1"/>
  <c r="D2727" i="1"/>
  <c r="D2731" i="1"/>
  <c r="E2731" i="1" s="1"/>
  <c r="D2732" i="1"/>
  <c r="E2732" i="1" s="1"/>
  <c r="D2733" i="1"/>
  <c r="E2733" i="1" s="1"/>
  <c r="D2734" i="1"/>
  <c r="E2734" i="1" s="1"/>
  <c r="D2738" i="1"/>
  <c r="E2738" i="1" s="1"/>
  <c r="D2739" i="1"/>
  <c r="E2739" i="1" s="1"/>
  <c r="D2741" i="1"/>
  <c r="E2741" i="1" s="1"/>
  <c r="D2742" i="1"/>
  <c r="E2742" i="1" s="1"/>
  <c r="D2743" i="1"/>
  <c r="E2743" i="1" s="1"/>
  <c r="D2755" i="1"/>
  <c r="D2762" i="1" s="1"/>
  <c r="D2769" i="1" s="1"/>
  <c r="E2769" i="1" s="1"/>
  <c r="E2757" i="1"/>
  <c r="E2764" i="1"/>
  <c r="E2771" i="1"/>
  <c r="E2777" i="1"/>
  <c r="D2781" i="1"/>
  <c r="E2781" i="1" s="1"/>
  <c r="E2785" i="1"/>
  <c r="D2792" i="1"/>
  <c r="E2792" i="1" s="1"/>
  <c r="D2793" i="1"/>
  <c r="D2799" i="1"/>
  <c r="E2799" i="1" s="1"/>
  <c r="D2800" i="1"/>
  <c r="D2803" i="1"/>
  <c r="E2803" i="1" s="1"/>
  <c r="D2804" i="1"/>
  <c r="E2804" i="1" s="1"/>
  <c r="D2807" i="1"/>
  <c r="E2807" i="1" s="1"/>
  <c r="D2808" i="1"/>
  <c r="D2811" i="1"/>
  <c r="E2811" i="1" s="1"/>
  <c r="D2815" i="1"/>
  <c r="E2815" i="1" s="1"/>
  <c r="D2816" i="1"/>
  <c r="E2825" i="1"/>
  <c r="E2836" i="1"/>
  <c r="D2843" i="1"/>
  <c r="E2843" i="1" s="1"/>
  <c r="D2844" i="1"/>
  <c r="D2850" i="1"/>
  <c r="E2850" i="1" s="1"/>
  <c r="D2851" i="1"/>
  <c r="D2857" i="1"/>
  <c r="E2857" i="1" s="1"/>
  <c r="D2858" i="1"/>
  <c r="D2863" i="1"/>
  <c r="E2863" i="1" s="1"/>
  <c r="D2864" i="1"/>
  <c r="D2868" i="1"/>
  <c r="E2868" i="1" s="1"/>
  <c r="D2869" i="1"/>
  <c r="D2874" i="1"/>
  <c r="E2874" i="1" s="1"/>
  <c r="D2875" i="1"/>
  <c r="D2881" i="1"/>
  <c r="E2881" i="1" s="1"/>
  <c r="D2882" i="1"/>
  <c r="D2888" i="1"/>
  <c r="E2888" i="1" s="1"/>
  <c r="D2889" i="1"/>
  <c r="D2896" i="1" s="1"/>
  <c r="D2903" i="1" s="1"/>
  <c r="D2902" i="1"/>
  <c r="E2902" i="1" s="1"/>
  <c r="E2915" i="1"/>
  <c r="E2922" i="1"/>
  <c r="E2929" i="1"/>
  <c r="D2935" i="1"/>
  <c r="E2935" i="1" s="1"/>
  <c r="D2936" i="1"/>
  <c r="D2939" i="1"/>
  <c r="E2939" i="1" s="1"/>
  <c r="D2943" i="1"/>
  <c r="E2943" i="1" s="1"/>
  <c r="D2944" i="1"/>
  <c r="E2944" i="1" s="1"/>
  <c r="D2945" i="1"/>
  <c r="D2951" i="1"/>
  <c r="E2951" i="1" s="1"/>
  <c r="D2952" i="1"/>
  <c r="D2958" i="1"/>
  <c r="E2958" i="1" s="1"/>
  <c r="D2959" i="1"/>
  <c r="D2963" i="1"/>
  <c r="E2967" i="1"/>
  <c r="E2979" i="1"/>
  <c r="D2986" i="1"/>
  <c r="E2986" i="1" s="1"/>
  <c r="D2987" i="1"/>
  <c r="D2993" i="1"/>
  <c r="E2993" i="1" s="1"/>
  <c r="D2994" i="1"/>
  <c r="D3000" i="1"/>
  <c r="E3000" i="1" s="1"/>
  <c r="D3001" i="1"/>
  <c r="D3007" i="1"/>
  <c r="E3007" i="1" s="1"/>
  <c r="D3008" i="1"/>
  <c r="D3012" i="1"/>
  <c r="E3012" i="1" s="1"/>
  <c r="D3013" i="1"/>
  <c r="D3018" i="1"/>
  <c r="E3018" i="1" s="1"/>
  <c r="D3019" i="1"/>
  <c r="D3025" i="1"/>
  <c r="E3025" i="1" s="1"/>
  <c r="D3026" i="1"/>
  <c r="D3032" i="1"/>
  <c r="E3032" i="1" s="1"/>
  <c r="D3033" i="1"/>
  <c r="E3041" i="1"/>
  <c r="E3048" i="1"/>
  <c r="E3055" i="1"/>
  <c r="D3061" i="1"/>
  <c r="E3061" i="1" s="1"/>
  <c r="D3062" i="1"/>
  <c r="D3065" i="1"/>
  <c r="E3065" i="1" s="1"/>
  <c r="D3069" i="1"/>
  <c r="E3069" i="1" s="1"/>
  <c r="D3070" i="1"/>
  <c r="E3070" i="1" s="1"/>
  <c r="D3071" i="1"/>
  <c r="D3076" i="1"/>
  <c r="E3076" i="1" s="1"/>
  <c r="D3077" i="1"/>
  <c r="D3083" i="1"/>
  <c r="E3083" i="1" s="1"/>
  <c r="D3084" i="1"/>
  <c r="E3088" i="1"/>
  <c r="D3089" i="1"/>
  <c r="E3093" i="1"/>
  <c r="E3106" i="1"/>
  <c r="D3113" i="1"/>
  <c r="E3113" i="1" s="1"/>
  <c r="D3114" i="1"/>
  <c r="D3120" i="1"/>
  <c r="E3120" i="1" s="1"/>
  <c r="D3121" i="1"/>
  <c r="D3127" i="1"/>
  <c r="E3127" i="1" s="1"/>
  <c r="D3128" i="1"/>
  <c r="D3133" i="1"/>
  <c r="E3133" i="1" s="1"/>
  <c r="D3134" i="1"/>
  <c r="D3138" i="1"/>
  <c r="E3138" i="1" s="1"/>
  <c r="D3139" i="1"/>
  <c r="D3144" i="1"/>
  <c r="E3144" i="1" s="1"/>
  <c r="D3145" i="1"/>
  <c r="D3151" i="1"/>
  <c r="E3151" i="1" s="1"/>
  <c r="D3152" i="1"/>
  <c r="D3158" i="1"/>
  <c r="E3158" i="1" s="1"/>
  <c r="D3159" i="1"/>
  <c r="E3167" i="1"/>
  <c r="E3174" i="1"/>
  <c r="E3184" i="1"/>
  <c r="D3190" i="1"/>
  <c r="E3190" i="1" s="1"/>
  <c r="D3191" i="1"/>
  <c r="D3194" i="1"/>
  <c r="E3194" i="1" s="1"/>
  <c r="D3198" i="1"/>
  <c r="E3198" i="1" s="1"/>
  <c r="D3199" i="1"/>
  <c r="E3199" i="1" s="1"/>
  <c r="D3200" i="1"/>
  <c r="D3206" i="1"/>
  <c r="E3206" i="1" s="1"/>
  <c r="D3207" i="1"/>
  <c r="D3213" i="1"/>
  <c r="E3213" i="1" s="1"/>
  <c r="D3214" i="1"/>
  <c r="E3218" i="1"/>
  <c r="D3219" i="1"/>
  <c r="E3223" i="1"/>
  <c r="E3235" i="1"/>
  <c r="D3242" i="1"/>
  <c r="E3242" i="1" s="1"/>
  <c r="D3243" i="1"/>
  <c r="D3249" i="1"/>
  <c r="E3249" i="1" s="1"/>
  <c r="D3250" i="1"/>
  <c r="D3256" i="1"/>
  <c r="E3256" i="1" s="1"/>
  <c r="D3257" i="1"/>
  <c r="D3263" i="1"/>
  <c r="E3263" i="1" s="1"/>
  <c r="D3264" i="1"/>
  <c r="D3268" i="1"/>
  <c r="E3268" i="1" s="1"/>
  <c r="D3269" i="1"/>
  <c r="D3274" i="1"/>
  <c r="E3274" i="1" s="1"/>
  <c r="D3275" i="1"/>
  <c r="D3281" i="1"/>
  <c r="E3281" i="1" s="1"/>
  <c r="D3282" i="1"/>
  <c r="D3288" i="1"/>
  <c r="E3288" i="1" s="1"/>
  <c r="D3289" i="1"/>
  <c r="D3296" i="1"/>
  <c r="E3296" i="1" s="1"/>
  <c r="D3303" i="1"/>
  <c r="E3303" i="1" s="1"/>
  <c r="D3310" i="1"/>
  <c r="E3310" i="1" s="1"/>
  <c r="D3316" i="1"/>
  <c r="E3316" i="1" s="1"/>
  <c r="D3317" i="1"/>
  <c r="D3320" i="1"/>
  <c r="E3320" i="1" s="1"/>
  <c r="D3324" i="1"/>
  <c r="E3324" i="1" s="1"/>
  <c r="D3325" i="1"/>
  <c r="E3325" i="1" s="1"/>
  <c r="D3326" i="1"/>
  <c r="D3332" i="1"/>
  <c r="E3332" i="1" s="1"/>
  <c r="D3333" i="1"/>
  <c r="D3339" i="1"/>
  <c r="E3339" i="1" s="1"/>
  <c r="D3340" i="1"/>
  <c r="E3344" i="1"/>
  <c r="D3345" i="1"/>
  <c r="D3349" i="1"/>
  <c r="E3349" i="1" s="1"/>
  <c r="D3356" i="1"/>
  <c r="E3356" i="1" s="1"/>
  <c r="D3363" i="1"/>
  <c r="E3363" i="1" s="1"/>
  <c r="D3364" i="1"/>
  <c r="D3370" i="1"/>
  <c r="E3370" i="1" s="1"/>
  <c r="D3371" i="1"/>
  <c r="D3377" i="1"/>
  <c r="E3377" i="1" s="1"/>
  <c r="D3378" i="1"/>
  <c r="D3384" i="1"/>
  <c r="E3384" i="1" s="1"/>
  <c r="D3385" i="1"/>
  <c r="D3389" i="1"/>
  <c r="E3389" i="1" s="1"/>
  <c r="D3390" i="1"/>
  <c r="D3395" i="1"/>
  <c r="E3395" i="1" s="1"/>
  <c r="D3396" i="1"/>
  <c r="D3401" i="1"/>
  <c r="E3401" i="1" s="1"/>
  <c r="D3402" i="1"/>
  <c r="D3408" i="1"/>
  <c r="E3408" i="1" s="1"/>
  <c r="D3409" i="1"/>
  <c r="D3417" i="1"/>
  <c r="E3417" i="1" s="1"/>
  <c r="D3418" i="1"/>
  <c r="D3424" i="1"/>
  <c r="E3424" i="1" s="1"/>
  <c r="D3425" i="1"/>
  <c r="D3431" i="1"/>
  <c r="E3431" i="1" s="1"/>
  <c r="D3432" i="1"/>
  <c r="D3437" i="1"/>
  <c r="E3437" i="1" s="1"/>
  <c r="D3438" i="1"/>
  <c r="D3441" i="1"/>
  <c r="E3441" i="1" s="1"/>
  <c r="D3445" i="1"/>
  <c r="E3445" i="1" s="1"/>
  <c r="D3446" i="1"/>
  <c r="E3446" i="1" s="1"/>
  <c r="D3447" i="1"/>
  <c r="D3452" i="1"/>
  <c r="E3452" i="1" s="1"/>
  <c r="D3453" i="1"/>
  <c r="D3459" i="1"/>
  <c r="E3459" i="1" s="1"/>
  <c r="D3460" i="1"/>
  <c r="E3464" i="1"/>
  <c r="D3465" i="1"/>
  <c r="D3469" i="1"/>
  <c r="E3469" i="1" s="1"/>
  <c r="D3470" i="1"/>
  <c r="D3475" i="1"/>
  <c r="E3475" i="1" s="1"/>
  <c r="D3476" i="1"/>
  <c r="D3482" i="1"/>
  <c r="E3482" i="1" s="1"/>
  <c r="D3483" i="1"/>
  <c r="D3489" i="1"/>
  <c r="E3489" i="1" s="1"/>
  <c r="D3490" i="1"/>
  <c r="D3496" i="1"/>
  <c r="E3496" i="1" s="1"/>
  <c r="D3497" i="1"/>
  <c r="D3502" i="1"/>
  <c r="E3502" i="1" s="1"/>
  <c r="D3503" i="1"/>
  <c r="D3507" i="1"/>
  <c r="E3507" i="1" s="1"/>
  <c r="D3508" i="1"/>
  <c r="D3513" i="1"/>
  <c r="E3513" i="1" s="1"/>
  <c r="D3514" i="1"/>
  <c r="D3520" i="1"/>
  <c r="E3520" i="1" s="1"/>
  <c r="D3521" i="1"/>
  <c r="D3527" i="1"/>
  <c r="E3527" i="1" s="1"/>
  <c r="D3528" i="1"/>
  <c r="D3536" i="1"/>
  <c r="D3537" i="1"/>
  <c r="D3542" i="1"/>
  <c r="D3543" i="1"/>
  <c r="D3544" i="1"/>
  <c r="D3545" i="1"/>
  <c r="D3560" i="1"/>
  <c r="E3560" i="1" s="1"/>
  <c r="E3566" i="1"/>
  <c r="D3570" i="1"/>
  <c r="E3570" i="1" s="1"/>
  <c r="D3571" i="1"/>
  <c r="E3571" i="1" s="1"/>
  <c r="D3573" i="1"/>
  <c r="E3573" i="1" s="1"/>
  <c r="D3574" i="1"/>
  <c r="D3584" i="1" s="1"/>
  <c r="E3584" i="1" s="1"/>
  <c r="D3575" i="1"/>
  <c r="E3575" i="1" s="1"/>
  <c r="D3576" i="1"/>
  <c r="E3576" i="1" s="1"/>
  <c r="D3577" i="1"/>
  <c r="D3580" i="1"/>
  <c r="E3580" i="1" s="1"/>
  <c r="D3581" i="1"/>
  <c r="E3581" i="1" s="1"/>
  <c r="D3583" i="1"/>
  <c r="E3583" i="1" s="1"/>
  <c r="D3585" i="1"/>
  <c r="E3585" i="1" s="1"/>
  <c r="D3586" i="1"/>
  <c r="E3586" i="1" s="1"/>
  <c r="D3597" i="1"/>
  <c r="D3607" i="1" s="1"/>
  <c r="D3590" i="1"/>
  <c r="E3590" i="1" s="1"/>
  <c r="D3591" i="1"/>
  <c r="E3591" i="1" s="1"/>
  <c r="D3593" i="1"/>
  <c r="E3593" i="1" s="1"/>
  <c r="D3594" i="1"/>
  <c r="E3595" i="1"/>
  <c r="E3596" i="1"/>
  <c r="D3600" i="1"/>
  <c r="E3600" i="1" s="1"/>
  <c r="D3601" i="1"/>
  <c r="E3601" i="1" s="1"/>
  <c r="D3603" i="1"/>
  <c r="E3603" i="1" s="1"/>
  <c r="D3605" i="1"/>
  <c r="E3605" i="1" s="1"/>
  <c r="D3606" i="1"/>
  <c r="E3606" i="1" s="1"/>
  <c r="E3611" i="1"/>
  <c r="D3612" i="1"/>
  <c r="E3612" i="1" s="1"/>
  <c r="D3613" i="1"/>
  <c r="E3613" i="1" s="1"/>
  <c r="D3615" i="1"/>
  <c r="E3615" i="1" s="1"/>
  <c r="D3616" i="1"/>
  <c r="D3636" i="1" s="1"/>
  <c r="E3636" i="1" s="1"/>
  <c r="E3617" i="1"/>
  <c r="D3638" i="1"/>
  <c r="D3632" i="1"/>
  <c r="E3632" i="1" s="1"/>
  <c r="D3633" i="1"/>
  <c r="E3633" i="1" s="1"/>
  <c r="D3635" i="1"/>
  <c r="E3635" i="1" s="1"/>
  <c r="D3637" i="1"/>
  <c r="E3637" i="1" s="1"/>
  <c r="D3641" i="1"/>
  <c r="E3641" i="1" s="1"/>
  <c r="D3642" i="1"/>
  <c r="E3642" i="1" s="1"/>
  <c r="D3643" i="1"/>
  <c r="E3643" i="1" s="1"/>
  <c r="D3645" i="1"/>
  <c r="E3645" i="1" s="1"/>
  <c r="D3647" i="1"/>
  <c r="E3647" i="1" s="1"/>
  <c r="D3648" i="1"/>
  <c r="D3651" i="1"/>
  <c r="E3651" i="1" s="1"/>
  <c r="D3652" i="1"/>
  <c r="E3652" i="1" s="1"/>
  <c r="D3653" i="1"/>
  <c r="E3653" i="1" s="1"/>
  <c r="D3655" i="1"/>
  <c r="E3655" i="1" s="1"/>
  <c r="D3656" i="1"/>
  <c r="E3656" i="1" s="1"/>
  <c r="D3657" i="1"/>
  <c r="E3657" i="1" s="1"/>
  <c r="D3658" i="1"/>
  <c r="D3661" i="1"/>
  <c r="E3661" i="1" s="1"/>
  <c r="D3662" i="1"/>
  <c r="E3662" i="1" s="1"/>
  <c r="D3664" i="1"/>
  <c r="E3664" i="1" s="1"/>
  <c r="D3665" i="1"/>
  <c r="E3665" i="1" s="1"/>
  <c r="D3666" i="1"/>
  <c r="E3666" i="1" s="1"/>
  <c r="D3667" i="1"/>
  <c r="E3667" i="1" s="1"/>
  <c r="D3668" i="1"/>
  <c r="D3672" i="1"/>
  <c r="E3672" i="1" s="1"/>
  <c r="D3673" i="1"/>
  <c r="E3673" i="1" s="1"/>
  <c r="D3674" i="1"/>
  <c r="E3674" i="1" s="1"/>
  <c r="D3675" i="1"/>
  <c r="E3675" i="1" s="1"/>
  <c r="D3676" i="1"/>
  <c r="D3680" i="1"/>
  <c r="E3680" i="1" s="1"/>
  <c r="D3681" i="1"/>
  <c r="E3681" i="1" s="1"/>
  <c r="D3682" i="1"/>
  <c r="E3682" i="1" s="1"/>
  <c r="D3683" i="1"/>
  <c r="E3683" i="1" s="1"/>
  <c r="D3684" i="1"/>
  <c r="D3688" i="1"/>
  <c r="E3688" i="1" s="1"/>
  <c r="D3689" i="1"/>
  <c r="E3689" i="1" s="1"/>
  <c r="D3690" i="1"/>
  <c r="E3690" i="1" s="1"/>
  <c r="D3691" i="1"/>
  <c r="E3691" i="1" s="1"/>
  <c r="D3692" i="1"/>
  <c r="D3696" i="1"/>
  <c r="E3696" i="1" s="1"/>
  <c r="D3697" i="1"/>
  <c r="E3697" i="1" s="1"/>
  <c r="D3698" i="1"/>
  <c r="E3698" i="1" s="1"/>
  <c r="D3699" i="1"/>
  <c r="E3699" i="1" s="1"/>
  <c r="D3700" i="1"/>
  <c r="D3710" i="1" s="1"/>
  <c r="D3719" i="1" s="1"/>
  <c r="D3703" i="1"/>
  <c r="D3704" i="1"/>
  <c r="E3704" i="1" s="1"/>
  <c r="D3705" i="1"/>
  <c r="E3705" i="1" s="1"/>
  <c r="D3706" i="1"/>
  <c r="E3706" i="1" s="1"/>
  <c r="D3708" i="1"/>
  <c r="E3708" i="1" s="1"/>
  <c r="D3709" i="1"/>
  <c r="E3709" i="1" s="1"/>
  <c r="D3714" i="1"/>
  <c r="E3714" i="1" s="1"/>
  <c r="D3717" i="1"/>
  <c r="E3717" i="1" s="1"/>
  <c r="D3718" i="1"/>
  <c r="D3727" i="1" s="1"/>
  <c r="E3727" i="1" s="1"/>
  <c r="D3723" i="1"/>
  <c r="E3723" i="1" s="1"/>
  <c r="D3726" i="1"/>
  <c r="E3726" i="1" s="1"/>
  <c r="D3732" i="1"/>
  <c r="E3732" i="1" s="1"/>
  <c r="D3740" i="1"/>
  <c r="E3740" i="1" s="1"/>
  <c r="D3744" i="1"/>
  <c r="E3744" i="1" s="1"/>
  <c r="D3752" i="1"/>
  <c r="E3752" i="1" s="1"/>
  <c r="D3756" i="1"/>
  <c r="E3756" i="1" s="1"/>
  <c r="D3757" i="1"/>
  <c r="E3757" i="1" s="1"/>
  <c r="D3761" i="1"/>
  <c r="E3761" i="1" s="1"/>
  <c r="D3762" i="1"/>
  <c r="E3762" i="1" s="1"/>
  <c r="D3763" i="1"/>
  <c r="E3763" i="1" s="1"/>
  <c r="D3771" i="1"/>
  <c r="E3771" i="1" s="1"/>
  <c r="D3772" i="1"/>
  <c r="E3772" i="1" s="1"/>
  <c r="D3774" i="1"/>
  <c r="D3782" i="1" s="1"/>
  <c r="E3782" i="1" s="1"/>
  <c r="D3775" i="1"/>
  <c r="E3775" i="1" s="1"/>
  <c r="D3776" i="1"/>
  <c r="D3779" i="1"/>
  <c r="E3779" i="1" s="1"/>
  <c r="D3780" i="1"/>
  <c r="E3780" i="1" s="1"/>
  <c r="D3783" i="1"/>
  <c r="E3783" i="1" s="1"/>
  <c r="D3800" i="1"/>
  <c r="D3787" i="1"/>
  <c r="E3787" i="1" s="1"/>
  <c r="D3788" i="1"/>
  <c r="E3788" i="1" s="1"/>
  <c r="D3790" i="1"/>
  <c r="D3798" i="1" s="1"/>
  <c r="E3798" i="1" s="1"/>
  <c r="E3791" i="1"/>
  <c r="D3795" i="1"/>
  <c r="E3795" i="1" s="1"/>
  <c r="D3796" i="1"/>
  <c r="E3796" i="1" s="1"/>
  <c r="D3799" i="1"/>
  <c r="E3799" i="1" s="1"/>
  <c r="D3803" i="1"/>
  <c r="E3803" i="1" s="1"/>
  <c r="D3804" i="1"/>
  <c r="E3804" i="1" s="1"/>
  <c r="D3806" i="1"/>
  <c r="E3806" i="1" s="1"/>
  <c r="D3807" i="1"/>
  <c r="E3807" i="1" s="1"/>
  <c r="D3808" i="1"/>
  <c r="D3811" i="1"/>
  <c r="E3811" i="1" s="1"/>
  <c r="D3812" i="1"/>
  <c r="E3815" i="1"/>
  <c r="D3816" i="1"/>
  <c r="D3829" i="1"/>
  <c r="E3829" i="1" s="1"/>
  <c r="D3830" i="1"/>
  <c r="E3830" i="1" s="1"/>
  <c r="D3832" i="1"/>
  <c r="E3832" i="1" s="1"/>
  <c r="D3833" i="1"/>
  <c r="E3833" i="1" s="1"/>
  <c r="D3834" i="1"/>
  <c r="E3838" i="1"/>
  <c r="D3846" i="1"/>
  <c r="D3853" i="1" s="1"/>
  <c r="D3860" i="1" s="1"/>
  <c r="D3867" i="1" s="1"/>
  <c r="D3873" i="1" s="1"/>
  <c r="D3842" i="1"/>
  <c r="E3842" i="1" s="1"/>
  <c r="D3843" i="1"/>
  <c r="D3857" i="1" s="1"/>
  <c r="E3857" i="1" s="1"/>
  <c r="D3845" i="1"/>
  <c r="D3849" i="1"/>
  <c r="E3849" i="1" s="1"/>
  <c r="D3850" i="1"/>
  <c r="D3856" i="1"/>
  <c r="E3856" i="1" s="1"/>
  <c r="D3863" i="1"/>
  <c r="E3863" i="1" s="1"/>
  <c r="D3883" i="1"/>
  <c r="D3889" i="1"/>
  <c r="E3889" i="1" s="1"/>
  <c r="D3890" i="1"/>
  <c r="E3890" i="1" s="1"/>
  <c r="D3894" i="1"/>
  <c r="E3894" i="1" s="1"/>
  <c r="D3898" i="1"/>
  <c r="E3898" i="1" s="1"/>
  <c r="D3899" i="1"/>
  <c r="E3899" i="1" s="1"/>
  <c r="D3900" i="1"/>
  <c r="D3903" i="1"/>
  <c r="E3903" i="1" s="1"/>
  <c r="D3904" i="1"/>
  <c r="E3904" i="1" s="1"/>
  <c r="D3906" i="1"/>
  <c r="E3906" i="1" s="1"/>
  <c r="D3907" i="1"/>
  <c r="E3907" i="1" s="1"/>
  <c r="D3908" i="1"/>
  <c r="E3908" i="1" s="1"/>
  <c r="D3909" i="1"/>
  <c r="E3909" i="1" s="1"/>
  <c r="D3910" i="1"/>
  <c r="E3910" i="1" s="1"/>
  <c r="D3911" i="1"/>
  <c r="E3911" i="1" s="1"/>
  <c r="D3912" i="1"/>
  <c r="D3950" i="1" s="1"/>
  <c r="D3915" i="1"/>
  <c r="E3915" i="1" s="1"/>
  <c r="D3916" i="1"/>
  <c r="E3916" i="1" s="1"/>
  <c r="D3918" i="1"/>
  <c r="E3918" i="1" s="1"/>
  <c r="D3920" i="1"/>
  <c r="E3920" i="1" s="1"/>
  <c r="D3921" i="1"/>
  <c r="E3921" i="1" s="1"/>
  <c r="D3922" i="1"/>
  <c r="E3922" i="1" s="1"/>
  <c r="D3923" i="1"/>
  <c r="E3923" i="1" s="1"/>
  <c r="D3929" i="1"/>
  <c r="E3929" i="1" s="1"/>
  <c r="D3930" i="1"/>
  <c r="E3930" i="1" s="1"/>
  <c r="D3932" i="1"/>
  <c r="E3932" i="1" s="1"/>
  <c r="D3933" i="1"/>
  <c r="D3945" i="1" s="1"/>
  <c r="E3945" i="1" s="1"/>
  <c r="E3934" i="1"/>
  <c r="E3935" i="1"/>
  <c r="D3936" i="1"/>
  <c r="E3936" i="1" s="1"/>
  <c r="D3937" i="1"/>
  <c r="E3937" i="1" s="1"/>
  <c r="D3941" i="1"/>
  <c r="E3941" i="1" s="1"/>
  <c r="D3942" i="1"/>
  <c r="E3942" i="1" s="1"/>
  <c r="D3944" i="1"/>
  <c r="E3944" i="1" s="1"/>
  <c r="D3946" i="1"/>
  <c r="D3947" i="1"/>
  <c r="E3947" i="1" s="1"/>
  <c r="D3948" i="1"/>
  <c r="E3948" i="1" s="1"/>
  <c r="D3949" i="1"/>
  <c r="E3949" i="1" s="1"/>
  <c r="E3953" i="1"/>
  <c r="D3954" i="1"/>
  <c r="E3954" i="1" s="1"/>
  <c r="D3955" i="1"/>
  <c r="E3955" i="1" s="1"/>
  <c r="D3957" i="1"/>
  <c r="D3958" i="1"/>
  <c r="E3959" i="1"/>
  <c r="D3960" i="1"/>
  <c r="D3961" i="1"/>
  <c r="D3981" i="1"/>
  <c r="E3981" i="1" s="1"/>
  <c r="D3982" i="1"/>
  <c r="E3982" i="1" s="1"/>
  <c r="D3985" i="1"/>
  <c r="E3985" i="1" s="1"/>
  <c r="D3987" i="1"/>
  <c r="E3987" i="1" s="1"/>
  <c r="D3988" i="1"/>
  <c r="E3988" i="1" s="1"/>
  <c r="D3989" i="1"/>
  <c r="E3989" i="1" s="1"/>
  <c r="D3990" i="1"/>
  <c r="D3995" i="1"/>
  <c r="E3995" i="1" s="1"/>
  <c r="D3996" i="1"/>
  <c r="E3996" i="1" s="1"/>
  <c r="D3999" i="1"/>
  <c r="E3999" i="1" s="1"/>
  <c r="D4000" i="1"/>
  <c r="E4000" i="1" s="1"/>
  <c r="D4001" i="1"/>
  <c r="E4001" i="1" s="1"/>
  <c r="D4002" i="1"/>
  <c r="E4002" i="1" s="1"/>
  <c r="D4003" i="1"/>
  <c r="E4003" i="1" s="1"/>
  <c r="D4004" i="1"/>
  <c r="D4007" i="1"/>
  <c r="E4007" i="1" s="1"/>
  <c r="D4008" i="1"/>
  <c r="E4008" i="1" s="1"/>
  <c r="D4010" i="1"/>
  <c r="E4010" i="1" s="1"/>
  <c r="D4011" i="1"/>
  <c r="E4011" i="1" s="1"/>
  <c r="D4012" i="1"/>
  <c r="E4012" i="1" s="1"/>
  <c r="D4013" i="1"/>
  <c r="E4013" i="1" s="1"/>
  <c r="D4014" i="1"/>
  <c r="E4014" i="1" s="1"/>
  <c r="D4015" i="1"/>
  <c r="E4015" i="1" s="1"/>
  <c r="D4016" i="1"/>
  <c r="D4041" i="1" s="1"/>
  <c r="D4019" i="1"/>
  <c r="E4019" i="1" s="1"/>
  <c r="D4020" i="1"/>
  <c r="E4020" i="1" s="1"/>
  <c r="D4021" i="1"/>
  <c r="E4021" i="1" s="1"/>
  <c r="D4022" i="1"/>
  <c r="E4022" i="1" s="1"/>
  <c r="D4024" i="1"/>
  <c r="E4024" i="1" s="1"/>
  <c r="D4025" i="1"/>
  <c r="E4025" i="1" s="1"/>
  <c r="D4027" i="1"/>
  <c r="E4027" i="1" s="1"/>
  <c r="D4031" i="1"/>
  <c r="E4031" i="1" s="1"/>
  <c r="D4032" i="1"/>
  <c r="E4032" i="1" s="1"/>
  <c r="D4034" i="1"/>
  <c r="E4034" i="1" s="1"/>
  <c r="D4038" i="1"/>
  <c r="E4038" i="1" s="1"/>
  <c r="D4039" i="1"/>
  <c r="E4039" i="1" s="1"/>
  <c r="D4045" i="1"/>
  <c r="E4045" i="1" s="1"/>
  <c r="D4046" i="1"/>
  <c r="E4046" i="1" s="1"/>
  <c r="D4048" i="1"/>
  <c r="D4058" i="1" s="1"/>
  <c r="E4058" i="1" s="1"/>
  <c r="D4049" i="1"/>
  <c r="E4049" i="1" s="1"/>
  <c r="D4050" i="1"/>
  <c r="E4050" i="1" s="1"/>
  <c r="D4051" i="1"/>
  <c r="E4051" i="1" s="1"/>
  <c r="D4052" i="1"/>
  <c r="D4055" i="1"/>
  <c r="E4055" i="1" s="1"/>
  <c r="D4056" i="1"/>
  <c r="E4056" i="1" s="1"/>
  <c r="D4059" i="1"/>
  <c r="E4059" i="1" s="1"/>
  <c r="D4060" i="1"/>
  <c r="E4060" i="1" s="1"/>
  <c r="D4061" i="1"/>
  <c r="E4061" i="1" s="1"/>
  <c r="D4072" i="1"/>
  <c r="D4082" i="1" s="1"/>
  <c r="D4065" i="1"/>
  <c r="E4065" i="1" s="1"/>
  <c r="D4066" i="1"/>
  <c r="E4066" i="1" s="1"/>
  <c r="D4068" i="1"/>
  <c r="D4078" i="1" s="1"/>
  <c r="E4078" i="1" s="1"/>
  <c r="E4069" i="1"/>
  <c r="D4070" i="1"/>
  <c r="E4070" i="1" s="1"/>
  <c r="D4071" i="1"/>
  <c r="E4071" i="1" s="1"/>
  <c r="D4075" i="1"/>
  <c r="E4075" i="1" s="1"/>
  <c r="D4076" i="1"/>
  <c r="E4076" i="1" s="1"/>
  <c r="D4079" i="1"/>
  <c r="E4079" i="1" s="1"/>
  <c r="D4080" i="1"/>
  <c r="E4080" i="1" s="1"/>
  <c r="D4081" i="1"/>
  <c r="E4081" i="1" s="1"/>
  <c r="D4085" i="1"/>
  <c r="E4085" i="1" s="1"/>
  <c r="D4086" i="1"/>
  <c r="E4086" i="1" s="1"/>
  <c r="D4088" i="1"/>
  <c r="D4098" i="1" s="1"/>
  <c r="D4089" i="1"/>
  <c r="E4089" i="1" s="1"/>
  <c r="D4090" i="1"/>
  <c r="E4090" i="1" s="1"/>
  <c r="D4091" i="1"/>
  <c r="E4091" i="1" s="1"/>
  <c r="D4092" i="1"/>
  <c r="D4095" i="1"/>
  <c r="E4095" i="1" s="1"/>
  <c r="D4096" i="1"/>
  <c r="E4099" i="1"/>
  <c r="D4100" i="1"/>
  <c r="D4101" i="1"/>
  <c r="D4102" i="1"/>
  <c r="D4116" i="1"/>
  <c r="E4116" i="1" s="1"/>
  <c r="D4117" i="1"/>
  <c r="E4117" i="1" s="1"/>
  <c r="D4118" i="1"/>
  <c r="E4118" i="1" s="1"/>
  <c r="D4120" i="1"/>
  <c r="E4120" i="1" s="1"/>
  <c r="D4121" i="1"/>
  <c r="E4121" i="1" s="1"/>
  <c r="D4122" i="1"/>
  <c r="E4122" i="1" s="1"/>
  <c r="D4123" i="1"/>
  <c r="E4123" i="1" s="1"/>
  <c r="D4124" i="1"/>
  <c r="E4128" i="1"/>
  <c r="D4129" i="1"/>
  <c r="D4138" i="1" s="1"/>
  <c r="D4147" i="1" s="1"/>
  <c r="D4162" i="1" s="1"/>
  <c r="D4171" i="1" s="1"/>
  <c r="D4132" i="1"/>
  <c r="E4132" i="1" s="1"/>
  <c r="D4133" i="1"/>
  <c r="D4142" i="1" s="1"/>
  <c r="D4134" i="1"/>
  <c r="E4134" i="1" s="1"/>
  <c r="D4135" i="1"/>
  <c r="D4144" i="1" s="1"/>
  <c r="D4159" i="1" s="1"/>
  <c r="E4159" i="1" s="1"/>
  <c r="D4137" i="1"/>
  <c r="D4146" i="1" s="1"/>
  <c r="E4146" i="1" s="1"/>
  <c r="D4141" i="1"/>
  <c r="E4141" i="1" s="1"/>
  <c r="D4143" i="1"/>
  <c r="D4167" i="1" s="1"/>
  <c r="E4167" i="1" s="1"/>
  <c r="D4156" i="1"/>
  <c r="E4156" i="1" s="1"/>
  <c r="D4165" i="1"/>
  <c r="E4165" i="1" s="1"/>
  <c r="D4178" i="1"/>
  <c r="D4184" i="1"/>
  <c r="E4184" i="1" s="1"/>
  <c r="D4185" i="1"/>
  <c r="E4185" i="1" s="1"/>
  <c r="D4186" i="1"/>
  <c r="D4189" i="1"/>
  <c r="E4189" i="1" s="1"/>
  <c r="D4193" i="1"/>
  <c r="E4193" i="1" s="1"/>
  <c r="D4194" i="1"/>
  <c r="E4194" i="1" s="1"/>
  <c r="D4195" i="1"/>
  <c r="D4206" i="1"/>
  <c r="E4206" i="1" s="1"/>
  <c r="D4207" i="1"/>
  <c r="E4207" i="1" s="1"/>
  <c r="D4209" i="1"/>
  <c r="E4209" i="1" s="1"/>
  <c r="D4210" i="1"/>
  <c r="E4210" i="1" s="1"/>
  <c r="D4211" i="1"/>
  <c r="E4211" i="1" s="1"/>
  <c r="D4212" i="1"/>
  <c r="E4212" i="1" s="1"/>
  <c r="D4213" i="1"/>
  <c r="E4213" i="1" s="1"/>
  <c r="D4214" i="1"/>
  <c r="E4214" i="1" s="1"/>
  <c r="D4215" i="1"/>
  <c r="D4218" i="1"/>
  <c r="E4218" i="1" s="1"/>
  <c r="D4219" i="1"/>
  <c r="E4219" i="1" s="1"/>
  <c r="D4221" i="1"/>
  <c r="E4221" i="1" s="1"/>
  <c r="D4223" i="1"/>
  <c r="E4223" i="1" s="1"/>
  <c r="D4224" i="1"/>
  <c r="E4224" i="1" s="1"/>
  <c r="D4225" i="1"/>
  <c r="E4225" i="1" s="1"/>
  <c r="D4226" i="1"/>
  <c r="E4226" i="1" s="1"/>
  <c r="D4239" i="1"/>
  <c r="D4251" i="1" s="1"/>
  <c r="D4230" i="1"/>
  <c r="E4230" i="1" s="1"/>
  <c r="D4231" i="1"/>
  <c r="E4231" i="1" s="1"/>
  <c r="D4233" i="1"/>
  <c r="E4233" i="1" s="1"/>
  <c r="D4234" i="1"/>
  <c r="E4234" i="1" s="1"/>
  <c r="E4235" i="1"/>
  <c r="E4236" i="1"/>
  <c r="D4237" i="1"/>
  <c r="E4237" i="1" s="1"/>
  <c r="D4238" i="1"/>
  <c r="E4238" i="1" s="1"/>
  <c r="D4242" i="1"/>
  <c r="E4242" i="1" s="1"/>
  <c r="D4243" i="1"/>
  <c r="E4243" i="1" s="1"/>
  <c r="D4245" i="1"/>
  <c r="E4245" i="1" s="1"/>
  <c r="D4247" i="1"/>
  <c r="E4247" i="1" s="1"/>
  <c r="D4248" i="1"/>
  <c r="E4248" i="1" s="1"/>
  <c r="D4249" i="1"/>
  <c r="E4249" i="1" s="1"/>
  <c r="D4250" i="1"/>
  <c r="E4250" i="1" s="1"/>
  <c r="E4256" i="1"/>
  <c r="D4257" i="1"/>
  <c r="E4257" i="1" s="1"/>
  <c r="D4259" i="1"/>
  <c r="E4259" i="1" s="1"/>
  <c r="D4260" i="1"/>
  <c r="E4260" i="1" s="1"/>
  <c r="D4261" i="1"/>
  <c r="E4261" i="1" s="1"/>
  <c r="E4262" i="1"/>
  <c r="D4263" i="1"/>
  <c r="E4263" i="1" s="1"/>
  <c r="D4264" i="1"/>
  <c r="E4264" i="1" s="1"/>
  <c r="D4268" i="1"/>
  <c r="E4268" i="1" s="1"/>
  <c r="D4269" i="1"/>
  <c r="E4269" i="1" s="1"/>
  <c r="D4272" i="1"/>
  <c r="E4272" i="1" s="1"/>
  <c r="D4274" i="1"/>
  <c r="E4274" i="1" s="1"/>
  <c r="D4275" i="1"/>
  <c r="E4275" i="1" s="1"/>
  <c r="D4276" i="1"/>
  <c r="E4276" i="1" s="1"/>
  <c r="D4277" i="1"/>
  <c r="D4280" i="1"/>
  <c r="E4280" i="1" s="1"/>
  <c r="D4281" i="1"/>
  <c r="E4281" i="1" s="1"/>
  <c r="D4284" i="1"/>
  <c r="E4284" i="1" s="1"/>
  <c r="D4285" i="1"/>
  <c r="E4285" i="1" s="1"/>
  <c r="D4286" i="1"/>
  <c r="E4286" i="1" s="1"/>
  <c r="D4287" i="1"/>
  <c r="E4287" i="1" s="1"/>
  <c r="D4288" i="1"/>
  <c r="E4288" i="1" s="1"/>
  <c r="D4289" i="1"/>
  <c r="D4292" i="1"/>
  <c r="E4292" i="1" s="1"/>
  <c r="D4293" i="1"/>
  <c r="E4293" i="1" s="1"/>
  <c r="D4295" i="1"/>
  <c r="E4295" i="1" s="1"/>
  <c r="D4296" i="1"/>
  <c r="E4296" i="1" s="1"/>
  <c r="D4297" i="1"/>
  <c r="E4297" i="1" s="1"/>
  <c r="D4298" i="1"/>
  <c r="E4298" i="1" s="1"/>
  <c r="D4299" i="1"/>
  <c r="E4299" i="1" s="1"/>
  <c r="D4300" i="1"/>
  <c r="E4300" i="1" s="1"/>
  <c r="D4301" i="1"/>
  <c r="D4306" i="1"/>
  <c r="E4306" i="1" s="1"/>
  <c r="D4307" i="1"/>
  <c r="E4307" i="1" s="1"/>
  <c r="D4309" i="1"/>
  <c r="E4309" i="1" s="1"/>
  <c r="D4310" i="1"/>
  <c r="E4310" i="1" s="1"/>
  <c r="D4311" i="1"/>
  <c r="E4311" i="1" s="1"/>
  <c r="D4312" i="1"/>
  <c r="E4312" i="1" s="1"/>
  <c r="D4313" i="1"/>
  <c r="D4316" i="1"/>
  <c r="E4316" i="1" s="1"/>
  <c r="D4317" i="1"/>
  <c r="E4317" i="1" s="1"/>
  <c r="D4320" i="1"/>
  <c r="E4320" i="1" s="1"/>
  <c r="D4321" i="1"/>
  <c r="E4321" i="1" s="1"/>
  <c r="D4322" i="1"/>
  <c r="E4322" i="1" s="1"/>
  <c r="D4333" i="1"/>
  <c r="D4343" i="1" s="1"/>
  <c r="D4326" i="1"/>
  <c r="E4326" i="1" s="1"/>
  <c r="D4327" i="1"/>
  <c r="E4327" i="1" s="1"/>
  <c r="D4329" i="1"/>
  <c r="E4329" i="1" s="1"/>
  <c r="E4330" i="1"/>
  <c r="D4331" i="1"/>
  <c r="E4331" i="1" s="1"/>
  <c r="D4332" i="1"/>
  <c r="E4332" i="1" s="1"/>
  <c r="D4336" i="1"/>
  <c r="E4336" i="1" s="1"/>
  <c r="D4337" i="1"/>
  <c r="E4337" i="1" s="1"/>
  <c r="D4340" i="1"/>
  <c r="E4340" i="1" s="1"/>
  <c r="D4341" i="1"/>
  <c r="E4341" i="1" s="1"/>
  <c r="D4342" i="1"/>
  <c r="E4342" i="1" s="1"/>
  <c r="D4346" i="1"/>
  <c r="E4346" i="1" s="1"/>
  <c r="D4347" i="1"/>
  <c r="E4347" i="1" s="1"/>
  <c r="D4348" i="1"/>
  <c r="E4348" i="1" s="1"/>
  <c r="D4350" i="1"/>
  <c r="E4350" i="1" s="1"/>
  <c r="D4351" i="1"/>
  <c r="E4351" i="1" s="1"/>
  <c r="D4352" i="1"/>
  <c r="E4352" i="1" s="1"/>
  <c r="D4353" i="1"/>
  <c r="E4353" i="1" s="1"/>
  <c r="D4354" i="1"/>
  <c r="D4357" i="1"/>
  <c r="E4357" i="1" s="1"/>
  <c r="B4358" i="1"/>
  <c r="D4358" i="1"/>
  <c r="D4359" i="1"/>
  <c r="E4359" i="1" s="1"/>
  <c r="E4362" i="1"/>
  <c r="D4364" i="1"/>
  <c r="D4365" i="1"/>
  <c r="D4368" i="1"/>
  <c r="E4368" i="1" s="1"/>
  <c r="D4369" i="1"/>
  <c r="E4369" i="1" s="1"/>
  <c r="D4370" i="1"/>
  <c r="E4370" i="1" s="1"/>
  <c r="D4373" i="1"/>
  <c r="E4373" i="1" s="1"/>
  <c r="D4374" i="1"/>
  <c r="D4385" i="1" s="1"/>
  <c r="D4375" i="1"/>
  <c r="E4375" i="1" s="1"/>
  <c r="D4376" i="1"/>
  <c r="E4380" i="1"/>
  <c r="D4381" i="1"/>
  <c r="D4390" i="1" s="1"/>
  <c r="D4399" i="1" s="1"/>
  <c r="D4413" i="1" s="1"/>
  <c r="D4422" i="1" s="1"/>
  <c r="D4384" i="1"/>
  <c r="E4384" i="1" s="1"/>
  <c r="D4386" i="1"/>
  <c r="E4386" i="1" s="1"/>
  <c r="D4387" i="1"/>
  <c r="D4396" i="1" s="1"/>
  <c r="D4389" i="1"/>
  <c r="E4389" i="1" s="1"/>
  <c r="D4393" i="1"/>
  <c r="E4393" i="1" s="1"/>
  <c r="D4395" i="1"/>
  <c r="E4395" i="1" s="1"/>
  <c r="D4407" i="1"/>
  <c r="E4407" i="1" s="1"/>
  <c r="D4416" i="1"/>
  <c r="E4416" i="1" s="1"/>
  <c r="D4428" i="1"/>
  <c r="D4678" i="1" s="1"/>
  <c r="D4928" i="1" s="1"/>
  <c r="E4928" i="1" s="1"/>
  <c r="D4429" i="1"/>
  <c r="D4435" i="1"/>
  <c r="E4435" i="1" s="1"/>
  <c r="D4436" i="1"/>
  <c r="E4436" i="1" s="1"/>
  <c r="D4437" i="1"/>
  <c r="D4440" i="1"/>
  <c r="E4440" i="1" s="1"/>
  <c r="D4444" i="1"/>
  <c r="E4444" i="1" s="1"/>
  <c r="D4445" i="1"/>
  <c r="E4445" i="1" s="1"/>
  <c r="D4446" i="1"/>
  <c r="D4457" i="1"/>
  <c r="E4457" i="1" s="1"/>
  <c r="D4458" i="1"/>
  <c r="E4458" i="1" s="1"/>
  <c r="D4460" i="1"/>
  <c r="E4460" i="1" s="1"/>
  <c r="D4461" i="1"/>
  <c r="E4461" i="1" s="1"/>
  <c r="D4462" i="1"/>
  <c r="E4462" i="1" s="1"/>
  <c r="D4463" i="1"/>
  <c r="E4463" i="1" s="1"/>
  <c r="D4464" i="1"/>
  <c r="D4476" i="1" s="1"/>
  <c r="D4465" i="1"/>
  <c r="D4477" i="1" s="1"/>
  <c r="D4466" i="1"/>
  <c r="D4469" i="1"/>
  <c r="E4469" i="1" s="1"/>
  <c r="D4470" i="1"/>
  <c r="E4470" i="1" s="1"/>
  <c r="D4472" i="1"/>
  <c r="E4472" i="1" s="1"/>
  <c r="D4474" i="1"/>
  <c r="E4474" i="1" s="1"/>
  <c r="D4475" i="1"/>
  <c r="E4475" i="1" s="1"/>
  <c r="D4490" i="1"/>
  <c r="D4502" i="1" s="1"/>
  <c r="D4481" i="1"/>
  <c r="E4481" i="1" s="1"/>
  <c r="D4482" i="1"/>
  <c r="E4482" i="1" s="1"/>
  <c r="D4484" i="1"/>
  <c r="E4484" i="1" s="1"/>
  <c r="D4485" i="1"/>
  <c r="D4497" i="1" s="1"/>
  <c r="E4497" i="1" s="1"/>
  <c r="E4486" i="1"/>
  <c r="D4487" i="1"/>
  <c r="E4487" i="1" s="1"/>
  <c r="D4493" i="1"/>
  <c r="E4493" i="1" s="1"/>
  <c r="D4494" i="1"/>
  <c r="E4494" i="1" s="1"/>
  <c r="D4496" i="1"/>
  <c r="E4496" i="1" s="1"/>
  <c r="D4498" i="1"/>
  <c r="E4498" i="1" s="1"/>
  <c r="D4499" i="1"/>
  <c r="E4499" i="1" s="1"/>
  <c r="D4507" i="1"/>
  <c r="E4507" i="1" s="1"/>
  <c r="D4508" i="1"/>
  <c r="E4508" i="1" s="1"/>
  <c r="D4510" i="1"/>
  <c r="E4510" i="1" s="1"/>
  <c r="D4511" i="1"/>
  <c r="E4511" i="1" s="1"/>
  <c r="D4512" i="1"/>
  <c r="E4512" i="1" s="1"/>
  <c r="E4513" i="1"/>
  <c r="D4514" i="1"/>
  <c r="D4526" i="1" s="1"/>
  <c r="D4515" i="1"/>
  <c r="E4515" i="1" s="1"/>
  <c r="D4519" i="1"/>
  <c r="E4519" i="1" s="1"/>
  <c r="D4520" i="1"/>
  <c r="E4520" i="1" s="1"/>
  <c r="D4522" i="1"/>
  <c r="E4522" i="1" s="1"/>
  <c r="D4525" i="1"/>
  <c r="E4525" i="1" s="1"/>
  <c r="D4528" i="1"/>
  <c r="D4531" i="1"/>
  <c r="E4531" i="1" s="1"/>
  <c r="D4532" i="1"/>
  <c r="E4532" i="1" s="1"/>
  <c r="D4534" i="1"/>
  <c r="E4534" i="1" s="1"/>
  <c r="D4536" i="1"/>
  <c r="E4536" i="1" s="1"/>
  <c r="D4537" i="1"/>
  <c r="E4537" i="1" s="1"/>
  <c r="D4540" i="1"/>
  <c r="D4543" i="1"/>
  <c r="E4543" i="1" s="1"/>
  <c r="D4544" i="1"/>
  <c r="E4544" i="1" s="1"/>
  <c r="D4546" i="1"/>
  <c r="E4546" i="1" s="1"/>
  <c r="D4547" i="1"/>
  <c r="E4547" i="1" s="1"/>
  <c r="D4548" i="1"/>
  <c r="E4548" i="1" s="1"/>
  <c r="D4549" i="1"/>
  <c r="E4549" i="1" s="1"/>
  <c r="D4552" i="1"/>
  <c r="D4557" i="1"/>
  <c r="E4557" i="1" s="1"/>
  <c r="D4558" i="1"/>
  <c r="E4558" i="1" s="1"/>
  <c r="D4560" i="1"/>
  <c r="D4561" i="1"/>
  <c r="E4561" i="1" s="1"/>
  <c r="D4562" i="1"/>
  <c r="E4562" i="1" s="1"/>
  <c r="D4564" i="1"/>
  <c r="D4567" i="1"/>
  <c r="E4567" i="1" s="1"/>
  <c r="D4568" i="1"/>
  <c r="E4568" i="1" s="1"/>
  <c r="D4571" i="1"/>
  <c r="E4571" i="1" s="1"/>
  <c r="D4584" i="1"/>
  <c r="D4594" i="1" s="1"/>
  <c r="D4577" i="1"/>
  <c r="E4577" i="1" s="1"/>
  <c r="D4578" i="1"/>
  <c r="E4578" i="1" s="1"/>
  <c r="D4580" i="1"/>
  <c r="E4581" i="1"/>
  <c r="D4587" i="1"/>
  <c r="E4587" i="1" s="1"/>
  <c r="D4588" i="1"/>
  <c r="E4588" i="1" s="1"/>
  <c r="D4591" i="1"/>
  <c r="E4591" i="1" s="1"/>
  <c r="D4597" i="1"/>
  <c r="E4597" i="1" s="1"/>
  <c r="D4598" i="1"/>
  <c r="E4598" i="1" s="1"/>
  <c r="D4599" i="1"/>
  <c r="E4599" i="1" s="1"/>
  <c r="D4601" i="1"/>
  <c r="E4601" i="1" s="1"/>
  <c r="D4602" i="1"/>
  <c r="E4602" i="1" s="1"/>
  <c r="D4603" i="1"/>
  <c r="E4603" i="1" s="1"/>
  <c r="D4605" i="1"/>
  <c r="D4607" i="1"/>
  <c r="E4607" i="1" s="1"/>
  <c r="B4608" i="1"/>
  <c r="B4614" i="1" s="1"/>
  <c r="D4608" i="1"/>
  <c r="D4609" i="1"/>
  <c r="E4609" i="1" s="1"/>
  <c r="D4612" i="1"/>
  <c r="E4612" i="1" s="1"/>
  <c r="D4615" i="1"/>
  <c r="D4618" i="1"/>
  <c r="E4618" i="1" s="1"/>
  <c r="D4619" i="1"/>
  <c r="E4619" i="1" s="1"/>
  <c r="D4620" i="1"/>
  <c r="E4620" i="1" s="1"/>
  <c r="D4622" i="1"/>
  <c r="E4622" i="1" s="1"/>
  <c r="D4623" i="1"/>
  <c r="E4623" i="1" s="1"/>
  <c r="D4626" i="1"/>
  <c r="D4630" i="1"/>
  <c r="E4630" i="1" s="1"/>
  <c r="D4631" i="1"/>
  <c r="D4640" i="1" s="1"/>
  <c r="D4649" i="1" s="1"/>
  <c r="D4663" i="1" s="1"/>
  <c r="D4672" i="1" s="1"/>
  <c r="D4634" i="1"/>
  <c r="E4634" i="1" s="1"/>
  <c r="D4636" i="1"/>
  <c r="D4659" i="1" s="1"/>
  <c r="E4659" i="1" s="1"/>
  <c r="D4639" i="1"/>
  <c r="D4643" i="1"/>
  <c r="E4643" i="1" s="1"/>
  <c r="D4645" i="1"/>
  <c r="E4645" i="1" s="1"/>
  <c r="D4657" i="1"/>
  <c r="E4657" i="1" s="1"/>
  <c r="D4666" i="1"/>
  <c r="E4666" i="1" s="1"/>
  <c r="D4679" i="1"/>
  <c r="D4685" i="1"/>
  <c r="E4685" i="1" s="1"/>
  <c r="D4686" i="1"/>
  <c r="E4686" i="1" s="1"/>
  <c r="D4687" i="1"/>
  <c r="D4690" i="1"/>
  <c r="E4690" i="1" s="1"/>
  <c r="D4694" i="1"/>
  <c r="E4694" i="1" s="1"/>
  <c r="D4695" i="1"/>
  <c r="E4695" i="1" s="1"/>
  <c r="D4696" i="1"/>
  <c r="D4707" i="1"/>
  <c r="E4707" i="1" s="1"/>
  <c r="D4708" i="1"/>
  <c r="E4708" i="1" s="1"/>
  <c r="D4710" i="1"/>
  <c r="E4710" i="1" s="1"/>
  <c r="D4711" i="1"/>
  <c r="E4711" i="1" s="1"/>
  <c r="D4712" i="1"/>
  <c r="E4712" i="1" s="1"/>
  <c r="D4713" i="1"/>
  <c r="E4713" i="1" s="1"/>
  <c r="D4714" i="1"/>
  <c r="D4726" i="1" s="1"/>
  <c r="E4726" i="1" s="1"/>
  <c r="D4715" i="1"/>
  <c r="D4727" i="1" s="1"/>
  <c r="D4716" i="1"/>
  <c r="D4719" i="1"/>
  <c r="E4719" i="1" s="1"/>
  <c r="D4720" i="1"/>
  <c r="E4720" i="1" s="1"/>
  <c r="D4722" i="1"/>
  <c r="E4722" i="1" s="1"/>
  <c r="D4724" i="1"/>
  <c r="E4724" i="1" s="1"/>
  <c r="D4725" i="1"/>
  <c r="E4725" i="1" s="1"/>
  <c r="D4728" i="1"/>
  <c r="D4740" i="1" s="1"/>
  <c r="D4752" i="1" s="1"/>
  <c r="D4731" i="1"/>
  <c r="E4731" i="1" s="1"/>
  <c r="D4732" i="1"/>
  <c r="E4732" i="1" s="1"/>
  <c r="D4734" i="1"/>
  <c r="E4734" i="1" s="1"/>
  <c r="D4735" i="1"/>
  <c r="D4736" i="1"/>
  <c r="E4736" i="1" s="1"/>
  <c r="D4737" i="1"/>
  <c r="E4737" i="1" s="1"/>
  <c r="D4743" i="1"/>
  <c r="E4743" i="1" s="1"/>
  <c r="D4744" i="1"/>
  <c r="E4744" i="1" s="1"/>
  <c r="D4746" i="1"/>
  <c r="E4746" i="1" s="1"/>
  <c r="D4748" i="1"/>
  <c r="E4748" i="1" s="1"/>
  <c r="D4749" i="1"/>
  <c r="E4749" i="1" s="1"/>
  <c r="D4757" i="1"/>
  <c r="E4757" i="1" s="1"/>
  <c r="D4758" i="1"/>
  <c r="E4758" i="1" s="1"/>
  <c r="D4760" i="1"/>
  <c r="D4772" i="1" s="1"/>
  <c r="D4784" i="1" s="1"/>
  <c r="E4784" i="1" s="1"/>
  <c r="D4761" i="1"/>
  <c r="E4761" i="1" s="1"/>
  <c r="D4762" i="1"/>
  <c r="D4774" i="1" s="1"/>
  <c r="E4774" i="1" s="1"/>
  <c r="D4763" i="1"/>
  <c r="E4763" i="1" s="1"/>
  <c r="D4766" i="1"/>
  <c r="D4769" i="1"/>
  <c r="E4769" i="1" s="1"/>
  <c r="D4770" i="1"/>
  <c r="E4770" i="1" s="1"/>
  <c r="D4773" i="1"/>
  <c r="E4773" i="1" s="1"/>
  <c r="D4775" i="1"/>
  <c r="E4775" i="1" s="1"/>
  <c r="D4778" i="1"/>
  <c r="D4781" i="1"/>
  <c r="E4781" i="1" s="1"/>
  <c r="D4782" i="1"/>
  <c r="E4782" i="1" s="1"/>
  <c r="D4785" i="1"/>
  <c r="E4785" i="1" s="1"/>
  <c r="D4786" i="1"/>
  <c r="E4786" i="1" s="1"/>
  <c r="D4787" i="1"/>
  <c r="E4787" i="1" s="1"/>
  <c r="D4790" i="1"/>
  <c r="D4793" i="1"/>
  <c r="E4793" i="1" s="1"/>
  <c r="D4794" i="1"/>
  <c r="E4794" i="1" s="1"/>
  <c r="D4796" i="1"/>
  <c r="E4796" i="1" s="1"/>
  <c r="D4797" i="1"/>
  <c r="E4797" i="1" s="1"/>
  <c r="D4798" i="1"/>
  <c r="E4798" i="1" s="1"/>
  <c r="D4799" i="1"/>
  <c r="E4799" i="1" s="1"/>
  <c r="D4802" i="1"/>
  <c r="D4807" i="1"/>
  <c r="E4807" i="1" s="1"/>
  <c r="D4808" i="1"/>
  <c r="E4808" i="1" s="1"/>
  <c r="D4810" i="1"/>
  <c r="D4851" i="1" s="1"/>
  <c r="E4851" i="1" s="1"/>
  <c r="D4811" i="1"/>
  <c r="E4811" i="1" s="1"/>
  <c r="D4812" i="1"/>
  <c r="E4812" i="1" s="1"/>
  <c r="D4814" i="1"/>
  <c r="D4817" i="1"/>
  <c r="E4817" i="1" s="1"/>
  <c r="D4818" i="1"/>
  <c r="E4818" i="1" s="1"/>
  <c r="D4821" i="1"/>
  <c r="E4821" i="1" s="1"/>
  <c r="D4822" i="1"/>
  <c r="E4822" i="1" s="1"/>
  <c r="D4824" i="1"/>
  <c r="D4834" i="1" s="1"/>
  <c r="D4844" i="1" s="1"/>
  <c r="D4827" i="1"/>
  <c r="E4827" i="1" s="1"/>
  <c r="D4828" i="1"/>
  <c r="E4828" i="1" s="1"/>
  <c r="D4830" i="1"/>
  <c r="D4840" i="1" s="1"/>
  <c r="E4840" i="1" s="1"/>
  <c r="D4831" i="1"/>
  <c r="E4831" i="1" s="1"/>
  <c r="D4837" i="1"/>
  <c r="E4837" i="1" s="1"/>
  <c r="D4838" i="1"/>
  <c r="E4838" i="1" s="1"/>
  <c r="D4841" i="1"/>
  <c r="E4841" i="1" s="1"/>
  <c r="D4847" i="1"/>
  <c r="E4847" i="1" s="1"/>
  <c r="D4848" i="1"/>
  <c r="E4848" i="1" s="1"/>
  <c r="D4849" i="1"/>
  <c r="E4849" i="1" s="1"/>
  <c r="D4852" i="1"/>
  <c r="E4852" i="1" s="1"/>
  <c r="D4853" i="1"/>
  <c r="E4853" i="1" s="1"/>
  <c r="B4854" i="1"/>
  <c r="D4855" i="1"/>
  <c r="D4857" i="1"/>
  <c r="E4857" i="1" s="1"/>
  <c r="B4858" i="1"/>
  <c r="B4864" i="1" s="1"/>
  <c r="D4858" i="1"/>
  <c r="D4859" i="1"/>
  <c r="E4859" i="1" s="1"/>
  <c r="C4862" i="1"/>
  <c r="D4862" i="1"/>
  <c r="E4862" i="1" s="1"/>
  <c r="D4863" i="1"/>
  <c r="E4863" i="1" s="1"/>
  <c r="D4865" i="1"/>
  <c r="D4868" i="1"/>
  <c r="E4868" i="1" s="1"/>
  <c r="D4869" i="1"/>
  <c r="E4869" i="1" s="1"/>
  <c r="D4870" i="1"/>
  <c r="E4870" i="1" s="1"/>
  <c r="D4872" i="1"/>
  <c r="E4872" i="1" s="1"/>
  <c r="D4873" i="1"/>
  <c r="E4873" i="1" s="1"/>
  <c r="D4876" i="1"/>
  <c r="D4880" i="1"/>
  <c r="E4880" i="1" s="1"/>
  <c r="D4881" i="1"/>
  <c r="D4890" i="1" s="1"/>
  <c r="D4899" i="1" s="1"/>
  <c r="D4913" i="1" s="1"/>
  <c r="D4922" i="1" s="1"/>
  <c r="D4929" i="1" s="1"/>
  <c r="D4937" i="1" s="1"/>
  <c r="D4946" i="1" s="1"/>
  <c r="D4966" i="1" s="1"/>
  <c r="D4978" i="1" s="1"/>
  <c r="D4990" i="1" s="1"/>
  <c r="D5002" i="1" s="1"/>
  <c r="D5016" i="1" s="1"/>
  <c r="D5028" i="1" s="1"/>
  <c r="D5040" i="1" s="1"/>
  <c r="D5052" i="1" s="1"/>
  <c r="D5064" i="1" s="1"/>
  <c r="D5074" i="1" s="1"/>
  <c r="D5084" i="1" s="1"/>
  <c r="D5094" i="1" s="1"/>
  <c r="D5105" i="1" s="1"/>
  <c r="D5115" i="1" s="1"/>
  <c r="D5126" i="1" s="1"/>
  <c r="D5131" i="1" s="1"/>
  <c r="D5140" i="1" s="1"/>
  <c r="D5149" i="1" s="1"/>
  <c r="D5163" i="1" s="1"/>
  <c r="D5172" i="1" s="1"/>
  <c r="D4884" i="1"/>
  <c r="E4884" i="1" s="1"/>
  <c r="D4885" i="1"/>
  <c r="D4894" i="1" s="1"/>
  <c r="D4886" i="1"/>
  <c r="D4909" i="1" s="1"/>
  <c r="E4909" i="1" s="1"/>
  <c r="D4889" i="1"/>
  <c r="E4889" i="1" s="1"/>
  <c r="D4893" i="1"/>
  <c r="E4893" i="1" s="1"/>
  <c r="D4895" i="1"/>
  <c r="D4898" i="1"/>
  <c r="E4898" i="1" s="1"/>
  <c r="D4907" i="1"/>
  <c r="E4907" i="1" s="1"/>
  <c r="D4916" i="1"/>
  <c r="E4916" i="1" s="1"/>
  <c r="B4927" i="1"/>
  <c r="D4935" i="1"/>
  <c r="E4935" i="1" s="1"/>
  <c r="D4936" i="1"/>
  <c r="E4936" i="1" s="1"/>
  <c r="D4940" i="1"/>
  <c r="E4940" i="1" s="1"/>
  <c r="D4944" i="1"/>
  <c r="E4944" i="1" s="1"/>
  <c r="D4945" i="1"/>
  <c r="E4945" i="1" s="1"/>
  <c r="D4957" i="1"/>
  <c r="E4957" i="1" s="1"/>
  <c r="D4958" i="1"/>
  <c r="E4958" i="1" s="1"/>
  <c r="D4960" i="1"/>
  <c r="E4960" i="1" s="1"/>
  <c r="D4961" i="1"/>
  <c r="E4961" i="1" s="1"/>
  <c r="D4962" i="1"/>
  <c r="E4962" i="1" s="1"/>
  <c r="D4963" i="1"/>
  <c r="E4963" i="1" s="1"/>
  <c r="D4964" i="1"/>
  <c r="E4964" i="1" s="1"/>
  <c r="D4965" i="1"/>
  <c r="D4969" i="1"/>
  <c r="E4969" i="1" s="1"/>
  <c r="D4970" i="1"/>
  <c r="E4970" i="1" s="1"/>
  <c r="D4972" i="1"/>
  <c r="E4972" i="1" s="1"/>
  <c r="D4974" i="1"/>
  <c r="E4974" i="1" s="1"/>
  <c r="D4975" i="1"/>
  <c r="E4975" i="1" s="1"/>
  <c r="D4981" i="1"/>
  <c r="E4981" i="1" s="1"/>
  <c r="D4982" i="1"/>
  <c r="E4982" i="1" s="1"/>
  <c r="D4984" i="1"/>
  <c r="E4984" i="1" s="1"/>
  <c r="D4985" i="1"/>
  <c r="D4997" i="1" s="1"/>
  <c r="E4997" i="1" s="1"/>
  <c r="D4986" i="1"/>
  <c r="E4986" i="1" s="1"/>
  <c r="D4987" i="1"/>
  <c r="E4987" i="1" s="1"/>
  <c r="D4993" i="1"/>
  <c r="E4993" i="1" s="1"/>
  <c r="D4994" i="1"/>
  <c r="E4994" i="1" s="1"/>
  <c r="D4996" i="1"/>
  <c r="E4996" i="1" s="1"/>
  <c r="D4998" i="1"/>
  <c r="E4998" i="1" s="1"/>
  <c r="D4999" i="1"/>
  <c r="E4999" i="1" s="1"/>
  <c r="D5007" i="1"/>
  <c r="E5007" i="1" s="1"/>
  <c r="D5008" i="1"/>
  <c r="E5008" i="1" s="1"/>
  <c r="D5010" i="1"/>
  <c r="E5010" i="1" s="1"/>
  <c r="D5011" i="1"/>
  <c r="D5023" i="1" s="1"/>
  <c r="E5023" i="1" s="1"/>
  <c r="D5013" i="1"/>
  <c r="E5013" i="1" s="1"/>
  <c r="D5019" i="1"/>
  <c r="E5019" i="1" s="1"/>
  <c r="D5020" i="1"/>
  <c r="E5020" i="1" s="1"/>
  <c r="D5022" i="1"/>
  <c r="E5022" i="1" s="1"/>
  <c r="D5025" i="1"/>
  <c r="E5025" i="1" s="1"/>
  <c r="D5031" i="1"/>
  <c r="E5031" i="1" s="1"/>
  <c r="D5032" i="1"/>
  <c r="E5032" i="1" s="1"/>
  <c r="D5035" i="1"/>
  <c r="E5035" i="1" s="1"/>
  <c r="D5036" i="1"/>
  <c r="E5036" i="1" s="1"/>
  <c r="D5037" i="1"/>
  <c r="E5037" i="1" s="1"/>
  <c r="D5043" i="1"/>
  <c r="E5043" i="1" s="1"/>
  <c r="D5044" i="1"/>
  <c r="E5044" i="1" s="1"/>
  <c r="D5046" i="1"/>
  <c r="E5046" i="1" s="1"/>
  <c r="D5047" i="1"/>
  <c r="E5047" i="1" s="1"/>
  <c r="D5048" i="1"/>
  <c r="E5048" i="1" s="1"/>
  <c r="D5049" i="1"/>
  <c r="E5049" i="1" s="1"/>
  <c r="D5057" i="1"/>
  <c r="E5057" i="1" s="1"/>
  <c r="D5058" i="1"/>
  <c r="E5058" i="1" s="1"/>
  <c r="D5060" i="1"/>
  <c r="D5070" i="1" s="1"/>
  <c r="E5070" i="1" s="1"/>
  <c r="D5061" i="1"/>
  <c r="E5061" i="1" s="1"/>
  <c r="D5062" i="1"/>
  <c r="E5062" i="1" s="1"/>
  <c r="D5067" i="1"/>
  <c r="E5067" i="1" s="1"/>
  <c r="D5068" i="1"/>
  <c r="E5068" i="1" s="1"/>
  <c r="D5071" i="1"/>
  <c r="E5071" i="1" s="1"/>
  <c r="D5077" i="1"/>
  <c r="E5077" i="1" s="1"/>
  <c r="D5078" i="1"/>
  <c r="E5078" i="1" s="1"/>
  <c r="D5080" i="1"/>
  <c r="E5080" i="1" s="1"/>
  <c r="D5081" i="1"/>
  <c r="E5081" i="1" s="1"/>
  <c r="D5087" i="1"/>
  <c r="E5087" i="1" s="1"/>
  <c r="D5088" i="1"/>
  <c r="E5088" i="1" s="1"/>
  <c r="D5091" i="1"/>
  <c r="E5091" i="1" s="1"/>
  <c r="D5097" i="1"/>
  <c r="E5097" i="1" s="1"/>
  <c r="D5098" i="1"/>
  <c r="E5098" i="1" s="1"/>
  <c r="D5099" i="1"/>
  <c r="E5099" i="1" s="1"/>
  <c r="D5101" i="1"/>
  <c r="E5101" i="1" s="1"/>
  <c r="D5102" i="1"/>
  <c r="E5102" i="1" s="1"/>
  <c r="D5103" i="1"/>
  <c r="E5103" i="1" s="1"/>
  <c r="B5104" i="1"/>
  <c r="D5107" i="1"/>
  <c r="E5107" i="1" s="1"/>
  <c r="B5108" i="1"/>
  <c r="D5108" i="1"/>
  <c r="D5109" i="1"/>
  <c r="E5109" i="1" s="1"/>
  <c r="D5112" i="1"/>
  <c r="E5112" i="1" s="1"/>
  <c r="B5114" i="1"/>
  <c r="D5118" i="1"/>
  <c r="E5118" i="1" s="1"/>
  <c r="D5119" i="1"/>
  <c r="E5119" i="1" s="1"/>
  <c r="D5120" i="1"/>
  <c r="E5120" i="1" s="1"/>
  <c r="D5122" i="1"/>
  <c r="E5122" i="1" s="1"/>
  <c r="D5123" i="1"/>
  <c r="E5123" i="1" s="1"/>
  <c r="D5130" i="1"/>
  <c r="E5130" i="1" s="1"/>
  <c r="D5134" i="1"/>
  <c r="E5134" i="1" s="1"/>
  <c r="D5135" i="1"/>
  <c r="E5135" i="1" s="1"/>
  <c r="D5136" i="1"/>
  <c r="E5136" i="1" s="1"/>
  <c r="D5139" i="1"/>
  <c r="D5143" i="1"/>
  <c r="E5143" i="1" s="1"/>
  <c r="D5145" i="1"/>
  <c r="D5157" i="1"/>
  <c r="E5157" i="1" s="1"/>
  <c r="D5166" i="1"/>
  <c r="E5166" i="1" s="1"/>
  <c r="D5179" i="1"/>
  <c r="E5179" i="1" s="1"/>
  <c r="D5182" i="1"/>
  <c r="E5182" i="1" s="1"/>
  <c r="E5183" i="1"/>
  <c r="E5184" i="1"/>
  <c r="D5189" i="1"/>
  <c r="E5189" i="1" s="1"/>
  <c r="D5192" i="1"/>
  <c r="E5192" i="1" s="1"/>
  <c r="D5193" i="1"/>
  <c r="E5193" i="1" s="1"/>
  <c r="D5194" i="1"/>
  <c r="E5194" i="1" s="1"/>
  <c r="D5201" i="1"/>
  <c r="E5201" i="1" s="1"/>
  <c r="D5202" i="1"/>
  <c r="E5202" i="1" s="1"/>
  <c r="D5203" i="1"/>
  <c r="E5203" i="1" s="1"/>
  <c r="D5204" i="1"/>
  <c r="D5209" i="1"/>
  <c r="E5209" i="1" s="1"/>
  <c r="D5212" i="1"/>
  <c r="E5212" i="1" s="1"/>
  <c r="D5213" i="1"/>
  <c r="E5213" i="1" s="1"/>
  <c r="D5214" i="1"/>
  <c r="E5214" i="1" s="1"/>
  <c r="D5216" i="1"/>
  <c r="D5219" i="1"/>
  <c r="E5219" i="1" s="1"/>
  <c r="D5222" i="1"/>
  <c r="E5222" i="1" s="1"/>
  <c r="D5223" i="1"/>
  <c r="E5223" i="1" s="1"/>
  <c r="D5224" i="1"/>
  <c r="E5224" i="1" s="1"/>
  <c r="D5225" i="1"/>
  <c r="E5225" i="1" s="1"/>
  <c r="D5226" i="1"/>
  <c r="E5226" i="1" s="1"/>
  <c r="D5228" i="1"/>
  <c r="D5231" i="1"/>
  <c r="E5231" i="1" s="1"/>
  <c r="D5233" i="1"/>
  <c r="E5233" i="1" s="1"/>
  <c r="D5238" i="1"/>
  <c r="E5238" i="1" s="1"/>
  <c r="D5240" i="1"/>
  <c r="E5240" i="1" s="1"/>
  <c r="D5242" i="1"/>
  <c r="D5245" i="1"/>
  <c r="E5245" i="1" s="1"/>
  <c r="D5247" i="1"/>
  <c r="E5247" i="1" s="1"/>
  <c r="D5248" i="1"/>
  <c r="E5248" i="1" s="1"/>
  <c r="D5250" i="1"/>
  <c r="D5253" i="1"/>
  <c r="E5253" i="1" s="1"/>
  <c r="D5254" i="1"/>
  <c r="E5254" i="1" s="1"/>
  <c r="D5255" i="1"/>
  <c r="E5255" i="1" s="1"/>
  <c r="D5257" i="1"/>
  <c r="E5257" i="1" s="1"/>
  <c r="D5259" i="1"/>
  <c r="D5263" i="1"/>
  <c r="E5263" i="1" s="1"/>
  <c r="D5266" i="1"/>
  <c r="E5266" i="1" s="1"/>
  <c r="E5267" i="1"/>
  <c r="E5268" i="1"/>
  <c r="D5270" i="1"/>
  <c r="E5270" i="1" s="1"/>
  <c r="D5271" i="1"/>
  <c r="E5271" i="1" s="1"/>
  <c r="D5272" i="1"/>
  <c r="D5275" i="1"/>
  <c r="E5275" i="1" s="1"/>
  <c r="D5278" i="1"/>
  <c r="E5278" i="1" s="1"/>
  <c r="D5279" i="1"/>
  <c r="E5279" i="1" s="1"/>
  <c r="D5280" i="1"/>
  <c r="E5280" i="1" s="1"/>
  <c r="D5282" i="1"/>
  <c r="E5282" i="1" s="1"/>
  <c r="D5283" i="1"/>
  <c r="E5283" i="1" s="1"/>
  <c r="D5290" i="1"/>
  <c r="E5290" i="1" s="1"/>
  <c r="D5291" i="1"/>
  <c r="E5291" i="1" s="1"/>
  <c r="D5292" i="1"/>
  <c r="D5295" i="1"/>
  <c r="E5295" i="1" s="1"/>
  <c r="D5298" i="1"/>
  <c r="E5298" i="1" s="1"/>
  <c r="D5299" i="1"/>
  <c r="E5299" i="1" s="1"/>
  <c r="D5300" i="1"/>
  <c r="E5300" i="1" s="1"/>
  <c r="D5302" i="1"/>
  <c r="E5302" i="1" s="1"/>
  <c r="D5303" i="1"/>
  <c r="E5303" i="1" s="1"/>
  <c r="D5304" i="1"/>
  <c r="D5311" i="1"/>
  <c r="E5311" i="1" s="1"/>
  <c r="D5314" i="1"/>
  <c r="E5314" i="1" s="1"/>
  <c r="D5315" i="1"/>
  <c r="E5315" i="1" s="1"/>
  <c r="D5316" i="1"/>
  <c r="E5316" i="1" s="1"/>
  <c r="D5317" i="1"/>
  <c r="E5317" i="1" s="1"/>
  <c r="D5318" i="1"/>
  <c r="E5318" i="1" s="1"/>
  <c r="D5320" i="1"/>
  <c r="E5320" i="1" s="1"/>
  <c r="D5321" i="1"/>
  <c r="E5321" i="1" s="1"/>
  <c r="D5322" i="1"/>
  <c r="D5325" i="1"/>
  <c r="E5325" i="1" s="1"/>
  <c r="D5327" i="1"/>
  <c r="E5327" i="1" s="1"/>
  <c r="D5329" i="1"/>
  <c r="E5329" i="1" s="1"/>
  <c r="D5330" i="1"/>
  <c r="E5330" i="1" s="1"/>
  <c r="D5335" i="1"/>
  <c r="E5335" i="1" s="1"/>
  <c r="D5337" i="1"/>
  <c r="E5337" i="1" s="1"/>
  <c r="D5339" i="1"/>
  <c r="E5339" i="1" s="1"/>
  <c r="D5340" i="1"/>
  <c r="E5340" i="1" s="1"/>
  <c r="D5344" i="1"/>
  <c r="E5344" i="1" s="1"/>
  <c r="D5346" i="1"/>
  <c r="E5346" i="1" s="1"/>
  <c r="D5347" i="1"/>
  <c r="E5347" i="1" s="1"/>
  <c r="D5349" i="1"/>
  <c r="E5349" i="1" s="1"/>
  <c r="D5350" i="1"/>
  <c r="E5350" i="1" s="1"/>
  <c r="D5351" i="1"/>
  <c r="D5354" i="1"/>
  <c r="E5354" i="1" s="1"/>
  <c r="D5355" i="1"/>
  <c r="E5355" i="1" s="1"/>
  <c r="D5356" i="1"/>
  <c r="E5356" i="1" s="1"/>
  <c r="D5358" i="1"/>
  <c r="E5358" i="1" s="1"/>
  <c r="D5361" i="1"/>
  <c r="E5361" i="1" s="1"/>
  <c r="D5362" i="1"/>
  <c r="D5367" i="1"/>
  <c r="E5367" i="1" s="1"/>
  <c r="D5370" i="1"/>
  <c r="E5370" i="1" s="1"/>
  <c r="E5371" i="1"/>
  <c r="E5372" i="1"/>
  <c r="D5374" i="1"/>
  <c r="E5374" i="1" s="1"/>
  <c r="D5375" i="1"/>
  <c r="E5375" i="1" s="1"/>
  <c r="D5376" i="1"/>
  <c r="D5379" i="1"/>
  <c r="E5379" i="1" s="1"/>
  <c r="D5382" i="1"/>
  <c r="E5382" i="1" s="1"/>
  <c r="D5383" i="1"/>
  <c r="E5383" i="1" s="1"/>
  <c r="D5384" i="1"/>
  <c r="E5384" i="1" s="1"/>
  <c r="D5386" i="1"/>
  <c r="E5386" i="1" s="1"/>
  <c r="D5387" i="1"/>
  <c r="E5387" i="1" s="1"/>
  <c r="D5394" i="1"/>
  <c r="E5394" i="1" s="1"/>
  <c r="D5395" i="1"/>
  <c r="E5395" i="1" s="1"/>
  <c r="D5396" i="1"/>
  <c r="D5399" i="1"/>
  <c r="E5399" i="1" s="1"/>
  <c r="D5402" i="1"/>
  <c r="E5402" i="1" s="1"/>
  <c r="D5403" i="1"/>
  <c r="E5403" i="1" s="1"/>
  <c r="D5404" i="1"/>
  <c r="E5404" i="1" s="1"/>
  <c r="D5406" i="1"/>
  <c r="E5406" i="1" s="1"/>
  <c r="D5407" i="1"/>
  <c r="E5407" i="1" s="1"/>
  <c r="D5408" i="1"/>
  <c r="D5415" i="1"/>
  <c r="E5415" i="1" s="1"/>
  <c r="D5418" i="1"/>
  <c r="E5418" i="1" s="1"/>
  <c r="D5419" i="1"/>
  <c r="E5419" i="1" s="1"/>
  <c r="D5420" i="1"/>
  <c r="E5420" i="1" s="1"/>
  <c r="D5421" i="1"/>
  <c r="E5421" i="1" s="1"/>
  <c r="D5422" i="1"/>
  <c r="E5422" i="1" s="1"/>
  <c r="D5425" i="1"/>
  <c r="E5425" i="1" s="1"/>
  <c r="D5426" i="1"/>
  <c r="D5429" i="1"/>
  <c r="E5429" i="1" s="1"/>
  <c r="D5431" i="1"/>
  <c r="E5431" i="1" s="1"/>
  <c r="D5433" i="1"/>
  <c r="E5433" i="1" s="1"/>
  <c r="D5434" i="1"/>
  <c r="E5434" i="1" s="1"/>
  <c r="D5440" i="1"/>
  <c r="E5440" i="1" s="1"/>
  <c r="D5442" i="1"/>
  <c r="E5442" i="1" s="1"/>
  <c r="D5444" i="1"/>
  <c r="E5444" i="1" s="1"/>
  <c r="D5445" i="1"/>
  <c r="E5445" i="1" s="1"/>
  <c r="D5446" i="1"/>
  <c r="D5451" i="1"/>
  <c r="E5451" i="1" s="1"/>
  <c r="D5453" i="1"/>
  <c r="E5453" i="1" s="1"/>
  <c r="D5454" i="1"/>
  <c r="E5454" i="1" s="1"/>
  <c r="D5456" i="1"/>
  <c r="D5467" i="1" s="1"/>
  <c r="E5467" i="1" s="1"/>
  <c r="D5457" i="1"/>
  <c r="E5457" i="1" s="1"/>
  <c r="D5458" i="1"/>
  <c r="D5461" i="1"/>
  <c r="E5461" i="1" s="1"/>
  <c r="D5462" i="1"/>
  <c r="E5462" i="1" s="1"/>
  <c r="D5463" i="1"/>
  <c r="E5463" i="1" s="1"/>
  <c r="D5465" i="1"/>
  <c r="E5465" i="1" s="1"/>
  <c r="D5468" i="1"/>
  <c r="E5468" i="1" s="1"/>
  <c r="D5469" i="1"/>
  <c r="D5473" i="1"/>
  <c r="E5473" i="1" s="1"/>
  <c r="D5476" i="1"/>
  <c r="E5476" i="1" s="1"/>
  <c r="D5477" i="1"/>
  <c r="E5477" i="1" s="1"/>
  <c r="D5478" i="1"/>
  <c r="E5478" i="1" s="1"/>
  <c r="D5480" i="1"/>
  <c r="D5492" i="1" s="1"/>
  <c r="D5512" i="1" s="1"/>
  <c r="D5531" i="1" s="1"/>
  <c r="E5531" i="1" s="1"/>
  <c r="D5481" i="1"/>
  <c r="D5493" i="1" s="1"/>
  <c r="D5482" i="1"/>
  <c r="D5485" i="1"/>
  <c r="E5485" i="1" s="1"/>
  <c r="D5488" i="1"/>
  <c r="E5488" i="1" s="1"/>
  <c r="D5489" i="1"/>
  <c r="E5489" i="1" s="1"/>
  <c r="D5490" i="1"/>
  <c r="E5490" i="1" s="1"/>
  <c r="D5500" i="1"/>
  <c r="E5500" i="1" s="1"/>
  <c r="D5501" i="1"/>
  <c r="E5501" i="1" s="1"/>
  <c r="D5502" i="1"/>
  <c r="D5505" i="1"/>
  <c r="E5505" i="1" s="1"/>
  <c r="D5508" i="1"/>
  <c r="E5508" i="1" s="1"/>
  <c r="D5509" i="1"/>
  <c r="E5509" i="1" s="1"/>
  <c r="D5510" i="1"/>
  <c r="E5510" i="1" s="1"/>
  <c r="D5514" i="1"/>
  <c r="D5522" i="1"/>
  <c r="E5522" i="1" s="1"/>
  <c r="D5525" i="1"/>
  <c r="E5525" i="1" s="1"/>
  <c r="D5526" i="1"/>
  <c r="E5526" i="1" s="1"/>
  <c r="D5527" i="1"/>
  <c r="E5527" i="1" s="1"/>
  <c r="D5528" i="1"/>
  <c r="E5528" i="1" s="1"/>
  <c r="D5529" i="1"/>
  <c r="E5529" i="1" s="1"/>
  <c r="D5533" i="1"/>
  <c r="D5536" i="1"/>
  <c r="E5536" i="1" s="1"/>
  <c r="D5538" i="1"/>
  <c r="E5538" i="1" s="1"/>
  <c r="D5540" i="1"/>
  <c r="D5550" i="1" s="1"/>
  <c r="D5560" i="1" s="1"/>
  <c r="D5552" i="1"/>
  <c r="D5546" i="1"/>
  <c r="E5546" i="1" s="1"/>
  <c r="D5548" i="1"/>
  <c r="E5548" i="1" s="1"/>
  <c r="D5555" i="1"/>
  <c r="E5555" i="1" s="1"/>
  <c r="D5557" i="1"/>
  <c r="E5557" i="1" s="1"/>
  <c r="D5558" i="1"/>
  <c r="E5558" i="1" s="1"/>
  <c r="D5562" i="1"/>
  <c r="D5565" i="1"/>
  <c r="E5565" i="1" s="1"/>
  <c r="D5566" i="1"/>
  <c r="E5566" i="1" s="1"/>
  <c r="D5567" i="1"/>
  <c r="E5567" i="1" s="1"/>
  <c r="D5569" i="1"/>
  <c r="E5569" i="1" s="1"/>
  <c r="D5573" i="1"/>
  <c r="D5577" i="1"/>
  <c r="E5577" i="1" s="1"/>
  <c r="D5580" i="1"/>
  <c r="E5580" i="1" s="1"/>
  <c r="D5581" i="1"/>
  <c r="E5581" i="1" s="1"/>
  <c r="D5582" i="1"/>
  <c r="E5582" i="1" s="1"/>
  <c r="D5584" i="1"/>
  <c r="D5585" i="1"/>
  <c r="D5597" i="1" s="1"/>
  <c r="D5586" i="1"/>
  <c r="D5589" i="1"/>
  <c r="E5589" i="1" s="1"/>
  <c r="D5592" i="1"/>
  <c r="E5592" i="1" s="1"/>
  <c r="D5593" i="1"/>
  <c r="E5593" i="1" s="1"/>
  <c r="D5594" i="1"/>
  <c r="E5594" i="1" s="1"/>
  <c r="D5598" i="1"/>
  <c r="D5604" i="1"/>
  <c r="E5604" i="1" s="1"/>
  <c r="D5605" i="1"/>
  <c r="E5605" i="1" s="1"/>
  <c r="D5606" i="1"/>
  <c r="D5609" i="1"/>
  <c r="E5609" i="1" s="1"/>
  <c r="D5612" i="1"/>
  <c r="E5612" i="1" s="1"/>
  <c r="D5613" i="1"/>
  <c r="E5613" i="1" s="1"/>
  <c r="D5614" i="1"/>
  <c r="E5614" i="1" s="1"/>
  <c r="D5618" i="1"/>
  <c r="D5625" i="1"/>
  <c r="E5625" i="1" s="1"/>
  <c r="D5628" i="1"/>
  <c r="E5628" i="1" s="1"/>
  <c r="D5629" i="1"/>
  <c r="E5629" i="1" s="1"/>
  <c r="D5630" i="1"/>
  <c r="E5630" i="1" s="1"/>
  <c r="D5631" i="1"/>
  <c r="E5631" i="1" s="1"/>
  <c r="D5632" i="1"/>
  <c r="E5632" i="1" s="1"/>
  <c r="D5636" i="1"/>
  <c r="D5639" i="1"/>
  <c r="E5639" i="1" s="1"/>
  <c r="D5641" i="1"/>
  <c r="E5641" i="1" s="1"/>
  <c r="D5643" i="1"/>
  <c r="D5652" i="1" s="1"/>
  <c r="E5652" i="1" s="1"/>
  <c r="D5645" i="1"/>
  <c r="D5648" i="1"/>
  <c r="E5648" i="1" s="1"/>
  <c r="D5650" i="1"/>
  <c r="E5650" i="1" s="1"/>
  <c r="D5654" i="1"/>
  <c r="D5657" i="1"/>
  <c r="E5657" i="1" s="1"/>
  <c r="D5659" i="1"/>
  <c r="E5659" i="1" s="1"/>
  <c r="D5660" i="1"/>
  <c r="E5660" i="1" s="1"/>
  <c r="D5664" i="1"/>
  <c r="D5675" i="1"/>
  <c r="E5675" i="1" s="1"/>
  <c r="D5676" i="1"/>
  <c r="E5676" i="1" s="1"/>
  <c r="D5677" i="1"/>
  <c r="E5677" i="1" s="1"/>
  <c r="D5679" i="1"/>
  <c r="E5679" i="1" s="1"/>
  <c r="D5683" i="1"/>
  <c r="D5697" i="1" s="1"/>
  <c r="D5709" i="1" s="1"/>
  <c r="D5717" i="1" s="1"/>
  <c r="D5734" i="1" s="1"/>
  <c r="D5748" i="1" s="1"/>
  <c r="D5757" i="1" s="1"/>
  <c r="D5766" i="1" s="1"/>
  <c r="D5782" i="1" s="1"/>
  <c r="D5793" i="1" s="1"/>
  <c r="D5806" i="1" s="1"/>
  <c r="D5817" i="1" s="1"/>
  <c r="D5838" i="1" s="1"/>
  <c r="D5845" i="1" s="1"/>
  <c r="D5688" i="1"/>
  <c r="E5688" i="1" s="1"/>
  <c r="D5691" i="1"/>
  <c r="E5691" i="1" s="1"/>
  <c r="D5692" i="1"/>
  <c r="E5692" i="1" s="1"/>
  <c r="D5693" i="1"/>
  <c r="E5693" i="1" s="1"/>
  <c r="D5695" i="1"/>
  <c r="D5707" i="1" s="1"/>
  <c r="D5732" i="1" s="1"/>
  <c r="E5732" i="1" s="1"/>
  <c r="D5696" i="1"/>
  <c r="E5696" i="1" s="1"/>
  <c r="D5700" i="1"/>
  <c r="E5700" i="1" s="1"/>
  <c r="D5703" i="1"/>
  <c r="E5703" i="1" s="1"/>
  <c r="D5704" i="1"/>
  <c r="E5704" i="1" s="1"/>
  <c r="D5705" i="1"/>
  <c r="E5705" i="1" s="1"/>
  <c r="D5715" i="1"/>
  <c r="E5715" i="1" s="1"/>
  <c r="D5716" i="1"/>
  <c r="E5716" i="1" s="1"/>
  <c r="D5725" i="1"/>
  <c r="E5725" i="1" s="1"/>
  <c r="D5728" i="1"/>
  <c r="E5728" i="1" s="1"/>
  <c r="D5729" i="1"/>
  <c r="E5729" i="1" s="1"/>
  <c r="D5730" i="1"/>
  <c r="E5730" i="1" s="1"/>
  <c r="D5737" i="1"/>
  <c r="E5737" i="1" s="1"/>
  <c r="D5740" i="1"/>
  <c r="E5740" i="1" s="1"/>
  <c r="D5741" i="1"/>
  <c r="E5741" i="1" s="1"/>
  <c r="D5742" i="1"/>
  <c r="E5742" i="1" s="1"/>
  <c r="D5743" i="1"/>
  <c r="E5743" i="1" s="1"/>
  <c r="D5744" i="1"/>
  <c r="E5744" i="1" s="1"/>
  <c r="D5751" i="1"/>
  <c r="E5751" i="1" s="1"/>
  <c r="D5753" i="1"/>
  <c r="E5753" i="1" s="1"/>
  <c r="D5755" i="1"/>
  <c r="E5755" i="1" s="1"/>
  <c r="D5760" i="1"/>
  <c r="E5760" i="1" s="1"/>
  <c r="D5762" i="1"/>
  <c r="E5762" i="1" s="1"/>
  <c r="D5775" i="1"/>
  <c r="E5775" i="1" s="1"/>
  <c r="D5777" i="1"/>
  <c r="E5777" i="1" s="1"/>
  <c r="D5778" i="1"/>
  <c r="E5778" i="1" s="1"/>
  <c r="D5785" i="1"/>
  <c r="E5785" i="1" s="1"/>
  <c r="D5786" i="1"/>
  <c r="E5786" i="1" s="1"/>
  <c r="D5787" i="1"/>
  <c r="E5787" i="1" s="1"/>
  <c r="D5789" i="1"/>
  <c r="E5789" i="1" s="1"/>
  <c r="D5798" i="1"/>
  <c r="E5798" i="1" s="1"/>
  <c r="D5799" i="1"/>
  <c r="E5799" i="1" s="1"/>
  <c r="D5800" i="1"/>
  <c r="E5800" i="1" s="1"/>
  <c r="D5801" i="1"/>
  <c r="E5801" i="1" s="1"/>
  <c r="D5802" i="1"/>
  <c r="E5802" i="1" s="1"/>
  <c r="E5803" i="1"/>
  <c r="D5804" i="1"/>
  <c r="E5804" i="1" s="1"/>
  <c r="D5805" i="1"/>
  <c r="E5805" i="1" s="1"/>
  <c r="D5810" i="1"/>
  <c r="E5810" i="1" s="1"/>
  <c r="D5811" i="1"/>
  <c r="E5811" i="1" s="1"/>
  <c r="D5812" i="1"/>
  <c r="E5812" i="1" s="1"/>
  <c r="D5814" i="1"/>
  <c r="E5814" i="1" s="1"/>
  <c r="D5815" i="1"/>
  <c r="E5815" i="1" s="1"/>
  <c r="D5816" i="1"/>
  <c r="E5816" i="1" s="1"/>
  <c r="D5826" i="1"/>
  <c r="E5826" i="1" s="1"/>
  <c r="D5827" i="1"/>
  <c r="E5827" i="1" s="1"/>
  <c r="D5828" i="1"/>
  <c r="E5828" i="1" s="1"/>
  <c r="D5830" i="1"/>
  <c r="E5830" i="1" s="1"/>
  <c r="D5835" i="1"/>
  <c r="D5842" i="1" s="1"/>
  <c r="E5842" i="1" s="1"/>
  <c r="D5836" i="1"/>
  <c r="E5836" i="1" s="1"/>
  <c r="D5837" i="1"/>
  <c r="E5837" i="1" s="1"/>
  <c r="E5844" i="1"/>
  <c r="D5853" i="1"/>
  <c r="D5854" i="1"/>
  <c r="E5854" i="1" s="1"/>
  <c r="D5866" i="1"/>
  <c r="E5866" i="1" s="1"/>
  <c r="D5867" i="1"/>
  <c r="D5872" i="1"/>
  <c r="E5872" i="1" s="1"/>
  <c r="D5873" i="1"/>
  <c r="E5878" i="1"/>
  <c r="E5883" i="1"/>
  <c r="D5889" i="1"/>
  <c r="E5889" i="1" s="1"/>
  <c r="D5891" i="1"/>
  <c r="E5891" i="1" s="1"/>
  <c r="D5892" i="1"/>
  <c r="E5892" i="1" s="1"/>
  <c r="D5893" i="1"/>
  <c r="D5900" i="1" s="1"/>
  <c r="D5896" i="1"/>
  <c r="E5896" i="1" s="1"/>
  <c r="D5898" i="1"/>
  <c r="D5899" i="1"/>
  <c r="D5911" i="1"/>
  <c r="E5911" i="1" s="1"/>
  <c r="D5913" i="1"/>
  <c r="D5914" i="1"/>
  <c r="E5937" i="1"/>
  <c r="D5949" i="1"/>
  <c r="E5949" i="1" s="1"/>
  <c r="D5950" i="1"/>
  <c r="D5955" i="1"/>
  <c r="E5955" i="1" s="1"/>
  <c r="D5956" i="1"/>
  <c r="E5960" i="1"/>
  <c r="D5964" i="1"/>
  <c r="E5964" i="1" s="1"/>
  <c r="D5966" i="1"/>
  <c r="E5966" i="1" s="1"/>
  <c r="D5967" i="1"/>
  <c r="E5967" i="1" s="1"/>
  <c r="D5968" i="1"/>
  <c r="D5982" i="1" s="1"/>
  <c r="E5971" i="1"/>
  <c r="B5975" i="1" s="1"/>
  <c r="D5973" i="1"/>
  <c r="D5980" i="1" s="1"/>
  <c r="E5980" i="1" s="1"/>
  <c r="D5978" i="1"/>
  <c r="E5978" i="1" s="1"/>
  <c r="E5989" i="1"/>
  <c r="D5996" i="1"/>
  <c r="D6002" i="1" s="1"/>
  <c r="D6007" i="1" s="1"/>
  <c r="D6014" i="1" s="1"/>
  <c r="D6021" i="1" s="1"/>
  <c r="D6028" i="1" s="1"/>
  <c r="D5995" i="1"/>
  <c r="E5995" i="1" s="1"/>
  <c r="D6001" i="1"/>
  <c r="E6001" i="1" s="1"/>
  <c r="E6006" i="1"/>
  <c r="D6010" i="1"/>
  <c r="E6010" i="1" s="1"/>
  <c r="D6012" i="1"/>
  <c r="E6012" i="1" s="1"/>
  <c r="D6013" i="1"/>
  <c r="E6013" i="1" s="1"/>
  <c r="D6017" i="1"/>
  <c r="E6017" i="1" s="1"/>
  <c r="D6019" i="1"/>
  <c r="E6019" i="1" s="1"/>
  <c r="D6020" i="1"/>
  <c r="E6020" i="1" s="1"/>
  <c r="D6024" i="1"/>
  <c r="E6024" i="1" s="1"/>
  <c r="D6026" i="1"/>
  <c r="E6026" i="1" s="1"/>
  <c r="D6027" i="1"/>
  <c r="E6027" i="1" s="1"/>
  <c r="E6042" i="1"/>
  <c r="D6049" i="1"/>
  <c r="D6055" i="1" s="1"/>
  <c r="D6062" i="1" s="1"/>
  <c r="D6069" i="1" s="1"/>
  <c r="D6076" i="1" s="1"/>
  <c r="D6083" i="1" s="1"/>
  <c r="D6048" i="1"/>
  <c r="E6048" i="1" s="1"/>
  <c r="D6054" i="1"/>
  <c r="E6054" i="1" s="1"/>
  <c r="E6061" i="1"/>
  <c r="D6065" i="1"/>
  <c r="E6065" i="1" s="1"/>
  <c r="D6067" i="1"/>
  <c r="E6067" i="1" s="1"/>
  <c r="D6068" i="1"/>
  <c r="E6068" i="1" s="1"/>
  <c r="D6072" i="1"/>
  <c r="E6072" i="1" s="1"/>
  <c r="D6074" i="1"/>
  <c r="E6074" i="1" s="1"/>
  <c r="D6075" i="1"/>
  <c r="E6075" i="1" s="1"/>
  <c r="D6079" i="1"/>
  <c r="E6079" i="1" s="1"/>
  <c r="D6081" i="1"/>
  <c r="E6081" i="1" s="1"/>
  <c r="D6082" i="1"/>
  <c r="E6082" i="1" s="1"/>
  <c r="D6103" i="1"/>
  <c r="D6110" i="1"/>
  <c r="D6116" i="1" s="1"/>
  <c r="D6129" i="1" s="1"/>
  <c r="D6136" i="1" s="1"/>
  <c r="D6143" i="1" s="1"/>
  <c r="D6150" i="1" s="1"/>
  <c r="D6109" i="1"/>
  <c r="E6109" i="1" s="1"/>
  <c r="D6115" i="1"/>
  <c r="E6115" i="1" s="1"/>
  <c r="D6128" i="1"/>
  <c r="E6128" i="1" s="1"/>
  <c r="D6132" i="1"/>
  <c r="E6132" i="1" s="1"/>
  <c r="D6134" i="1"/>
  <c r="E6134" i="1" s="1"/>
  <c r="D6135" i="1"/>
  <c r="E6135" i="1" s="1"/>
  <c r="D6139" i="1"/>
  <c r="E6139" i="1" s="1"/>
  <c r="D6141" i="1"/>
  <c r="E6141" i="1" s="1"/>
  <c r="D6142" i="1"/>
  <c r="E6142" i="1" s="1"/>
  <c r="D6146" i="1"/>
  <c r="E6146" i="1" s="1"/>
  <c r="D6148" i="1"/>
  <c r="E6148" i="1" s="1"/>
  <c r="D6149" i="1"/>
  <c r="E6149" i="1" s="1"/>
  <c r="E6157" i="1"/>
  <c r="D6158" i="1"/>
  <c r="D6164" i="1" s="1"/>
  <c r="D6170" i="1" s="1"/>
  <c r="D6177" i="1" s="1"/>
  <c r="D6184" i="1" s="1"/>
  <c r="D6191" i="1" s="1"/>
  <c r="D6163" i="1"/>
  <c r="E6163" i="1" s="1"/>
  <c r="D6169" i="1"/>
  <c r="E6169" i="1" s="1"/>
  <c r="D6176" i="1"/>
  <c r="E6176" i="1" s="1"/>
  <c r="D6180" i="1"/>
  <c r="E6180" i="1" s="1"/>
  <c r="D6182" i="1"/>
  <c r="E6182" i="1" s="1"/>
  <c r="D6183" i="1"/>
  <c r="E6183" i="1" s="1"/>
  <c r="D6187" i="1"/>
  <c r="E6187" i="1" s="1"/>
  <c r="D6189" i="1"/>
  <c r="D6190" i="1"/>
  <c r="E6190" i="1" s="1"/>
  <c r="D6198" i="1"/>
  <c r="E6198" i="1" s="1"/>
  <c r="D6199" i="1"/>
  <c r="E6199" i="1" s="1"/>
  <c r="D6201" i="1"/>
  <c r="E6201" i="1" s="1"/>
  <c r="D6202" i="1"/>
  <c r="D6220" i="1" s="1"/>
  <c r="D6203" i="1"/>
  <c r="E6203" i="1" s="1"/>
  <c r="D6204" i="1"/>
  <c r="E6207" i="1"/>
  <c r="D6208" i="1"/>
  <c r="E6208" i="1" s="1"/>
  <c r="E6212" i="1"/>
  <c r="D6216" i="1"/>
  <c r="E6216" i="1" s="1"/>
  <c r="D6217" i="1"/>
  <c r="E6217" i="1" s="1"/>
  <c r="D6219" i="1"/>
  <c r="E6219" i="1" s="1"/>
  <c r="D6221" i="1"/>
  <c r="E6221" i="1" s="1"/>
  <c r="D6222" i="1"/>
  <c r="D6224" i="1"/>
  <c r="E6224" i="1" s="1"/>
  <c r="D6225" i="1"/>
  <c r="E6225" i="1" s="1"/>
  <c r="D6227" i="1"/>
  <c r="E6227" i="1" s="1"/>
  <c r="D6229" i="1"/>
  <c r="E6229" i="1" s="1"/>
  <c r="D6230" i="1"/>
  <c r="D6233" i="1"/>
  <c r="E6233" i="1" s="1"/>
  <c r="D6234" i="1"/>
  <c r="E6234" i="1" s="1"/>
  <c r="D6236" i="1"/>
  <c r="E6236" i="1" s="1"/>
  <c r="D6238" i="1"/>
  <c r="E6238" i="1" s="1"/>
  <c r="D6239" i="1"/>
  <c r="D6242" i="1"/>
  <c r="E6242" i="1" s="1"/>
  <c r="D6243" i="1"/>
  <c r="E6243" i="1" s="1"/>
  <c r="D6245" i="1"/>
  <c r="E6245" i="1" s="1"/>
  <c r="D6247" i="1"/>
  <c r="E6247" i="1" s="1"/>
  <c r="D6248" i="1"/>
  <c r="D6251" i="1"/>
  <c r="E6251" i="1" s="1"/>
  <c r="D6252" i="1"/>
  <c r="E6252" i="1" s="1"/>
  <c r="D6254" i="1"/>
  <c r="E6254" i="1" s="1"/>
  <c r="D6255" i="1"/>
  <c r="E6255" i="1" s="1"/>
  <c r="D6256" i="1"/>
  <c r="E6256" i="1" s="1"/>
  <c r="D6257" i="1"/>
  <c r="D6260" i="1"/>
  <c r="E6260" i="1" s="1"/>
  <c r="D6261" i="1"/>
  <c r="E6261" i="1" s="1"/>
  <c r="D6263" i="1"/>
  <c r="E6263" i="1" s="1"/>
  <c r="D6264" i="1"/>
  <c r="E6264" i="1" s="1"/>
  <c r="D6265" i="1"/>
  <c r="E6265" i="1" s="1"/>
  <c r="D6266" i="1"/>
  <c r="D6269" i="1"/>
  <c r="E6269" i="1" s="1"/>
  <c r="D6271" i="1"/>
  <c r="E6271" i="1" s="1"/>
  <c r="D6272" i="1"/>
  <c r="D6280" i="1" s="1"/>
  <c r="D6274" i="1"/>
  <c r="E6274" i="1" s="1"/>
  <c r="D6275" i="1"/>
  <c r="E6275" i="1" s="1"/>
  <c r="D6276" i="1"/>
  <c r="E6276" i="1" s="1"/>
  <c r="D6278" i="1"/>
  <c r="E6278" i="1" s="1"/>
  <c r="D6279" i="1"/>
  <c r="E6279" i="1" s="1"/>
  <c r="D6285" i="1"/>
  <c r="E6285" i="1" s="1"/>
  <c r="D6286" i="1"/>
  <c r="D6288" i="1"/>
  <c r="E6288" i="1" s="1"/>
  <c r="D6290" i="1"/>
  <c r="E6290" i="1" s="1"/>
  <c r="D6291" i="1"/>
  <c r="E6291" i="1" s="1"/>
  <c r="D6292" i="1"/>
  <c r="E6292" i="1" s="1"/>
  <c r="D6293" i="1"/>
  <c r="D6296" i="1"/>
  <c r="E6296" i="1" s="1"/>
  <c r="D6299" i="1"/>
  <c r="E6299" i="1" s="1"/>
  <c r="D6301" i="1"/>
  <c r="E6301" i="1" s="1"/>
  <c r="D6302" i="1"/>
  <c r="E6302" i="1" s="1"/>
  <c r="D6303" i="1"/>
  <c r="E6303" i="1" s="1"/>
  <c r="D6307" i="1"/>
  <c r="E6307" i="1" s="1"/>
  <c r="D6308" i="1"/>
  <c r="E6308" i="1" s="1"/>
  <c r="D6310" i="1"/>
  <c r="E6310" i="1" s="1"/>
  <c r="D6312" i="1"/>
  <c r="E6312" i="1" s="1"/>
  <c r="D6313" i="1"/>
  <c r="E6313" i="1" s="1"/>
  <c r="D6314" i="1"/>
  <c r="E6314" i="1" s="1"/>
  <c r="D6315" i="1"/>
  <c r="D6329" i="1"/>
  <c r="E6329" i="1" s="1"/>
  <c r="D6330" i="1"/>
  <c r="E6330" i="1" s="1"/>
  <c r="D6331" i="1"/>
  <c r="E6331" i="1" s="1"/>
  <c r="D6332" i="1"/>
  <c r="D6335" i="1"/>
  <c r="E6335" i="1" s="1"/>
  <c r="D6336" i="1"/>
  <c r="E6336" i="1" s="1"/>
  <c r="D6338" i="1"/>
  <c r="E6338" i="1" s="1"/>
  <c r="D6340" i="1"/>
  <c r="E6340" i="1" s="1"/>
  <c r="D6341" i="1"/>
  <c r="E6341" i="1" s="1"/>
  <c r="D6342" i="1"/>
  <c r="E6342" i="1" s="1"/>
  <c r="D6343" i="1"/>
  <c r="D6346" i="1"/>
  <c r="E6346" i="1" s="1"/>
  <c r="D6347" i="1"/>
  <c r="E6347" i="1" s="1"/>
  <c r="D6349" i="1"/>
  <c r="E6349" i="1" s="1"/>
  <c r="D6351" i="1"/>
  <c r="E6351" i="1" s="1"/>
  <c r="D6352" i="1"/>
  <c r="E6352" i="1" s="1"/>
  <c r="D6353" i="1"/>
  <c r="E6353" i="1" s="1"/>
  <c r="D6354" i="1"/>
  <c r="D6357" i="1"/>
  <c r="E6357" i="1" s="1"/>
  <c r="D6358" i="1"/>
  <c r="E6358" i="1" s="1"/>
  <c r="D6360" i="1"/>
  <c r="E6360" i="1" s="1"/>
  <c r="D6361" i="1"/>
  <c r="E6361" i="1" s="1"/>
  <c r="D6362" i="1"/>
  <c r="E6362" i="1" s="1"/>
  <c r="D6364" i="1"/>
  <c r="D6367" i="1"/>
  <c r="E6367" i="1" s="1"/>
  <c r="D6368" i="1"/>
  <c r="E6368" i="1" s="1"/>
  <c r="D6370" i="1"/>
  <c r="E6370" i="1" s="1"/>
  <c r="E6371" i="1"/>
  <c r="D6372" i="1"/>
  <c r="E6372" i="1" s="1"/>
  <c r="D6374" i="1"/>
  <c r="D6376" i="1"/>
  <c r="E6376" i="1" s="1"/>
  <c r="D6378" i="1"/>
  <c r="E6378" i="1" s="1"/>
  <c r="D6380" i="1"/>
  <c r="D6385" i="1"/>
  <c r="E6385" i="1" s="1"/>
  <c r="D6386" i="1"/>
  <c r="E6386" i="1" s="1"/>
  <c r="D6388" i="1"/>
  <c r="E6388" i="1" s="1"/>
  <c r="D6389" i="1"/>
  <c r="E6389" i="1" s="1"/>
  <c r="D6390" i="1"/>
  <c r="E6390" i="1" s="1"/>
  <c r="D6391" i="1"/>
  <c r="E6391" i="1" s="1"/>
  <c r="D6392" i="1"/>
  <c r="E6392" i="1" s="1"/>
  <c r="D6393" i="1"/>
  <c r="D6396" i="1"/>
  <c r="E6396" i="1" s="1"/>
  <c r="D6397" i="1"/>
  <c r="E6397" i="1" s="1"/>
  <c r="D6399" i="1"/>
  <c r="E6399" i="1" s="1"/>
  <c r="D6401" i="1"/>
  <c r="E6401" i="1" s="1"/>
  <c r="D6407" i="1"/>
  <c r="E6407" i="1" s="1"/>
  <c r="D6408" i="1"/>
  <c r="E6408" i="1" s="1"/>
  <c r="D6410" i="1"/>
  <c r="E6410" i="1" s="1"/>
  <c r="D6412" i="1"/>
  <c r="E6412" i="1" s="1"/>
  <c r="D6413" i="1"/>
  <c r="E6413" i="1" s="1"/>
  <c r="D6414" i="1"/>
  <c r="E6414" i="1" s="1"/>
  <c r="D6415" i="1"/>
  <c r="D6418" i="1"/>
  <c r="E6418" i="1" s="1"/>
  <c r="D6419" i="1"/>
  <c r="E6419" i="1" s="1"/>
  <c r="D6421" i="1"/>
  <c r="E6421" i="1" s="1"/>
  <c r="D6423" i="1"/>
  <c r="E6423" i="1" s="1"/>
  <c r="D6424" i="1"/>
  <c r="E6424" i="1" s="1"/>
  <c r="D6425" i="1"/>
  <c r="E6425" i="1" s="1"/>
  <c r="D6426" i="1"/>
  <c r="D6428" i="1"/>
  <c r="E6428" i="1" s="1"/>
  <c r="D6429" i="1"/>
  <c r="E6429" i="1" s="1"/>
  <c r="D6431" i="1"/>
  <c r="E6431" i="1" s="1"/>
  <c r="D6433" i="1"/>
  <c r="E6433" i="1" s="1"/>
  <c r="D6434" i="1"/>
  <c r="E6434" i="1" s="1"/>
  <c r="D6435" i="1"/>
  <c r="E6435" i="1" s="1"/>
  <c r="D6436" i="1"/>
  <c r="D6439" i="1"/>
  <c r="E6439" i="1" s="1"/>
  <c r="D6440" i="1"/>
  <c r="E6440" i="1" s="1"/>
  <c r="D6442" i="1"/>
  <c r="E6442" i="1" s="1"/>
  <c r="D6444" i="1"/>
  <c r="E6444" i="1" s="1"/>
  <c r="D6445" i="1"/>
  <c r="E6445" i="1" s="1"/>
  <c r="D6446" i="1"/>
  <c r="E6446" i="1" s="1"/>
  <c r="D6447" i="1"/>
  <c r="D6450" i="1"/>
  <c r="E6450" i="1" s="1"/>
  <c r="D6451" i="1"/>
  <c r="E6451" i="1" s="1"/>
  <c r="D6453" i="1"/>
  <c r="E6453" i="1" s="1"/>
  <c r="D6454" i="1"/>
  <c r="E6454" i="1" s="1"/>
  <c r="D6455" i="1"/>
  <c r="E6455" i="1" s="1"/>
  <c r="D6457" i="1"/>
  <c r="D6460" i="1"/>
  <c r="E6460" i="1" s="1"/>
  <c r="D6461" i="1"/>
  <c r="E6461" i="1" s="1"/>
  <c r="D6463" i="1"/>
  <c r="E6463" i="1" s="1"/>
  <c r="D6464" i="1"/>
  <c r="E6464" i="1" s="1"/>
  <c r="D6465" i="1"/>
  <c r="E6465" i="1" s="1"/>
  <c r="D6467" i="1"/>
  <c r="D6470" i="1"/>
  <c r="E6470" i="1" s="1"/>
  <c r="D6472" i="1"/>
  <c r="E6472" i="1" s="1"/>
  <c r="D6474" i="1"/>
  <c r="D6488" i="1" s="1"/>
  <c r="D6480" i="1"/>
  <c r="E6480" i="1" s="1"/>
  <c r="D6481" i="1"/>
  <c r="E6481" i="1" s="1"/>
  <c r="D6483" i="1"/>
  <c r="E6483" i="1" s="1"/>
  <c r="D6484" i="1"/>
  <c r="D6506" i="1" s="1"/>
  <c r="D6517" i="1" s="1"/>
  <c r="E6517" i="1" s="1"/>
  <c r="D6485" i="1"/>
  <c r="E6485" i="1" s="1"/>
  <c r="D6486" i="1"/>
  <c r="E6486" i="1" s="1"/>
  <c r="D6487" i="1"/>
  <c r="E6487" i="1" s="1"/>
  <c r="D6491" i="1"/>
  <c r="E6491" i="1" s="1"/>
  <c r="D6492" i="1"/>
  <c r="E6492" i="1" s="1"/>
  <c r="D6494" i="1"/>
  <c r="E6494" i="1" s="1"/>
  <c r="D6496" i="1"/>
  <c r="E6496" i="1" s="1"/>
  <c r="D6502" i="1"/>
  <c r="E6502" i="1" s="1"/>
  <c r="D6503" i="1"/>
  <c r="E6503" i="1" s="1"/>
  <c r="D6505" i="1"/>
  <c r="E6505" i="1" s="1"/>
  <c r="D6507" i="1"/>
  <c r="E6507" i="1" s="1"/>
  <c r="D6513" i="1"/>
  <c r="E6513" i="1" s="1"/>
  <c r="D6514" i="1"/>
  <c r="E6514" i="1" s="1"/>
  <c r="D6516" i="1"/>
  <c r="E6516" i="1" s="1"/>
  <c r="D6518" i="1"/>
  <c r="E6518" i="1" s="1"/>
  <c r="D6528" i="1"/>
  <c r="E6528" i="1" s="1"/>
  <c r="D6529" i="1"/>
  <c r="E6529" i="1" s="1"/>
  <c r="D6531" i="1"/>
  <c r="E6531" i="1" s="1"/>
  <c r="D6533" i="1"/>
  <c r="E6533" i="1" s="1"/>
  <c r="D6539" i="1"/>
  <c r="E6539" i="1" s="1"/>
  <c r="D6540" i="1"/>
  <c r="E6540" i="1" s="1"/>
  <c r="D6542" i="1"/>
  <c r="E6542" i="1" s="1"/>
  <c r="D6544" i="1"/>
  <c r="E6544" i="1" s="1"/>
  <c r="D6550" i="1"/>
  <c r="E6550" i="1" s="1"/>
  <c r="D6551" i="1"/>
  <c r="E6551" i="1" s="1"/>
  <c r="D6553" i="1"/>
  <c r="E6553" i="1" s="1"/>
  <c r="D6554" i="1"/>
  <c r="E6554" i="1" s="1"/>
  <c r="D6555" i="1"/>
  <c r="E6555" i="1" s="1"/>
  <c r="D6560" i="1"/>
  <c r="E6560" i="1" s="1"/>
  <c r="D6561" i="1"/>
  <c r="E6561" i="1" s="1"/>
  <c r="D6563" i="1"/>
  <c r="E6563" i="1" s="1"/>
  <c r="D6564" i="1"/>
  <c r="E6564" i="1" s="1"/>
  <c r="D6565" i="1"/>
  <c r="E6565" i="1" s="1"/>
  <c r="D6570" i="1"/>
  <c r="E6570" i="1" s="1"/>
  <c r="D6572" i="1"/>
  <c r="E6572" i="1" s="1"/>
  <c r="D6580" i="1"/>
  <c r="E6580" i="1" s="1"/>
  <c r="D6581" i="1"/>
  <c r="E6581" i="1" s="1"/>
  <c r="D6583" i="1"/>
  <c r="E6583" i="1" s="1"/>
  <c r="D6584" i="1"/>
  <c r="E6584" i="1" s="1"/>
  <c r="D6585" i="1"/>
  <c r="E6585" i="1" s="1"/>
  <c r="D6586" i="1"/>
  <c r="D6597" i="1" s="1"/>
  <c r="E6597" i="1" s="1"/>
  <c r="D6587" i="1"/>
  <c r="D6609" i="1" s="1"/>
  <c r="D6620" i="1" s="1"/>
  <c r="D6635" i="1" s="1"/>
  <c r="D6646" i="1" s="1"/>
  <c r="E6646" i="1" s="1"/>
  <c r="D6591" i="1"/>
  <c r="E6591" i="1" s="1"/>
  <c r="D6592" i="1"/>
  <c r="E6592" i="1" s="1"/>
  <c r="D6594" i="1"/>
  <c r="E6594" i="1" s="1"/>
  <c r="D6596" i="1"/>
  <c r="E6596" i="1" s="1"/>
  <c r="D6602" i="1"/>
  <c r="E6602" i="1" s="1"/>
  <c r="D6603" i="1"/>
  <c r="E6603" i="1" s="1"/>
  <c r="D6605" i="1"/>
  <c r="E6605" i="1" s="1"/>
  <c r="D6607" i="1"/>
  <c r="E6607" i="1" s="1"/>
  <c r="D6613" i="1"/>
  <c r="E6613" i="1" s="1"/>
  <c r="D6614" i="1"/>
  <c r="E6614" i="1" s="1"/>
  <c r="D6616" i="1"/>
  <c r="E6616" i="1" s="1"/>
  <c r="D6618" i="1"/>
  <c r="E6618" i="1" s="1"/>
  <c r="D6628" i="1"/>
  <c r="E6628" i="1" s="1"/>
  <c r="D6629" i="1"/>
  <c r="E6629" i="1" s="1"/>
  <c r="D6631" i="1"/>
  <c r="E6631" i="1" s="1"/>
  <c r="D6633" i="1"/>
  <c r="E6633" i="1" s="1"/>
  <c r="D6639" i="1"/>
  <c r="E6639" i="1" s="1"/>
  <c r="D6640" i="1"/>
  <c r="E6640" i="1" s="1"/>
  <c r="D6644" i="1"/>
  <c r="E6644" i="1" s="1"/>
  <c r="D6650" i="1"/>
  <c r="E6650" i="1" s="1"/>
  <c r="D6651" i="1"/>
  <c r="E6651" i="1" s="1"/>
  <c r="D6653" i="1"/>
  <c r="E6653" i="1" s="1"/>
  <c r="D6654" i="1"/>
  <c r="E6654" i="1" s="1"/>
  <c r="D6655" i="1"/>
  <c r="E6655" i="1" s="1"/>
  <c r="D6660" i="1"/>
  <c r="E6660" i="1" s="1"/>
  <c r="D6661" i="1"/>
  <c r="E6661" i="1" s="1"/>
  <c r="D6663" i="1"/>
  <c r="E6663" i="1" s="1"/>
  <c r="D6664" i="1"/>
  <c r="E6664" i="1" s="1"/>
  <c r="D6665" i="1"/>
  <c r="E6665" i="1" s="1"/>
  <c r="D6670" i="1"/>
  <c r="E6670" i="1" s="1"/>
  <c r="D6672" i="1"/>
  <c r="E6672" i="1" s="1"/>
  <c r="D6680" i="1"/>
  <c r="E6680" i="1" s="1"/>
  <c r="D6681" i="1"/>
  <c r="E6681" i="1" s="1"/>
  <c r="D6683" i="1"/>
  <c r="E6683" i="1" s="1"/>
  <c r="D6684" i="1"/>
  <c r="D6706" i="1" s="1"/>
  <c r="E6706" i="1" s="1"/>
  <c r="D6685" i="1"/>
  <c r="E6685" i="1" s="1"/>
  <c r="D6686" i="1"/>
  <c r="D6697" i="1" s="1"/>
  <c r="E6697" i="1" s="1"/>
  <c r="D6687" i="1"/>
  <c r="D6709" i="1" s="1"/>
  <c r="E6709" i="1" s="1"/>
  <c r="D6691" i="1"/>
  <c r="E6691" i="1" s="1"/>
  <c r="D6692" i="1"/>
  <c r="E6692" i="1" s="1"/>
  <c r="D6694" i="1"/>
  <c r="E6694" i="1" s="1"/>
  <c r="D6696" i="1"/>
  <c r="E6696" i="1" s="1"/>
  <c r="D6702" i="1"/>
  <c r="E6702" i="1" s="1"/>
  <c r="D6703" i="1"/>
  <c r="E6703" i="1" s="1"/>
  <c r="D6705" i="1"/>
  <c r="E6705" i="1" s="1"/>
  <c r="D6707" i="1"/>
  <c r="E6707" i="1" s="1"/>
  <c r="D6713" i="1"/>
  <c r="E6713" i="1" s="1"/>
  <c r="D6714" i="1"/>
  <c r="E6714" i="1" s="1"/>
  <c r="D6716" i="1"/>
  <c r="E6716" i="1" s="1"/>
  <c r="D6718" i="1"/>
  <c r="E6718" i="1" s="1"/>
  <c r="D6728" i="1"/>
  <c r="E6728" i="1" s="1"/>
  <c r="D6729" i="1"/>
  <c r="E6729" i="1" s="1"/>
  <c r="D6731" i="1"/>
  <c r="D6733" i="1"/>
  <c r="E6733" i="1" s="1"/>
  <c r="D6739" i="1"/>
  <c r="E6739" i="1" s="1"/>
  <c r="D6740" i="1"/>
  <c r="E6740" i="1" s="1"/>
  <c r="D6744" i="1"/>
  <c r="E6744" i="1" s="1"/>
  <c r="D6750" i="1"/>
  <c r="E6750" i="1" s="1"/>
  <c r="D6751" i="1"/>
  <c r="E6751" i="1" s="1"/>
  <c r="D6753" i="1"/>
  <c r="E6753" i="1" s="1"/>
  <c r="D6754" i="1"/>
  <c r="E6754" i="1" s="1"/>
  <c r="D6755" i="1"/>
  <c r="E6755" i="1" s="1"/>
  <c r="D6760" i="1"/>
  <c r="E6760" i="1" s="1"/>
  <c r="D6761" i="1"/>
  <c r="E6761" i="1" s="1"/>
  <c r="D6763" i="1"/>
  <c r="E6763" i="1" s="1"/>
  <c r="D6764" i="1"/>
  <c r="E6764" i="1" s="1"/>
  <c r="D6765" i="1"/>
  <c r="E6765" i="1" s="1"/>
  <c r="D6770" i="1"/>
  <c r="E6770" i="1" s="1"/>
  <c r="D6772" i="1"/>
  <c r="E6772" i="1" s="1"/>
  <c r="D6781" i="1"/>
  <c r="E6781" i="1" s="1"/>
  <c r="D6782" i="1"/>
  <c r="E6782" i="1" s="1"/>
  <c r="D6783" i="1"/>
  <c r="E6783" i="1" s="1"/>
  <c r="D6789" i="1"/>
  <c r="E6789" i="1" s="1"/>
  <c r="D6790" i="1"/>
  <c r="D6808" i="1" s="1"/>
  <c r="E6808" i="1" s="1"/>
  <c r="D6791" i="1"/>
  <c r="E6791" i="1" s="1"/>
  <c r="D6792" i="1"/>
  <c r="E6792" i="1" s="1"/>
  <c r="D6793" i="1"/>
  <c r="E6793" i="1" s="1"/>
  <c r="D6794" i="1"/>
  <c r="E6794" i="1" s="1"/>
  <c r="D6795" i="1"/>
  <c r="D6804" i="1" s="1"/>
  <c r="D6798" i="1"/>
  <c r="E6798" i="1" s="1"/>
  <c r="D6799" i="1"/>
  <c r="E6799" i="1" s="1"/>
  <c r="D6800" i="1"/>
  <c r="E6800" i="1" s="1"/>
  <c r="D6801" i="1"/>
  <c r="E6801" i="1" s="1"/>
  <c r="D6803" i="1"/>
  <c r="E6803" i="1" s="1"/>
  <c r="D6807" i="1"/>
  <c r="E6807" i="1" s="1"/>
  <c r="D6809" i="1"/>
  <c r="E6809" i="1" s="1"/>
  <c r="D6810" i="1"/>
  <c r="E6810" i="1" s="1"/>
  <c r="D6811" i="1"/>
  <c r="E6811" i="1" s="1"/>
  <c r="D6812" i="1"/>
  <c r="E6812" i="1" s="1"/>
  <c r="D6813" i="1"/>
  <c r="E6813" i="1" s="1"/>
  <c r="D6817" i="1"/>
  <c r="E6817" i="1" s="1"/>
  <c r="D6819" i="1"/>
  <c r="E6819" i="1" s="1"/>
  <c r="D6820" i="1"/>
  <c r="E6820" i="1" s="1"/>
  <c r="D6822" i="1"/>
  <c r="E6822" i="1" s="1"/>
  <c r="D6828" i="1"/>
  <c r="E6828" i="1" s="1"/>
  <c r="D6830" i="1"/>
  <c r="E6830" i="1" s="1"/>
  <c r="D6831" i="1"/>
  <c r="E6831" i="1" s="1"/>
  <c r="D6832" i="1"/>
  <c r="E6832" i="1" s="1"/>
  <c r="D6833" i="1"/>
  <c r="E6833" i="1" s="1"/>
  <c r="D6840" i="1"/>
  <c r="E6840" i="1" s="1"/>
  <c r="D6841" i="1"/>
  <c r="E6841" i="1" s="1"/>
  <c r="D6843" i="1"/>
  <c r="E6843" i="1" s="1"/>
  <c r="D6847" i="1"/>
  <c r="E6847" i="1" s="1"/>
  <c r="D6848" i="1"/>
  <c r="E6848" i="1" s="1"/>
  <c r="D6850" i="1"/>
  <c r="E6850" i="1" s="1"/>
  <c r="D6851" i="1"/>
  <c r="E6851" i="1" s="1"/>
  <c r="D6853" i="1"/>
  <c r="E6853" i="1" s="1"/>
  <c r="D6857" i="1"/>
  <c r="E6857" i="1" s="1"/>
  <c r="D6858" i="1"/>
  <c r="E6858" i="1" s="1"/>
  <c r="D6859" i="1"/>
  <c r="E6859" i="1" s="1"/>
  <c r="D6860" i="1"/>
  <c r="E6860" i="1" s="1"/>
  <c r="D6866" i="1"/>
  <c r="E6866" i="1" s="1"/>
  <c r="D6867" i="1"/>
  <c r="D6896" i="1" s="1"/>
  <c r="E6896" i="1" s="1"/>
  <c r="D6868" i="1"/>
  <c r="E6868" i="1" s="1"/>
  <c r="D6869" i="1"/>
  <c r="E6869" i="1" s="1"/>
  <c r="D6873" i="1"/>
  <c r="E6873" i="1" s="1"/>
  <c r="D6875" i="1"/>
  <c r="E6875" i="1" s="1"/>
  <c r="D6876" i="1"/>
  <c r="E6876" i="1" s="1"/>
  <c r="D6879" i="1"/>
  <c r="E6879" i="1" s="1"/>
  <c r="D6881" i="1"/>
  <c r="E6881" i="1" s="1"/>
  <c r="D6882" i="1"/>
  <c r="E6882" i="1" s="1"/>
  <c r="D6886" i="1"/>
  <c r="E6886" i="1" s="1"/>
  <c r="D6889" i="1"/>
  <c r="E6889" i="1" s="1"/>
  <c r="D6890" i="1"/>
  <c r="E6890" i="1" s="1"/>
  <c r="D6894" i="1"/>
  <c r="E6894" i="1" s="1"/>
  <c r="D6897" i="1"/>
  <c r="E6897" i="1" s="1"/>
  <c r="D6903" i="1"/>
  <c r="E6903" i="1" s="1"/>
  <c r="D6904" i="1"/>
  <c r="E6904" i="1" s="1"/>
  <c r="D6905" i="1"/>
  <c r="E6905" i="1" s="1"/>
  <c r="D6907" i="1"/>
  <c r="E6907" i="1" s="1"/>
  <c r="D6917" i="1"/>
  <c r="E6917" i="1" s="1"/>
  <c r="D6953" i="1"/>
  <c r="E6953" i="1" s="1"/>
  <c r="D6954" i="1"/>
  <c r="E6954" i="1" s="1"/>
  <c r="D6950" i="1"/>
  <c r="E6950" i="1" s="1"/>
  <c r="D6951" i="1"/>
  <c r="E6951" i="1" s="1"/>
  <c r="D6952" i="1"/>
  <c r="E6952" i="1" s="1"/>
  <c r="D6959" i="1"/>
  <c r="E6959" i="1" s="1"/>
  <c r="E6960" i="1"/>
  <c r="E6961" i="1"/>
  <c r="D6966" i="1"/>
  <c r="D6981" i="1" s="1"/>
  <c r="E6981" i="1" s="1"/>
  <c r="D6972" i="1"/>
  <c r="E6972" i="1" s="1"/>
  <c r="D6974" i="1"/>
  <c r="E6974" i="1" s="1"/>
  <c r="D6975" i="1"/>
  <c r="E6975" i="1" s="1"/>
  <c r="D6976" i="1"/>
  <c r="E6976" i="1" s="1"/>
  <c r="D6979" i="1"/>
  <c r="E6979" i="1" s="1"/>
  <c r="D7027" i="1"/>
  <c r="E7027" i="1" s="1"/>
  <c r="D7028" i="1"/>
  <c r="E7028" i="1" s="1"/>
  <c r="D7029" i="1"/>
  <c r="E7029" i="1" s="1"/>
  <c r="D7032" i="1"/>
  <c r="E7032" i="1" s="1"/>
  <c r="D7033" i="1"/>
  <c r="E7033" i="1" s="1"/>
  <c r="D7034" i="1"/>
  <c r="E7034" i="1" s="1"/>
  <c r="D7035" i="1"/>
  <c r="E7035" i="1" s="1"/>
  <c r="D7036" i="1"/>
  <c r="E7036" i="1" s="1"/>
  <c r="E7039" i="1"/>
  <c r="E7040" i="1"/>
  <c r="D7041" i="1"/>
  <c r="D7050" i="1" s="1"/>
  <c r="D7046" i="1"/>
  <c r="E7046" i="1" s="1"/>
  <c r="D7047" i="1"/>
  <c r="E7047" i="1" s="1"/>
  <c r="B7048" i="1"/>
  <c r="D7048" i="1"/>
  <c r="D7068" i="1" s="1"/>
  <c r="D7049" i="1"/>
  <c r="E7049" i="1" s="1"/>
  <c r="D7066" i="1"/>
  <c r="E7066" i="1" s="1"/>
  <c r="D7067" i="1"/>
  <c r="E7067" i="1" s="1"/>
  <c r="B7068" i="1"/>
  <c r="D7074" i="1"/>
  <c r="D7083" i="1" s="1"/>
  <c r="B7076" i="1"/>
  <c r="D7076" i="1"/>
  <c r="D7086" i="1" s="1"/>
  <c r="D7077" i="1"/>
  <c r="E7077" i="1" s="1"/>
  <c r="D7084" i="1"/>
  <c r="E7084" i="1" s="1"/>
  <c r="B7086" i="1"/>
  <c r="D7096" i="1"/>
  <c r="D7098" i="1"/>
  <c r="D7099" i="1"/>
  <c r="D7100" i="1"/>
  <c r="D7114" i="1"/>
  <c r="D7131" i="1"/>
  <c r="D7134" i="1"/>
  <c r="D7147" i="1"/>
  <c r="D7155" i="1" s="1"/>
  <c r="E7155" i="1" s="1"/>
  <c r="D7164" i="1"/>
  <c r="E7164" i="1" s="1"/>
  <c r="D7166" i="1"/>
  <c r="E7166" i="1" s="1"/>
  <c r="D7167" i="1"/>
  <c r="E7167" i="1" s="1"/>
  <c r="D7169" i="1"/>
  <c r="E7169" i="1" s="1"/>
  <c r="D7170" i="1"/>
  <c r="E7170" i="1" s="1"/>
  <c r="D7173" i="1"/>
  <c r="E7173" i="1" s="1"/>
  <c r="D7175" i="1"/>
  <c r="E7175" i="1" s="1"/>
  <c r="D7176" i="1"/>
  <c r="E7176" i="1" s="1"/>
  <c r="D7178" i="1"/>
  <c r="E7178" i="1" s="1"/>
  <c r="D7194" i="1"/>
  <c r="E7194" i="1" s="1"/>
  <c r="E7180" i="1"/>
  <c r="D7188" i="1"/>
  <c r="E7188" i="1" s="1"/>
  <c r="D7190" i="1"/>
  <c r="E7190" i="1" s="1"/>
  <c r="D7191" i="1"/>
  <c r="E7191" i="1" s="1"/>
  <c r="D7193" i="1"/>
  <c r="E7193" i="1" s="1"/>
  <c r="D7198" i="1"/>
  <c r="E7198" i="1" s="1"/>
  <c r="D7200" i="1"/>
  <c r="E7200" i="1" s="1"/>
  <c r="D7201" i="1"/>
  <c r="E7201" i="1" s="1"/>
  <c r="D7203" i="1"/>
  <c r="E7203" i="1" s="1"/>
  <c r="D7204" i="1"/>
  <c r="E7204" i="1" s="1"/>
  <c r="D7205" i="1"/>
  <c r="E7205" i="1" s="1"/>
  <c r="D7208" i="1"/>
  <c r="E7208" i="1" s="1"/>
  <c r="D7210" i="1"/>
  <c r="E7210" i="1" s="1"/>
  <c r="D7211" i="1"/>
  <c r="E7211" i="1" s="1"/>
  <c r="D7212" i="1"/>
  <c r="E7212" i="1" s="1"/>
  <c r="D7213" i="1"/>
  <c r="E7213" i="1" s="1"/>
  <c r="E7216" i="1"/>
  <c r="E7218" i="1"/>
  <c r="D7219" i="1"/>
  <c r="E7219" i="1" s="1"/>
  <c r="D7224" i="1"/>
  <c r="E7224" i="1" s="1"/>
  <c r="D7226" i="1"/>
  <c r="E7226" i="1" s="1"/>
  <c r="B7227" i="1"/>
  <c r="D7227" i="1"/>
  <c r="D7229" i="1"/>
  <c r="E7229" i="1" s="1"/>
  <c r="D7238" i="1"/>
  <c r="E7238" i="1" s="1"/>
  <c r="D7240" i="1"/>
  <c r="E7240" i="1" s="1"/>
  <c r="B7241" i="1"/>
  <c r="D7248" i="1"/>
  <c r="D7250" i="1" s="1"/>
  <c r="E7250" i="1" s="1"/>
  <c r="B7251" i="1"/>
  <c r="D7251" i="1"/>
  <c r="D7264" i="1" s="1"/>
  <c r="D7253" i="1"/>
  <c r="E7253" i="1" s="1"/>
  <c r="D7262" i="1"/>
  <c r="E7262" i="1" s="1"/>
  <c r="B7264" i="1"/>
  <c r="D7275" i="1"/>
  <c r="E7275" i="1" s="1"/>
  <c r="D7276" i="1"/>
  <c r="D7277" i="1"/>
  <c r="E7277" i="1" s="1"/>
  <c r="D7278" i="1"/>
  <c r="D7279" i="1"/>
  <c r="D7280" i="1"/>
  <c r="D7292" i="1"/>
  <c r="E7292" i="1" s="1"/>
  <c r="D7294" i="1"/>
  <c r="E7294" i="1" s="1"/>
  <c r="D7295" i="1"/>
  <c r="D7309" i="1"/>
  <c r="E7309" i="1" s="1"/>
  <c r="D7311" i="1"/>
  <c r="E7311" i="1" s="1"/>
  <c r="D7312" i="1"/>
  <c r="D7330" i="1"/>
  <c r="D7332" i="1" s="1"/>
  <c r="D7340" i="1" s="1"/>
  <c r="E7340" i="1" s="1"/>
  <c r="D7347" i="1"/>
  <c r="E7347" i="1" s="1"/>
  <c r="D7348" i="1"/>
  <c r="D7351" i="1" s="1"/>
  <c r="E7351" i="1" s="1"/>
  <c r="D7349" i="1"/>
  <c r="E7349" i="1" s="1"/>
  <c r="D7350" i="1"/>
  <c r="E7350" i="1" s="1"/>
  <c r="D7352" i="1"/>
  <c r="E7352" i="1" s="1"/>
  <c r="D7353" i="1"/>
  <c r="E7353" i="1" s="1"/>
  <c r="E7356" i="1"/>
  <c r="D7358" i="1"/>
  <c r="E7358" i="1" s="1"/>
  <c r="D7359" i="1"/>
  <c r="E7359" i="1" s="1"/>
  <c r="D7361" i="1"/>
  <c r="E7361" i="1" s="1"/>
  <c r="E7362" i="1"/>
  <c r="E7363" i="1"/>
  <c r="D7371" i="1"/>
  <c r="E7371" i="1" s="1"/>
  <c r="D7372" i="1"/>
  <c r="E7372" i="1" s="1"/>
  <c r="D7373" i="1"/>
  <c r="E7373" i="1" s="1"/>
  <c r="D7374" i="1"/>
  <c r="E7374" i="1" s="1"/>
  <c r="D7376" i="1"/>
  <c r="E7376" i="1" s="1"/>
  <c r="D7377" i="1"/>
  <c r="E7377" i="1" s="1"/>
  <c r="D7378" i="1"/>
  <c r="E7378" i="1" s="1"/>
  <c r="D7381" i="1"/>
  <c r="E7381" i="1" s="1"/>
  <c r="D7383" i="1"/>
  <c r="E7383" i="1" s="1"/>
  <c r="D7384" i="1"/>
  <c r="E7384" i="1" s="1"/>
  <c r="D7386" i="1"/>
  <c r="E7386" i="1" s="1"/>
  <c r="D7387" i="1"/>
  <c r="E7387" i="1" s="1"/>
  <c r="D7388" i="1"/>
  <c r="E7388" i="1" s="1"/>
  <c r="D7391" i="1"/>
  <c r="E7391" i="1" s="1"/>
  <c r="D7392" i="1"/>
  <c r="E7392" i="1" s="1"/>
  <c r="D7393" i="1"/>
  <c r="E7393" i="1" s="1"/>
  <c r="D7394" i="1"/>
  <c r="E7394" i="1" s="1"/>
  <c r="D7395" i="1"/>
  <c r="E7395" i="1" s="1"/>
  <c r="D7396" i="1"/>
  <c r="E7396" i="1" s="1"/>
  <c r="E7399" i="1"/>
  <c r="D7400" i="1"/>
  <c r="D7408" i="1" s="1"/>
  <c r="D7422" i="1" s="1"/>
  <c r="E7401" i="1"/>
  <c r="D7402" i="1"/>
  <c r="E7402" i="1" s="1"/>
  <c r="E7403" i="1"/>
  <c r="E7404" i="1"/>
  <c r="D7407" i="1"/>
  <c r="E7407" i="1" s="1"/>
  <c r="D7409" i="1"/>
  <c r="E7409" i="1" s="1"/>
  <c r="B7410" i="1"/>
  <c r="D7410" i="1"/>
  <c r="D7412" i="1"/>
  <c r="E7412" i="1" s="1"/>
  <c r="D7414" i="1"/>
  <c r="D7426" i="1" s="1"/>
  <c r="D7421" i="1"/>
  <c r="E7421" i="1" s="1"/>
  <c r="D7423" i="1"/>
  <c r="E7423" i="1" s="1"/>
  <c r="B7424" i="1"/>
  <c r="D7431" i="1"/>
  <c r="D7433" i="1" s="1"/>
  <c r="E7433" i="1" s="1"/>
  <c r="B7434" i="1"/>
  <c r="D7434" i="1"/>
  <c r="D7447" i="1" s="1"/>
  <c r="D7436" i="1"/>
  <c r="D7449" i="1" s="1"/>
  <c r="E7449" i="1" s="1"/>
  <c r="D7445" i="1"/>
  <c r="E7445" i="1" s="1"/>
  <c r="B7447" i="1"/>
  <c r="D7458" i="1"/>
  <c r="E7458" i="1" s="1"/>
  <c r="D7459" i="1"/>
  <c r="D7460" i="1"/>
  <c r="E7460" i="1" s="1"/>
  <c r="D7461" i="1"/>
  <c r="D7462" i="1"/>
  <c r="D7463" i="1"/>
  <c r="D7475" i="1"/>
  <c r="E7475" i="1" s="1"/>
  <c r="D7477" i="1"/>
  <c r="E7477" i="1" s="1"/>
  <c r="D7478" i="1"/>
  <c r="D7492" i="1"/>
  <c r="E7492" i="1" s="1"/>
  <c r="D7494" i="1"/>
  <c r="E7494" i="1" s="1"/>
  <c r="D7495" i="1"/>
  <c r="D7498" i="1"/>
  <c r="D7510" i="1"/>
  <c r="D7518" i="1" s="1"/>
  <c r="E7518" i="1" s="1"/>
  <c r="D7527" i="1"/>
  <c r="E7527" i="1" s="1"/>
  <c r="D7529" i="1"/>
  <c r="E7529" i="1" s="1"/>
  <c r="D7530" i="1"/>
  <c r="E7530" i="1" s="1"/>
  <c r="D7532" i="1"/>
  <c r="E7532" i="1" s="1"/>
  <c r="D7533" i="1"/>
  <c r="E7533" i="1" s="1"/>
  <c r="D7536" i="1"/>
  <c r="E7536" i="1" s="1"/>
  <c r="D7538" i="1"/>
  <c r="E7538" i="1" s="1"/>
  <c r="D7539" i="1"/>
  <c r="E7539" i="1" s="1"/>
  <c r="D7541" i="1"/>
  <c r="E7541" i="1" s="1"/>
  <c r="E7542" i="1"/>
  <c r="E7543" i="1"/>
  <c r="D7551" i="1"/>
  <c r="E7551" i="1" s="1"/>
  <c r="D7553" i="1"/>
  <c r="E7553" i="1" s="1"/>
  <c r="D7554" i="1"/>
  <c r="E7554" i="1" s="1"/>
  <c r="D7556" i="1"/>
  <c r="E7556" i="1" s="1"/>
  <c r="D7557" i="1"/>
  <c r="E7557" i="1" s="1"/>
  <c r="D7558" i="1"/>
  <c r="E7558" i="1" s="1"/>
  <c r="D7561" i="1"/>
  <c r="E7561" i="1" s="1"/>
  <c r="D7563" i="1"/>
  <c r="E7563" i="1" s="1"/>
  <c r="D7564" i="1"/>
  <c r="E7564" i="1" s="1"/>
  <c r="D7566" i="1"/>
  <c r="E7566" i="1" s="1"/>
  <c r="D7567" i="1"/>
  <c r="E7567" i="1" s="1"/>
  <c r="D7568" i="1"/>
  <c r="E7568" i="1" s="1"/>
  <c r="D7571" i="1"/>
  <c r="E7571" i="1" s="1"/>
  <c r="D7573" i="1"/>
  <c r="E7573" i="1" s="1"/>
  <c r="D7574" i="1"/>
  <c r="E7574" i="1" s="1"/>
  <c r="D7575" i="1"/>
  <c r="E7575" i="1" s="1"/>
  <c r="D7576" i="1"/>
  <c r="E7576" i="1" s="1"/>
  <c r="E7579" i="1"/>
  <c r="E7581" i="1"/>
  <c r="D7582" i="1"/>
  <c r="D7594" i="1" s="1"/>
  <c r="E7594" i="1" s="1"/>
  <c r="E7583" i="1"/>
  <c r="E7584" i="1"/>
  <c r="D7587" i="1"/>
  <c r="E7587" i="1" s="1"/>
  <c r="D7589" i="1"/>
  <c r="E7589" i="1" s="1"/>
  <c r="B7590" i="1"/>
  <c r="D7590" i="1"/>
  <c r="D7592" i="1"/>
  <c r="E7592" i="1" s="1"/>
  <c r="D7601" i="1"/>
  <c r="E7601" i="1" s="1"/>
  <c r="D7603" i="1"/>
  <c r="E7603" i="1" s="1"/>
  <c r="B7604" i="1"/>
  <c r="D7606" i="1"/>
  <c r="E7606" i="1" s="1"/>
  <c r="D7611" i="1"/>
  <c r="E7611" i="1" s="1"/>
  <c r="D7612" i="1"/>
  <c r="E7612" i="1" s="1"/>
  <c r="B7614" i="1"/>
  <c r="D7614" i="1"/>
  <c r="D7627" i="1" s="1"/>
  <c r="D7616" i="1"/>
  <c r="D7629" i="1" s="1"/>
  <c r="E7629" i="1" s="1"/>
  <c r="D7625" i="1"/>
  <c r="E7625" i="1" s="1"/>
  <c r="B7627" i="1"/>
  <c r="D7638" i="1"/>
  <c r="E7638" i="1" s="1"/>
  <c r="D7639" i="1"/>
  <c r="D7640" i="1"/>
  <c r="E7640" i="1" s="1"/>
  <c r="D7641" i="1"/>
  <c r="D7642" i="1"/>
  <c r="D7643" i="1"/>
  <c r="D7654" i="1"/>
  <c r="E7654" i="1" s="1"/>
  <c r="D7656" i="1"/>
  <c r="E7656" i="1" s="1"/>
  <c r="D7657" i="1"/>
  <c r="D7658" i="1"/>
  <c r="D7659" i="1"/>
  <c r="D7671" i="1"/>
  <c r="E7671" i="1" s="1"/>
  <c r="D7673" i="1"/>
  <c r="E7673" i="1" s="1"/>
  <c r="D7674" i="1"/>
  <c r="D7675" i="1"/>
  <c r="D7684" i="1" s="1"/>
  <c r="E7684" i="1" s="1"/>
  <c r="D7676" i="1"/>
  <c r="D7677" i="1"/>
  <c r="D7690" i="1"/>
  <c r="E7690" i="1" s="1"/>
  <c r="D7707" i="1"/>
  <c r="E7707" i="1" s="1"/>
  <c r="D7709" i="1"/>
  <c r="E7709" i="1" s="1"/>
  <c r="D7710" i="1"/>
  <c r="E7710" i="1" s="1"/>
  <c r="D7712" i="1"/>
  <c r="E7712" i="1" s="1"/>
  <c r="D7713" i="1"/>
  <c r="E7713" i="1" s="1"/>
  <c r="D7716" i="1"/>
  <c r="E7716" i="1" s="1"/>
  <c r="D7718" i="1"/>
  <c r="E7718" i="1" s="1"/>
  <c r="D7719" i="1"/>
  <c r="E7719" i="1" s="1"/>
  <c r="D7721" i="1"/>
  <c r="E7721" i="1" s="1"/>
  <c r="D7722" i="1"/>
  <c r="E7722" i="1" s="1"/>
  <c r="D7723" i="1"/>
  <c r="E7723" i="1" s="1"/>
  <c r="D7731" i="1"/>
  <c r="E7731" i="1" s="1"/>
  <c r="D7733" i="1"/>
  <c r="E7733" i="1" s="1"/>
  <c r="D7734" i="1"/>
  <c r="E7734" i="1" s="1"/>
  <c r="D7736" i="1"/>
  <c r="E7736" i="1" s="1"/>
  <c r="D7737" i="1"/>
  <c r="E7737" i="1" s="1"/>
  <c r="D7738" i="1"/>
  <c r="E7738" i="1" s="1"/>
  <c r="D7741" i="1"/>
  <c r="E7741" i="1" s="1"/>
  <c r="D7743" i="1"/>
  <c r="E7743" i="1" s="1"/>
  <c r="D7744" i="1"/>
  <c r="E7744" i="1" s="1"/>
  <c r="D7746" i="1"/>
  <c r="E7746" i="1" s="1"/>
  <c r="D7747" i="1"/>
  <c r="E7747" i="1" s="1"/>
  <c r="D7748" i="1"/>
  <c r="E7748" i="1" s="1"/>
  <c r="D7751" i="1"/>
  <c r="E7751" i="1" s="1"/>
  <c r="D7753" i="1"/>
  <c r="E7753" i="1" s="1"/>
  <c r="D7754" i="1"/>
  <c r="E7754" i="1" s="1"/>
  <c r="D7755" i="1"/>
  <c r="E7755" i="1" s="1"/>
  <c r="D7756" i="1"/>
  <c r="E7756" i="1" s="1"/>
  <c r="D7759" i="1"/>
  <c r="E7759" i="1" s="1"/>
  <c r="D7761" i="1"/>
  <c r="E7761" i="1" s="1"/>
  <c r="D7762" i="1"/>
  <c r="D7763" i="1"/>
  <c r="E7763" i="1" s="1"/>
  <c r="D7764" i="1"/>
  <c r="E7764" i="1" s="1"/>
  <c r="D7767" i="1"/>
  <c r="E7767" i="1" s="1"/>
  <c r="D7769" i="1"/>
  <c r="E7769" i="1" s="1"/>
  <c r="B7770" i="1"/>
  <c r="D7770" i="1"/>
  <c r="D7784" i="1" s="1"/>
  <c r="E7784" i="1" s="1"/>
  <c r="D7772" i="1"/>
  <c r="E7772" i="1" s="1"/>
  <c r="D7781" i="1"/>
  <c r="E7781" i="1" s="1"/>
  <c r="D7783" i="1"/>
  <c r="E7783" i="1" s="1"/>
  <c r="D7786" i="1"/>
  <c r="D7798" i="1" s="1"/>
  <c r="D7791" i="1"/>
  <c r="E7791" i="1" s="1"/>
  <c r="D7794" i="1"/>
  <c r="E7794" i="1" s="1"/>
  <c r="D7796" i="1"/>
  <c r="E7796" i="1" s="1"/>
  <c r="D7805" i="1"/>
  <c r="E7805" i="1" s="1"/>
  <c r="B7807" i="1"/>
  <c r="D7818" i="1"/>
  <c r="E7818" i="1" s="1"/>
  <c r="D7819" i="1"/>
  <c r="E7819" i="1" s="1"/>
  <c r="D7820" i="1"/>
  <c r="E7820" i="1" s="1"/>
  <c r="D7821" i="1"/>
  <c r="E7821" i="1" s="1"/>
  <c r="D7822" i="1"/>
  <c r="E7822" i="1" s="1"/>
  <c r="D7823" i="1"/>
  <c r="E7823" i="1" s="1"/>
  <c r="D7826" i="1"/>
  <c r="E7826" i="1" s="1"/>
  <c r="D7828" i="1"/>
  <c r="E7828" i="1" s="1"/>
  <c r="D7829" i="1"/>
  <c r="E7829" i="1" s="1"/>
  <c r="D7830" i="1"/>
  <c r="E7830" i="1" s="1"/>
  <c r="D7831" i="1"/>
  <c r="E7831" i="1" s="1"/>
  <c r="D7833" i="1"/>
  <c r="E7833" i="1" s="1"/>
  <c r="D7835" i="1"/>
  <c r="E7835" i="1" s="1"/>
  <c r="D7836" i="1"/>
  <c r="D7845" i="1" s="1"/>
  <c r="D7853" i="1" s="1"/>
  <c r="E7853" i="1" s="1"/>
  <c r="D7837" i="1"/>
  <c r="D7846" i="1" s="1"/>
  <c r="D7854" i="1" s="1"/>
  <c r="E7854" i="1" s="1"/>
  <c r="D7838" i="1"/>
  <c r="D7847" i="1" s="1"/>
  <c r="D7839" i="1"/>
  <c r="D7856" i="1" s="1"/>
  <c r="E7856" i="1" s="1"/>
  <c r="D7842" i="1"/>
  <c r="D7850" i="1" s="1"/>
  <c r="D7852" i="1" s="1"/>
  <c r="E7852" i="1" s="1"/>
  <c r="D7859" i="1"/>
  <c r="E7859" i="1" s="1"/>
  <c r="D7861" i="1"/>
  <c r="E7861" i="1" s="1"/>
  <c r="D7862" i="1"/>
  <c r="E7862" i="1" s="1"/>
  <c r="D7864" i="1"/>
  <c r="E7864" i="1" s="1"/>
  <c r="D7865" i="1"/>
  <c r="E7865" i="1" s="1"/>
  <c r="D7868" i="1"/>
  <c r="E7868" i="1" s="1"/>
  <c r="D7870" i="1"/>
  <c r="E7870" i="1" s="1"/>
  <c r="D7871" i="1"/>
  <c r="E7871" i="1" s="1"/>
  <c r="D7873" i="1"/>
  <c r="E7873" i="1" s="1"/>
  <c r="D7874" i="1"/>
  <c r="E7874" i="1" s="1"/>
  <c r="D7875" i="1"/>
  <c r="E7875" i="1" s="1"/>
  <c r="D7883" i="1"/>
  <c r="E7883" i="1" s="1"/>
  <c r="D7885" i="1"/>
  <c r="E7885" i="1" s="1"/>
  <c r="D7886" i="1"/>
  <c r="E7886" i="1" s="1"/>
  <c r="D7888" i="1"/>
  <c r="E7888" i="1" s="1"/>
  <c r="D7889" i="1"/>
  <c r="E7889" i="1" s="1"/>
  <c r="D7890" i="1"/>
  <c r="E7890" i="1" s="1"/>
  <c r="D7893" i="1"/>
  <c r="E7893" i="1" s="1"/>
  <c r="D7895" i="1"/>
  <c r="E7895" i="1" s="1"/>
  <c r="D7896" i="1"/>
  <c r="E7896" i="1" s="1"/>
  <c r="D7898" i="1"/>
  <c r="E7898" i="1" s="1"/>
  <c r="D7899" i="1"/>
  <c r="E7899" i="1" s="1"/>
  <c r="D7900" i="1"/>
  <c r="E7900" i="1" s="1"/>
  <c r="D7903" i="1"/>
  <c r="E7903" i="1" s="1"/>
  <c r="D7905" i="1"/>
  <c r="E7905" i="1" s="1"/>
  <c r="D7906" i="1"/>
  <c r="E7906" i="1" s="1"/>
  <c r="D7907" i="1"/>
  <c r="E7907" i="1" s="1"/>
  <c r="D7908" i="1"/>
  <c r="E7908" i="1" s="1"/>
  <c r="D7911" i="1"/>
  <c r="E7911" i="1" s="1"/>
  <c r="D7913" i="1"/>
  <c r="E7913" i="1" s="1"/>
  <c r="D7914" i="1"/>
  <c r="D7926" i="1" s="1"/>
  <c r="E7926" i="1" s="1"/>
  <c r="D7915" i="1"/>
  <c r="E7915" i="1" s="1"/>
  <c r="D7916" i="1"/>
  <c r="E7916" i="1" s="1"/>
  <c r="D7919" i="1"/>
  <c r="E7919" i="1" s="1"/>
  <c r="D7921" i="1"/>
  <c r="E7921" i="1" s="1"/>
  <c r="B7922" i="1"/>
  <c r="D7922" i="1"/>
  <c r="D7936" i="1" s="1"/>
  <c r="E7936" i="1" s="1"/>
  <c r="D7924" i="1"/>
  <c r="E7924" i="1" s="1"/>
  <c r="D7933" i="1"/>
  <c r="E7933" i="1" s="1"/>
  <c r="D7935" i="1"/>
  <c r="E7935" i="1" s="1"/>
  <c r="D7938" i="1"/>
  <c r="D7950" i="1" s="1"/>
  <c r="E7950" i="1" s="1"/>
  <c r="D7943" i="1"/>
  <c r="E7943" i="1" s="1"/>
  <c r="D7946" i="1"/>
  <c r="E7946" i="1" s="1"/>
  <c r="D7948" i="1"/>
  <c r="E7948" i="1" s="1"/>
  <c r="D7957" i="1"/>
  <c r="E7957" i="1" s="1"/>
  <c r="B7959" i="1"/>
  <c r="D7986" i="1"/>
  <c r="D10069" i="1" s="1"/>
  <c r="E7990" i="1"/>
  <c r="D8004" i="1"/>
  <c r="E8004" i="1" s="1"/>
  <c r="D8005" i="1"/>
  <c r="E8005" i="1" s="1"/>
  <c r="E8007" i="1"/>
  <c r="D8013" i="1"/>
  <c r="E8013" i="1" s="1"/>
  <c r="D8014" i="1"/>
  <c r="E8014" i="1" s="1"/>
  <c r="D8015" i="1"/>
  <c r="E8015" i="1" s="1"/>
  <c r="D8017" i="1"/>
  <c r="E8017" i="1" s="1"/>
  <c r="D8018" i="1"/>
  <c r="E8018" i="1" s="1"/>
  <c r="D8020" i="1"/>
  <c r="E8020" i="1" s="1"/>
  <c r="D8021" i="1"/>
  <c r="D8024" i="1"/>
  <c r="B8025" i="1"/>
  <c r="D8025" i="1"/>
  <c r="B8026" i="1"/>
  <c r="D8026" i="1"/>
  <c r="D8028" i="1"/>
  <c r="B8202" i="1"/>
  <c r="E8204" i="1"/>
  <c r="B8387" i="1"/>
  <c r="B8386" i="1" s="1"/>
  <c r="E8388" i="1"/>
  <c r="D9311" i="1"/>
  <c r="D9322" i="1" s="1"/>
  <c r="D9331" i="1" s="1"/>
  <c r="E9331" i="1" s="1"/>
  <c r="E9315" i="1"/>
  <c r="B9316" i="1"/>
  <c r="B9314" i="1" s="1"/>
  <c r="D9930" i="1"/>
  <c r="E9930" i="1" s="1"/>
  <c r="B9931" i="1"/>
  <c r="D10060" i="1"/>
  <c r="D10042" i="1" s="1"/>
  <c r="E10042" i="1" s="1"/>
  <c r="D10061" i="1"/>
  <c r="D10043" i="1" s="1"/>
  <c r="E10043" i="1" s="1"/>
  <c r="D10062" i="1"/>
  <c r="E10062" i="1" s="1"/>
  <c r="D10063" i="1"/>
  <c r="D9949" i="1" s="1"/>
  <c r="E9949" i="1" s="1"/>
  <c r="D10064" i="1"/>
  <c r="D10046" i="1" s="1"/>
  <c r="E10046" i="1" s="1"/>
  <c r="D10065" i="1"/>
  <c r="E10065" i="1" s="1"/>
  <c r="D10066" i="1"/>
  <c r="D10067" i="1"/>
  <c r="D10049" i="1" s="1"/>
  <c r="E10049" i="1" s="1"/>
  <c r="D10068" i="1"/>
  <c r="E10068" i="1" s="1"/>
  <c r="D10070" i="1"/>
  <c r="E10070" i="1" s="1"/>
  <c r="D10071" i="1"/>
  <c r="E10072" i="1"/>
  <c r="D10073" i="1"/>
  <c r="D9941" i="1" s="1"/>
  <c r="D9938" i="1"/>
  <c r="B9939" i="1"/>
  <c r="B9938" i="1" s="1"/>
  <c r="D9939" i="1"/>
  <c r="D10080" i="1" s="1"/>
  <c r="D10093" i="1" s="1"/>
  <c r="D10102" i="1" s="1"/>
  <c r="D9946" i="1"/>
  <c r="E9946" i="1" s="1"/>
  <c r="D9947" i="1"/>
  <c r="E9947" i="1" s="1"/>
  <c r="D9948" i="1"/>
  <c r="E9948" i="1" s="1"/>
  <c r="D9950" i="1"/>
  <c r="E9950" i="1" s="1"/>
  <c r="D9951" i="1"/>
  <c r="E9951" i="1" s="1"/>
  <c r="D9952" i="1"/>
  <c r="E9952" i="1" s="1"/>
  <c r="D9954" i="1"/>
  <c r="E9954" i="1" s="1"/>
  <c r="D9955" i="1"/>
  <c r="E9955" i="1" s="1"/>
  <c r="D9956" i="1"/>
  <c r="E9956" i="1" s="1"/>
  <c r="D9957" i="1"/>
  <c r="E9957" i="1" s="1"/>
  <c r="D9959" i="1"/>
  <c r="D10055" i="1" s="1"/>
  <c r="D10083" i="1" s="1"/>
  <c r="D10095" i="1" s="1"/>
  <c r="D10104" i="1" s="1"/>
  <c r="D10112" i="1" s="1"/>
  <c r="D10119" i="1" s="1"/>
  <c r="D10127" i="1" s="1"/>
  <c r="D10148" i="1" s="1"/>
  <c r="D10158" i="1" s="1"/>
  <c r="D10037" i="1" s="1"/>
  <c r="D10019" i="1" s="1"/>
  <c r="D10166" i="1" s="1"/>
  <c r="E10054" i="1"/>
  <c r="B10080" i="1"/>
  <c r="B10079" i="1" s="1"/>
  <c r="E10081" i="1"/>
  <c r="D10082" i="1"/>
  <c r="D10103" i="1" s="1"/>
  <c r="E10103" i="1" s="1"/>
  <c r="B10093" i="1"/>
  <c r="B10092" i="1" s="1"/>
  <c r="B10100" i="1"/>
  <c r="E10101" i="1"/>
  <c r="B10110" i="1"/>
  <c r="B10109" i="1" s="1"/>
  <c r="B10117" i="1"/>
  <c r="B10116" i="1" s="1"/>
  <c r="B10125" i="1"/>
  <c r="B10124" i="1" s="1"/>
  <c r="D10132" i="1"/>
  <c r="E10132" i="1" s="1"/>
  <c r="D10134" i="1"/>
  <c r="E10134" i="1" s="1"/>
  <c r="E10143" i="1"/>
  <c r="E10144" i="1"/>
  <c r="E10145" i="1"/>
  <c r="B10146" i="1"/>
  <c r="B10142" i="1" s="1"/>
  <c r="D10147" i="1"/>
  <c r="E10147" i="1" s="1"/>
  <c r="D10153" i="1"/>
  <c r="E10153" i="1" s="1"/>
  <c r="D10155" i="1"/>
  <c r="E10155" i="1" s="1"/>
  <c r="D10156" i="1"/>
  <c r="E10156" i="1" s="1"/>
  <c r="D10024" i="1"/>
  <c r="E10024" i="1" s="1"/>
  <c r="D10025" i="1"/>
  <c r="D10007" i="1" s="1"/>
  <c r="E10007" i="1" s="1"/>
  <c r="D10026" i="1"/>
  <c r="D10028" i="1"/>
  <c r="D10029" i="1"/>
  <c r="E10029" i="1" s="1"/>
  <c r="D10030" i="1"/>
  <c r="D10012" i="1" s="1"/>
  <c r="E10012" i="1" s="1"/>
  <c r="D10031" i="1"/>
  <c r="D10015" i="1" s="1"/>
  <c r="E10015" i="1" s="1"/>
  <c r="D10032" i="1"/>
  <c r="E10032" i="1" s="1"/>
  <c r="D10034" i="1"/>
  <c r="E10034" i="1" s="1"/>
  <c r="D10035" i="1"/>
  <c r="D10163" i="1"/>
  <c r="E10163" i="1" s="1"/>
  <c r="B10164" i="1"/>
  <c r="B10162" i="1" s="1"/>
  <c r="B10172" i="1"/>
  <c r="B10171" i="1" s="1"/>
  <c r="C59" i="3"/>
  <c r="C61" i="3"/>
  <c r="C63" i="3"/>
  <c r="C64" i="3"/>
  <c r="C65" i="3" s="1"/>
  <c r="C66" i="3"/>
  <c r="C68" i="3"/>
  <c r="C69" i="3" s="1"/>
  <c r="D6849" i="1"/>
  <c r="E6849" i="1" s="1"/>
  <c r="D6902" i="1"/>
  <c r="E6902" i="1" s="1"/>
  <c r="C243" i="3"/>
  <c r="C259" i="3"/>
  <c r="D8935" i="1"/>
  <c r="E8935" i="1" s="1"/>
  <c r="C367" i="3"/>
  <c r="E8723" i="1" s="1"/>
  <c r="C368" i="3"/>
  <c r="D445" i="3"/>
  <c r="D447" i="3"/>
  <c r="C447" i="3" s="1"/>
  <c r="D580" i="3"/>
  <c r="D4026" i="1" s="1"/>
  <c r="E4026" i="1" s="1"/>
  <c r="D581" i="3"/>
  <c r="C581" i="3" s="1"/>
  <c r="D582" i="3"/>
  <c r="C582" i="3" s="1"/>
  <c r="D583" i="3"/>
  <c r="D584" i="3"/>
  <c r="C584" i="3" s="1"/>
  <c r="D586" i="3"/>
  <c r="D587" i="3"/>
  <c r="C587" i="3" s="1"/>
  <c r="D588" i="3"/>
  <c r="D589" i="3"/>
  <c r="C589" i="3" s="1"/>
  <c r="D590" i="3"/>
  <c r="C590" i="3" s="1"/>
  <c r="D620" i="3"/>
  <c r="C620" i="3" s="1"/>
  <c r="D621" i="3"/>
  <c r="D7787" i="1"/>
  <c r="C664" i="3"/>
  <c r="D665" i="3"/>
  <c r="C665" i="3" s="1"/>
  <c r="D666" i="3"/>
  <c r="C666" i="3" s="1"/>
  <c r="D667" i="3"/>
  <c r="C667" i="3" s="1"/>
  <c r="D668" i="3"/>
  <c r="D669" i="3" s="1"/>
  <c r="C669" i="3" s="1"/>
  <c r="D672" i="3"/>
  <c r="C672" i="3" s="1"/>
  <c r="D715" i="3"/>
  <c r="C715" i="3" s="1"/>
  <c r="C730" i="3"/>
  <c r="C731" i="3"/>
  <c r="E80" i="1"/>
  <c r="E8232" i="1" l="1"/>
  <c r="E665" i="3"/>
  <c r="E666" i="3" s="1"/>
  <c r="D6087" i="1"/>
  <c r="E6087" i="1" s="1"/>
  <c r="F6090" i="1" s="1"/>
  <c r="E5241" i="1"/>
  <c r="D5338" i="1"/>
  <c r="D8241" i="1"/>
  <c r="E8241" i="1" s="1"/>
  <c r="M801" i="25"/>
  <c r="E8252" i="1"/>
  <c r="E2099" i="1"/>
  <c r="D2364" i="1"/>
  <c r="E2364" i="1" s="1"/>
  <c r="E2105" i="1"/>
  <c r="D2370" i="1"/>
  <c r="E2370" i="1" s="1"/>
  <c r="E2106" i="1"/>
  <c r="D2371" i="1"/>
  <c r="E2371" i="1" s="1"/>
  <c r="E2120" i="1"/>
  <c r="D2385" i="1"/>
  <c r="E2385" i="1" s="1"/>
  <c r="E2119" i="1"/>
  <c r="D2384" i="1"/>
  <c r="E2384" i="1" s="1"/>
  <c r="E2098" i="1"/>
  <c r="D2363" i="1"/>
  <c r="E2363" i="1" s="1"/>
  <c r="E2104" i="1"/>
  <c r="D2369" i="1"/>
  <c r="E2369" i="1" s="1"/>
  <c r="E1672" i="1"/>
  <c r="D2078" i="1"/>
  <c r="D1787" i="1"/>
  <c r="D2100" i="1"/>
  <c r="E1673" i="1"/>
  <c r="D2079" i="1"/>
  <c r="E1102" i="1"/>
  <c r="D1113" i="1"/>
  <c r="E1113" i="1" s="1"/>
  <c r="E1101" i="1"/>
  <c r="D1112" i="1"/>
  <c r="E1112" i="1" s="1"/>
  <c r="D8262" i="1"/>
  <c r="E8262" i="1" s="1"/>
  <c r="E5914" i="1"/>
  <c r="D5921" i="1"/>
  <c r="E5921" i="1" s="1"/>
  <c r="E5913" i="1"/>
  <c r="D5920" i="1"/>
  <c r="E5920" i="1" s="1"/>
  <c r="E517" i="25"/>
  <c r="F504" i="25"/>
  <c r="E556" i="25"/>
  <c r="M815" i="25"/>
  <c r="L828" i="25"/>
  <c r="E784" i="25"/>
  <c r="F754" i="25"/>
  <c r="D8272" i="1"/>
  <c r="E8272" i="1" s="1"/>
  <c r="E1653" i="1"/>
  <c r="D1681" i="1"/>
  <c r="E1681" i="1" s="1"/>
  <c r="E1645" i="1"/>
  <c r="D1659" i="1"/>
  <c r="D1687" i="1" s="1"/>
  <c r="E1644" i="1"/>
  <c r="D1658" i="1"/>
  <c r="E1643" i="1"/>
  <c r="E1657" i="1"/>
  <c r="E1638" i="1"/>
  <c r="D1651" i="1"/>
  <c r="E1637" i="1"/>
  <c r="D1650" i="1"/>
  <c r="E1650" i="1" s="1"/>
  <c r="E1327" i="1"/>
  <c r="D1340" i="1"/>
  <c r="E1326" i="1"/>
  <c r="E1339" i="1"/>
  <c r="E1321" i="1"/>
  <c r="D1333" i="1"/>
  <c r="E1320" i="1"/>
  <c r="D1332" i="1"/>
  <c r="E1332" i="1" s="1"/>
  <c r="E1328" i="1"/>
  <c r="D1341" i="1"/>
  <c r="D5865" i="1"/>
  <c r="D5871" i="1" s="1"/>
  <c r="D5859" i="1"/>
  <c r="D8416" i="1"/>
  <c r="D8426" i="1" s="1"/>
  <c r="D8624" i="1"/>
  <c r="E8406" i="1"/>
  <c r="B348" i="1"/>
  <c r="E348" i="1" s="1"/>
  <c r="F348" i="1" s="1"/>
  <c r="D5935" i="1" s="1"/>
  <c r="E5941" i="1" s="1"/>
  <c r="B39" i="1"/>
  <c r="E39" i="1" s="1"/>
  <c r="F39" i="1" s="1"/>
  <c r="C7" i="12" s="1"/>
  <c r="D2775" i="1" s="1"/>
  <c r="E2775" i="1" s="1"/>
  <c r="B2778" i="1" s="1"/>
  <c r="B500" i="1"/>
  <c r="E500" i="1" s="1"/>
  <c r="B167" i="1"/>
  <c r="E167" i="1" s="1"/>
  <c r="F167" i="1" s="1"/>
  <c r="D7" i="12" s="1"/>
  <c r="D2933" i="1" s="1"/>
  <c r="E2933" i="1" s="1"/>
  <c r="B527" i="1"/>
  <c r="E527" i="1" s="1"/>
  <c r="F527" i="1" s="1"/>
  <c r="F10" i="12" s="1"/>
  <c r="D3222" i="1" s="1"/>
  <c r="E3222" i="1" s="1"/>
  <c r="B194" i="1"/>
  <c r="B386" i="1"/>
  <c r="E386" i="1" s="1"/>
  <c r="F386" i="1" s="1"/>
  <c r="B53" i="1"/>
  <c r="E53" i="1" s="1"/>
  <c r="F53" i="1" s="1"/>
  <c r="E9828" i="1" s="1"/>
  <c r="B46" i="1"/>
  <c r="E46" i="1" s="1"/>
  <c r="B357" i="1"/>
  <c r="E357" i="1" s="1"/>
  <c r="F357" i="1" s="1"/>
  <c r="D5441" i="1" s="1"/>
  <c r="E5441" i="1" s="1"/>
  <c r="B509" i="1"/>
  <c r="E509" i="1" s="1"/>
  <c r="F509" i="1" s="1"/>
  <c r="B176" i="1"/>
  <c r="E176" i="1" s="1"/>
  <c r="F176" i="1" s="1"/>
  <c r="D8" i="12" s="1"/>
  <c r="D1761" i="1" s="1"/>
  <c r="B339" i="1"/>
  <c r="E339" i="1" s="1"/>
  <c r="F339" i="1" s="1"/>
  <c r="E7" i="12" s="1"/>
  <c r="D3059" i="1" s="1"/>
  <c r="E3059" i="1" s="1"/>
  <c r="B547" i="1"/>
  <c r="E547" i="1" s="1"/>
  <c r="F547" i="1" s="1"/>
  <c r="F12" i="12" s="1"/>
  <c r="D3195" i="1" s="1"/>
  <c r="E3195" i="1" s="1"/>
  <c r="B366" i="1"/>
  <c r="E366" i="1" s="1"/>
  <c r="F366" i="1" s="1"/>
  <c r="E10" i="12" s="1"/>
  <c r="B214" i="1"/>
  <c r="E214" i="1" s="1"/>
  <c r="F214" i="1" s="1"/>
  <c r="D12" i="12" s="1"/>
  <c r="B518" i="1"/>
  <c r="E518" i="1" s="1"/>
  <c r="F518" i="1" s="1"/>
  <c r="B185" i="1"/>
  <c r="E185" i="1" s="1"/>
  <c r="F185" i="1" s="1"/>
  <c r="B75" i="1"/>
  <c r="E75" i="1" s="1"/>
  <c r="B60" i="1"/>
  <c r="E60" i="1" s="1"/>
  <c r="E2232" i="1"/>
  <c r="D2246" i="1"/>
  <c r="E2246" i="1" s="1"/>
  <c r="E4096" i="1"/>
  <c r="D4106" i="1"/>
  <c r="E4106" i="1" s="1"/>
  <c r="E4101" i="1"/>
  <c r="D4111" i="1"/>
  <c r="E4111" i="1" s="1"/>
  <c r="E4100" i="1"/>
  <c r="D4110" i="1"/>
  <c r="E4110" i="1" s="1"/>
  <c r="E4098" i="1"/>
  <c r="D4108" i="1"/>
  <c r="E4108" i="1" s="1"/>
  <c r="E3958" i="1"/>
  <c r="E3970" i="1"/>
  <c r="E3957" i="1"/>
  <c r="D3969" i="1"/>
  <c r="E3969" i="1" s="1"/>
  <c r="E3961" i="1"/>
  <c r="D3973" i="1"/>
  <c r="E3973" i="1" s="1"/>
  <c r="E3960" i="1"/>
  <c r="D3972" i="1"/>
  <c r="E3972" i="1" s="1"/>
  <c r="E3946" i="1"/>
  <c r="E3812" i="1"/>
  <c r="D3820" i="1"/>
  <c r="E3820" i="1" s="1"/>
  <c r="E194" i="1"/>
  <c r="F194" i="1" s="1"/>
  <c r="D10" i="12" s="1"/>
  <c r="E1777" i="1"/>
  <c r="E1778" i="1"/>
  <c r="E1779" i="1"/>
  <c r="E1780" i="1"/>
  <c r="E1794" i="1"/>
  <c r="E1771" i="1"/>
  <c r="D1784" i="1"/>
  <c r="E1772" i="1"/>
  <c r="D1785" i="1"/>
  <c r="D2112" i="1" s="1"/>
  <c r="E1805" i="1"/>
  <c r="E1804" i="1"/>
  <c r="E1799" i="1"/>
  <c r="D1812" i="1"/>
  <c r="E1798" i="1"/>
  <c r="D1811" i="1"/>
  <c r="E1811" i="1" s="1"/>
  <c r="E1806" i="1"/>
  <c r="E1706" i="1"/>
  <c r="D1719" i="1"/>
  <c r="E1705" i="1"/>
  <c r="D1718" i="1"/>
  <c r="E1718" i="1" s="1"/>
  <c r="D1754" i="1"/>
  <c r="E1754" i="1" s="1"/>
  <c r="D1728" i="1"/>
  <c r="E1728" i="1" s="1"/>
  <c r="E1954" i="1"/>
  <c r="D1968" i="1"/>
  <c r="E1993" i="1"/>
  <c r="D2014" i="1"/>
  <c r="D2053" i="1" s="1"/>
  <c r="E2053" i="1" s="1"/>
  <c r="E1974" i="1"/>
  <c r="E2000" i="1"/>
  <c r="E1973" i="1"/>
  <c r="E1999" i="1"/>
  <c r="E1972" i="1"/>
  <c r="E1998" i="1"/>
  <c r="E1474" i="1"/>
  <c r="D1487" i="1"/>
  <c r="E1487" i="1" s="1"/>
  <c r="E1473" i="1"/>
  <c r="D1486" i="1"/>
  <c r="E1486" i="1" s="1"/>
  <c r="E1449" i="1"/>
  <c r="D1461" i="1"/>
  <c r="E1448" i="1"/>
  <c r="E1460" i="1"/>
  <c r="E1456" i="1"/>
  <c r="D1469" i="1"/>
  <c r="E1455" i="1"/>
  <c r="D1468" i="1"/>
  <c r="E1386" i="1"/>
  <c r="D1398" i="1"/>
  <c r="E1385" i="1"/>
  <c r="D1397" i="1"/>
  <c r="E1397" i="1" s="1"/>
  <c r="E1393" i="1"/>
  <c r="D1406" i="1"/>
  <c r="E1793" i="1" s="1"/>
  <c r="E1392" i="1"/>
  <c r="D1405" i="1"/>
  <c r="E1792" i="1" s="1"/>
  <c r="E1391" i="1"/>
  <c r="D1404" i="1"/>
  <c r="D8280" i="1"/>
  <c r="D8981" i="1"/>
  <c r="E8981" i="1" s="1"/>
  <c r="D9461" i="1"/>
  <c r="E9461" i="1" s="1"/>
  <c r="D9107" i="1"/>
  <c r="E9107" i="1" s="1"/>
  <c r="D9062" i="1"/>
  <c r="E9062" i="1" s="1"/>
  <c r="E9197" i="1"/>
  <c r="D9206" i="1"/>
  <c r="D9356" i="1"/>
  <c r="E9345" i="1"/>
  <c r="D9452" i="1"/>
  <c r="E9452" i="1" s="1"/>
  <c r="D9143" i="1"/>
  <c r="E9143" i="1" s="1"/>
  <c r="D9098" i="1"/>
  <c r="E9098" i="1" s="1"/>
  <c r="D9053" i="1"/>
  <c r="E9053" i="1" s="1"/>
  <c r="D8926" i="1"/>
  <c r="E8926" i="1" s="1"/>
  <c r="D9017" i="1"/>
  <c r="E9017" i="1" s="1"/>
  <c r="D8890" i="1"/>
  <c r="E8890" i="1" s="1"/>
  <c r="D8854" i="1"/>
  <c r="E8854" i="1" s="1"/>
  <c r="D8972" i="1"/>
  <c r="E8972" i="1" s="1"/>
  <c r="D8818" i="1"/>
  <c r="E8818" i="1" s="1"/>
  <c r="E9346" i="1"/>
  <c r="D9357" i="1"/>
  <c r="E8221" i="1"/>
  <c r="D8608" i="1"/>
  <c r="D8809" i="1"/>
  <c r="E8809" i="1" s="1"/>
  <c r="D9008" i="1"/>
  <c r="E9008" i="1" s="1"/>
  <c r="D8845" i="1"/>
  <c r="E8845" i="1" s="1"/>
  <c r="E9443" i="1"/>
  <c r="D9134" i="1"/>
  <c r="E9134" i="1" s="1"/>
  <c r="D9089" i="1"/>
  <c r="E9089" i="1" s="1"/>
  <c r="D9044" i="1"/>
  <c r="E9044" i="1" s="1"/>
  <c r="D8963" i="1"/>
  <c r="E8963" i="1" s="1"/>
  <c r="D8917" i="1"/>
  <c r="E8917" i="1" s="1"/>
  <c r="D8881" i="1"/>
  <c r="E8881" i="1" s="1"/>
  <c r="D8606" i="1"/>
  <c r="D8291" i="1"/>
  <c r="E8223" i="1"/>
  <c r="D8282" i="1"/>
  <c r="D9488" i="1"/>
  <c r="E9479" i="1"/>
  <c r="D9523" i="1"/>
  <c r="D9172" i="1"/>
  <c r="E9163" i="1"/>
  <c r="D9125" i="1"/>
  <c r="E9125" i="1" s="1"/>
  <c r="D9080" i="1"/>
  <c r="E9080" i="1" s="1"/>
  <c r="D9035" i="1"/>
  <c r="D8999" i="1"/>
  <c r="E8999" i="1" s="1"/>
  <c r="D8908" i="1"/>
  <c r="E8908" i="1" s="1"/>
  <c r="D9425" i="1"/>
  <c r="D8954" i="1"/>
  <c r="E8954" i="1" s="1"/>
  <c r="D8872" i="1"/>
  <c r="E8872" i="1" s="1"/>
  <c r="D8836" i="1"/>
  <c r="E8836" i="1" s="1"/>
  <c r="D8800" i="1"/>
  <c r="E8800" i="1" s="1"/>
  <c r="E9224" i="1"/>
  <c r="D9233" i="1"/>
  <c r="D8099" i="1"/>
  <c r="E9471" i="1"/>
  <c r="D9480" i="1"/>
  <c r="E5898" i="1"/>
  <c r="D5905" i="1"/>
  <c r="E5905" i="1" s="1"/>
  <c r="E5899" i="1"/>
  <c r="D5906" i="1"/>
  <c r="E5906" i="1" s="1"/>
  <c r="D5915" i="1"/>
  <c r="D3563" i="1"/>
  <c r="E3563" i="1" s="1"/>
  <c r="D3550" i="1"/>
  <c r="E3550" i="1" s="1"/>
  <c r="E3544" i="1"/>
  <c r="E3554" i="1"/>
  <c r="E3543" i="1"/>
  <c r="E9627" i="1"/>
  <c r="D9636" i="1"/>
  <c r="E1506" i="1"/>
  <c r="E1505" i="1"/>
  <c r="E1519" i="1"/>
  <c r="E1504" i="1"/>
  <c r="E1518" i="1"/>
  <c r="E1498" i="1"/>
  <c r="D1510" i="1"/>
  <c r="E1510" i="1" s="1"/>
  <c r="E7677" i="1"/>
  <c r="D7686" i="1"/>
  <c r="E7686" i="1" s="1"/>
  <c r="E7657" i="1"/>
  <c r="D7665" i="1"/>
  <c r="E7665" i="1" s="1"/>
  <c r="E7642" i="1"/>
  <c r="D7650" i="1"/>
  <c r="E7650" i="1" s="1"/>
  <c r="E7676" i="1"/>
  <c r="D7685" i="1"/>
  <c r="E7685" i="1" s="1"/>
  <c r="E7641" i="1"/>
  <c r="D7649" i="1"/>
  <c r="E7649" i="1" s="1"/>
  <c r="E7659" i="1"/>
  <c r="D7667" i="1"/>
  <c r="E7667" i="1" s="1"/>
  <c r="E7674" i="1"/>
  <c r="D7683" i="1"/>
  <c r="E7683" i="1" s="1"/>
  <c r="E7658" i="1"/>
  <c r="D7666" i="1"/>
  <c r="E7666" i="1" s="1"/>
  <c r="E7643" i="1"/>
  <c r="D7651" i="1"/>
  <c r="E7651" i="1" s="1"/>
  <c r="D7655" i="1"/>
  <c r="D7672" i="1" s="1"/>
  <c r="D7647" i="1"/>
  <c r="E7647" i="1" s="1"/>
  <c r="D7514" i="1"/>
  <c r="E7514" i="1" s="1"/>
  <c r="D7505" i="1"/>
  <c r="E7505" i="1" s="1"/>
  <c r="D7515" i="1"/>
  <c r="D7523" i="1" s="1"/>
  <c r="E7523" i="1" s="1"/>
  <c r="D7506" i="1"/>
  <c r="E7506" i="1" s="1"/>
  <c r="D7513" i="1"/>
  <c r="D7521" i="1" s="1"/>
  <c r="E7521" i="1" s="1"/>
  <c r="D7504" i="1"/>
  <c r="E7504" i="1" s="1"/>
  <c r="E7479" i="1"/>
  <c r="D7487" i="1"/>
  <c r="E7487" i="1" s="1"/>
  <c r="E7480" i="1"/>
  <c r="D7488" i="1"/>
  <c r="E7488" i="1" s="1"/>
  <c r="D7524" i="1"/>
  <c r="E7524" i="1" s="1"/>
  <c r="D7507" i="1"/>
  <c r="E7507" i="1" s="1"/>
  <c r="E7478" i="1"/>
  <c r="D7486" i="1"/>
  <c r="E7486" i="1" s="1"/>
  <c r="E7461" i="1"/>
  <c r="D7469" i="1"/>
  <c r="E7469" i="1" s="1"/>
  <c r="E7463" i="1"/>
  <c r="E7471" i="1"/>
  <c r="E7459" i="1"/>
  <c r="D7467" i="1"/>
  <c r="E7467" i="1" s="1"/>
  <c r="E7462" i="1"/>
  <c r="E7470" i="1"/>
  <c r="E7295" i="1"/>
  <c r="D7303" i="1"/>
  <c r="E7303" i="1" s="1"/>
  <c r="E7313" i="1"/>
  <c r="D7322" i="1"/>
  <c r="E7322" i="1" s="1"/>
  <c r="E7297" i="1"/>
  <c r="D7305" i="1"/>
  <c r="E7305" i="1" s="1"/>
  <c r="E7314" i="1"/>
  <c r="D7323" i="1"/>
  <c r="E7323" i="1" s="1"/>
  <c r="E7312" i="1"/>
  <c r="D7321" i="1"/>
  <c r="E7321" i="1" s="1"/>
  <c r="E7296" i="1"/>
  <c r="D7304" i="1"/>
  <c r="E7304" i="1" s="1"/>
  <c r="E7279" i="1"/>
  <c r="E7287" i="1"/>
  <c r="E7278" i="1"/>
  <c r="D7286" i="1"/>
  <c r="E7286" i="1" s="1"/>
  <c r="E7280" i="1"/>
  <c r="E7288" i="1"/>
  <c r="E7276" i="1"/>
  <c r="D7284" i="1"/>
  <c r="E7284" i="1" s="1"/>
  <c r="E7099" i="1"/>
  <c r="E7107" i="1"/>
  <c r="E7131" i="1"/>
  <c r="D7140" i="1"/>
  <c r="E7140" i="1" s="1"/>
  <c r="E7100" i="1"/>
  <c r="E7108" i="1"/>
  <c r="D7161" i="1"/>
  <c r="E7161" i="1" s="1"/>
  <c r="D7143" i="1"/>
  <c r="E7143" i="1" s="1"/>
  <c r="E7116" i="1"/>
  <c r="D7124" i="1"/>
  <c r="E7124" i="1" s="1"/>
  <c r="E7221" i="1"/>
  <c r="D7142" i="1"/>
  <c r="E7142" i="1" s="1"/>
  <c r="E7115" i="1"/>
  <c r="D7123" i="1"/>
  <c r="E7123" i="1" s="1"/>
  <c r="E7098" i="1"/>
  <c r="D7106" i="1"/>
  <c r="E7106" i="1" s="1"/>
  <c r="E7132" i="1"/>
  <c r="D7141" i="1"/>
  <c r="E7141" i="1" s="1"/>
  <c r="E7114" i="1"/>
  <c r="D7122" i="1"/>
  <c r="E7122" i="1" s="1"/>
  <c r="D7112" i="1"/>
  <c r="D7120" i="1" s="1"/>
  <c r="D7104" i="1"/>
  <c r="E7104" i="1" s="1"/>
  <c r="E9322" i="1"/>
  <c r="D9342" i="1"/>
  <c r="E6103" i="1"/>
  <c r="D6123" i="1"/>
  <c r="E6123" i="1" s="1"/>
  <c r="E2225" i="1"/>
  <c r="D2238" i="1"/>
  <c r="E2224" i="1"/>
  <c r="D2237" i="1"/>
  <c r="E2218" i="1"/>
  <c r="D2231" i="1"/>
  <c r="E2223" i="1"/>
  <c r="D2236" i="1"/>
  <c r="E2217" i="1"/>
  <c r="D2230" i="1"/>
  <c r="D2291" i="1"/>
  <c r="E2291" i="1" s="1"/>
  <c r="D2239" i="1"/>
  <c r="E1989" i="1"/>
  <c r="E1961" i="1"/>
  <c r="E1988" i="1"/>
  <c r="E1960" i="1"/>
  <c r="E1987" i="1"/>
  <c r="E1959" i="1"/>
  <c r="E1981" i="1"/>
  <c r="D1953" i="1"/>
  <c r="E1986" i="1"/>
  <c r="E1958" i="1"/>
  <c r="E1980" i="1"/>
  <c r="D1952" i="1"/>
  <c r="D9926" i="1"/>
  <c r="E9926" i="1" s="1"/>
  <c r="D9467" i="1"/>
  <c r="D8195" i="1"/>
  <c r="D8203" i="1" s="1"/>
  <c r="D8193" i="1"/>
  <c r="D8201" i="1" s="1"/>
  <c r="D8032" i="1"/>
  <c r="D8194" i="1"/>
  <c r="E8194" i="1" s="1"/>
  <c r="D8033" i="1"/>
  <c r="D8197" i="1"/>
  <c r="D8206" i="1" s="1"/>
  <c r="D8390" i="1" s="1"/>
  <c r="D6456" i="1"/>
  <c r="E6456" i="1" s="1"/>
  <c r="D7427" i="1"/>
  <c r="D7439" i="1" s="1"/>
  <c r="D7452" i="1" s="1"/>
  <c r="E7452" i="1" s="1"/>
  <c r="D7775" i="1"/>
  <c r="E7775" i="1" s="1"/>
  <c r="D7607" i="1"/>
  <c r="D7619" i="1" s="1"/>
  <c r="E7619" i="1" s="1"/>
  <c r="D7244" i="1"/>
  <c r="E7244" i="1" s="1"/>
  <c r="D7415" i="1"/>
  <c r="E7415" i="1" s="1"/>
  <c r="D7070" i="1"/>
  <c r="E7070" i="1" s="1"/>
  <c r="D7051" i="1"/>
  <c r="E7051" i="1" s="1"/>
  <c r="D7939" i="1"/>
  <c r="D7951" i="1" s="1"/>
  <c r="E7951" i="1" s="1"/>
  <c r="D7232" i="1"/>
  <c r="E7232" i="1" s="1"/>
  <c r="D7595" i="1"/>
  <c r="E7595" i="1" s="1"/>
  <c r="D6363" i="1"/>
  <c r="E6363" i="1" s="1"/>
  <c r="D6073" i="1"/>
  <c r="E6073" i="1" s="1"/>
  <c r="B6076" i="1" s="1"/>
  <c r="E6076" i="1" s="1"/>
  <c r="F6076" i="1" s="1"/>
  <c r="D6958" i="1"/>
  <c r="E6965" i="1" s="1"/>
  <c r="D7111" i="1"/>
  <c r="E6964" i="1"/>
  <c r="D5148" i="1"/>
  <c r="E5148" i="1" s="1"/>
  <c r="D5162" i="1"/>
  <c r="E5162" i="1" s="1"/>
  <c r="E3542" i="1"/>
  <c r="E677" i="1"/>
  <c r="B680" i="1" s="1"/>
  <c r="E680" i="1" s="1"/>
  <c r="F680" i="1" s="1"/>
  <c r="G7" i="12" s="1"/>
  <c r="D3314" i="1" s="1"/>
  <c r="E3314" i="1" s="1"/>
  <c r="D686" i="1"/>
  <c r="E686" i="1" s="1"/>
  <c r="D6814" i="1"/>
  <c r="D6823" i="1" s="1"/>
  <c r="D6834" i="1" s="1"/>
  <c r="D6844" i="1" s="1"/>
  <c r="D6854" i="1" s="1"/>
  <c r="E102" i="1"/>
  <c r="B104" i="1" s="1"/>
  <c r="E104" i="1" s="1"/>
  <c r="F104" i="1" s="1"/>
  <c r="C15" i="12" s="1"/>
  <c r="D1047" i="1"/>
  <c r="E1047" i="1" s="1"/>
  <c r="D6780" i="1"/>
  <c r="E6780" i="1" s="1"/>
  <c r="B6784" i="1" s="1"/>
  <c r="D4613" i="1"/>
  <c r="E4613" i="1" s="1"/>
  <c r="C67" i="3"/>
  <c r="E4143" i="1"/>
  <c r="D6556" i="1"/>
  <c r="E6556" i="1" s="1"/>
  <c r="D7809" i="1"/>
  <c r="E7809" i="1" s="1"/>
  <c r="D4976" i="1"/>
  <c r="D5014" i="1" s="1"/>
  <c r="D2530" i="1"/>
  <c r="E2530" i="1" s="1"/>
  <c r="D10052" i="1"/>
  <c r="E10052" i="1" s="1"/>
  <c r="E7838" i="1"/>
  <c r="D7335" i="1"/>
  <c r="D7343" i="1" s="1"/>
  <c r="E7343" i="1" s="1"/>
  <c r="D7695" i="1"/>
  <c r="E7695" i="1" s="1"/>
  <c r="D1039" i="1"/>
  <c r="E1039" i="1" s="1"/>
  <c r="E7060" i="1"/>
  <c r="D5831" i="1"/>
  <c r="D6402" i="1"/>
  <c r="E6402" i="1" s="1"/>
  <c r="D6888" i="1"/>
  <c r="E6888" i="1" s="1"/>
  <c r="E2007" i="1"/>
  <c r="E1994" i="1"/>
  <c r="E1982" i="1"/>
  <c r="E1800" i="1"/>
  <c r="E5060" i="1"/>
  <c r="E2895" i="1"/>
  <c r="D687" i="1"/>
  <c r="E687" i="1" s="1"/>
  <c r="D4473" i="1"/>
  <c r="E4473" i="1" s="1"/>
  <c r="D5708" i="1"/>
  <c r="E5708" i="1" s="1"/>
  <c r="D5090" i="1"/>
  <c r="E5090" i="1" s="1"/>
  <c r="D6642" i="1"/>
  <c r="E6642" i="1" s="1"/>
  <c r="D5843" i="1"/>
  <c r="E5843" i="1" s="1"/>
  <c r="D3741" i="1"/>
  <c r="E3741" i="1" s="1"/>
  <c r="D5111" i="1"/>
  <c r="E5111" i="1" s="1"/>
  <c r="D6838" i="1"/>
  <c r="E6838" i="1" s="1"/>
  <c r="D6773" i="1"/>
  <c r="E6773" i="1" s="1"/>
  <c r="D5972" i="1"/>
  <c r="D5979" i="1" s="1"/>
  <c r="D7079" i="1"/>
  <c r="E7079" i="1" s="1"/>
  <c r="D6852" i="1"/>
  <c r="E6852" i="1" s="1"/>
  <c r="B6854" i="1" s="1"/>
  <c r="C621" i="3"/>
  <c r="D6656" i="1"/>
  <c r="D6666" i="1" s="1"/>
  <c r="E6666" i="1" s="1"/>
  <c r="C583" i="3"/>
  <c r="D6140" i="1"/>
  <c r="C668" i="3"/>
  <c r="D6373" i="1"/>
  <c r="E6373" i="1" s="1"/>
  <c r="C580" i="3"/>
  <c r="D8782" i="1"/>
  <c r="E8782" i="1" s="1"/>
  <c r="D6573" i="1"/>
  <c r="E6573" i="1" s="1"/>
  <c r="C588" i="3"/>
  <c r="D8773" i="1"/>
  <c r="E8773" i="1" s="1"/>
  <c r="D6379" i="1"/>
  <c r="E6379" i="1" s="1"/>
  <c r="C586" i="3"/>
  <c r="D8764" i="1"/>
  <c r="E8764" i="1" s="1"/>
  <c r="E2259" i="1"/>
  <c r="E2219" i="1"/>
  <c r="E2046" i="1"/>
  <c r="E1143" i="1"/>
  <c r="E1132" i="1"/>
  <c r="E1121" i="1"/>
  <c r="E1097" i="1"/>
  <c r="E1080" i="1"/>
  <c r="E7264" i="1"/>
  <c r="E4465" i="1"/>
  <c r="E2460" i="1"/>
  <c r="E2284" i="1"/>
  <c r="E2060" i="1"/>
  <c r="E1886" i="1"/>
  <c r="E3616" i="1"/>
  <c r="E2613" i="1"/>
  <c r="E2600" i="1"/>
  <c r="E2587" i="1"/>
  <c r="E2511" i="1"/>
  <c r="E2498" i="1"/>
  <c r="E7627" i="1"/>
  <c r="D2620" i="1"/>
  <c r="E2620" i="1" s="1"/>
  <c r="D4246" i="1"/>
  <c r="E4246" i="1" s="1"/>
  <c r="D7149" i="1"/>
  <c r="E7149" i="1" s="1"/>
  <c r="E7147" i="1"/>
  <c r="E4485" i="1"/>
  <c r="D5360" i="1"/>
  <c r="E5360" i="1" s="1"/>
  <c r="E7251" i="1"/>
  <c r="E2550" i="1"/>
  <c r="D7955" i="1"/>
  <c r="D7958" i="1" s="1"/>
  <c r="E7958" i="1" s="1"/>
  <c r="E9938" i="1"/>
  <c r="D3715" i="1"/>
  <c r="D3733" i="1" s="1"/>
  <c r="E3733" i="1" s="1"/>
  <c r="E1747" i="1"/>
  <c r="E5973" i="1"/>
  <c r="E5108" i="1"/>
  <c r="D4527" i="1"/>
  <c r="E4527" i="1" s="1"/>
  <c r="E7434" i="1"/>
  <c r="D4572" i="1"/>
  <c r="D4582" i="1" s="1"/>
  <c r="D7231" i="1"/>
  <c r="D7243" i="1" s="1"/>
  <c r="D6708" i="1"/>
  <c r="E6708" i="1" s="1"/>
  <c r="D4361" i="1"/>
  <c r="E4361" i="1" s="1"/>
  <c r="E1840" i="1"/>
  <c r="D4524" i="1"/>
  <c r="E4524" i="1" s="1"/>
  <c r="D10044" i="1"/>
  <c r="E10044" i="1" s="1"/>
  <c r="D4832" i="1"/>
  <c r="E4832" i="1" s="1"/>
  <c r="E6587" i="1"/>
  <c r="E6635" i="1"/>
  <c r="D1008" i="1"/>
  <c r="E1008" i="1" s="1"/>
  <c r="B1011" i="1" s="1"/>
  <c r="E2324" i="1"/>
  <c r="E2154" i="1"/>
  <c r="E7048" i="1"/>
  <c r="E6915" i="1"/>
  <c r="D10050" i="1"/>
  <c r="E10050" i="1" s="1"/>
  <c r="E7410" i="1"/>
  <c r="E4608" i="1"/>
  <c r="E2421" i="1"/>
  <c r="E2408" i="1"/>
  <c r="E2272" i="1"/>
  <c r="E1347" i="1"/>
  <c r="E10060" i="1"/>
  <c r="D6598" i="1"/>
  <c r="E6598" i="1" s="1"/>
  <c r="D7087" i="1"/>
  <c r="E7087" i="1" s="1"/>
  <c r="E7220" i="1"/>
  <c r="D7293" i="1"/>
  <c r="E4772" i="1"/>
  <c r="D7827" i="1"/>
  <c r="E7827" i="1" s="1"/>
  <c r="F7831" i="1" s="1"/>
  <c r="E4464" i="1"/>
  <c r="D3646" i="1"/>
  <c r="E3646" i="1" s="1"/>
  <c r="E4858" i="1"/>
  <c r="E2690" i="1"/>
  <c r="E2434" i="1"/>
  <c r="E1639" i="1"/>
  <c r="E1283" i="1"/>
  <c r="E1260" i="1"/>
  <c r="E1243" i="1"/>
  <c r="D6980" i="1"/>
  <c r="E6980" i="1" s="1"/>
  <c r="E6684" i="1"/>
  <c r="D95" i="1"/>
  <c r="E95" i="1" s="1"/>
  <c r="E2727" i="1"/>
  <c r="E2473" i="1"/>
  <c r="E2297" i="1"/>
  <c r="E1734" i="1"/>
  <c r="E1707" i="1"/>
  <c r="E1450" i="1"/>
  <c r="E1436" i="1"/>
  <c r="E1412" i="1"/>
  <c r="E1373" i="1"/>
  <c r="D7413" i="1"/>
  <c r="E7413" i="1" s="1"/>
  <c r="D6986" i="1"/>
  <c r="E6986" i="1" s="1"/>
  <c r="E7914" i="1"/>
  <c r="E2001" i="1"/>
  <c r="D6695" i="1"/>
  <c r="E6695" i="1" s="1"/>
  <c r="E2486" i="1"/>
  <c r="E2310" i="1"/>
  <c r="E1927" i="1"/>
  <c r="E7850" i="1"/>
  <c r="D6717" i="1"/>
  <c r="E6717" i="1" s="1"/>
  <c r="D9945" i="1"/>
  <c r="D10041" i="1" s="1"/>
  <c r="E7839" i="1"/>
  <c r="E2141" i="1"/>
  <c r="E4678" i="1"/>
  <c r="E5853" i="1"/>
  <c r="E3574" i="1"/>
  <c r="E10058" i="1"/>
  <c r="E4760" i="1"/>
  <c r="D7698" i="1"/>
  <c r="E7698" i="1" s="1"/>
  <c r="E4428" i="1"/>
  <c r="D2174" i="1"/>
  <c r="D2213" i="1" s="1"/>
  <c r="E2213" i="1" s="1"/>
  <c r="D7807" i="1"/>
  <c r="E7807" i="1" s="1"/>
  <c r="E1899" i="1"/>
  <c r="E1873" i="1"/>
  <c r="E1525" i="1"/>
  <c r="E1500" i="1"/>
  <c r="E2626" i="1"/>
  <c r="E1940" i="1"/>
  <c r="E1760" i="1"/>
  <c r="E2180" i="1"/>
  <c r="E1182" i="1"/>
  <c r="E1171" i="1"/>
  <c r="E2651" i="1"/>
  <c r="E1827" i="1"/>
  <c r="E1617" i="1"/>
  <c r="E1221" i="1"/>
  <c r="E1193" i="1"/>
  <c r="E2447" i="1"/>
  <c r="E1667" i="1"/>
  <c r="D5159" i="1"/>
  <c r="E5159" i="1" s="1"/>
  <c r="D4523" i="1"/>
  <c r="E4523" i="1" s="1"/>
  <c r="D5603" i="1"/>
  <c r="D5809" i="1" s="1"/>
  <c r="D5825" i="1" s="1"/>
  <c r="E5825" i="1" s="1"/>
  <c r="D10011" i="1"/>
  <c r="E10011" i="1" s="1"/>
  <c r="D5113" i="1"/>
  <c r="E5113" i="1" s="1"/>
  <c r="E5512" i="1"/>
  <c r="E5480" i="1"/>
  <c r="D4723" i="1"/>
  <c r="E4723" i="1" s="1"/>
  <c r="D2697" i="1"/>
  <c r="D2709" i="1" s="1"/>
  <c r="E2709" i="1" s="1"/>
  <c r="E7332" i="1"/>
  <c r="D3919" i="1"/>
  <c r="E3919" i="1" s="1"/>
  <c r="D7618" i="1"/>
  <c r="D7631" i="1" s="1"/>
  <c r="E7631" i="1" s="1"/>
  <c r="E7330" i="1"/>
  <c r="D8006" i="1"/>
  <c r="D8016" i="1" s="1"/>
  <c r="E8016" i="1" s="1"/>
  <c r="D1003" i="1"/>
  <c r="D1015" i="1" s="1"/>
  <c r="E1015" i="1" s="1"/>
  <c r="D3814" i="1"/>
  <c r="D4363" i="1"/>
  <c r="E4363" i="1" s="1"/>
  <c r="D7338" i="1"/>
  <c r="E7338" i="1" s="1"/>
  <c r="E10061" i="1"/>
  <c r="D6403" i="1"/>
  <c r="E6403" i="1" s="1"/>
  <c r="D7150" i="1"/>
  <c r="E7150" i="1" s="1"/>
  <c r="E4636" i="1"/>
  <c r="E6220" i="1"/>
  <c r="D6228" i="1"/>
  <c r="D6237" i="1" s="1"/>
  <c r="E6686" i="1"/>
  <c r="D7615" i="1"/>
  <c r="E7615" i="1" s="1"/>
  <c r="E5643" i="1"/>
  <c r="D2441" i="1"/>
  <c r="D2454" i="1" s="1"/>
  <c r="E2454" i="1" s="1"/>
  <c r="D847" i="1"/>
  <c r="E847" i="1" s="1"/>
  <c r="D5424" i="1"/>
  <c r="E5424" i="1" s="1"/>
  <c r="D7260" i="1"/>
  <c r="E7260" i="1" s="1"/>
  <c r="E7248" i="1"/>
  <c r="E4714" i="1"/>
  <c r="E4762" i="1"/>
  <c r="D7152" i="1"/>
  <c r="E7152" i="1" s="1"/>
  <c r="D1009" i="1"/>
  <c r="E1009" i="1" s="1"/>
  <c r="D7357" i="1"/>
  <c r="D7360" i="1" s="1"/>
  <c r="E7360" i="1" s="1"/>
  <c r="E7348" i="1"/>
  <c r="F7353" i="1" s="1"/>
  <c r="E6918" i="1"/>
  <c r="D6988" i="1"/>
  <c r="E6988" i="1" s="1"/>
  <c r="E6966" i="1"/>
  <c r="E6484" i="1"/>
  <c r="D6188" i="1"/>
  <c r="E6188" i="1" s="1"/>
  <c r="D10047" i="1"/>
  <c r="E10047" i="1" s="1"/>
  <c r="D7803" i="1"/>
  <c r="E7803" i="1" s="1"/>
  <c r="E4068" i="1"/>
  <c r="D4611" i="1"/>
  <c r="E4611" i="1" s="1"/>
  <c r="E5695" i="1"/>
  <c r="E3933" i="1"/>
  <c r="E3718" i="1"/>
  <c r="D1862" i="1"/>
  <c r="E1862" i="1" s="1"/>
  <c r="D1057" i="1"/>
  <c r="E1057" i="1" s="1"/>
  <c r="E7414" i="1"/>
  <c r="D3736" i="1"/>
  <c r="E3736" i="1" s="1"/>
  <c r="E10036" i="1"/>
  <c r="D7945" i="1"/>
  <c r="E7945" i="1" s="1"/>
  <c r="E1038" i="1"/>
  <c r="D6400" i="1"/>
  <c r="E6400" i="1" s="1"/>
  <c r="D4037" i="1"/>
  <c r="E4037" i="1" s="1"/>
  <c r="E4385" i="1"/>
  <c r="D4394" i="1"/>
  <c r="E4394" i="1" s="1"/>
  <c r="E4374" i="1"/>
  <c r="D4820" i="1"/>
  <c r="E4820" i="1" s="1"/>
  <c r="E1591" i="1"/>
  <c r="E7845" i="1"/>
  <c r="D93" i="1"/>
  <c r="E93" i="1" s="1"/>
  <c r="D7476" i="1"/>
  <c r="E4810" i="1"/>
  <c r="E6790" i="1"/>
  <c r="B6795" i="1" s="1"/>
  <c r="E6795" i="1" s="1"/>
  <c r="F6795" i="1" s="1"/>
  <c r="E3843" i="1"/>
  <c r="E7616" i="1"/>
  <c r="D3984" i="1"/>
  <c r="E3984" i="1" s="1"/>
  <c r="E7836" i="1"/>
  <c r="D2557" i="1"/>
  <c r="E2557" i="1" s="1"/>
  <c r="D4861" i="1"/>
  <c r="E4861" i="1" s="1"/>
  <c r="D4273" i="1"/>
  <c r="E4273" i="1" s="1"/>
  <c r="D4412" i="1"/>
  <c r="D4421" i="1" s="1"/>
  <c r="E4421" i="1" s="1"/>
  <c r="D2531" i="1"/>
  <c r="D2544" i="1" s="1"/>
  <c r="E2544" i="1" s="1"/>
  <c r="D4398" i="1"/>
  <c r="E4398" i="1" s="1"/>
  <c r="E7498" i="1"/>
  <c r="E5550" i="1"/>
  <c r="D4973" i="1"/>
  <c r="E4973" i="1" s="1"/>
  <c r="D5764" i="1"/>
  <c r="D5780" i="1" s="1"/>
  <c r="D5791" i="1" s="1"/>
  <c r="E5791" i="1" s="1"/>
  <c r="E2755" i="1"/>
  <c r="E2677" i="1"/>
  <c r="E7639" i="1"/>
  <c r="D5034" i="1"/>
  <c r="E5034" i="1" s="1"/>
  <c r="E5139" i="1"/>
  <c r="D4271" i="1"/>
  <c r="D4283" i="1" s="1"/>
  <c r="E4283" i="1" s="1"/>
  <c r="B992" i="1"/>
  <c r="E992" i="1" s="1"/>
  <c r="F992" i="1" s="1"/>
  <c r="I8" i="12" s="1"/>
  <c r="D6155" i="1" s="1"/>
  <c r="D6161" i="1" s="1"/>
  <c r="D10040" i="1"/>
  <c r="D10022" i="1" s="1"/>
  <c r="D10004" i="1" s="1"/>
  <c r="E10004" i="1" s="1"/>
  <c r="D7704" i="1"/>
  <c r="E7704" i="1" s="1"/>
  <c r="E5540" i="1"/>
  <c r="E9939" i="1"/>
  <c r="E10082" i="1"/>
  <c r="E2762" i="1"/>
  <c r="D4409" i="1"/>
  <c r="E4409" i="1" s="1"/>
  <c r="E7770" i="1"/>
  <c r="E2226" i="1"/>
  <c r="E7495" i="1"/>
  <c r="D6818" i="1"/>
  <c r="E6818" i="1" s="1"/>
  <c r="E5011" i="1"/>
  <c r="E4135" i="1"/>
  <c r="D1612" i="1"/>
  <c r="E78" i="1"/>
  <c r="B82" i="1" s="1"/>
  <c r="E82" i="1" s="1"/>
  <c r="F82" i="1" s="1"/>
  <c r="C13" i="12" s="1"/>
  <c r="E4830" i="1"/>
  <c r="D7692" i="1"/>
  <c r="E7692" i="1" s="1"/>
  <c r="D2783" i="1"/>
  <c r="D2790" i="1" s="1"/>
  <c r="E2790" i="1" s="1"/>
  <c r="E1036" i="1"/>
  <c r="D1572" i="1"/>
  <c r="D1578" i="1" s="1"/>
  <c r="D1560" i="1"/>
  <c r="E3790" i="1"/>
  <c r="E2020" i="1"/>
  <c r="E1773" i="1"/>
  <c r="D7151" i="1"/>
  <c r="E7151" i="1" s="1"/>
  <c r="D4161" i="1"/>
  <c r="E4161" i="1" s="1"/>
  <c r="D6532" i="1"/>
  <c r="E6532" i="1" s="1"/>
  <c r="E3774" i="1"/>
  <c r="D4319" i="1"/>
  <c r="E4319" i="1" s="1"/>
  <c r="D4668" i="1"/>
  <c r="E4668" i="1" s="1"/>
  <c r="E7837" i="1"/>
  <c r="E4137" i="1"/>
  <c r="D4040" i="1"/>
  <c r="E4040" i="1" s="1"/>
  <c r="D6497" i="1"/>
  <c r="E6497" i="1" s="1"/>
  <c r="B67" i="1"/>
  <c r="E67" i="1" s="1"/>
  <c r="F67" i="1" s="1"/>
  <c r="C11" i="12" s="1"/>
  <c r="E9311" i="1"/>
  <c r="E8026" i="1"/>
  <c r="D4222" i="1"/>
  <c r="E4222" i="1" s="1"/>
  <c r="D4339" i="1"/>
  <c r="D5289" i="1"/>
  <c r="D5393" i="1" s="1"/>
  <c r="D4418" i="1"/>
  <c r="E4418" i="1" s="1"/>
  <c r="E8025" i="1"/>
  <c r="E7133" i="1"/>
  <c r="D3631" i="1"/>
  <c r="E3631" i="1" s="1"/>
  <c r="D6495" i="1"/>
  <c r="E6495" i="1" s="1"/>
  <c r="D7195" i="1"/>
  <c r="E7195" i="1" s="1"/>
  <c r="D7266" i="1"/>
  <c r="E7266" i="1" s="1"/>
  <c r="E7614" i="1"/>
  <c r="D6508" i="1"/>
  <c r="D6519" i="1" s="1"/>
  <c r="D6534" i="1" s="1"/>
  <c r="E6534" i="1" s="1"/>
  <c r="D10014" i="1"/>
  <c r="E10014" i="1" s="1"/>
  <c r="E7510" i="1"/>
  <c r="D6411" i="1"/>
  <c r="D6422" i="1" s="1"/>
  <c r="E6422" i="1" s="1"/>
  <c r="D3735" i="1"/>
  <c r="E3735" i="1" s="1"/>
  <c r="D1301" i="1"/>
  <c r="E1301" i="1" s="1"/>
  <c r="D7959" i="1"/>
  <c r="E7959" i="1" s="1"/>
  <c r="E997" i="1"/>
  <c r="B999" i="1" s="1"/>
  <c r="D10016" i="1"/>
  <c r="E10016" i="1" s="1"/>
  <c r="E1387" i="1"/>
  <c r="D4912" i="1"/>
  <c r="E4912" i="1" s="1"/>
  <c r="E4144" i="1"/>
  <c r="D7793" i="1"/>
  <c r="E7793" i="1" s="1"/>
  <c r="D7334" i="1"/>
  <c r="D7342" i="1" s="1"/>
  <c r="E7342" i="1" s="1"/>
  <c r="D1921" i="1"/>
  <c r="E1921" i="1" s="1"/>
  <c r="E1880" i="1"/>
  <c r="D7443" i="1"/>
  <c r="E7443" i="1" s="1"/>
  <c r="D7075" i="1"/>
  <c r="E7075" i="1" s="1"/>
  <c r="E1906" i="1"/>
  <c r="D7411" i="1"/>
  <c r="D7425" i="1" s="1"/>
  <c r="E7425" i="1" s="1"/>
  <c r="E7408" i="1"/>
  <c r="D6510" i="1"/>
  <c r="D6521" i="1" s="1"/>
  <c r="D6536" i="1" s="1"/>
  <c r="D6547" i="1" s="1"/>
  <c r="D6557" i="1" s="1"/>
  <c r="D6567" i="1" s="1"/>
  <c r="D6574" i="1" s="1"/>
  <c r="D6588" i="1" s="1"/>
  <c r="D6599" i="1" s="1"/>
  <c r="D6973" i="1"/>
  <c r="E6973" i="1" s="1"/>
  <c r="F6976" i="1" s="1"/>
  <c r="E10064" i="1"/>
  <c r="E7400" i="1"/>
  <c r="F7404" i="1" s="1"/>
  <c r="D6509" i="1"/>
  <c r="D6520" i="1" s="1"/>
  <c r="E6520" i="1" s="1"/>
  <c r="D6842" i="1"/>
  <c r="E6842" i="1" s="1"/>
  <c r="E7846" i="1"/>
  <c r="D6673" i="1"/>
  <c r="E6673" i="1" s="1"/>
  <c r="E5492" i="1"/>
  <c r="D6829" i="1"/>
  <c r="E5585" i="1"/>
  <c r="D5072" i="1"/>
  <c r="E5456" i="1"/>
  <c r="E7786" i="1"/>
  <c r="E7086" i="1"/>
  <c r="E7068" i="1"/>
  <c r="E2206" i="1"/>
  <c r="E7447" i="1"/>
  <c r="F7029" i="1"/>
  <c r="B6861" i="1"/>
  <c r="D5662" i="1"/>
  <c r="D5681" i="1" s="1"/>
  <c r="E5681" i="1" s="1"/>
  <c r="E4048" i="1"/>
  <c r="E7041" i="1"/>
  <c r="E7582" i="1"/>
  <c r="E1694" i="1"/>
  <c r="E1604" i="1"/>
  <c r="E1424" i="1"/>
  <c r="E1069" i="1"/>
  <c r="E2505" i="1"/>
  <c r="E1476" i="1"/>
  <c r="E1310" i="1"/>
  <c r="E1160" i="1"/>
  <c r="B13" i="1"/>
  <c r="E13" i="1" s="1"/>
  <c r="F13" i="1" s="1"/>
  <c r="E2033" i="1"/>
  <c r="E1914" i="1"/>
  <c r="E1271" i="1"/>
  <c r="E2524" i="1"/>
  <c r="B841" i="1"/>
  <c r="E841" i="1" s="1"/>
  <c r="F841" i="1" s="1"/>
  <c r="H7" i="12" s="1"/>
  <c r="D3435" i="1" s="1"/>
  <c r="E3435" i="1" s="1"/>
  <c r="B536" i="1"/>
  <c r="E536" i="1" s="1"/>
  <c r="F536" i="1" s="1"/>
  <c r="F11" i="12" s="1"/>
  <c r="E2193" i="1"/>
  <c r="E1210" i="1"/>
  <c r="E10069" i="1"/>
  <c r="D10051" i="1"/>
  <c r="E10051" i="1" s="1"/>
  <c r="D9953" i="1"/>
  <c r="E9953" i="1" s="1"/>
  <c r="D4538" i="1"/>
  <c r="E4526" i="1"/>
  <c r="E7050" i="1"/>
  <c r="D7062" i="1"/>
  <c r="E7062" i="1" s="1"/>
  <c r="D7069" i="1"/>
  <c r="D7078" i="1" s="1"/>
  <c r="D4157" i="1"/>
  <c r="E4142" i="1"/>
  <c r="E5597" i="1"/>
  <c r="D5617" i="1"/>
  <c r="E7798" i="1"/>
  <c r="D7811" i="1"/>
  <c r="E7811" i="1" s="1"/>
  <c r="D7085" i="1"/>
  <c r="E7085" i="1" s="1"/>
  <c r="E7083" i="1"/>
  <c r="D4410" i="1"/>
  <c r="E4396" i="1"/>
  <c r="E10031" i="1"/>
  <c r="D7613" i="1"/>
  <c r="E7613" i="1" s="1"/>
  <c r="E8024" i="1"/>
  <c r="E6867" i="1"/>
  <c r="B6870" i="1" s="1"/>
  <c r="D7963" i="1"/>
  <c r="E7963" i="1" s="1"/>
  <c r="D4158" i="1"/>
  <c r="E4158" i="1" s="1"/>
  <c r="E7922" i="1"/>
  <c r="E5835" i="1"/>
  <c r="D7624" i="1"/>
  <c r="E7624" i="1" s="1"/>
  <c r="D7623" i="1"/>
  <c r="E7986" i="1"/>
  <c r="D1055" i="1"/>
  <c r="E1055" i="1" s="1"/>
  <c r="D10045" i="1"/>
  <c r="E10025" i="1"/>
  <c r="E4387" i="1"/>
  <c r="E7074" i="1"/>
  <c r="D2279" i="1"/>
  <c r="D2317" i="1" s="1"/>
  <c r="E2317" i="1" s="1"/>
  <c r="F7036" i="1"/>
  <c r="F6954" i="1"/>
  <c r="D4168" i="1"/>
  <c r="E4168" i="1" s="1"/>
  <c r="D10006" i="1"/>
  <c r="E10006" i="1" s="1"/>
  <c r="E7842" i="1"/>
  <c r="D3743" i="1"/>
  <c r="D3751" i="1" s="1"/>
  <c r="E3751" i="1" s="1"/>
  <c r="E4886" i="1"/>
  <c r="D3792" i="1"/>
  <c r="D1741" i="1"/>
  <c r="E1741" i="1" s="1"/>
  <c r="E7096" i="1"/>
  <c r="D3986" i="1"/>
  <c r="E3986" i="1" s="1"/>
  <c r="D1767" i="1"/>
  <c r="E1767" i="1" s="1"/>
  <c r="E10063" i="1"/>
  <c r="E5633" i="1"/>
  <c r="D7382" i="1"/>
  <c r="E5707" i="1"/>
  <c r="D7375" i="1"/>
  <c r="E7375" i="1" s="1"/>
  <c r="F7378" i="1" s="1"/>
  <c r="E4885" i="1"/>
  <c r="D7844" i="1"/>
  <c r="E7844" i="1" s="1"/>
  <c r="E7431" i="1"/>
  <c r="D6916" i="1"/>
  <c r="E6916" i="1" s="1"/>
  <c r="D7424" i="1"/>
  <c r="E7424" i="1" s="1"/>
  <c r="E4133" i="1"/>
  <c r="E1714" i="1"/>
  <c r="E6189" i="1"/>
  <c r="D1907" i="1"/>
  <c r="F7823" i="1"/>
  <c r="E4088" i="1"/>
  <c r="D7333" i="1"/>
  <c r="E7333" i="1" s="1"/>
  <c r="D7693" i="1"/>
  <c r="D4738" i="1"/>
  <c r="E4738" i="1" s="1"/>
  <c r="D7097" i="1"/>
  <c r="E7097" i="1" s="1"/>
  <c r="E4514" i="1"/>
  <c r="D6874" i="1"/>
  <c r="E7497" i="1"/>
  <c r="E10030" i="1"/>
  <c r="E7496" i="1"/>
  <c r="E5234" i="1"/>
  <c r="B111" i="1"/>
  <c r="E111" i="1" s="1"/>
  <c r="F111" i="1" s="1"/>
  <c r="C16" i="12" s="1"/>
  <c r="D10169" i="1" s="1"/>
  <c r="E10169" i="1" s="1"/>
  <c r="E1232" i="1"/>
  <c r="D5513" i="1"/>
  <c r="E5493" i="1"/>
  <c r="E10093" i="1"/>
  <c r="D5746" i="1"/>
  <c r="E5746" i="1" s="1"/>
  <c r="E4894" i="1"/>
  <c r="D4908" i="1"/>
  <c r="D10053" i="1"/>
  <c r="E10071" i="1"/>
  <c r="D5829" i="1"/>
  <c r="E5829" i="1" s="1"/>
  <c r="E2671" i="1"/>
  <c r="D2684" i="1"/>
  <c r="D2722" i="1" s="1"/>
  <c r="E2722" i="1" s="1"/>
  <c r="E18" i="1"/>
  <c r="F18" i="1" s="1"/>
  <c r="E6609" i="1"/>
  <c r="E10067" i="1"/>
  <c r="D5144" i="1"/>
  <c r="E4715" i="1"/>
  <c r="D6595" i="1"/>
  <c r="E6595" i="1" s="1"/>
  <c r="E4985" i="1"/>
  <c r="D7315" i="1"/>
  <c r="D7324" i="1" s="1"/>
  <c r="E7324" i="1" s="1"/>
  <c r="E7134" i="1"/>
  <c r="E6731" i="1"/>
  <c r="D6742" i="1"/>
  <c r="E6742" i="1" s="1"/>
  <c r="D6608" i="1"/>
  <c r="E6586" i="1"/>
  <c r="E5584" i="1"/>
  <c r="D5596" i="1"/>
  <c r="E4639" i="1"/>
  <c r="D4662" i="1"/>
  <c r="D4648" i="1"/>
  <c r="E4648" i="1" s="1"/>
  <c r="E4580" i="1"/>
  <c r="D4590" i="1"/>
  <c r="E4590" i="1" s="1"/>
  <c r="D4765" i="1"/>
  <c r="D4777" i="1" s="1"/>
  <c r="D4739" i="1"/>
  <c r="E4727" i="1"/>
  <c r="E3536" i="1"/>
  <c r="D3882" i="1"/>
  <c r="D747" i="1"/>
  <c r="E737" i="1"/>
  <c r="D4764" i="1"/>
  <c r="D4776" i="1" s="1"/>
  <c r="D6498" i="1"/>
  <c r="E6498" i="1" s="1"/>
  <c r="E2664" i="1"/>
  <c r="E6506" i="1"/>
  <c r="D7512" i="1"/>
  <c r="D901" i="1"/>
  <c r="E901" i="1" s="1"/>
  <c r="D116" i="1"/>
  <c r="E7938" i="1"/>
  <c r="E6286" i="1"/>
  <c r="D6297" i="1"/>
  <c r="E6297" i="1" s="1"/>
  <c r="E6202" i="1"/>
  <c r="D6211" i="1"/>
  <c r="E6211" i="1" s="1"/>
  <c r="D5981" i="1"/>
  <c r="E5974" i="1"/>
  <c r="E5481" i="1"/>
  <c r="E4895" i="1"/>
  <c r="D4918" i="1"/>
  <c r="E4918" i="1" s="1"/>
  <c r="E4735" i="1"/>
  <c r="D4747" i="1"/>
  <c r="E4747" i="1" s="1"/>
  <c r="D3864" i="1"/>
  <c r="E3864" i="1" s="1"/>
  <c r="E3850" i="1"/>
  <c r="E7076" i="1"/>
  <c r="D6210" i="1"/>
  <c r="E6210" i="1" s="1"/>
  <c r="E3594" i="1"/>
  <c r="D3604" i="1"/>
  <c r="E3604" i="1" s="1"/>
  <c r="E6620" i="1"/>
  <c r="E7179" i="1"/>
  <c r="D6606" i="1"/>
  <c r="E7436" i="1"/>
  <c r="D5813" i="1"/>
  <c r="E5813" i="1" s="1"/>
  <c r="D10174" i="1"/>
  <c r="D4028" i="1"/>
  <c r="E6687" i="1"/>
  <c r="E4476" i="1"/>
  <c r="D4488" i="1"/>
  <c r="D4500" i="1" s="1"/>
  <c r="E4500" i="1" s="1"/>
  <c r="D10010" i="1"/>
  <c r="E10010" i="1" s="1"/>
  <c r="E10028" i="1"/>
  <c r="E9958" i="1"/>
  <c r="E10018" i="1"/>
  <c r="D4977" i="1"/>
  <c r="E4965" i="1"/>
  <c r="E7762" i="1"/>
  <c r="D7774" i="1"/>
  <c r="E7774" i="1" s="1"/>
  <c r="E7227" i="1"/>
  <c r="D7241" i="1"/>
  <c r="E7241" i="1" s="1"/>
  <c r="D5168" i="1"/>
  <c r="E5168" i="1" s="1"/>
  <c r="E5145" i="1"/>
  <c r="D3737" i="1"/>
  <c r="D3745" i="1" s="1"/>
  <c r="D3753" i="1" s="1"/>
  <c r="D3764" i="1" s="1"/>
  <c r="D3728" i="1"/>
  <c r="E10080" i="1"/>
  <c r="D6720" i="1"/>
  <c r="E6919" i="1"/>
  <c r="D6698" i="1"/>
  <c r="E6698" i="1" s="1"/>
  <c r="D7961" i="1"/>
  <c r="E7961" i="1" s="1"/>
  <c r="D848" i="1"/>
  <c r="B6814" i="1"/>
  <c r="F7396" i="1"/>
  <c r="E2563" i="1"/>
  <c r="E1322" i="1"/>
  <c r="E2167" i="1"/>
  <c r="E1295" i="1"/>
  <c r="E10035" i="1"/>
  <c r="D10017" i="1"/>
  <c r="E10066" i="1"/>
  <c r="D10048" i="1"/>
  <c r="E10048" i="1" s="1"/>
  <c r="B375" i="1"/>
  <c r="E375" i="1" s="1"/>
  <c r="F375" i="1" s="1"/>
  <c r="E11" i="12" s="1"/>
  <c r="E10102" i="1"/>
  <c r="D10110" i="1"/>
  <c r="D10008" i="1"/>
  <c r="E10008" i="1" s="1"/>
  <c r="E10026" i="1"/>
  <c r="B9929" i="1"/>
  <c r="E6968" i="1"/>
  <c r="E7043" i="1"/>
  <c r="D6983" i="1"/>
  <c r="E4560" i="1"/>
  <c r="D4570" i="1"/>
  <c r="E4570" i="1" s="1"/>
  <c r="E3845" i="1"/>
  <c r="D3852" i="1"/>
  <c r="E3852" i="1" s="1"/>
  <c r="D3859" i="1"/>
  <c r="D5897" i="1"/>
  <c r="D5904" i="1" s="1"/>
  <c r="E5904" i="1" s="1"/>
  <c r="D6756" i="1"/>
  <c r="E4358" i="1"/>
  <c r="B4364" i="1"/>
  <c r="E4364" i="1" s="1"/>
  <c r="D1702" i="1"/>
  <c r="D1742" i="1" s="1"/>
  <c r="D1647" i="1"/>
  <c r="B203" i="1"/>
  <c r="E203" i="1" s="1"/>
  <c r="F203" i="1" s="1"/>
  <c r="D11" i="12" s="1"/>
  <c r="F32" i="1"/>
  <c r="C20" i="3" s="1"/>
  <c r="D3623" i="1" s="1"/>
  <c r="F31" i="1"/>
  <c r="D7432" i="1"/>
  <c r="E7422" i="1"/>
  <c r="E4477" i="1"/>
  <c r="D4489" i="1"/>
  <c r="D6018" i="1"/>
  <c r="D6802" i="1"/>
  <c r="E6802" i="1" s="1"/>
  <c r="B6804" i="1" s="1"/>
  <c r="E6804" i="1" s="1"/>
  <c r="F6804" i="1" s="1"/>
  <c r="D6821" i="1"/>
  <c r="E6821" i="1" s="1"/>
  <c r="D6898" i="1"/>
  <c r="E6898" i="1" s="1"/>
  <c r="E7675" i="1"/>
  <c r="D7694" i="1"/>
  <c r="D7604" i="1"/>
  <c r="E7604" i="1" s="1"/>
  <c r="E7590" i="1"/>
  <c r="B5806" i="1"/>
  <c r="E5806" i="1" s="1"/>
  <c r="F5806" i="1" s="1"/>
  <c r="D5571" i="1"/>
  <c r="E5571" i="1" s="1"/>
  <c r="E5560" i="1"/>
  <c r="E1598" i="1"/>
  <c r="D1624" i="1"/>
  <c r="D6906" i="1"/>
  <c r="E6906" i="1" s="1"/>
  <c r="E6967" i="1"/>
  <c r="D6982" i="1"/>
  <c r="E7042" i="1"/>
  <c r="E7847" i="1"/>
  <c r="D7855" i="1"/>
  <c r="E7855" i="1" s="1"/>
  <c r="E3703" i="1"/>
  <c r="D3713" i="1"/>
  <c r="E7787" i="1"/>
  <c r="D7799" i="1"/>
  <c r="D7438" i="1"/>
  <c r="E7426" i="1"/>
  <c r="D6473" i="1"/>
  <c r="E6473" i="1" s="1"/>
  <c r="D6466" i="1"/>
  <c r="E6466" i="1" s="1"/>
  <c r="D7927" i="1"/>
  <c r="E7927" i="1" s="1"/>
  <c r="E2715" i="1"/>
  <c r="E2537" i="1"/>
  <c r="E2702" i="1"/>
  <c r="E2639" i="1"/>
  <c r="D5443" i="1" l="1"/>
  <c r="E5443" i="1" s="1"/>
  <c r="B5446" i="1" s="1"/>
  <c r="E5338" i="1"/>
  <c r="D7113" i="1"/>
  <c r="E7113" i="1" s="1"/>
  <c r="D6937" i="1"/>
  <c r="E12" i="12"/>
  <c r="D3104" i="1"/>
  <c r="F8" i="12"/>
  <c r="D2194" i="1" s="1"/>
  <c r="E2194" i="1" s="1"/>
  <c r="D5987" i="1"/>
  <c r="E5987" i="1" s="1"/>
  <c r="F784" i="25"/>
  <c r="F841" i="25"/>
  <c r="E2079" i="1"/>
  <c r="D2344" i="1"/>
  <c r="E2344" i="1" s="1"/>
  <c r="E2078" i="1"/>
  <c r="D2343" i="1"/>
  <c r="E2343" i="1" s="1"/>
  <c r="E2112" i="1"/>
  <c r="D2377" i="1"/>
  <c r="E2377" i="1" s="1"/>
  <c r="E2100" i="1"/>
  <c r="D2365" i="1"/>
  <c r="E2365" i="1" s="1"/>
  <c r="E1784" i="1"/>
  <c r="D2111" i="1"/>
  <c r="E1687" i="1"/>
  <c r="D2093" i="1"/>
  <c r="E1787" i="1"/>
  <c r="D2114" i="1"/>
  <c r="E5865" i="1"/>
  <c r="F556" i="25"/>
  <c r="E569" i="25"/>
  <c r="L556" i="25"/>
  <c r="M556" i="25" s="1"/>
  <c r="D9367" i="1"/>
  <c r="D9377" i="1" s="1"/>
  <c r="E9377" i="1" s="1"/>
  <c r="E239" i="25"/>
  <c r="D9368" i="1"/>
  <c r="D9388" i="1" s="1"/>
  <c r="E240" i="25"/>
  <c r="L842" i="25"/>
  <c r="M828" i="25"/>
  <c r="E530" i="25"/>
  <c r="L517" i="25"/>
  <c r="M517" i="25" s="1"/>
  <c r="F517" i="25"/>
  <c r="E8416" i="1"/>
  <c r="E1658" i="1"/>
  <c r="D1686" i="1"/>
  <c r="E1651" i="1"/>
  <c r="D1652" i="1"/>
  <c r="E1652" i="1" s="1"/>
  <c r="E1659" i="1"/>
  <c r="E1341" i="1"/>
  <c r="D1366" i="1"/>
  <c r="E1366" i="1" s="1"/>
  <c r="E1340" i="1"/>
  <c r="D1365" i="1"/>
  <c r="E1365" i="1" s="1"/>
  <c r="E1333" i="1"/>
  <c r="D1334" i="1"/>
  <c r="E1334" i="1" s="1"/>
  <c r="E5859" i="1"/>
  <c r="D5942" i="1"/>
  <c r="E5942" i="1" s="1"/>
  <c r="E9367" i="1"/>
  <c r="D8436" i="1"/>
  <c r="D8446" i="1" s="1"/>
  <c r="D8456" i="1" s="1"/>
  <c r="D8466" i="1" s="1"/>
  <c r="D8476" i="1" s="1"/>
  <c r="E8426" i="1"/>
  <c r="B3224" i="1"/>
  <c r="E3224" i="1" s="1"/>
  <c r="F3224" i="1" s="1"/>
  <c r="B97" i="1"/>
  <c r="E97" i="1" s="1"/>
  <c r="E7439" i="1"/>
  <c r="F500" i="1"/>
  <c r="F7" i="12" s="1"/>
  <c r="D3188" i="1" s="1"/>
  <c r="E3188" i="1" s="1"/>
  <c r="E2230" i="1"/>
  <c r="D2243" i="1"/>
  <c r="E2243" i="1" s="1"/>
  <c r="E2231" i="1"/>
  <c r="D2244" i="1"/>
  <c r="E2244" i="1" s="1"/>
  <c r="E2238" i="1"/>
  <c r="E2252" i="1"/>
  <c r="E2239" i="1"/>
  <c r="E2253" i="1"/>
  <c r="E2236" i="1"/>
  <c r="E2250" i="1"/>
  <c r="E2237" i="1"/>
  <c r="E2251" i="1"/>
  <c r="D1834" i="1"/>
  <c r="E1834" i="1" s="1"/>
  <c r="E9425" i="1"/>
  <c r="D9434" i="1"/>
  <c r="E9434" i="1" s="1"/>
  <c r="D2027" i="1"/>
  <c r="E2027" i="1" s="1"/>
  <c r="E2014" i="1"/>
  <c r="E8280" i="1"/>
  <c r="E8282" i="1"/>
  <c r="D8300" i="1"/>
  <c r="E3623" i="1"/>
  <c r="D3967" i="1"/>
  <c r="E3967" i="1" s="1"/>
  <c r="E3814" i="1"/>
  <c r="D3822" i="1"/>
  <c r="E3822" i="1" s="1"/>
  <c r="D1711" i="1"/>
  <c r="E1711" i="1" s="1"/>
  <c r="D1791" i="1"/>
  <c r="E1785" i="1"/>
  <c r="D1786" i="1"/>
  <c r="E1812" i="1"/>
  <c r="D1813" i="1"/>
  <c r="E1813" i="1" s="1"/>
  <c r="E1469" i="1"/>
  <c r="D1820" i="1"/>
  <c r="E1820" i="1" s="1"/>
  <c r="E1468" i="1"/>
  <c r="D1819" i="1"/>
  <c r="E1819" i="1" s="1"/>
  <c r="E1406" i="1"/>
  <c r="D1713" i="1"/>
  <c r="E1719" i="1"/>
  <c r="D1720" i="1"/>
  <c r="E1720" i="1" s="1"/>
  <c r="E1405" i="1"/>
  <c r="D1712" i="1"/>
  <c r="E1953" i="1"/>
  <c r="D1966" i="1"/>
  <c r="E1952" i="1"/>
  <c r="D1965" i="1"/>
  <c r="E1965" i="1" s="1"/>
  <c r="E1404" i="1"/>
  <c r="D1454" i="1"/>
  <c r="E1461" i="1"/>
  <c r="D1462" i="1"/>
  <c r="E1462" i="1" s="1"/>
  <c r="E1398" i="1"/>
  <c r="D1399" i="1"/>
  <c r="E1399" i="1" s="1"/>
  <c r="D2304" i="1"/>
  <c r="E2304" i="1" s="1"/>
  <c r="E9356" i="1"/>
  <c r="D8114" i="1"/>
  <c r="L177" i="25" s="1"/>
  <c r="E9523" i="1"/>
  <c r="D9532" i="1"/>
  <c r="E9206" i="1"/>
  <c r="D9215" i="1"/>
  <c r="E9215" i="1" s="1"/>
  <c r="E8291" i="1"/>
  <c r="E8289" i="1"/>
  <c r="D9181" i="1"/>
  <c r="E9172" i="1"/>
  <c r="D8615" i="1"/>
  <c r="E8606" i="1"/>
  <c r="D9497" i="1"/>
  <c r="E9480" i="1"/>
  <c r="D9524" i="1"/>
  <c r="D9242" i="1"/>
  <c r="E9233" i="1"/>
  <c r="E9488" i="1"/>
  <c r="D9496" i="1"/>
  <c r="E8608" i="1"/>
  <c r="D8617" i="1"/>
  <c r="E391" i="25" s="1"/>
  <c r="D9417" i="1"/>
  <c r="E9417" i="1" s="1"/>
  <c r="B5907" i="1"/>
  <c r="E5907" i="1" s="1"/>
  <c r="F5907" i="1" s="1"/>
  <c r="E7655" i="1"/>
  <c r="F7659" i="1" s="1"/>
  <c r="E9636" i="1"/>
  <c r="D9645" i="1"/>
  <c r="E9645" i="1" s="1"/>
  <c r="E7513" i="1"/>
  <c r="F7643" i="1"/>
  <c r="D7522" i="1"/>
  <c r="E7522" i="1" s="1"/>
  <c r="F7651" i="1"/>
  <c r="D7663" i="1"/>
  <c r="E7663" i="1" s="1"/>
  <c r="F7667" i="1" s="1"/>
  <c r="D7681" i="1"/>
  <c r="E7681" i="1" s="1"/>
  <c r="F7686" i="1" s="1"/>
  <c r="D7691" i="1"/>
  <c r="D7699" i="1" s="1"/>
  <c r="E7699" i="1" s="1"/>
  <c r="D7708" i="1"/>
  <c r="E7708" i="1" s="1"/>
  <c r="E7672" i="1"/>
  <c r="F7677" i="1" s="1"/>
  <c r="D7129" i="1"/>
  <c r="D7138" i="1" s="1"/>
  <c r="E7138" i="1" s="1"/>
  <c r="E7515" i="1"/>
  <c r="D7493" i="1"/>
  <c r="D7502" i="1" s="1"/>
  <c r="E7502" i="1" s="1"/>
  <c r="F7507" i="1" s="1"/>
  <c r="D7484" i="1"/>
  <c r="E7484" i="1" s="1"/>
  <c r="F7488" i="1" s="1"/>
  <c r="F7463" i="1"/>
  <c r="F7471" i="1"/>
  <c r="D7310" i="1"/>
  <c r="D7331" i="1" s="1"/>
  <c r="E7331" i="1" s="1"/>
  <c r="D7301" i="1"/>
  <c r="E7301" i="1" s="1"/>
  <c r="F7305" i="1" s="1"/>
  <c r="F7280" i="1"/>
  <c r="F7288" i="1"/>
  <c r="F7108" i="1"/>
  <c r="E7112" i="1"/>
  <c r="E7120" i="1"/>
  <c r="F7124" i="1" s="1"/>
  <c r="E7137" i="1"/>
  <c r="E9342" i="1"/>
  <c r="D9352" i="1"/>
  <c r="E9727" i="1"/>
  <c r="F9727" i="1" s="1"/>
  <c r="D9312" i="1"/>
  <c r="E9312" i="1" s="1"/>
  <c r="D8210" i="1"/>
  <c r="E7427" i="1"/>
  <c r="E7607" i="1"/>
  <c r="D7633" i="1"/>
  <c r="E7633" i="1" s="1"/>
  <c r="E9467" i="1"/>
  <c r="D9476" i="1"/>
  <c r="E999" i="1"/>
  <c r="F999" i="1" s="1"/>
  <c r="D1363" i="1" s="1"/>
  <c r="E1363" i="1" s="1"/>
  <c r="E8195" i="1"/>
  <c r="D8202" i="1"/>
  <c r="E8033" i="1"/>
  <c r="D8049" i="1"/>
  <c r="E8034" i="1"/>
  <c r="D8050" i="1"/>
  <c r="E8032" i="1"/>
  <c r="D8048" i="1"/>
  <c r="D7632" i="1"/>
  <c r="E7632" i="1" s="1"/>
  <c r="D7620" i="1"/>
  <c r="E7620" i="1" s="1"/>
  <c r="D9318" i="1"/>
  <c r="D9933" i="1" s="1"/>
  <c r="E8193" i="1"/>
  <c r="D7256" i="1"/>
  <c r="E7256" i="1" s="1"/>
  <c r="D6080" i="1"/>
  <c r="E6080" i="1" s="1"/>
  <c r="B6083" i="1" s="1"/>
  <c r="E6083" i="1" s="1"/>
  <c r="F6083" i="1" s="1"/>
  <c r="D7128" i="1"/>
  <c r="E7128" i="1" s="1"/>
  <c r="D7130" i="1"/>
  <c r="E7130" i="1" s="1"/>
  <c r="E7111" i="1"/>
  <c r="E7939" i="1"/>
  <c r="E6958" i="1"/>
  <c r="F6961" i="1" s="1"/>
  <c r="D6309" i="1"/>
  <c r="E6309" i="1" s="1"/>
  <c r="D6326" i="1"/>
  <c r="E6326" i="1" s="1"/>
  <c r="E6814" i="1"/>
  <c r="F6814" i="1" s="1"/>
  <c r="D5733" i="1"/>
  <c r="D5747" i="1" s="1"/>
  <c r="D6566" i="1"/>
  <c r="E6566" i="1" s="1"/>
  <c r="D1056" i="1"/>
  <c r="E1056" i="1" s="1"/>
  <c r="D7703" i="1"/>
  <c r="E7703" i="1" s="1"/>
  <c r="D4988" i="1"/>
  <c r="D5000" i="1" s="1"/>
  <c r="E5000" i="1" s="1"/>
  <c r="E4976" i="1"/>
  <c r="D3748" i="1"/>
  <c r="D3760" i="1" s="1"/>
  <c r="D3888" i="1" s="1"/>
  <c r="D3897" i="1" s="1"/>
  <c r="E3897" i="1" s="1"/>
  <c r="E5979" i="1"/>
  <c r="E5972" i="1"/>
  <c r="E7335" i="1"/>
  <c r="D1058" i="1"/>
  <c r="E1058" i="1" s="1"/>
  <c r="D1049" i="1"/>
  <c r="E1049" i="1" s="1"/>
  <c r="F7063" i="1"/>
  <c r="D697" i="1"/>
  <c r="D706" i="1" s="1"/>
  <c r="E6656" i="1"/>
  <c r="D7089" i="1"/>
  <c r="E7089" i="1" s="1"/>
  <c r="E6140" i="1"/>
  <c r="B6143" i="1" s="1"/>
  <c r="E6143" i="1" s="1"/>
  <c r="F6143" i="1" s="1"/>
  <c r="D6147" i="1"/>
  <c r="E6147" i="1" s="1"/>
  <c r="B6150" i="1" s="1"/>
  <c r="E6150" i="1" s="1"/>
  <c r="F6150" i="1" s="1"/>
  <c r="E1011" i="1"/>
  <c r="F1011" i="1" s="1"/>
  <c r="E23" i="12" s="1"/>
  <c r="D1876" i="1" s="1"/>
  <c r="D1902" i="1" s="1"/>
  <c r="D3998" i="1"/>
  <c r="E3998" i="1" s="1"/>
  <c r="E4572" i="1"/>
  <c r="E7955" i="1"/>
  <c r="D1014" i="1"/>
  <c r="E1014" i="1" s="1"/>
  <c r="D2480" i="1"/>
  <c r="E2480" i="1" s="1"/>
  <c r="D2633" i="1"/>
  <c r="E2633" i="1" s="1"/>
  <c r="D2646" i="1"/>
  <c r="E2646" i="1" s="1"/>
  <c r="D4842" i="1"/>
  <c r="D4874" i="1" s="1"/>
  <c r="E4874" i="1" s="1"/>
  <c r="D7700" i="1"/>
  <c r="E7700" i="1" s="1"/>
  <c r="B5831" i="1"/>
  <c r="E5831" i="1" s="1"/>
  <c r="F5831" i="1" s="1"/>
  <c r="E7231" i="1"/>
  <c r="D7157" i="1"/>
  <c r="E7157" i="1" s="1"/>
  <c r="E6519" i="1"/>
  <c r="D6545" i="1"/>
  <c r="E6545" i="1" s="1"/>
  <c r="D7834" i="1"/>
  <c r="D7860" i="1" s="1"/>
  <c r="D6732" i="1"/>
  <c r="D6743" i="1" s="1"/>
  <c r="E6743" i="1" s="1"/>
  <c r="E3715" i="1"/>
  <c r="D3724" i="1"/>
  <c r="E3724" i="1" s="1"/>
  <c r="D7806" i="1"/>
  <c r="E7806" i="1" s="1"/>
  <c r="D696" i="1"/>
  <c r="D705" i="1" s="1"/>
  <c r="D6719" i="1"/>
  <c r="D6734" i="1" s="1"/>
  <c r="D1708" i="1"/>
  <c r="E5809" i="1"/>
  <c r="B5817" i="1" s="1"/>
  <c r="E5817" i="1" s="1"/>
  <c r="F5817" i="1" s="1"/>
  <c r="D4921" i="1"/>
  <c r="E4921" i="1" s="1"/>
  <c r="D10077" i="1"/>
  <c r="E10077" i="1" s="1"/>
  <c r="D5714" i="1"/>
  <c r="E5714" i="1" s="1"/>
  <c r="D2467" i="1"/>
  <c r="E2467" i="1" s="1"/>
  <c r="E5603" i="1"/>
  <c r="D5834" i="1"/>
  <c r="D5841" i="1" s="1"/>
  <c r="E5841" i="1" s="1"/>
  <c r="B5845" i="1" s="1"/>
  <c r="E5845" i="1" s="1"/>
  <c r="F5845" i="1" s="1"/>
  <c r="D6359" i="1"/>
  <c r="E6359" i="1" s="1"/>
  <c r="B6364" i="1" s="1"/>
  <c r="E6364" i="1" s="1"/>
  <c r="F6364" i="1" s="1"/>
  <c r="D4539" i="1"/>
  <c r="D4551" i="1" s="1"/>
  <c r="E2697" i="1"/>
  <c r="D1021" i="1"/>
  <c r="D5012" i="1"/>
  <c r="E5012" i="1" s="1"/>
  <c r="D6987" i="1"/>
  <c r="E6987" i="1" s="1"/>
  <c r="D2187" i="1"/>
  <c r="D2200" i="1" s="1"/>
  <c r="E2200" i="1" s="1"/>
  <c r="D7160" i="1"/>
  <c r="E7160" i="1" s="1"/>
  <c r="E2174" i="1"/>
  <c r="D4535" i="1"/>
  <c r="E4535" i="1" s="1"/>
  <c r="E1003" i="1"/>
  <c r="E1005" i="1" s="1"/>
  <c r="F1005" i="1" s="1"/>
  <c r="D23" i="12" s="1"/>
  <c r="E7293" i="1"/>
  <c r="F7297" i="1" s="1"/>
  <c r="E7476" i="1"/>
  <c r="F7480" i="1" s="1"/>
  <c r="D2997" i="1"/>
  <c r="E2997" i="1" s="1"/>
  <c r="D6377" i="1"/>
  <c r="E6377" i="1" s="1"/>
  <c r="B6380" i="1" s="1"/>
  <c r="E6380" i="1" s="1"/>
  <c r="F6380" i="1" s="1"/>
  <c r="D855" i="1"/>
  <c r="E855" i="1" s="1"/>
  <c r="D3887" i="1"/>
  <c r="D3896" i="1" s="1"/>
  <c r="E3896" i="1" s="1"/>
  <c r="D1735" i="1"/>
  <c r="D1748" i="1" s="1"/>
  <c r="E1748" i="1" s="1"/>
  <c r="E6228" i="1"/>
  <c r="D1668" i="1"/>
  <c r="D1695" i="1"/>
  <c r="E1695" i="1" s="1"/>
  <c r="D10131" i="1"/>
  <c r="D10152" i="1" s="1"/>
  <c r="D1841" i="1"/>
  <c r="D1863" i="1" s="1"/>
  <c r="E1863" i="1" s="1"/>
  <c r="B1866" i="1" s="1"/>
  <c r="D1618" i="1"/>
  <c r="E1618" i="1" s="1"/>
  <c r="E7069" i="1"/>
  <c r="D6369" i="1"/>
  <c r="E6369" i="1" s="1"/>
  <c r="B6374" i="1" s="1"/>
  <c r="E6374" i="1" s="1"/>
  <c r="F6374" i="1" s="1"/>
  <c r="D1828" i="1"/>
  <c r="E1828" i="1" s="1"/>
  <c r="D4035" i="1"/>
  <c r="E4035" i="1" s="1"/>
  <c r="D1801" i="1"/>
  <c r="E9945" i="1"/>
  <c r="B9959" i="1" s="1"/>
  <c r="E9959" i="1" s="1"/>
  <c r="F9959" i="1" s="1"/>
  <c r="D7617" i="1"/>
  <c r="E7617" i="1" s="1"/>
  <c r="E2441" i="1"/>
  <c r="E5662" i="1"/>
  <c r="E7357" i="1"/>
  <c r="F7363" i="1" s="1"/>
  <c r="D4170" i="1"/>
  <c r="E4170" i="1" s="1"/>
  <c r="D7263" i="1"/>
  <c r="E7263" i="1" s="1"/>
  <c r="E7618" i="1"/>
  <c r="D7158" i="1"/>
  <c r="E7158" i="1" s="1"/>
  <c r="E8006" i="1"/>
  <c r="D6543" i="1"/>
  <c r="E6543" i="1" s="1"/>
  <c r="E2684" i="1"/>
  <c r="E3743" i="1"/>
  <c r="E4412" i="1"/>
  <c r="E10022" i="1"/>
  <c r="D4408" i="1"/>
  <c r="D2797" i="1"/>
  <c r="D2805" i="1" s="1"/>
  <c r="E10040" i="1"/>
  <c r="E2783" i="1"/>
  <c r="D2285" i="1"/>
  <c r="E2285" i="1" s="1"/>
  <c r="D679" i="3"/>
  <c r="C679" i="3" s="1"/>
  <c r="E9" i="12"/>
  <c r="D5452" i="1" s="1"/>
  <c r="D7446" i="1"/>
  <c r="E7446" i="1" s="1"/>
  <c r="E5764" i="1"/>
  <c r="E2531" i="1"/>
  <c r="E5780" i="1"/>
  <c r="D6535" i="1"/>
  <c r="D6546" i="1" s="1"/>
  <c r="E6546" i="1" s="1"/>
  <c r="B6823" i="1"/>
  <c r="E6823" i="1" s="1"/>
  <c r="F6823" i="1" s="1"/>
  <c r="D7159" i="1"/>
  <c r="E7159" i="1" s="1"/>
  <c r="E6508" i="1"/>
  <c r="E6155" i="1"/>
  <c r="E6509" i="1"/>
  <c r="E4271" i="1"/>
  <c r="D3164" i="1"/>
  <c r="E3164" i="1" s="1"/>
  <c r="E7411" i="1"/>
  <c r="D9" i="12"/>
  <c r="D3956" i="1" s="1"/>
  <c r="D4067" i="1"/>
  <c r="D4097" i="1" s="1"/>
  <c r="D5357" i="1"/>
  <c r="E5357" i="1" s="1"/>
  <c r="B5362" i="1" s="1"/>
  <c r="E5362" i="1" s="1"/>
  <c r="F5362" i="1" s="1"/>
  <c r="D3233" i="1"/>
  <c r="D3239" i="1" s="1"/>
  <c r="E4339" i="1"/>
  <c r="D4372" i="1"/>
  <c r="E4372" i="1" s="1"/>
  <c r="D2142" i="1"/>
  <c r="E2142" i="1" s="1"/>
  <c r="D2220" i="1"/>
  <c r="D3278" i="1"/>
  <c r="D3285" i="1" s="1"/>
  <c r="E3285" i="1" s="1"/>
  <c r="D2325" i="1"/>
  <c r="E2325" i="1" s="1"/>
  <c r="D3272" i="1"/>
  <c r="E3272" i="1" s="1"/>
  <c r="D6552" i="1"/>
  <c r="E6552" i="1" s="1"/>
  <c r="D6482" i="1"/>
  <c r="D6493" i="1" s="1"/>
  <c r="E6493" i="1" s="1"/>
  <c r="D2298" i="1"/>
  <c r="E2298" i="1" s="1"/>
  <c r="D3253" i="1"/>
  <c r="D3260" i="1" s="1"/>
  <c r="D6337" i="1"/>
  <c r="D6348" i="1" s="1"/>
  <c r="E6348" i="1" s="1"/>
  <c r="E6411" i="1"/>
  <c r="D2260" i="1"/>
  <c r="D2273" i="1" s="1"/>
  <c r="E2273" i="1" s="1"/>
  <c r="D4629" i="1"/>
  <c r="E4629" i="1" s="1"/>
  <c r="B4631" i="1" s="1"/>
  <c r="E4631" i="1" s="1"/>
  <c r="F4631" i="1" s="1"/>
  <c r="D2912" i="1"/>
  <c r="D2940" i="1" s="1"/>
  <c r="E2940" i="1" s="1"/>
  <c r="D2168" i="1"/>
  <c r="E2168" i="1" s="1"/>
  <c r="D4433" i="1"/>
  <c r="E4433" i="1" s="1"/>
  <c r="E5289" i="1"/>
  <c r="E8201" i="1"/>
  <c r="D6610" i="1"/>
  <c r="D6621" i="1" s="1"/>
  <c r="D6636" i="1" s="1"/>
  <c r="D6647" i="1" s="1"/>
  <c r="D6657" i="1" s="1"/>
  <c r="D6667" i="1" s="1"/>
  <c r="D6674" i="1" s="1"/>
  <c r="D6688" i="1" s="1"/>
  <c r="D6699" i="1" s="1"/>
  <c r="D6287" i="1"/>
  <c r="D5498" i="1"/>
  <c r="E5498" i="1" s="1"/>
  <c r="D2155" i="1"/>
  <c r="E2155" i="1" s="1"/>
  <c r="D2181" i="1"/>
  <c r="E2181" i="1" s="1"/>
  <c r="D6432" i="1"/>
  <c r="D6443" i="1" s="1"/>
  <c r="E6443" i="1" s="1"/>
  <c r="D5852" i="1"/>
  <c r="D1605" i="1"/>
  <c r="E1605" i="1" s="1"/>
  <c r="D5288" i="1"/>
  <c r="E5288" i="1" s="1"/>
  <c r="E7334" i="1"/>
  <c r="D1592" i="1"/>
  <c r="E1592" i="1" s="1"/>
  <c r="D4127" i="1"/>
  <c r="E4127" i="1" s="1"/>
  <c r="B4129" i="1" s="1"/>
  <c r="E4129" i="1" s="1"/>
  <c r="F4129" i="1" s="1"/>
  <c r="B10073" i="1"/>
  <c r="E10073" i="1" s="1"/>
  <c r="F10073" i="1" s="1"/>
  <c r="D1934" i="1"/>
  <c r="E1934" i="1" s="1"/>
  <c r="D1640" i="1"/>
  <c r="D2311" i="1"/>
  <c r="E2311" i="1" s="1"/>
  <c r="E4764" i="1"/>
  <c r="D5475" i="1"/>
  <c r="E5475" i="1" s="1"/>
  <c r="F6919" i="1"/>
  <c r="F7100" i="1"/>
  <c r="E6854" i="1"/>
  <c r="F6854" i="1" s="1"/>
  <c r="D5171" i="1"/>
  <c r="E5171" i="1" s="1"/>
  <c r="D7341" i="1"/>
  <c r="E7341" i="1" s="1"/>
  <c r="E2279" i="1"/>
  <c r="D7628" i="1"/>
  <c r="D7630" i="1" s="1"/>
  <c r="E7630" i="1" s="1"/>
  <c r="D6839" i="1"/>
  <c r="E6839" i="1" s="1"/>
  <c r="B6844" i="1" s="1"/>
  <c r="E6844" i="1" s="1"/>
  <c r="F6844" i="1" s="1"/>
  <c r="E6829" i="1"/>
  <c r="B6834" i="1" s="1"/>
  <c r="E6834" i="1" s="1"/>
  <c r="F6834" i="1" s="1"/>
  <c r="E5072" i="1"/>
  <c r="D5082" i="1"/>
  <c r="F7043" i="1"/>
  <c r="D4750" i="1"/>
  <c r="E4750" i="1" s="1"/>
  <c r="D4419" i="1"/>
  <c r="E4419" i="1" s="1"/>
  <c r="E4410" i="1"/>
  <c r="E5617" i="1"/>
  <c r="D5635" i="1"/>
  <c r="D4550" i="1"/>
  <c r="E4550" i="1" s="1"/>
  <c r="E4538" i="1"/>
  <c r="D8384" i="1"/>
  <c r="D9150" i="1" s="1"/>
  <c r="E9150" i="1" s="1"/>
  <c r="D4166" i="1"/>
  <c r="E4166" i="1" s="1"/>
  <c r="E4157" i="1"/>
  <c r="D911" i="1"/>
  <c r="D921" i="1" s="1"/>
  <c r="D6880" i="1"/>
  <c r="E6880" i="1" s="1"/>
  <c r="B6883" i="1" s="1"/>
  <c r="E6874" i="1"/>
  <c r="B6877" i="1" s="1"/>
  <c r="D1922" i="1"/>
  <c r="D1935" i="1" s="1"/>
  <c r="D1948" i="1"/>
  <c r="D1990" i="1" s="1"/>
  <c r="E7382" i="1"/>
  <c r="D7385" i="1"/>
  <c r="E7385" i="1" s="1"/>
  <c r="D10027" i="1"/>
  <c r="E10045" i="1"/>
  <c r="D7626" i="1"/>
  <c r="E7626" i="1" s="1"/>
  <c r="E7623" i="1"/>
  <c r="D2207" i="1"/>
  <c r="E2207" i="1" s="1"/>
  <c r="E7693" i="1"/>
  <c r="D7701" i="1"/>
  <c r="E7701" i="1" s="1"/>
  <c r="C6" i="12"/>
  <c r="E6606" i="1"/>
  <c r="D6617" i="1"/>
  <c r="D125" i="1"/>
  <c r="E116" i="1"/>
  <c r="E10053" i="1"/>
  <c r="D10079" i="1"/>
  <c r="E8203" i="1"/>
  <c r="D8387" i="1"/>
  <c r="D5532" i="1"/>
  <c r="E5513" i="1"/>
  <c r="E5596" i="1"/>
  <c r="D5616" i="1"/>
  <c r="D7344" i="1"/>
  <c r="E7344" i="1" s="1"/>
  <c r="E7315" i="1"/>
  <c r="E747" i="1"/>
  <c r="D758" i="1"/>
  <c r="E7512" i="1"/>
  <c r="D7520" i="1"/>
  <c r="E7520" i="1" s="1"/>
  <c r="D5158" i="1"/>
  <c r="E5144" i="1"/>
  <c r="E4765" i="1"/>
  <c r="F6968" i="1"/>
  <c r="E4488" i="1"/>
  <c r="F9" i="12"/>
  <c r="D4509" i="1" s="1"/>
  <c r="D3203" i="1"/>
  <c r="D3210" i="1" s="1"/>
  <c r="E5981" i="1"/>
  <c r="E4662" i="1"/>
  <c r="D4671" i="1"/>
  <c r="E4671" i="1" s="1"/>
  <c r="D4917" i="1"/>
  <c r="E4917" i="1" s="1"/>
  <c r="E4908" i="1"/>
  <c r="D4177" i="1"/>
  <c r="E4177" i="1" s="1"/>
  <c r="E3882" i="1"/>
  <c r="E6608" i="1"/>
  <c r="D6619" i="1"/>
  <c r="E4977" i="1"/>
  <c r="D4989" i="1"/>
  <c r="D5015" i="1"/>
  <c r="E848" i="1"/>
  <c r="D856" i="1"/>
  <c r="D6735" i="1"/>
  <c r="E6720" i="1"/>
  <c r="D4751" i="1"/>
  <c r="E4751" i="1" s="1"/>
  <c r="E4739" i="1"/>
  <c r="D6430" i="1"/>
  <c r="D3038" i="1"/>
  <c r="D6387" i="1"/>
  <c r="D5401" i="1"/>
  <c r="D5369" i="1"/>
  <c r="D3092" i="1"/>
  <c r="E3092" i="1" s="1"/>
  <c r="B3094" i="1" s="1"/>
  <c r="D10117" i="1"/>
  <c r="E10110" i="1"/>
  <c r="C9" i="12"/>
  <c r="D5256" i="1"/>
  <c r="E5256" i="1" s="1"/>
  <c r="E3859" i="1"/>
  <c r="D3866" i="1"/>
  <c r="D6990" i="1"/>
  <c r="E6990" i="1" s="1"/>
  <c r="E6983" i="1"/>
  <c r="D7451" i="1"/>
  <c r="E7451" i="1" s="1"/>
  <c r="E7438" i="1"/>
  <c r="D7255" i="1"/>
  <c r="E7243" i="1"/>
  <c r="E8" i="12"/>
  <c r="D6471" i="1"/>
  <c r="E6471" i="1" s="1"/>
  <c r="E4489" i="1"/>
  <c r="D4501" i="1"/>
  <c r="E4501" i="1" s="1"/>
  <c r="D6766" i="1"/>
  <c r="E6766" i="1" s="1"/>
  <c r="E6756" i="1"/>
  <c r="D7940" i="1"/>
  <c r="D7233" i="1"/>
  <c r="E7233" i="1" s="1"/>
  <c r="D7596" i="1"/>
  <c r="E7596" i="1" s="1"/>
  <c r="D7080" i="1"/>
  <c r="D7608" i="1"/>
  <c r="E7608" i="1" s="1"/>
  <c r="D7928" i="1"/>
  <c r="E7928" i="1" s="1"/>
  <c r="D7245" i="1"/>
  <c r="D7428" i="1"/>
  <c r="D7416" i="1"/>
  <c r="E7416" i="1" s="1"/>
  <c r="D7052" i="1"/>
  <c r="E7052" i="1" s="1"/>
  <c r="F7052" i="1" s="1"/>
  <c r="D7788" i="1"/>
  <c r="D7071" i="1"/>
  <c r="E7071" i="1" s="1"/>
  <c r="D7776" i="1"/>
  <c r="E7776" i="1" s="1"/>
  <c r="E7799" i="1"/>
  <c r="D7812" i="1"/>
  <c r="E7812" i="1" s="1"/>
  <c r="D7813" i="1"/>
  <c r="E7813" i="1" s="1"/>
  <c r="B6908" i="1"/>
  <c r="E5393" i="1"/>
  <c r="D5499" i="1"/>
  <c r="E5499" i="1" s="1"/>
  <c r="D10162" i="1"/>
  <c r="E10017" i="1"/>
  <c r="D7702" i="1"/>
  <c r="E7702" i="1" s="1"/>
  <c r="E7694" i="1"/>
  <c r="D1553" i="1"/>
  <c r="E1565" i="1"/>
  <c r="D4789" i="1"/>
  <c r="E4777" i="1"/>
  <c r="E6018" i="1"/>
  <c r="D6025" i="1"/>
  <c r="E4582" i="1"/>
  <c r="D4592" i="1"/>
  <c r="D5877" i="1"/>
  <c r="E5871" i="1"/>
  <c r="B689" i="1"/>
  <c r="E689" i="1" s="1"/>
  <c r="F689" i="1" s="1"/>
  <c r="G8" i="12" s="1"/>
  <c r="D6246" i="1"/>
  <c r="E6237" i="1"/>
  <c r="D3722" i="1"/>
  <c r="E3722" i="1" s="1"/>
  <c r="D3731" i="1"/>
  <c r="E3731" i="1" s="1"/>
  <c r="E3713" i="1"/>
  <c r="D7435" i="1"/>
  <c r="E7432" i="1"/>
  <c r="D7444" i="1"/>
  <c r="E5897" i="1"/>
  <c r="D5912" i="1"/>
  <c r="E6982" i="1"/>
  <c r="D6989" i="1"/>
  <c r="E6989" i="1" s="1"/>
  <c r="D1646" i="1"/>
  <c r="D1660" i="1" s="1"/>
  <c r="E1624" i="1"/>
  <c r="D1701" i="1"/>
  <c r="E1701" i="1" s="1"/>
  <c r="D6861" i="1"/>
  <c r="D6870" i="1"/>
  <c r="E6870" i="1" s="1"/>
  <c r="F6870" i="1" s="1"/>
  <c r="D6887" i="1" s="1"/>
  <c r="E6887" i="1" s="1"/>
  <c r="E4776" i="1"/>
  <c r="D4788" i="1"/>
  <c r="D2966" i="1"/>
  <c r="E2966" i="1" s="1"/>
  <c r="B2968" i="1" s="1"/>
  <c r="E7078" i="1"/>
  <c r="D7088" i="1"/>
  <c r="E7088" i="1" s="1"/>
  <c r="B6191" i="1"/>
  <c r="E6191" i="1" s="1"/>
  <c r="F6191" i="1" s="1"/>
  <c r="E6161" i="1"/>
  <c r="D6167" i="1"/>
  <c r="D10023" i="1"/>
  <c r="E10041" i="1"/>
  <c r="E5014" i="1"/>
  <c r="D5026" i="1"/>
  <c r="E1761" i="1"/>
  <c r="D1774" i="1"/>
  <c r="D2101" i="1" s="1"/>
  <c r="E6937" i="1" l="1"/>
  <c r="D6939" i="1"/>
  <c r="E6939" i="1" s="1"/>
  <c r="F6942" i="1" s="1"/>
  <c r="D5864" i="1"/>
  <c r="E5864" i="1" s="1"/>
  <c r="E5858" i="1"/>
  <c r="B5861" i="1" s="1"/>
  <c r="E5861" i="1" s="1"/>
  <c r="F5861" i="1" s="1"/>
  <c r="D8219" i="1"/>
  <c r="D8228" i="1" s="1"/>
  <c r="L797" i="25" s="1"/>
  <c r="L811" i="25" s="1"/>
  <c r="L779" i="25"/>
  <c r="M779" i="25" s="1"/>
  <c r="E2114" i="1"/>
  <c r="D2379" i="1"/>
  <c r="E2379" i="1" s="1"/>
  <c r="E2111" i="1"/>
  <c r="D2376" i="1"/>
  <c r="E2376" i="1" s="1"/>
  <c r="E2101" i="1"/>
  <c r="D2366" i="1"/>
  <c r="E2366" i="1" s="1"/>
  <c r="E2093" i="1"/>
  <c r="D2358" i="1"/>
  <c r="E2358" i="1" s="1"/>
  <c r="E1791" i="1"/>
  <c r="D2118" i="1"/>
  <c r="E1686" i="1"/>
  <c r="D2092" i="1"/>
  <c r="E1668" i="1"/>
  <c r="D2074" i="1"/>
  <c r="E1786" i="1"/>
  <c r="D2113" i="1"/>
  <c r="E6025" i="1"/>
  <c r="D6032" i="1"/>
  <c r="E6032" i="1" s="1"/>
  <c r="F6035" i="1" s="1"/>
  <c r="E5912" i="1"/>
  <c r="B5915" i="1" s="1"/>
  <c r="E5915" i="1" s="1"/>
  <c r="F5915" i="1" s="1"/>
  <c r="D5919" i="1"/>
  <c r="E5919" i="1" s="1"/>
  <c r="F5922" i="1" s="1"/>
  <c r="E543" i="25"/>
  <c r="F530" i="25"/>
  <c r="L530" i="25"/>
  <c r="M530" i="25" s="1"/>
  <c r="E404" i="25"/>
  <c r="F391" i="25"/>
  <c r="L391" i="25"/>
  <c r="M391" i="25" s="1"/>
  <c r="D9378" i="1"/>
  <c r="M177" i="25"/>
  <c r="L197" i="25"/>
  <c r="L165" i="25" s="1"/>
  <c r="M165" i="25" s="1"/>
  <c r="M842" i="25"/>
  <c r="L927" i="25"/>
  <c r="F569" i="25"/>
  <c r="L570" i="25"/>
  <c r="E583" i="25"/>
  <c r="D9363" i="1"/>
  <c r="D9373" i="1" s="1"/>
  <c r="E9373" i="1" s="1"/>
  <c r="E235" i="25"/>
  <c r="D9387" i="1"/>
  <c r="D9397" i="1" s="1"/>
  <c r="E9397" i="1" s="1"/>
  <c r="E297" i="25"/>
  <c r="L240" i="25"/>
  <c r="L239" i="25"/>
  <c r="F239" i="25"/>
  <c r="E1660" i="1"/>
  <c r="D1688" i="1"/>
  <c r="E1688" i="1" s="1"/>
  <c r="E1640" i="1"/>
  <c r="D1654" i="1"/>
  <c r="B5944" i="1"/>
  <c r="E5944" i="1" s="1"/>
  <c r="F5944" i="1" s="1"/>
  <c r="D9408" i="1"/>
  <c r="D9398" i="1"/>
  <c r="D9407" i="1"/>
  <c r="E9407" i="1" s="1"/>
  <c r="D8042" i="1"/>
  <c r="D8098" i="1"/>
  <c r="D8066" i="1"/>
  <c r="D8040" i="1"/>
  <c r="D8064" i="1"/>
  <c r="D8041" i="1"/>
  <c r="D8065" i="1"/>
  <c r="D8486" i="1"/>
  <c r="E8476" i="1"/>
  <c r="D2040" i="1"/>
  <c r="E2040" i="1" s="1"/>
  <c r="B1017" i="1"/>
  <c r="E1017" i="1" s="1"/>
  <c r="F1017" i="1" s="1"/>
  <c r="F23" i="12" s="1"/>
  <c r="D9416" i="1"/>
  <c r="E9416" i="1" s="1"/>
  <c r="E8300" i="1"/>
  <c r="D8309" i="1"/>
  <c r="E8298" i="1"/>
  <c r="D8307" i="1"/>
  <c r="E4097" i="1"/>
  <c r="B4102" i="1" s="1"/>
  <c r="E4102" i="1" s="1"/>
  <c r="F4102" i="1" s="1"/>
  <c r="D4107" i="1"/>
  <c r="E4107" i="1" s="1"/>
  <c r="B4112" i="1" s="1"/>
  <c r="E4112" i="1" s="1"/>
  <c r="F4112" i="1" s="1"/>
  <c r="E5975" i="1"/>
  <c r="F5975" i="1" s="1"/>
  <c r="E3956" i="1"/>
  <c r="B3962" i="1" s="1"/>
  <c r="E3962" i="1" s="1"/>
  <c r="F3962" i="1" s="1"/>
  <c r="D3968" i="1"/>
  <c r="E3968" i="1" s="1"/>
  <c r="D1725" i="1"/>
  <c r="E1725" i="1" s="1"/>
  <c r="E3094" i="1"/>
  <c r="F3094" i="1" s="1"/>
  <c r="E1774" i="1"/>
  <c r="D1788" i="1"/>
  <c r="E1801" i="1"/>
  <c r="D1815" i="1"/>
  <c r="E1815" i="1" s="1"/>
  <c r="E1807" i="1"/>
  <c r="D1821" i="1"/>
  <c r="E1821" i="1" s="1"/>
  <c r="E1712" i="1"/>
  <c r="D1726" i="1"/>
  <c r="E1726" i="1" s="1"/>
  <c r="E1713" i="1"/>
  <c r="D1727" i="1"/>
  <c r="E1727" i="1" s="1"/>
  <c r="E1708" i="1"/>
  <c r="D1722" i="1"/>
  <c r="E1722" i="1" s="1"/>
  <c r="D1967" i="1"/>
  <c r="E1967" i="1" s="1"/>
  <c r="E1966" i="1"/>
  <c r="D7148" i="1"/>
  <c r="D7156" i="1" s="1"/>
  <c r="E7156" i="1" s="1"/>
  <c r="F7161" i="1" s="1"/>
  <c r="E1454" i="1"/>
  <c r="D1467" i="1"/>
  <c r="D1818" i="1" s="1"/>
  <c r="E1818" i="1" s="1"/>
  <c r="D9251" i="1"/>
  <c r="E9242" i="1"/>
  <c r="D9226" i="1"/>
  <c r="E9181" i="1"/>
  <c r="D9190" i="1"/>
  <c r="D8122" i="1"/>
  <c r="E8114" i="1"/>
  <c r="D8626" i="1"/>
  <c r="E8617" i="1"/>
  <c r="D9506" i="1"/>
  <c r="E9497" i="1"/>
  <c r="D8341" i="1"/>
  <c r="E8341" i="1" s="1"/>
  <c r="D9426" i="1"/>
  <c r="D9435" i="1" s="1"/>
  <c r="E9435" i="1" s="1"/>
  <c r="E9496" i="1"/>
  <c r="D9505" i="1"/>
  <c r="E9524" i="1"/>
  <c r="D9533" i="1"/>
  <c r="D9541" i="1"/>
  <c r="E9532" i="1"/>
  <c r="E8615" i="1"/>
  <c r="D7711" i="1"/>
  <c r="E7711" i="1" s="1"/>
  <c r="F7713" i="1" s="1"/>
  <c r="D7511" i="1"/>
  <c r="E7511" i="1" s="1"/>
  <c r="F7515" i="1" s="1"/>
  <c r="E7129" i="1"/>
  <c r="F7134" i="1" s="1"/>
  <c r="E8210" i="1"/>
  <c r="D7165" i="1"/>
  <c r="D7177" i="1" s="1"/>
  <c r="E7177" i="1" s="1"/>
  <c r="D7168" i="1"/>
  <c r="E7168" i="1" s="1"/>
  <c r="E7691" i="1"/>
  <c r="F7695" i="1" s="1"/>
  <c r="D9493" i="1"/>
  <c r="D9502" i="1" s="1"/>
  <c r="D9511" i="1" s="1"/>
  <c r="E9511" i="1" s="1"/>
  <c r="D9520" i="1"/>
  <c r="D7717" i="1"/>
  <c r="E7717" i="1" s="1"/>
  <c r="E7493" i="1"/>
  <c r="F7498" i="1" s="1"/>
  <c r="D7528" i="1"/>
  <c r="E7528" i="1" s="1"/>
  <c r="F7143" i="1"/>
  <c r="E7310" i="1"/>
  <c r="F7315" i="1" s="1"/>
  <c r="D7319" i="1"/>
  <c r="E7319" i="1" s="1"/>
  <c r="F7324" i="1" s="1"/>
  <c r="F7116" i="1"/>
  <c r="D9927" i="1"/>
  <c r="E9927" i="1" s="1"/>
  <c r="D9313" i="1"/>
  <c r="E9313" i="1" s="1"/>
  <c r="E9352" i="1"/>
  <c r="D8394" i="1"/>
  <c r="D8404" i="1" s="1"/>
  <c r="D8414" i="1" s="1"/>
  <c r="D8424" i="1" s="1"/>
  <c r="D8434" i="1" s="1"/>
  <c r="E8202" i="1"/>
  <c r="D8211" i="1"/>
  <c r="E9806" i="1"/>
  <c r="F9806" i="1" s="1"/>
  <c r="F9828" i="1"/>
  <c r="E9476" i="1"/>
  <c r="D9485" i="1"/>
  <c r="E9485" i="1" s="1"/>
  <c r="E2220" i="1"/>
  <c r="D2233" i="1"/>
  <c r="D2002" i="1"/>
  <c r="D2015" i="1" s="1"/>
  <c r="D2054" i="1" s="1"/>
  <c r="D2068" i="1" s="1"/>
  <c r="D2134" i="1" s="1"/>
  <c r="D1962" i="1"/>
  <c r="D1976" i="1" s="1"/>
  <c r="B8036" i="1"/>
  <c r="E8036" i="1" s="1"/>
  <c r="F8036" i="1" s="1"/>
  <c r="D8386" i="1"/>
  <c r="D1390" i="1"/>
  <c r="D1403" i="1" s="1"/>
  <c r="D1415" i="1"/>
  <c r="E1415" i="1" s="1"/>
  <c r="D1325" i="1"/>
  <c r="D1286" i="1"/>
  <c r="E1286" i="1" s="1"/>
  <c r="D1539" i="1"/>
  <c r="E1539" i="1" s="1"/>
  <c r="B1542" i="1" s="1"/>
  <c r="E1542" i="1" s="1"/>
  <c r="F1542" i="1" s="1"/>
  <c r="D1439" i="1"/>
  <c r="E1439" i="1" s="1"/>
  <c r="D1479" i="1"/>
  <c r="D1503" i="1"/>
  <c r="D1376" i="1"/>
  <c r="E1376" i="1" s="1"/>
  <c r="D1274" i="1"/>
  <c r="E1274" i="1" s="1"/>
  <c r="B119" i="1"/>
  <c r="E119" i="1" s="1"/>
  <c r="D1350" i="1"/>
  <c r="E1350" i="1" s="1"/>
  <c r="D1427" i="1"/>
  <c r="E1427" i="1" s="1"/>
  <c r="D1313" i="1"/>
  <c r="E1313" i="1" s="1"/>
  <c r="C23" i="12"/>
  <c r="D1528" i="1"/>
  <c r="E1528" i="1" s="1"/>
  <c r="D1298" i="1"/>
  <c r="E1298" i="1" s="1"/>
  <c r="D1453" i="1"/>
  <c r="D9159" i="1"/>
  <c r="E8050" i="1"/>
  <c r="E8048" i="1"/>
  <c r="D8096" i="1"/>
  <c r="D8097" i="1"/>
  <c r="E8049" i="1"/>
  <c r="E9152" i="1"/>
  <c r="D8385" i="1"/>
  <c r="E8385" i="1" s="1"/>
  <c r="D7269" i="1"/>
  <c r="E7269" i="1" s="1"/>
  <c r="E5733" i="1"/>
  <c r="E4988" i="1"/>
  <c r="E697" i="1"/>
  <c r="D4033" i="1"/>
  <c r="E4033" i="1" s="1"/>
  <c r="E3748" i="1"/>
  <c r="E3760" i="1"/>
  <c r="D4183" i="1"/>
  <c r="E4183" i="1" s="1"/>
  <c r="E3888" i="1"/>
  <c r="B5982" i="1"/>
  <c r="E5982" i="1" s="1"/>
  <c r="F5982" i="1" s="1"/>
  <c r="E1876" i="1"/>
  <c r="E4842" i="1"/>
  <c r="D3004" i="1"/>
  <c r="E3004" i="1" s="1"/>
  <c r="D1889" i="1"/>
  <c r="E1889" i="1" s="1"/>
  <c r="E696" i="1"/>
  <c r="D3040" i="1"/>
  <c r="D3054" i="1" s="1"/>
  <c r="E3054" i="1" s="1"/>
  <c r="D1020" i="1"/>
  <c r="E1020" i="1" s="1"/>
  <c r="D6562" i="1"/>
  <c r="D6571" i="1" s="1"/>
  <c r="E6571" i="1" s="1"/>
  <c r="E6732" i="1"/>
  <c r="E7834" i="1"/>
  <c r="F7839" i="1" s="1"/>
  <c r="D7843" i="1"/>
  <c r="E7843" i="1" s="1"/>
  <c r="F7847" i="1" s="1"/>
  <c r="E1735" i="1"/>
  <c r="F7620" i="1"/>
  <c r="E4539" i="1"/>
  <c r="D4136" i="1"/>
  <c r="D4160" i="1" s="1"/>
  <c r="D5345" i="1"/>
  <c r="E5345" i="1" s="1"/>
  <c r="B5351" i="1" s="1"/>
  <c r="E5351" i="1" s="1"/>
  <c r="F5351" i="1" s="1"/>
  <c r="F7071" i="1"/>
  <c r="E5834" i="1"/>
  <c r="B5838" i="1" s="1"/>
  <c r="E5838" i="1" s="1"/>
  <c r="F5838" i="1" s="1"/>
  <c r="E1841" i="1"/>
  <c r="E6719" i="1"/>
  <c r="F7335" i="1"/>
  <c r="D5024" i="1"/>
  <c r="E5024" i="1" s="1"/>
  <c r="D5430" i="1"/>
  <c r="E5430" i="1" s="1"/>
  <c r="B5435" i="1" s="1"/>
  <c r="E5435" i="1" s="1"/>
  <c r="F5435" i="1" s="1"/>
  <c r="E4067" i="1"/>
  <c r="B4072" i="1" s="1"/>
  <c r="E4072" i="1" s="1"/>
  <c r="F4072" i="1" s="1"/>
  <c r="E10131" i="1"/>
  <c r="D4208" i="1"/>
  <c r="D4220" i="1" s="1"/>
  <c r="D3011" i="1"/>
  <c r="E3011" i="1" s="1"/>
  <c r="B3013" i="1" s="1"/>
  <c r="E3013" i="1" s="1"/>
  <c r="F3013" i="1" s="1"/>
  <c r="D5993" i="1"/>
  <c r="D5999" i="1" s="1"/>
  <c r="E2187" i="1"/>
  <c r="D1843" i="1"/>
  <c r="E1843" i="1" s="1"/>
  <c r="E1021" i="1"/>
  <c r="D1027" i="1"/>
  <c r="E1027" i="1" s="1"/>
  <c r="D863" i="1"/>
  <c r="D871" i="1" s="1"/>
  <c r="D7339" i="1"/>
  <c r="E7339" i="1" s="1"/>
  <c r="F7344" i="1" s="1"/>
  <c r="E3887" i="1"/>
  <c r="D2961" i="1"/>
  <c r="D3022" i="1" s="1"/>
  <c r="E3022" i="1" s="1"/>
  <c r="E3203" i="1"/>
  <c r="E6535" i="1"/>
  <c r="E8384" i="1"/>
  <c r="E5852" i="1"/>
  <c r="B5855" i="1" s="1"/>
  <c r="E5855" i="1" s="1"/>
  <c r="F5855" i="1" s="1"/>
  <c r="D5870" i="1"/>
  <c r="D5882" i="1" s="1"/>
  <c r="D10094" i="1"/>
  <c r="E10094" i="1" s="1"/>
  <c r="D5537" i="1"/>
  <c r="E5537" i="1" s="1"/>
  <c r="D4442" i="1"/>
  <c r="E4442" i="1" s="1"/>
  <c r="E2797" i="1"/>
  <c r="D3171" i="1"/>
  <c r="D3181" i="1" s="1"/>
  <c r="D10157" i="1"/>
  <c r="E10157" i="1" s="1"/>
  <c r="E3278" i="1"/>
  <c r="E2260" i="1"/>
  <c r="D8027" i="1"/>
  <c r="D8196" i="1" s="1"/>
  <c r="D10165" i="1"/>
  <c r="E10165" i="1" s="1"/>
  <c r="D8019" i="1"/>
  <c r="E8019" i="1" s="1"/>
  <c r="D4417" i="1"/>
  <c r="E4417" i="1" s="1"/>
  <c r="E4408" i="1"/>
  <c r="E3233" i="1"/>
  <c r="E6337" i="1"/>
  <c r="F7416" i="1"/>
  <c r="D4638" i="1"/>
  <c r="D4647" i="1" s="1"/>
  <c r="E4647" i="1" s="1"/>
  <c r="D4047" i="1"/>
  <c r="D4057" i="1" s="1"/>
  <c r="D5326" i="1"/>
  <c r="E5326" i="1" s="1"/>
  <c r="E3253" i="1"/>
  <c r="D6504" i="1"/>
  <c r="D6515" i="1" s="1"/>
  <c r="D3905" i="1"/>
  <c r="D3917" i="1" s="1"/>
  <c r="E6482" i="1"/>
  <c r="B6488" i="1" s="1"/>
  <c r="E6488" i="1" s="1"/>
  <c r="F6488" i="1" s="1"/>
  <c r="D6710" i="1"/>
  <c r="D6721" i="1" s="1"/>
  <c r="D6736" i="1" s="1"/>
  <c r="D6747" i="1" s="1"/>
  <c r="D6757" i="1" s="1"/>
  <c r="D6767" i="1" s="1"/>
  <c r="D6774" i="1" s="1"/>
  <c r="D6784" i="1" s="1"/>
  <c r="E6784" i="1" s="1"/>
  <c r="F6784" i="1" s="1"/>
  <c r="D6298" i="1"/>
  <c r="E6298" i="1" s="1"/>
  <c r="B6304" i="1" s="1"/>
  <c r="E6287" i="1"/>
  <c r="D5487" i="1"/>
  <c r="D5507" i="1" s="1"/>
  <c r="D5524" i="1" s="1"/>
  <c r="E5524" i="1" s="1"/>
  <c r="E6432" i="1"/>
  <c r="D2919" i="1"/>
  <c r="E2912" i="1"/>
  <c r="D2926" i="1"/>
  <c r="D2971" i="1" s="1"/>
  <c r="E2971" i="1" s="1"/>
  <c r="B2973" i="1" s="1"/>
  <c r="E2973" i="1" s="1"/>
  <c r="F2973" i="1" s="1"/>
  <c r="F7388" i="1"/>
  <c r="E7628" i="1"/>
  <c r="F7633" i="1" s="1"/>
  <c r="E5082" i="1"/>
  <c r="D5092" i="1"/>
  <c r="E911" i="1"/>
  <c r="E10027" i="1"/>
  <c r="D10009" i="1"/>
  <c r="E10009" i="1" s="1"/>
  <c r="F6990" i="1"/>
  <c r="E5635" i="1"/>
  <c r="D5644" i="1"/>
  <c r="E7860" i="1"/>
  <c r="D7863" i="1"/>
  <c r="E7863" i="1" s="1"/>
  <c r="D7869" i="1"/>
  <c r="F6983" i="1"/>
  <c r="D714" i="1"/>
  <c r="E705" i="1"/>
  <c r="D6632" i="1"/>
  <c r="E6617" i="1"/>
  <c r="D5568" i="1"/>
  <c r="E5568" i="1" s="1"/>
  <c r="E6619" i="1"/>
  <c r="D6634" i="1"/>
  <c r="E6735" i="1"/>
  <c r="D6746" i="1"/>
  <c r="E6746" i="1" s="1"/>
  <c r="D5634" i="1"/>
  <c r="E5634" i="1" s="1"/>
  <c r="E5616" i="1"/>
  <c r="D10092" i="1"/>
  <c r="E10079" i="1"/>
  <c r="D4459" i="1"/>
  <c r="D4471" i="1" s="1"/>
  <c r="D864" i="1"/>
  <c r="E856" i="1"/>
  <c r="B849" i="1"/>
  <c r="E849" i="1" s="1"/>
  <c r="F849" i="1" s="1"/>
  <c r="H8" i="12" s="1"/>
  <c r="E10152" i="1"/>
  <c r="D10033" i="1"/>
  <c r="D5541" i="1"/>
  <c r="E5532" i="1"/>
  <c r="D5027" i="1"/>
  <c r="E5015" i="1"/>
  <c r="D9316" i="1"/>
  <c r="E8387" i="1"/>
  <c r="D5167" i="1"/>
  <c r="E5167" i="1" s="1"/>
  <c r="E5158" i="1"/>
  <c r="D5756" i="1"/>
  <c r="E5747" i="1"/>
  <c r="F7704" i="1"/>
  <c r="E4989" i="1"/>
  <c r="D5001" i="1"/>
  <c r="E5001" i="1" s="1"/>
  <c r="D768" i="1"/>
  <c r="E758" i="1"/>
  <c r="E125" i="1"/>
  <c r="B127" i="1" s="1"/>
  <c r="E127" i="1" s="1"/>
  <c r="F127" i="1" s="1"/>
  <c r="C18" i="12" s="1"/>
  <c r="D132" i="1"/>
  <c r="D4563" i="1"/>
  <c r="E4551" i="1"/>
  <c r="D3217" i="1"/>
  <c r="E3217" i="1" s="1"/>
  <c r="E3210" i="1"/>
  <c r="D1559" i="1"/>
  <c r="E1559" i="1" s="1"/>
  <c r="D1571" i="1"/>
  <c r="E1553" i="1"/>
  <c r="E3866" i="1"/>
  <c r="D3872" i="1"/>
  <c r="E3872" i="1" s="1"/>
  <c r="E10117" i="1"/>
  <c r="D10125" i="1"/>
  <c r="D5381" i="1"/>
  <c r="E5381" i="1" s="1"/>
  <c r="E5369" i="1"/>
  <c r="D6745" i="1"/>
  <c r="E6745" i="1" s="1"/>
  <c r="E6734" i="1"/>
  <c r="D3267" i="1"/>
  <c r="E3267" i="1" s="1"/>
  <c r="E3260" i="1"/>
  <c r="E7788" i="1"/>
  <c r="D7800" i="1"/>
  <c r="E7800" i="1" s="1"/>
  <c r="D7090" i="1"/>
  <c r="E7090" i="1" s="1"/>
  <c r="F7090" i="1" s="1"/>
  <c r="E7080" i="1"/>
  <c r="F7080" i="1" s="1"/>
  <c r="B5259" i="1"/>
  <c r="E5259" i="1" s="1"/>
  <c r="F5259" i="1" s="1"/>
  <c r="E5401" i="1"/>
  <c r="D5417" i="1"/>
  <c r="E5417" i="1" s="1"/>
  <c r="E4788" i="1"/>
  <c r="D4800" i="1"/>
  <c r="E4800" i="1" s="1"/>
  <c r="E7444" i="1"/>
  <c r="D7448" i="1"/>
  <c r="D2499" i="1"/>
  <c r="D3374" i="1"/>
  <c r="D2448" i="1"/>
  <c r="E2448" i="1" s="1"/>
  <c r="D2487" i="1"/>
  <c r="E2487" i="1" s="1"/>
  <c r="D2564" i="1"/>
  <c r="E2564" i="1" s="1"/>
  <c r="D6652" i="1"/>
  <c r="D2409" i="1"/>
  <c r="E2409" i="1" s="1"/>
  <c r="D2538" i="1"/>
  <c r="E2538" i="1" s="1"/>
  <c r="D2525" i="1"/>
  <c r="E2525" i="1" s="1"/>
  <c r="D2474" i="1"/>
  <c r="E2474" i="1" s="1"/>
  <c r="D2461" i="1"/>
  <c r="E2461" i="1" s="1"/>
  <c r="D4683" i="1"/>
  <c r="D2422" i="1"/>
  <c r="E2422" i="1" s="1"/>
  <c r="D2551" i="1"/>
  <c r="E2551" i="1" s="1"/>
  <c r="D4879" i="1"/>
  <c r="E4879" i="1" s="1"/>
  <c r="D2435" i="1"/>
  <c r="E2435" i="1" s="1"/>
  <c r="D5602" i="1"/>
  <c r="E5602" i="1" s="1"/>
  <c r="D3073" i="1"/>
  <c r="D3066" i="1"/>
  <c r="D3052" i="1"/>
  <c r="D3045" i="1"/>
  <c r="E3038" i="1"/>
  <c r="D6175" i="1"/>
  <c r="E6167" i="1"/>
  <c r="D1768" i="1"/>
  <c r="D1866" i="1" s="1"/>
  <c r="D1755" i="1"/>
  <c r="D1808" i="1" s="1"/>
  <c r="D1822" i="1" s="1"/>
  <c r="D7268" i="1"/>
  <c r="E7268" i="1" s="1"/>
  <c r="E7255" i="1"/>
  <c r="E6430" i="1"/>
  <c r="D6441" i="1"/>
  <c r="E6441" i="1" s="1"/>
  <c r="E5026" i="1"/>
  <c r="D5038" i="1"/>
  <c r="B6891" i="1"/>
  <c r="E7435" i="1"/>
  <c r="D7437" i="1"/>
  <c r="E7437" i="1" s="1"/>
  <c r="E3239" i="1"/>
  <c r="D3246" i="1"/>
  <c r="E3246" i="1" s="1"/>
  <c r="B6557" i="1"/>
  <c r="E6557" i="1" s="1"/>
  <c r="F6557" i="1" s="1"/>
  <c r="E2968" i="1"/>
  <c r="F2968" i="1" s="1"/>
  <c r="E6246" i="1"/>
  <c r="D6289" i="1"/>
  <c r="B6474" i="1"/>
  <c r="E6474" i="1" s="1"/>
  <c r="F6474" i="1" s="1"/>
  <c r="E921" i="1"/>
  <c r="D931" i="1"/>
  <c r="D3634" i="1"/>
  <c r="E3634" i="1" s="1"/>
  <c r="D5239" i="1"/>
  <c r="D3831" i="1"/>
  <c r="E3831" i="1" s="1"/>
  <c r="D3773" i="1"/>
  <c r="D5232" i="1"/>
  <c r="E5232" i="1" s="1"/>
  <c r="B5235" i="1" s="1"/>
  <c r="D3844" i="1"/>
  <c r="D3572" i="1"/>
  <c r="D6877" i="1"/>
  <c r="E6861" i="1"/>
  <c r="F6861" i="1" s="1"/>
  <c r="F6863" i="1" s="1"/>
  <c r="D1594" i="1"/>
  <c r="D1607" i="1"/>
  <c r="E1607" i="1" s="1"/>
  <c r="D2914" i="1"/>
  <c r="B6499" i="1"/>
  <c r="E6499" i="1" s="1"/>
  <c r="F6499" i="1" s="1"/>
  <c r="B6028" i="1"/>
  <c r="E6028" i="1" s="1"/>
  <c r="F6028" i="1" s="1"/>
  <c r="E7428" i="1"/>
  <c r="F7428" i="1" s="1"/>
  <c r="D7440" i="1"/>
  <c r="D2813" i="1"/>
  <c r="E2805" i="1"/>
  <c r="D5936" i="1"/>
  <c r="E5877" i="1"/>
  <c r="B6021" i="1"/>
  <c r="E6021" i="1" s="1"/>
  <c r="F6021" i="1" s="1"/>
  <c r="B10055" i="1"/>
  <c r="E10055" i="1" s="1"/>
  <c r="F10055" i="1" s="1"/>
  <c r="D1995" i="1"/>
  <c r="E1968" i="1" s="1"/>
  <c r="D1874" i="1"/>
  <c r="E1874" i="1" s="1"/>
  <c r="D1900" i="1"/>
  <c r="E1900" i="1" s="1"/>
  <c r="D3124" i="1"/>
  <c r="D2034" i="1"/>
  <c r="E2034" i="1" s="1"/>
  <c r="D2047" i="1"/>
  <c r="E2047" i="1" s="1"/>
  <c r="D2061" i="1"/>
  <c r="E2061" i="1" s="1"/>
  <c r="D4379" i="1"/>
  <c r="E4379" i="1" s="1"/>
  <c r="D6462" i="1"/>
  <c r="E6462" i="1" s="1"/>
  <c r="D4182" i="1"/>
  <c r="D1915" i="1"/>
  <c r="E1915" i="1" s="1"/>
  <c r="D1941" i="1"/>
  <c r="E1941" i="1" s="1"/>
  <c r="D6452" i="1"/>
  <c r="E6452" i="1" s="1"/>
  <c r="D1983" i="1"/>
  <c r="D2021" i="1"/>
  <c r="E2021" i="1" s="1"/>
  <c r="D5392" i="1"/>
  <c r="E5392" i="1" s="1"/>
  <c r="D1887" i="1"/>
  <c r="E1887" i="1" s="1"/>
  <c r="D1928" i="1"/>
  <c r="E1928" i="1" s="1"/>
  <c r="E10023" i="1"/>
  <c r="D10005" i="1"/>
  <c r="E10005" i="1" s="1"/>
  <c r="D7952" i="1"/>
  <c r="E7940" i="1"/>
  <c r="D5464" i="1"/>
  <c r="E5464" i="1" s="1"/>
  <c r="E5452" i="1"/>
  <c r="B5867" i="1"/>
  <c r="E5867" i="1" s="1"/>
  <c r="F5867" i="1" s="1"/>
  <c r="D1943" i="1"/>
  <c r="E1943" i="1" s="1"/>
  <c r="E1902" i="1"/>
  <c r="D1917" i="1"/>
  <c r="D4521" i="1"/>
  <c r="E4509" i="1"/>
  <c r="D1674" i="1"/>
  <c r="E1674" i="1" s="1"/>
  <c r="E1646" i="1"/>
  <c r="B5900" i="1"/>
  <c r="E5900" i="1" s="1"/>
  <c r="F5900" i="1" s="1"/>
  <c r="D678" i="3"/>
  <c r="C678" i="3" s="1"/>
  <c r="D4624" i="1"/>
  <c r="E4592" i="1"/>
  <c r="D715" i="1"/>
  <c r="E706" i="1"/>
  <c r="E4789" i="1"/>
  <c r="D4801" i="1"/>
  <c r="D10171" i="1"/>
  <c r="E10162" i="1"/>
  <c r="E7245" i="1"/>
  <c r="D7257" i="1"/>
  <c r="E6387" i="1"/>
  <c r="D6398" i="1"/>
  <c r="E6398" i="1" s="1"/>
  <c r="D6409" i="1"/>
  <c r="M239" i="25" l="1"/>
  <c r="S239" i="25"/>
  <c r="T239" i="25" s="1"/>
  <c r="L253" i="25"/>
  <c r="S240" i="25"/>
  <c r="S253" i="25" s="1"/>
  <c r="S268" i="25" s="1"/>
  <c r="E8219" i="1"/>
  <c r="D8287" i="1"/>
  <c r="E9387" i="1"/>
  <c r="M797" i="25"/>
  <c r="D8278" i="1"/>
  <c r="D8237" i="1"/>
  <c r="D8247" i="1" s="1"/>
  <c r="E749" i="25" s="1"/>
  <c r="E8228" i="1"/>
  <c r="D8220" i="1"/>
  <c r="D8229" i="1" s="1"/>
  <c r="L780" i="25"/>
  <c r="M780" i="25" s="1"/>
  <c r="J784" i="25" s="1"/>
  <c r="M784" i="25" s="1"/>
  <c r="M787" i="25" s="1"/>
  <c r="E2074" i="1"/>
  <c r="D2339" i="1"/>
  <c r="E2339" i="1" s="1"/>
  <c r="E2118" i="1"/>
  <c r="D2383" i="1"/>
  <c r="E2383" i="1" s="1"/>
  <c r="E2113" i="1"/>
  <c r="D2378" i="1"/>
  <c r="E2378" i="1" s="1"/>
  <c r="E2092" i="1"/>
  <c r="D2357" i="1"/>
  <c r="E2357" i="1" s="1"/>
  <c r="E1788" i="1"/>
  <c r="D2115" i="1"/>
  <c r="D9383" i="1"/>
  <c r="D9393" i="1" s="1"/>
  <c r="E9393" i="1" s="1"/>
  <c r="D9413" i="1"/>
  <c r="E9413" i="1" s="1"/>
  <c r="E3181" i="1"/>
  <c r="D3227" i="1"/>
  <c r="E3227" i="1" s="1"/>
  <c r="B3229" i="1" s="1"/>
  <c r="E3229" i="1" s="1"/>
  <c r="F3229" i="1" s="1"/>
  <c r="D8248" i="1"/>
  <c r="E750" i="25" s="1"/>
  <c r="L798" i="25"/>
  <c r="M869" i="25" s="1"/>
  <c r="E254" i="25"/>
  <c r="L281" i="25" s="1"/>
  <c r="L268" i="25"/>
  <c r="E350" i="25"/>
  <c r="E292" i="25"/>
  <c r="L235" i="25"/>
  <c r="S235" i="25" s="1"/>
  <c r="F235" i="25"/>
  <c r="L943" i="25"/>
  <c r="M927" i="25"/>
  <c r="E928" i="25"/>
  <c r="F928" i="25" s="1"/>
  <c r="F543" i="25"/>
  <c r="L543" i="25"/>
  <c r="M543" i="25" s="1"/>
  <c r="M197" i="25"/>
  <c r="E197" i="25"/>
  <c r="F197" i="25" s="1"/>
  <c r="L207" i="25"/>
  <c r="E596" i="25"/>
  <c r="F596" i="25" s="1"/>
  <c r="F583" i="25"/>
  <c r="F404" i="25"/>
  <c r="E417" i="25"/>
  <c r="L404" i="25"/>
  <c r="M404" i="25" s="1"/>
  <c r="E3052" i="1"/>
  <c r="D3097" i="1"/>
  <c r="E3097" i="1" s="1"/>
  <c r="B3099" i="1" s="1"/>
  <c r="E3099" i="1" s="1"/>
  <c r="F3099" i="1" s="1"/>
  <c r="L583" i="25"/>
  <c r="M570" i="25"/>
  <c r="L824" i="25"/>
  <c r="L837" i="25" s="1"/>
  <c r="M811" i="25"/>
  <c r="E8248" i="1"/>
  <c r="E8237" i="1"/>
  <c r="E1654" i="1"/>
  <c r="D1682" i="1"/>
  <c r="D2088" i="1" s="1"/>
  <c r="E1325" i="1"/>
  <c r="D1338" i="1"/>
  <c r="E1338" i="1" s="1"/>
  <c r="E5870" i="1"/>
  <c r="B5873" i="1" s="1"/>
  <c r="E5873" i="1" s="1"/>
  <c r="F5873" i="1" s="1"/>
  <c r="D8238" i="1"/>
  <c r="E8238" i="1" s="1"/>
  <c r="E8229" i="1"/>
  <c r="B8233" i="1" s="1"/>
  <c r="E8233" i="1" s="1"/>
  <c r="F8233" i="1" s="1"/>
  <c r="D8081" i="1"/>
  <c r="E8081" i="1" s="1"/>
  <c r="E8065" i="1"/>
  <c r="E8041" i="1"/>
  <c r="D8057" i="1"/>
  <c r="E8040" i="1"/>
  <c r="D8056" i="1"/>
  <c r="D8082" i="1"/>
  <c r="E8082" i="1" s="1"/>
  <c r="E8066" i="1"/>
  <c r="E8064" i="1"/>
  <c r="D8080" i="1"/>
  <c r="E8080" i="1" s="1"/>
  <c r="E8042" i="1"/>
  <c r="D8058" i="1"/>
  <c r="D8444" i="1"/>
  <c r="E8434" i="1"/>
  <c r="D8496" i="1"/>
  <c r="E8486" i="1"/>
  <c r="E8404" i="1"/>
  <c r="D2144" i="1"/>
  <c r="E2144" i="1" s="1"/>
  <c r="D3241" i="1"/>
  <c r="E3241" i="1" s="1"/>
  <c r="D3197" i="1"/>
  <c r="D3205" i="1" s="1"/>
  <c r="D3212" i="1" s="1"/>
  <c r="E3212" i="1" s="1"/>
  <c r="D2157" i="1"/>
  <c r="E2157" i="1" s="1"/>
  <c r="D3166" i="1"/>
  <c r="D3183" i="1" s="1"/>
  <c r="D3189" i="1" s="1"/>
  <c r="E3189" i="1" s="1"/>
  <c r="D3280" i="1"/>
  <c r="E3280" i="1" s="1"/>
  <c r="D2222" i="1"/>
  <c r="D2262" i="1" s="1"/>
  <c r="E2262" i="1" s="1"/>
  <c r="E2233" i="1"/>
  <c r="D2247" i="1"/>
  <c r="E2247" i="1" s="1"/>
  <c r="D8316" i="1"/>
  <c r="E8316" i="1" s="1"/>
  <c r="E8307" i="1"/>
  <c r="E8309" i="1"/>
  <c r="D8318" i="1"/>
  <c r="E7148" i="1"/>
  <c r="F7152" i="1" s="1"/>
  <c r="B8052" i="1"/>
  <c r="E8052" i="1" s="1"/>
  <c r="F8052" i="1" s="1"/>
  <c r="E8278" i="1"/>
  <c r="D8296" i="1"/>
  <c r="B3974" i="1"/>
  <c r="E3974" i="1" s="1"/>
  <c r="F3974" i="1" s="1"/>
  <c r="E1479" i="1"/>
  <c r="D1491" i="1"/>
  <c r="E1491" i="1" s="1"/>
  <c r="E1467" i="1"/>
  <c r="D1480" i="1"/>
  <c r="E1453" i="1"/>
  <c r="D1466" i="1"/>
  <c r="E1466" i="1" s="1"/>
  <c r="E1390" i="1"/>
  <c r="E1403" i="1"/>
  <c r="D8342" i="1"/>
  <c r="E8342" i="1" s="1"/>
  <c r="D74" i="1"/>
  <c r="E74" i="1" s="1"/>
  <c r="F75" i="1" s="1"/>
  <c r="D96" i="1"/>
  <c r="D45" i="1"/>
  <c r="E45" i="1" s="1"/>
  <c r="F46" i="1" s="1"/>
  <c r="D59" i="1"/>
  <c r="E59" i="1" s="1"/>
  <c r="F60" i="1" s="1"/>
  <c r="C10" i="12" s="1"/>
  <c r="D9542" i="1"/>
  <c r="E9533" i="1"/>
  <c r="D9235" i="1"/>
  <c r="E9226" i="1"/>
  <c r="D9550" i="1"/>
  <c r="E9541" i="1"/>
  <c r="D8633" i="1"/>
  <c r="E8624" i="1"/>
  <c r="D9444" i="1"/>
  <c r="E9426" i="1"/>
  <c r="E9506" i="1"/>
  <c r="D9515" i="1"/>
  <c r="E9515" i="1" s="1"/>
  <c r="E8122" i="1"/>
  <c r="D8130" i="1"/>
  <c r="D8635" i="1"/>
  <c r="E8626" i="1"/>
  <c r="D9514" i="1"/>
  <c r="E9514" i="1" s="1"/>
  <c r="E9505" i="1"/>
  <c r="D9199" i="1"/>
  <c r="E9190" i="1"/>
  <c r="E9251" i="1"/>
  <c r="D9260" i="1"/>
  <c r="E8287" i="1"/>
  <c r="D7519" i="1"/>
  <c r="E7519" i="1" s="1"/>
  <c r="F7524" i="1" s="1"/>
  <c r="E1517" i="1"/>
  <c r="D1516" i="1"/>
  <c r="E1516" i="1" s="1"/>
  <c r="D7174" i="1"/>
  <c r="E7174" i="1" s="1"/>
  <c r="F7180" i="1" s="1"/>
  <c r="E1503" i="1"/>
  <c r="E9493" i="1"/>
  <c r="E7165" i="1"/>
  <c r="F7170" i="1" s="1"/>
  <c r="E9502" i="1"/>
  <c r="E8211" i="1"/>
  <c r="B8215" i="1" s="1"/>
  <c r="E8220" i="1"/>
  <c r="B8224" i="1" s="1"/>
  <c r="E9520" i="1"/>
  <c r="D9529" i="1"/>
  <c r="D7720" i="1"/>
  <c r="D7735" i="1" s="1"/>
  <c r="D7531" i="1"/>
  <c r="E7531" i="1" s="1"/>
  <c r="F7533" i="1" s="1"/>
  <c r="D7537" i="1"/>
  <c r="D7540" i="1" s="1"/>
  <c r="E7540" i="1" s="1"/>
  <c r="D9937" i="1"/>
  <c r="E9937" i="1" s="1"/>
  <c r="D9928" i="1"/>
  <c r="E9928" i="1" s="1"/>
  <c r="E9363" i="1"/>
  <c r="D9422" i="1"/>
  <c r="D9431" i="1" s="1"/>
  <c r="E9431" i="1" s="1"/>
  <c r="D2028" i="1"/>
  <c r="D2041" i="1" s="1"/>
  <c r="E8386" i="1"/>
  <c r="D9151" i="1"/>
  <c r="E9151" i="1" s="1"/>
  <c r="B9155" i="1" s="1"/>
  <c r="D8395" i="1"/>
  <c r="D8405" i="1" s="1"/>
  <c r="D8415" i="1" s="1"/>
  <c r="D8425" i="1" s="1"/>
  <c r="D8435" i="1" s="1"/>
  <c r="D8445" i="1" s="1"/>
  <c r="D8455" i="1" s="1"/>
  <c r="E8394" i="1"/>
  <c r="E9159" i="1"/>
  <c r="D9168" i="1"/>
  <c r="D9222" i="1" s="1"/>
  <c r="E8097" i="1"/>
  <c r="D8112" i="1"/>
  <c r="E8098" i="1"/>
  <c r="D8113" i="1"/>
  <c r="E8096" i="1"/>
  <c r="D8111" i="1"/>
  <c r="E1983" i="1"/>
  <c r="D1955" i="1"/>
  <c r="D2756" i="1"/>
  <c r="D9314" i="1"/>
  <c r="F9669" i="1"/>
  <c r="D3075" i="1"/>
  <c r="D3150" i="1" s="1"/>
  <c r="E3150" i="1" s="1"/>
  <c r="B699" i="1"/>
  <c r="E699" i="1" s="1"/>
  <c r="F699" i="1" s="1"/>
  <c r="G9" i="12" s="1"/>
  <c r="D4888" i="1" s="1"/>
  <c r="D4192" i="1"/>
  <c r="D4684" i="1" s="1"/>
  <c r="E4684" i="1" s="1"/>
  <c r="D1026" i="1"/>
  <c r="E1026" i="1" s="1"/>
  <c r="B1029" i="1" s="1"/>
  <c r="E1029" i="1" s="1"/>
  <c r="F1029" i="1" s="1"/>
  <c r="H23" i="12" s="1"/>
  <c r="B1023" i="1"/>
  <c r="E1023" i="1" s="1"/>
  <c r="F1023" i="1" s="1"/>
  <c r="G23" i="12" s="1"/>
  <c r="D3302" i="1" s="1"/>
  <c r="E3302" i="1" s="1"/>
  <c r="E6562" i="1"/>
  <c r="B6567" i="1" s="1"/>
  <c r="E6567" i="1" s="1"/>
  <c r="F6567" i="1" s="1"/>
  <c r="D3082" i="1"/>
  <c r="D3126" i="1" s="1"/>
  <c r="E3126" i="1" s="1"/>
  <c r="E3040" i="1"/>
  <c r="D3068" i="1"/>
  <c r="D3119" i="1" s="1"/>
  <c r="E3119" i="1" s="1"/>
  <c r="D3060" i="1"/>
  <c r="E3060" i="1" s="1"/>
  <c r="B3062" i="1" s="1"/>
  <c r="E3062" i="1" s="1"/>
  <c r="F3062" i="1" s="1"/>
  <c r="D1853" i="1"/>
  <c r="E1853" i="1" s="1"/>
  <c r="B1857" i="1" s="1"/>
  <c r="E1857" i="1" s="1"/>
  <c r="F1857" i="1" s="1"/>
  <c r="D7851" i="1"/>
  <c r="E7851" i="1" s="1"/>
  <c r="F7856" i="1" s="1"/>
  <c r="D4145" i="1"/>
  <c r="E4145" i="1" s="1"/>
  <c r="B4147" i="1" s="1"/>
  <c r="E4147" i="1" s="1"/>
  <c r="F4147" i="1" s="1"/>
  <c r="E4136" i="1"/>
  <c r="B4138" i="1" s="1"/>
  <c r="E4138" i="1" s="1"/>
  <c r="F4138" i="1" s="1"/>
  <c r="D10111" i="1"/>
  <c r="D10118" i="1" s="1"/>
  <c r="E5507" i="1"/>
  <c r="E4208" i="1"/>
  <c r="B4215" i="1" s="1"/>
  <c r="E4215" i="1" s="1"/>
  <c r="F4215" i="1" s="1"/>
  <c r="E5993" i="1"/>
  <c r="D10173" i="1"/>
  <c r="E10173" i="1" s="1"/>
  <c r="D5547" i="1"/>
  <c r="E5547" i="1" s="1"/>
  <c r="D5336" i="1"/>
  <c r="E5336" i="1" s="1"/>
  <c r="B5341" i="1" s="1"/>
  <c r="E2961" i="1"/>
  <c r="B2963" i="1" s="1"/>
  <c r="E2963" i="1" s="1"/>
  <c r="F2963" i="1" s="1"/>
  <c r="E863" i="1"/>
  <c r="E5882" i="1"/>
  <c r="B5884" i="1" s="1"/>
  <c r="E4047" i="1"/>
  <c r="B4052" i="1" s="1"/>
  <c r="E4052" i="1" s="1"/>
  <c r="F4052" i="1" s="1"/>
  <c r="E8027" i="1"/>
  <c r="E6504" i="1"/>
  <c r="B6510" i="1" s="1"/>
  <c r="E6510" i="1" s="1"/>
  <c r="F6510" i="1" s="1"/>
  <c r="E3171" i="1"/>
  <c r="E5487" i="1"/>
  <c r="D4661" i="1"/>
  <c r="E4661" i="1" s="1"/>
  <c r="E4638" i="1"/>
  <c r="D3931" i="1"/>
  <c r="E3931" i="1" s="1"/>
  <c r="E3905" i="1"/>
  <c r="B3912" i="1" s="1"/>
  <c r="E3912" i="1" s="1"/>
  <c r="F3912" i="1" s="1"/>
  <c r="D2948" i="1"/>
  <c r="E2919" i="1"/>
  <c r="D2955" i="1"/>
  <c r="E2926" i="1"/>
  <c r="D2977" i="1"/>
  <c r="E2977" i="1" s="1"/>
  <c r="D2983" i="1"/>
  <c r="E2983" i="1" s="1"/>
  <c r="D2990" i="1"/>
  <c r="E2990" i="1" s="1"/>
  <c r="D5124" i="1"/>
  <c r="E5124" i="1" s="1"/>
  <c r="E5092" i="1"/>
  <c r="E5644" i="1"/>
  <c r="D5653" i="1"/>
  <c r="F7865" i="1"/>
  <c r="E871" i="1"/>
  <c r="D880" i="1"/>
  <c r="D7884" i="1"/>
  <c r="D7872" i="1"/>
  <c r="E7872" i="1" s="1"/>
  <c r="E7869" i="1"/>
  <c r="E714" i="1"/>
  <c r="D724" i="1"/>
  <c r="D2149" i="1"/>
  <c r="D2175" i="1" s="1"/>
  <c r="D2162" i="1"/>
  <c r="D2601" i="1"/>
  <c r="E2601" i="1" s="1"/>
  <c r="D2588" i="1"/>
  <c r="E2588" i="1" s="1"/>
  <c r="D2716" i="1"/>
  <c r="E2716" i="1" s="1"/>
  <c r="D6101" i="1"/>
  <c r="D6121" i="1" s="1"/>
  <c r="E6121" i="1" s="1"/>
  <c r="D5713" i="1"/>
  <c r="E5713" i="1" s="1"/>
  <c r="D2652" i="1"/>
  <c r="E2652" i="1" s="1"/>
  <c r="D3493" i="1"/>
  <c r="D2665" i="1"/>
  <c r="D2627" i="1"/>
  <c r="E2627" i="1" s="1"/>
  <c r="D2640" i="1"/>
  <c r="E2640" i="1" s="1"/>
  <c r="D2703" i="1"/>
  <c r="E2703" i="1" s="1"/>
  <c r="D6752" i="1"/>
  <c r="D2728" i="1"/>
  <c r="E2728" i="1" s="1"/>
  <c r="D2691" i="1"/>
  <c r="E2691" i="1" s="1"/>
  <c r="D2614" i="1"/>
  <c r="E2614" i="1" s="1"/>
  <c r="D5129" i="1"/>
  <c r="E5129" i="1" s="1"/>
  <c r="B5131" i="1" s="1"/>
  <c r="E5131" i="1" s="1"/>
  <c r="F5131" i="1" s="1"/>
  <c r="D4933" i="1"/>
  <c r="D9931" i="1"/>
  <c r="E9931" i="1" s="1"/>
  <c r="E9316" i="1"/>
  <c r="E132" i="1"/>
  <c r="B135" i="1" s="1"/>
  <c r="D140" i="1"/>
  <c r="E10033" i="1"/>
  <c r="B10037" i="1" s="1"/>
  <c r="E10037" i="1" s="1"/>
  <c r="D10013" i="1"/>
  <c r="E4459" i="1"/>
  <c r="B4466" i="1" s="1"/>
  <c r="E4466" i="1" s="1"/>
  <c r="F4466" i="1" s="1"/>
  <c r="E768" i="1"/>
  <c r="D778" i="1"/>
  <c r="D10100" i="1"/>
  <c r="E10092" i="1"/>
  <c r="E5027" i="1"/>
  <c r="D5039" i="1"/>
  <c r="D5765" i="1"/>
  <c r="E5756" i="1"/>
  <c r="B857" i="1"/>
  <c r="E857" i="1" s="1"/>
  <c r="F857" i="1" s="1"/>
  <c r="H9" i="12" s="1"/>
  <c r="D6645" i="1"/>
  <c r="E6645" i="1" s="1"/>
  <c r="E6634" i="1"/>
  <c r="E1866" i="1"/>
  <c r="F1866" i="1" s="1"/>
  <c r="E5541" i="1"/>
  <c r="B5542" i="1" s="1"/>
  <c r="E5542" i="1" s="1"/>
  <c r="F5542" i="1" s="1"/>
  <c r="D5551" i="1"/>
  <c r="D872" i="1"/>
  <c r="E864" i="1"/>
  <c r="E6632" i="1"/>
  <c r="D6643" i="1"/>
  <c r="E6643" i="1" s="1"/>
  <c r="E4801" i="1"/>
  <c r="D4813" i="1"/>
  <c r="E4182" i="1"/>
  <c r="D4191" i="1"/>
  <c r="E4191" i="1" s="1"/>
  <c r="B6574" i="1"/>
  <c r="E6574" i="1" s="1"/>
  <c r="F6574" i="1" s="1"/>
  <c r="B3834" i="1"/>
  <c r="E3834" i="1" s="1"/>
  <c r="F3834" i="1" s="1"/>
  <c r="E6040" i="1"/>
  <c r="D6046" i="1"/>
  <c r="D4635" i="1"/>
  <c r="E4624" i="1"/>
  <c r="E7952" i="1"/>
  <c r="D7965" i="1"/>
  <c r="E7965" i="1" s="1"/>
  <c r="D7964" i="1"/>
  <c r="E7964" i="1" s="1"/>
  <c r="D2008" i="1"/>
  <c r="E2008" i="1" s="1"/>
  <c r="E1995" i="1"/>
  <c r="E8196" i="1"/>
  <c r="D8205" i="1"/>
  <c r="D2950" i="1"/>
  <c r="E2914" i="1"/>
  <c r="D2928" i="1"/>
  <c r="D5246" i="1"/>
  <c r="E5246" i="1" s="1"/>
  <c r="E5239" i="1"/>
  <c r="D6300" i="1"/>
  <c r="E6300" i="1" s="1"/>
  <c r="D6311" i="1"/>
  <c r="D6328" i="1" s="1"/>
  <c r="E6328" i="1" s="1"/>
  <c r="E6289" i="1"/>
  <c r="E4160" i="1"/>
  <c r="D4169" i="1"/>
  <c r="E4169" i="1" s="1"/>
  <c r="B6436" i="1"/>
  <c r="E6436" i="1" s="1"/>
  <c r="F6436" i="1" s="1"/>
  <c r="E10171" i="1"/>
  <c r="E1917" i="1"/>
  <c r="D1930" i="1"/>
  <c r="B4381" i="1"/>
  <c r="E4381" i="1" s="1"/>
  <c r="F4381" i="1" s="1"/>
  <c r="D4232" i="1"/>
  <c r="E4220" i="1"/>
  <c r="E2813" i="1"/>
  <c r="D2835" i="1"/>
  <c r="B3638" i="1"/>
  <c r="E3638" i="1" s="1"/>
  <c r="F3638" i="1" s="1"/>
  <c r="E5999" i="1"/>
  <c r="D6005" i="1"/>
  <c r="E3073" i="1"/>
  <c r="D3117" i="1"/>
  <c r="E2499" i="1"/>
  <c r="D2512" i="1"/>
  <c r="E2512" i="1" s="1"/>
  <c r="B3219" i="1"/>
  <c r="E3219" i="1" s="1"/>
  <c r="F3219" i="1" s="1"/>
  <c r="E4057" i="1"/>
  <c r="D4087" i="1"/>
  <c r="E4087" i="1" s="1"/>
  <c r="D4077" i="1"/>
  <c r="B6447" i="1"/>
  <c r="E6447" i="1" s="1"/>
  <c r="F6447" i="1" s="1"/>
  <c r="B6467" i="1"/>
  <c r="E6467" i="1" s="1"/>
  <c r="F6467" i="1" s="1"/>
  <c r="D3110" i="1"/>
  <c r="E3066" i="1"/>
  <c r="E3374" i="1"/>
  <c r="D3381" i="1"/>
  <c r="D6420" i="1"/>
  <c r="E6420" i="1" s="1"/>
  <c r="E6409" i="1"/>
  <c r="B6404" i="1"/>
  <c r="E6404" i="1" s="1"/>
  <c r="F6404" i="1" s="1"/>
  <c r="D5947" i="1"/>
  <c r="E5947" i="1" s="1"/>
  <c r="D5953" i="1"/>
  <c r="E5935" i="1"/>
  <c r="D7453" i="1"/>
  <c r="E7453" i="1" s="1"/>
  <c r="E7440" i="1"/>
  <c r="F7440" i="1" s="1"/>
  <c r="E1594" i="1"/>
  <c r="D1620" i="1"/>
  <c r="E3572" i="1"/>
  <c r="D3582" i="1"/>
  <c r="E4471" i="1"/>
  <c r="D4483" i="1"/>
  <c r="B4881" i="1"/>
  <c r="E4881" i="1" s="1"/>
  <c r="F4881" i="1" s="1"/>
  <c r="B3269" i="1"/>
  <c r="E3269" i="1" s="1"/>
  <c r="F3269" i="1" s="1"/>
  <c r="B6393" i="1"/>
  <c r="E6393" i="1" s="1"/>
  <c r="F6393" i="1" s="1"/>
  <c r="E3844" i="1"/>
  <c r="D3851" i="1"/>
  <c r="E3851" i="1" s="1"/>
  <c r="D3858" i="1"/>
  <c r="D1577" i="1"/>
  <c r="E1577" i="1" s="1"/>
  <c r="E1571" i="1"/>
  <c r="D7270" i="1"/>
  <c r="E7270" i="1" s="1"/>
  <c r="E7257" i="1"/>
  <c r="B4516" i="1"/>
  <c r="E4516" i="1" s="1"/>
  <c r="F4516" i="1" s="1"/>
  <c r="B6457" i="1"/>
  <c r="E6457" i="1" s="1"/>
  <c r="F6457" i="1" s="1"/>
  <c r="E5936" i="1"/>
  <c r="D5948" i="1"/>
  <c r="E5235" i="1"/>
  <c r="F5235" i="1" s="1"/>
  <c r="E931" i="1"/>
  <c r="D941" i="1"/>
  <c r="E7448" i="1"/>
  <c r="D7450" i="1"/>
  <c r="E7450" i="1" s="1"/>
  <c r="B708" i="1"/>
  <c r="E708" i="1" s="1"/>
  <c r="F708" i="1" s="1"/>
  <c r="G10" i="12" s="1"/>
  <c r="D4533" i="1"/>
  <c r="E4521" i="1"/>
  <c r="D3130" i="1"/>
  <c r="E3130" i="1" s="1"/>
  <c r="E3124" i="1"/>
  <c r="D3137" i="1"/>
  <c r="E3137" i="1" s="1"/>
  <c r="B5331" i="1"/>
  <c r="E5331" i="1" s="1"/>
  <c r="F5331" i="1" s="1"/>
  <c r="D3797" i="1"/>
  <c r="E3797" i="1" s="1"/>
  <c r="D3789" i="1"/>
  <c r="E3773" i="1"/>
  <c r="D3781" i="1"/>
  <c r="D5050" i="1"/>
  <c r="E5050" i="1" s="1"/>
  <c r="E5038" i="1"/>
  <c r="E4683" i="1"/>
  <c r="D4692" i="1"/>
  <c r="E4692" i="1" s="1"/>
  <c r="D6530" i="1"/>
  <c r="E6515" i="1"/>
  <c r="D3943" i="1"/>
  <c r="E3917" i="1"/>
  <c r="D4573" i="1"/>
  <c r="E4563" i="1"/>
  <c r="B5458" i="1"/>
  <c r="E5458" i="1" s="1"/>
  <c r="F5458" i="1" s="1"/>
  <c r="E6652" i="1"/>
  <c r="D6662" i="1"/>
  <c r="B5469" i="1"/>
  <c r="E5469" i="1" s="1"/>
  <c r="F5469" i="1" s="1"/>
  <c r="D6181" i="1"/>
  <c r="E6181" i="1" s="1"/>
  <c r="E6175" i="1"/>
  <c r="D726" i="1"/>
  <c r="E715" i="1"/>
  <c r="D6883" i="1"/>
  <c r="E6877" i="1"/>
  <c r="F6877" i="1" s="1"/>
  <c r="E3045" i="1"/>
  <c r="D3087" i="1"/>
  <c r="E3087" i="1" s="1"/>
  <c r="D3080" i="1"/>
  <c r="E3080" i="1" s="1"/>
  <c r="D10146" i="1"/>
  <c r="E10125" i="1"/>
  <c r="S263" i="25" l="1"/>
  <c r="T263" i="25" s="1"/>
  <c r="S248" i="25"/>
  <c r="T248" i="25" s="1"/>
  <c r="T235" i="25"/>
  <c r="D8288" i="1"/>
  <c r="D8279" i="1"/>
  <c r="D8297" i="1" s="1"/>
  <c r="E9383" i="1"/>
  <c r="D9403" i="1"/>
  <c r="E9403" i="1" s="1"/>
  <c r="E2088" i="1"/>
  <c r="D2353" i="1"/>
  <c r="E2353" i="1" s="1"/>
  <c r="E2115" i="1"/>
  <c r="D2380" i="1"/>
  <c r="E2380" i="1" s="1"/>
  <c r="D1361" i="1"/>
  <c r="E1361" i="1" s="1"/>
  <c r="D1109" i="1"/>
  <c r="E1109" i="1" s="1"/>
  <c r="D8258" i="1"/>
  <c r="D8268" i="1" s="1"/>
  <c r="L749" i="25"/>
  <c r="E716" i="25"/>
  <c r="F716" i="25" s="1"/>
  <c r="E763" i="25"/>
  <c r="F749" i="25"/>
  <c r="L263" i="25"/>
  <c r="L248" i="25"/>
  <c r="M235" i="25"/>
  <c r="E944" i="25"/>
  <c r="F944" i="25" s="1"/>
  <c r="M943" i="25"/>
  <c r="E249" i="25"/>
  <c r="F249" i="25" s="1"/>
  <c r="E345" i="25"/>
  <c r="F292" i="25"/>
  <c r="L812" i="25"/>
  <c r="M798" i="25"/>
  <c r="B8242" i="1"/>
  <c r="E8242" i="1" s="1"/>
  <c r="F8242" i="1" s="1"/>
  <c r="L923" i="25"/>
  <c r="M837" i="25"/>
  <c r="L596" i="25"/>
  <c r="M583" i="25"/>
  <c r="L417" i="25"/>
  <c r="F417" i="25"/>
  <c r="E431" i="25"/>
  <c r="E207" i="25"/>
  <c r="M207" i="25"/>
  <c r="L217" i="25"/>
  <c r="M217" i="25" s="1"/>
  <c r="E363" i="25"/>
  <c r="E267" i="25"/>
  <c r="E310" i="25" s="1"/>
  <c r="E280" i="25" s="1"/>
  <c r="E323" i="25" s="1"/>
  <c r="E336" i="25" s="1"/>
  <c r="L750" i="25"/>
  <c r="E764" i="25"/>
  <c r="E717" i="25"/>
  <c r="F717" i="25" s="1"/>
  <c r="F750" i="25"/>
  <c r="E8247" i="1"/>
  <c r="F8253" i="1" s="1"/>
  <c r="D8257" i="1"/>
  <c r="D2170" i="1"/>
  <c r="E2170" i="1" s="1"/>
  <c r="B8068" i="1"/>
  <c r="E8068" i="1" s="1"/>
  <c r="F8068" i="1" s="1"/>
  <c r="B8084" i="1"/>
  <c r="E8084" i="1" s="1"/>
  <c r="F8084" i="1" s="1"/>
  <c r="D8074" i="1"/>
  <c r="E8058" i="1"/>
  <c r="E8056" i="1"/>
  <c r="D8072" i="1"/>
  <c r="D8073" i="1"/>
  <c r="E8057" i="1"/>
  <c r="B8044" i="1"/>
  <c r="E8044" i="1" s="1"/>
  <c r="F8044" i="1" s="1"/>
  <c r="D2287" i="1"/>
  <c r="D2300" i="1" s="1"/>
  <c r="E2300" i="1" s="1"/>
  <c r="E3183" i="1"/>
  <c r="E2222" i="1"/>
  <c r="D8506" i="1"/>
  <c r="D8516" i="1" s="1"/>
  <c r="E8516" i="1" s="1"/>
  <c r="E8496" i="1"/>
  <c r="D2235" i="1"/>
  <c r="E2235" i="1" s="1"/>
  <c r="D8465" i="1"/>
  <c r="E8455" i="1"/>
  <c r="E3205" i="1"/>
  <c r="D8454" i="1"/>
  <c r="E8444" i="1"/>
  <c r="E8435" i="1"/>
  <c r="D3287" i="1"/>
  <c r="E3287" i="1" s="1"/>
  <c r="D3248" i="1"/>
  <c r="D3255" i="1" s="1"/>
  <c r="D3262" i="1" s="1"/>
  <c r="E3262" i="1" s="1"/>
  <c r="E8424" i="1"/>
  <c r="E3166" i="1"/>
  <c r="E8405" i="1"/>
  <c r="B8410" i="1" s="1"/>
  <c r="E8410" i="1" s="1"/>
  <c r="D2183" i="1"/>
  <c r="D2196" i="1" s="1"/>
  <c r="E2196" i="1" s="1"/>
  <c r="E3197" i="1"/>
  <c r="D2776" i="1"/>
  <c r="D2770" i="1"/>
  <c r="E2770" i="1" s="1"/>
  <c r="E8318" i="1"/>
  <c r="D8329" i="1"/>
  <c r="E1056" i="25" s="1"/>
  <c r="E1068" i="25" s="1"/>
  <c r="E1080" i="25" s="1"/>
  <c r="E8296" i="1"/>
  <c r="D8305" i="1"/>
  <c r="B8100" i="1"/>
  <c r="E8100" i="1" s="1"/>
  <c r="F8100" i="1" s="1"/>
  <c r="E8279" i="1"/>
  <c r="B8283" i="1" s="1"/>
  <c r="E8283" i="1" s="1"/>
  <c r="F8283" i="1" s="1"/>
  <c r="D8340" i="1"/>
  <c r="E8340" i="1" s="1"/>
  <c r="D8339" i="1"/>
  <c r="E8339" i="1" s="1"/>
  <c r="E8215" i="1"/>
  <c r="F8215" i="1" s="1"/>
  <c r="E8224" i="1"/>
  <c r="B3938" i="1"/>
  <c r="E3938" i="1" s="1"/>
  <c r="F3938" i="1" s="1"/>
  <c r="B5938" i="1"/>
  <c r="E5938" i="1" s="1"/>
  <c r="F5938" i="1" s="1"/>
  <c r="E5341" i="1"/>
  <c r="F5341" i="1" s="1"/>
  <c r="E1955" i="1"/>
  <c r="D1969" i="1"/>
  <c r="D1492" i="1"/>
  <c r="E1492" i="1" s="1"/>
  <c r="E1480" i="1"/>
  <c r="D9269" i="1"/>
  <c r="E9260" i="1"/>
  <c r="D9453" i="1"/>
  <c r="E9444" i="1"/>
  <c r="E96" i="1"/>
  <c r="F97" i="1" s="1"/>
  <c r="D118" i="1"/>
  <c r="E8130" i="1"/>
  <c r="D8138" i="1"/>
  <c r="D9244" i="1"/>
  <c r="E9235" i="1"/>
  <c r="D9559" i="1"/>
  <c r="E9550" i="1"/>
  <c r="E9542" i="1"/>
  <c r="D9551" i="1"/>
  <c r="C12" i="12"/>
  <c r="D6277" i="1"/>
  <c r="E6277" i="1" s="1"/>
  <c r="B6280" i="1" s="1"/>
  <c r="E6280" i="1" s="1"/>
  <c r="F6280" i="1" s="1"/>
  <c r="E9816" i="1"/>
  <c r="F9816" i="1" s="1"/>
  <c r="D1098" i="1"/>
  <c r="E1098" i="1" s="1"/>
  <c r="D1323" i="1"/>
  <c r="D1413" i="1"/>
  <c r="E1413" i="1" s="1"/>
  <c r="D1272" i="1"/>
  <c r="E1272" i="1" s="1"/>
  <c r="D1261" i="1"/>
  <c r="E1261" i="1" s="1"/>
  <c r="D1388" i="1"/>
  <c r="D1194" i="1"/>
  <c r="E1194" i="1" s="1"/>
  <c r="D1172" i="1"/>
  <c r="E1172" i="1" s="1"/>
  <c r="D1348" i="1"/>
  <c r="E1348" i="1" s="1"/>
  <c r="D1311" i="1"/>
  <c r="E1311" i="1" s="1"/>
  <c r="D1451" i="1"/>
  <c r="D1296" i="1"/>
  <c r="E1296" i="1" s="1"/>
  <c r="C8" i="12"/>
  <c r="D1211" i="1"/>
  <c r="E1211" i="1" s="1"/>
  <c r="D1233" i="1"/>
  <c r="E1233" i="1" s="1"/>
  <c r="D1133" i="1"/>
  <c r="E1133" i="1" s="1"/>
  <c r="D1526" i="1"/>
  <c r="D1437" i="1"/>
  <c r="D1161" i="1"/>
  <c r="E1161" i="1" s="1"/>
  <c r="D1122" i="1"/>
  <c r="E1122" i="1" s="1"/>
  <c r="D1244" i="1"/>
  <c r="E1244" i="1" s="1"/>
  <c r="D7985" i="1"/>
  <c r="E7985" i="1" s="1"/>
  <c r="D1501" i="1"/>
  <c r="D1284" i="1"/>
  <c r="E1284" i="1" s="1"/>
  <c r="D1222" i="1"/>
  <c r="E1222" i="1" s="1"/>
  <c r="D1374" i="1"/>
  <c r="E1374" i="1" s="1"/>
  <c r="D1144" i="1"/>
  <c r="E1144" i="1" s="1"/>
  <c r="D9208" i="1"/>
  <c r="E9199" i="1"/>
  <c r="E8635" i="1"/>
  <c r="D8644" i="1"/>
  <c r="E8633" i="1"/>
  <c r="D2824" i="1"/>
  <c r="E2824" i="1" s="1"/>
  <c r="B2826" i="1" s="1"/>
  <c r="D5181" i="1"/>
  <c r="D5265" i="1" s="1"/>
  <c r="E8348" i="1"/>
  <c r="E7720" i="1"/>
  <c r="F7723" i="1" s="1"/>
  <c r="D10078" i="1"/>
  <c r="E10078" i="1" s="1"/>
  <c r="D7192" i="1"/>
  <c r="E7192" i="1" s="1"/>
  <c r="E8288" i="1"/>
  <c r="B8292" i="1" s="1"/>
  <c r="D7189" i="1"/>
  <c r="D7199" i="1" s="1"/>
  <c r="D7202" i="1" s="1"/>
  <c r="E7202" i="1" s="1"/>
  <c r="D7552" i="1"/>
  <c r="D7555" i="1" s="1"/>
  <c r="D7732" i="1"/>
  <c r="E7732" i="1" s="1"/>
  <c r="D9538" i="1"/>
  <c r="E9529" i="1"/>
  <c r="E7537" i="1"/>
  <c r="F7543" i="1" s="1"/>
  <c r="D9440" i="1"/>
  <c r="E9422" i="1"/>
  <c r="D2275" i="1"/>
  <c r="D2313" i="1" s="1"/>
  <c r="D9468" i="1"/>
  <c r="D9477" i="1" s="1"/>
  <c r="D9323" i="1"/>
  <c r="D9332" i="1" s="1"/>
  <c r="E9332" i="1" s="1"/>
  <c r="E8395" i="1"/>
  <c r="B8400" i="1" s="1"/>
  <c r="E8414" i="1"/>
  <c r="D8604" i="1"/>
  <c r="E9168" i="1"/>
  <c r="D9177" i="1"/>
  <c r="D8121" i="1"/>
  <c r="L176" i="25" s="1"/>
  <c r="E8113" i="1"/>
  <c r="D8119" i="1"/>
  <c r="E8111" i="1"/>
  <c r="D8120" i="1"/>
  <c r="E8112" i="1"/>
  <c r="D2784" i="1"/>
  <c r="D2842" i="1" s="1"/>
  <c r="E2842" i="1" s="1"/>
  <c r="D2798" i="1"/>
  <c r="E2798" i="1" s="1"/>
  <c r="D2791" i="1"/>
  <c r="E2791" i="1" s="1"/>
  <c r="E2756" i="1"/>
  <c r="E3075" i="1"/>
  <c r="D9929" i="1"/>
  <c r="E9929" i="1" s="1"/>
  <c r="D9160" i="1"/>
  <c r="E9314" i="1"/>
  <c r="D4693" i="1"/>
  <c r="E4693" i="1" s="1"/>
  <c r="D4709" i="1"/>
  <c r="D4721" i="1" s="1"/>
  <c r="D2209" i="1"/>
  <c r="E2209" i="1" s="1"/>
  <c r="D5640" i="1"/>
  <c r="E5640" i="1" s="1"/>
  <c r="E4192" i="1"/>
  <c r="D4434" i="1"/>
  <c r="E4434" i="1" s="1"/>
  <c r="D3400" i="1"/>
  <c r="E3400" i="1" s="1"/>
  <c r="D3132" i="1"/>
  <c r="D3157" i="1" s="1"/>
  <c r="E3157" i="1" s="1"/>
  <c r="D3362" i="1"/>
  <c r="D3369" i="1" s="1"/>
  <c r="D2424" i="1"/>
  <c r="E2424" i="1" s="1"/>
  <c r="D2411" i="1"/>
  <c r="D2437" i="1" s="1"/>
  <c r="D3323" i="1"/>
  <c r="D3331" i="1" s="1"/>
  <c r="D3295" i="1"/>
  <c r="E3295" i="1" s="1"/>
  <c r="D3112" i="1"/>
  <c r="E3112" i="1" s="1"/>
  <c r="D1035" i="1"/>
  <c r="E1035" i="1" s="1"/>
  <c r="B1040" i="1" s="1"/>
  <c r="E3082" i="1"/>
  <c r="E3068" i="1"/>
  <c r="E10111" i="1"/>
  <c r="D5556" i="1"/>
  <c r="E5556" i="1" s="1"/>
  <c r="B5562" i="1" s="1"/>
  <c r="E5562" i="1" s="1"/>
  <c r="B865" i="1"/>
  <c r="E865" i="1" s="1"/>
  <c r="F865" i="1" s="1"/>
  <c r="H10" i="12" s="1"/>
  <c r="D5690" i="1" s="1"/>
  <c r="D5890" i="1"/>
  <c r="E5890" i="1" s="1"/>
  <c r="B5893" i="1" s="1"/>
  <c r="E5893" i="1" s="1"/>
  <c r="F5893" i="1" s="1"/>
  <c r="D4670" i="1"/>
  <c r="E4670" i="1" s="1"/>
  <c r="F7453" i="1"/>
  <c r="D3029" i="1"/>
  <c r="E3029" i="1" s="1"/>
  <c r="E2955" i="1"/>
  <c r="E2948" i="1"/>
  <c r="D3016" i="1"/>
  <c r="E3016" i="1" s="1"/>
  <c r="F7875" i="1"/>
  <c r="F10037" i="1"/>
  <c r="D2214" i="1"/>
  <c r="D2227" i="1" s="1"/>
  <c r="D2240" i="1" s="1"/>
  <c r="D2254" i="1" s="1"/>
  <c r="D2188" i="1"/>
  <c r="D2201" i="1" s="1"/>
  <c r="D735" i="1"/>
  <c r="E724" i="1"/>
  <c r="D7887" i="1"/>
  <c r="E7887" i="1" s="1"/>
  <c r="D7894" i="1"/>
  <c r="E7884" i="1"/>
  <c r="D5663" i="1"/>
  <c r="E5653" i="1"/>
  <c r="D890" i="1"/>
  <c r="E880" i="1"/>
  <c r="D5138" i="1"/>
  <c r="D4959" i="1"/>
  <c r="D5752" i="1"/>
  <c r="D3481" i="1"/>
  <c r="D2730" i="1"/>
  <c r="D3416" i="1"/>
  <c r="D2603" i="1"/>
  <c r="E2603" i="1" s="1"/>
  <c r="D2590" i="1"/>
  <c r="D3526" i="1"/>
  <c r="E3526" i="1" s="1"/>
  <c r="D4942" i="1"/>
  <c r="E4942" i="1" s="1"/>
  <c r="E4933" i="1"/>
  <c r="D10109" i="1"/>
  <c r="E10100" i="1"/>
  <c r="E10013" i="1"/>
  <c r="B10019" i="1" s="1"/>
  <c r="E10019" i="1" s="1"/>
  <c r="F10019" i="1" s="1"/>
  <c r="D2678" i="1"/>
  <c r="E2678" i="1" s="1"/>
  <c r="E2665" i="1"/>
  <c r="E872" i="1"/>
  <c r="D882" i="1"/>
  <c r="E3493" i="1"/>
  <c r="D3499" i="1"/>
  <c r="D5781" i="1"/>
  <c r="E5765" i="1"/>
  <c r="D789" i="1"/>
  <c r="E778" i="1"/>
  <c r="D147" i="1"/>
  <c r="E140" i="1"/>
  <c r="B142" i="1" s="1"/>
  <c r="E142" i="1" s="1"/>
  <c r="F142" i="1" s="1"/>
  <c r="C20" i="12" s="1"/>
  <c r="D6762" i="1"/>
  <c r="E6752" i="1"/>
  <c r="D6107" i="1"/>
  <c r="E6101" i="1"/>
  <c r="E5551" i="1"/>
  <c r="B5552" i="1" s="1"/>
  <c r="E5552" i="1" s="1"/>
  <c r="F5552" i="1" s="1"/>
  <c r="D5561" i="1"/>
  <c r="E5039" i="1"/>
  <c r="D5051" i="1"/>
  <c r="E135" i="1"/>
  <c r="E6662" i="1"/>
  <c r="D6671" i="1"/>
  <c r="E6671" i="1" s="1"/>
  <c r="D8389" i="1"/>
  <c r="E9154" i="1" s="1"/>
  <c r="E9155" i="1" s="1"/>
  <c r="F9155" i="1" s="1"/>
  <c r="E8205" i="1"/>
  <c r="E3789" i="1"/>
  <c r="D3813" i="1"/>
  <c r="B3846" i="1"/>
  <c r="E3846" i="1" s="1"/>
  <c r="F3846" i="1" s="1"/>
  <c r="E4232" i="1"/>
  <c r="D4244" i="1"/>
  <c r="D4258" i="1"/>
  <c r="E4258" i="1" s="1"/>
  <c r="B4162" i="1"/>
  <c r="E4162" i="1" s="1"/>
  <c r="F4162" i="1" s="1"/>
  <c r="E4813" i="1"/>
  <c r="D4823" i="1"/>
  <c r="B3577" i="1"/>
  <c r="E3577" i="1" s="1"/>
  <c r="F3577" i="1" s="1"/>
  <c r="E5953" i="1"/>
  <c r="D5959" i="1"/>
  <c r="D3148" i="1"/>
  <c r="E3148" i="1" s="1"/>
  <c r="E3117" i="1"/>
  <c r="B6293" i="1"/>
  <c r="E6293" i="1" s="1"/>
  <c r="F6293" i="1" s="1"/>
  <c r="D4644" i="1"/>
  <c r="E4635" i="1"/>
  <c r="D6052" i="1"/>
  <c r="E6046" i="1"/>
  <c r="E10146" i="1"/>
  <c r="D10164" i="1"/>
  <c r="B3776" i="1"/>
  <c r="E3776" i="1" s="1"/>
  <c r="F3776" i="1" s="1"/>
  <c r="D4545" i="1"/>
  <c r="E4533" i="1"/>
  <c r="B3853" i="1"/>
  <c r="E3853" i="1" s="1"/>
  <c r="F3853" i="1" s="1"/>
  <c r="B6426" i="1"/>
  <c r="E6426" i="1" s="1"/>
  <c r="F6426" i="1" s="1"/>
  <c r="B4062" i="1"/>
  <c r="E4062" i="1" s="1"/>
  <c r="F4062" i="1" s="1"/>
  <c r="B4227" i="1"/>
  <c r="E4227" i="1" s="1"/>
  <c r="F4227" i="1" s="1"/>
  <c r="B4171" i="1"/>
  <c r="E4171" i="1" s="1"/>
  <c r="F4171" i="1" s="1"/>
  <c r="B6657" i="1"/>
  <c r="E6657" i="1" s="1"/>
  <c r="F6657" i="1" s="1"/>
  <c r="B6521" i="1"/>
  <c r="E6521" i="1" s="1"/>
  <c r="F6521" i="1" s="1"/>
  <c r="D3348" i="1"/>
  <c r="E3348" i="1" s="1"/>
  <c r="D5579" i="1"/>
  <c r="D3654" i="1"/>
  <c r="E3654" i="1" s="1"/>
  <c r="E3582" i="1"/>
  <c r="D3592" i="1"/>
  <c r="B3191" i="1"/>
  <c r="E3191" i="1" s="1"/>
  <c r="F3191" i="1" s="1"/>
  <c r="E3381" i="1"/>
  <c r="D3388" i="1"/>
  <c r="E3388" i="1" s="1"/>
  <c r="E2928" i="1"/>
  <c r="D2985" i="1"/>
  <c r="E2985" i="1" s="1"/>
  <c r="E6530" i="1"/>
  <c r="D6541" i="1"/>
  <c r="E6541" i="1" s="1"/>
  <c r="B3800" i="1"/>
  <c r="E3800" i="1" s="1"/>
  <c r="F3800" i="1" s="1"/>
  <c r="B717" i="1"/>
  <c r="E717" i="1" s="1"/>
  <c r="F717" i="1" s="1"/>
  <c r="G11" i="12" s="1"/>
  <c r="B6177" i="1"/>
  <c r="E6177" i="1" s="1"/>
  <c r="F6177" i="1" s="1"/>
  <c r="E4483" i="1"/>
  <c r="D4495" i="1"/>
  <c r="E4495" i="1" s="1"/>
  <c r="E5884" i="1"/>
  <c r="F5884" i="1" s="1"/>
  <c r="E6311" i="1"/>
  <c r="D2999" i="1"/>
  <c r="E2999" i="1" s="1"/>
  <c r="E2950" i="1"/>
  <c r="B6184" i="1"/>
  <c r="E6184" i="1" s="1"/>
  <c r="F6184" i="1" s="1"/>
  <c r="B4478" i="1"/>
  <c r="E4478" i="1" s="1"/>
  <c r="F4478" i="1" s="1"/>
  <c r="E6005" i="1"/>
  <c r="D6011" i="1"/>
  <c r="E6011" i="1" s="1"/>
  <c r="D1985" i="1"/>
  <c r="D1957" i="1" s="1"/>
  <c r="E1930" i="1"/>
  <c r="D4583" i="1"/>
  <c r="E4573" i="1"/>
  <c r="D951" i="1"/>
  <c r="E941" i="1"/>
  <c r="B5242" i="1"/>
  <c r="E5242" i="1" s="1"/>
  <c r="F5242" i="1" s="1"/>
  <c r="B3924" i="1"/>
  <c r="E3924" i="1" s="1"/>
  <c r="F3924" i="1" s="1"/>
  <c r="D10126" i="1"/>
  <c r="E10126" i="1" s="1"/>
  <c r="E10118" i="1"/>
  <c r="D3155" i="1"/>
  <c r="E3155" i="1" s="1"/>
  <c r="E3110" i="1"/>
  <c r="D7742" i="1"/>
  <c r="E7735" i="1"/>
  <c r="E4077" i="1"/>
  <c r="D4119" i="1"/>
  <c r="E4119" i="1" s="1"/>
  <c r="E2835" i="1"/>
  <c r="D2841" i="1"/>
  <c r="B5250" i="1"/>
  <c r="E5250" i="1" s="1"/>
  <c r="F5250" i="1" s="1"/>
  <c r="E726" i="1"/>
  <c r="D736" i="1"/>
  <c r="B3139" i="1"/>
  <c r="E3139" i="1" s="1"/>
  <c r="F3139" i="1" s="1"/>
  <c r="E6304" i="1"/>
  <c r="F6304" i="1" s="1"/>
  <c r="E2778" i="1"/>
  <c r="D5954" i="1"/>
  <c r="E5954" i="1" s="1"/>
  <c r="D5988" i="1"/>
  <c r="E5948" i="1"/>
  <c r="B5950" i="1" s="1"/>
  <c r="E5950" i="1" s="1"/>
  <c r="F5950" i="1" s="1"/>
  <c r="D1697" i="1"/>
  <c r="D1642" i="1"/>
  <c r="D1656" i="1" s="1"/>
  <c r="E1620" i="1"/>
  <c r="B3089" i="1"/>
  <c r="E3089" i="1" s="1"/>
  <c r="F3089" i="1" s="1"/>
  <c r="D6891" i="1"/>
  <c r="E6883" i="1"/>
  <c r="F6883" i="1" s="1"/>
  <c r="D6895" i="1" s="1"/>
  <c r="E6895" i="1" s="1"/>
  <c r="D3983" i="1"/>
  <c r="E3943" i="1"/>
  <c r="E3781" i="1"/>
  <c r="D3805" i="1"/>
  <c r="E3805" i="1" s="1"/>
  <c r="B4528" i="1"/>
  <c r="E4528" i="1" s="1"/>
  <c r="F4528" i="1" s="1"/>
  <c r="E3858" i="1"/>
  <c r="D3865" i="1"/>
  <c r="E3865" i="1" s="1"/>
  <c r="B6415" i="1"/>
  <c r="E6415" i="1" s="1"/>
  <c r="F6415" i="1" s="1"/>
  <c r="D3142" i="1"/>
  <c r="E3142" i="1" s="1"/>
  <c r="E3104" i="1"/>
  <c r="B4092" i="1"/>
  <c r="E4092" i="1" s="1"/>
  <c r="F4092" i="1" s="1"/>
  <c r="D4897" i="1"/>
  <c r="E4897" i="1" s="1"/>
  <c r="D4911" i="1"/>
  <c r="E4888" i="1"/>
  <c r="E5265" i="1" l="1"/>
  <c r="D5277" i="1"/>
  <c r="E8258" i="1"/>
  <c r="F757" i="25"/>
  <c r="L825" i="25"/>
  <c r="M812" i="25"/>
  <c r="L196" i="25"/>
  <c r="L164" i="25" s="1"/>
  <c r="M164" i="25" s="1"/>
  <c r="M176" i="25"/>
  <c r="M417" i="25"/>
  <c r="L431" i="25"/>
  <c r="E924" i="25"/>
  <c r="F924" i="25" s="1"/>
  <c r="L939" i="25"/>
  <c r="M923" i="25"/>
  <c r="E779" i="25"/>
  <c r="E850" i="25" s="1"/>
  <c r="E863" i="25" s="1"/>
  <c r="F763" i="25"/>
  <c r="E217" i="25"/>
  <c r="F207" i="25"/>
  <c r="E358" i="25"/>
  <c r="F358" i="25" s="1"/>
  <c r="F345" i="25"/>
  <c r="E262" i="25"/>
  <c r="C721" i="25"/>
  <c r="F721" i="25" s="1"/>
  <c r="L764" i="25"/>
  <c r="M764" i="25" s="1"/>
  <c r="M750" i="25"/>
  <c r="M263" i="25"/>
  <c r="L292" i="25"/>
  <c r="E8268" i="1"/>
  <c r="L175" i="25"/>
  <c r="E780" i="25"/>
  <c r="F764" i="25"/>
  <c r="E444" i="25"/>
  <c r="F431" i="25"/>
  <c r="L611" i="25"/>
  <c r="M596" i="25"/>
  <c r="M248" i="25"/>
  <c r="L276" i="25"/>
  <c r="M276" i="25" s="1"/>
  <c r="L763" i="25"/>
  <c r="M763" i="25" s="1"/>
  <c r="M749" i="25"/>
  <c r="D8267" i="1"/>
  <c r="E8257" i="1"/>
  <c r="F8263" i="1" s="1"/>
  <c r="E1656" i="1"/>
  <c r="D1684" i="1"/>
  <c r="D2090" i="1" s="1"/>
  <c r="E1323" i="1"/>
  <c r="D1336" i="1"/>
  <c r="E1336" i="1" s="1"/>
  <c r="B8060" i="1"/>
  <c r="E8060" i="1" s="1"/>
  <c r="F8060" i="1" s="1"/>
  <c r="D8089" i="1"/>
  <c r="E8089" i="1" s="1"/>
  <c r="E8073" i="1"/>
  <c r="E8072" i="1"/>
  <c r="D8088" i="1"/>
  <c r="E8088" i="1" s="1"/>
  <c r="D8090" i="1"/>
  <c r="E8090" i="1" s="1"/>
  <c r="E8074" i="1"/>
  <c r="E2776" i="1"/>
  <c r="F2778" i="1" s="1"/>
  <c r="E2287" i="1"/>
  <c r="E2183" i="1"/>
  <c r="D8464" i="1"/>
  <c r="E8454" i="1"/>
  <c r="B8460" i="1" s="1"/>
  <c r="E8460" i="1" s="1"/>
  <c r="D2249" i="1"/>
  <c r="E2249" i="1" s="1"/>
  <c r="F8410" i="1"/>
  <c r="D8526" i="1"/>
  <c r="E8506" i="1"/>
  <c r="D8475" i="1"/>
  <c r="E8465" i="1"/>
  <c r="B8440" i="1"/>
  <c r="E8440" i="1" s="1"/>
  <c r="E3255" i="1"/>
  <c r="E8445" i="1"/>
  <c r="B8450" i="1" s="1"/>
  <c r="E3248" i="1"/>
  <c r="E8436" i="1"/>
  <c r="E8425" i="1"/>
  <c r="B8430" i="1" s="1"/>
  <c r="E8456" i="1"/>
  <c r="F8224" i="1"/>
  <c r="B8115" i="1"/>
  <c r="E8115" i="1" s="1"/>
  <c r="F8115" i="1" s="1"/>
  <c r="E8297" i="1"/>
  <c r="B8301" i="1" s="1"/>
  <c r="E8301" i="1" s="1"/>
  <c r="F8301" i="1" s="1"/>
  <c r="D8306" i="1"/>
  <c r="E8305" i="1"/>
  <c r="D8314" i="1"/>
  <c r="D8327" i="1" s="1"/>
  <c r="E8400" i="1"/>
  <c r="F8400" i="1" s="1"/>
  <c r="E8292" i="1"/>
  <c r="F8292" i="1" s="1"/>
  <c r="E3813" i="1"/>
  <c r="B3816" i="1" s="1"/>
  <c r="E3816" i="1" s="1"/>
  <c r="F3816" i="1" s="1"/>
  <c r="D3821" i="1"/>
  <c r="E3821" i="1" s="1"/>
  <c r="B3824" i="1" s="1"/>
  <c r="E3824" i="1" s="1"/>
  <c r="F3824" i="1" s="1"/>
  <c r="E2826" i="1"/>
  <c r="F2826" i="1" s="1"/>
  <c r="E1957" i="1"/>
  <c r="D1971" i="1"/>
  <c r="E1971" i="1" s="1"/>
  <c r="E1451" i="1"/>
  <c r="D1464" i="1"/>
  <c r="E1464" i="1" s="1"/>
  <c r="E1388" i="1"/>
  <c r="D1401" i="1"/>
  <c r="E1401" i="1" s="1"/>
  <c r="E7189" i="1"/>
  <c r="F7195" i="1" s="1"/>
  <c r="D1514" i="1"/>
  <c r="E1514" i="1" s="1"/>
  <c r="D1477" i="1"/>
  <c r="E1501" i="1"/>
  <c r="E1437" i="1"/>
  <c r="D1425" i="1"/>
  <c r="E1425" i="1" s="1"/>
  <c r="D6218" i="1"/>
  <c r="E6218" i="1" s="1"/>
  <c r="B6222" i="1" s="1"/>
  <c r="E6222" i="1" s="1"/>
  <c r="F6222" i="1" s="1"/>
  <c r="D6226" i="1"/>
  <c r="E6226" i="1" s="1"/>
  <c r="B6230" i="1" s="1"/>
  <c r="E6230" i="1" s="1"/>
  <c r="F6230" i="1" s="1"/>
  <c r="D6244" i="1"/>
  <c r="E6244" i="1" s="1"/>
  <c r="B6248" i="1" s="1"/>
  <c r="E6248" i="1" s="1"/>
  <c r="F6248" i="1" s="1"/>
  <c r="D2754" i="1"/>
  <c r="D6235" i="1"/>
  <c r="E6235" i="1" s="1"/>
  <c r="B6239" i="1" s="1"/>
  <c r="E6239" i="1" s="1"/>
  <c r="F6239" i="1" s="1"/>
  <c r="D6200" i="1"/>
  <c r="E9559" i="1"/>
  <c r="D9568" i="1"/>
  <c r="D9462" i="1"/>
  <c r="E9462" i="1" s="1"/>
  <c r="E9453" i="1"/>
  <c r="D8653" i="1"/>
  <c r="E8644" i="1"/>
  <c r="E8138" i="1"/>
  <c r="D8146" i="1"/>
  <c r="D1546" i="1"/>
  <c r="E1526" i="1"/>
  <c r="D3671" i="1"/>
  <c r="D10133" i="1"/>
  <c r="E10133" i="1" s="1"/>
  <c r="D3870" i="1"/>
  <c r="E3870" i="1" s="1"/>
  <c r="D3716" i="1"/>
  <c r="D6262" i="1"/>
  <c r="D5200" i="1"/>
  <c r="E5200" i="1" s="1"/>
  <c r="D8012" i="1"/>
  <c r="E8012" i="1" s="1"/>
  <c r="D10154" i="1"/>
  <c r="E10154" i="1" s="1"/>
  <c r="D6253" i="1"/>
  <c r="E6253" i="1" s="1"/>
  <c r="B6257" i="1" s="1"/>
  <c r="E6257" i="1" s="1"/>
  <c r="F6257" i="1" s="1"/>
  <c r="D3759" i="1"/>
  <c r="E3759" i="1" s="1"/>
  <c r="D2860" i="1"/>
  <c r="E2860" i="1" s="1"/>
  <c r="D3541" i="1"/>
  <c r="D2867" i="1"/>
  <c r="E2867" i="1" s="1"/>
  <c r="B2869" i="1" s="1"/>
  <c r="E2869" i="1" s="1"/>
  <c r="F2869" i="1" s="1"/>
  <c r="D1081" i="1"/>
  <c r="E1081" i="1" s="1"/>
  <c r="D1070" i="1"/>
  <c r="E1070" i="1" s="1"/>
  <c r="D1183" i="1"/>
  <c r="E1183" i="1" s="1"/>
  <c r="D5876" i="1"/>
  <c r="E5876" i="1" s="1"/>
  <c r="D3837" i="1"/>
  <c r="E3837" i="1" s="1"/>
  <c r="D2854" i="1"/>
  <c r="E2854" i="1" s="1"/>
  <c r="E9551" i="1"/>
  <c r="D9560" i="1"/>
  <c r="D134" i="1"/>
  <c r="E134" i="1" s="1"/>
  <c r="F135" i="1" s="1"/>
  <c r="E118" i="1"/>
  <c r="F119" i="1" s="1"/>
  <c r="E5181" i="1"/>
  <c r="D5191" i="1"/>
  <c r="D8651" i="1"/>
  <c r="E8642" i="1"/>
  <c r="D9217" i="1"/>
  <c r="E9217" i="1" s="1"/>
  <c r="E9208" i="1"/>
  <c r="D9253" i="1"/>
  <c r="E9244" i="1"/>
  <c r="D7984" i="1"/>
  <c r="D9857" i="1"/>
  <c r="C14" i="12"/>
  <c r="E9814" i="1"/>
  <c r="F9814" i="1" s="1"/>
  <c r="F9820" i="1" s="1"/>
  <c r="D9278" i="1"/>
  <c r="E9278" i="1" s="1"/>
  <c r="E9269" i="1"/>
  <c r="B9336" i="1"/>
  <c r="E9336" i="1" s="1"/>
  <c r="F9336" i="1" s="1"/>
  <c r="D7209" i="1"/>
  <c r="E7209" i="1" s="1"/>
  <c r="F7213" i="1" s="1"/>
  <c r="D10091" i="1"/>
  <c r="E10091" i="1" s="1"/>
  <c r="E7199" i="1"/>
  <c r="F7205" i="1" s="1"/>
  <c r="E9538" i="1"/>
  <c r="D9547" i="1"/>
  <c r="E7552" i="1"/>
  <c r="F7738" i="1"/>
  <c r="D9494" i="1"/>
  <c r="D9521" i="1"/>
  <c r="E2275" i="1"/>
  <c r="D9449" i="1"/>
  <c r="E9440" i="1"/>
  <c r="D9486" i="1"/>
  <c r="E9486" i="1" s="1"/>
  <c r="E9477" i="1"/>
  <c r="B9481" i="1" s="1"/>
  <c r="E9481" i="1" s="1"/>
  <c r="F9481" i="1" s="1"/>
  <c r="E9468" i="1"/>
  <c r="B9472" i="1" s="1"/>
  <c r="E9472" i="1" s="1"/>
  <c r="F9472" i="1" s="1"/>
  <c r="D9343" i="1"/>
  <c r="E9323" i="1"/>
  <c r="D8605" i="1"/>
  <c r="E8415" i="1"/>
  <c r="B8420" i="1" s="1"/>
  <c r="E8604" i="1"/>
  <c r="D8613" i="1"/>
  <c r="E387" i="25" s="1"/>
  <c r="D9186" i="1"/>
  <c r="E9177" i="1"/>
  <c r="E9160" i="1"/>
  <c r="B9164" i="1" s="1"/>
  <c r="E9164" i="1" s="1"/>
  <c r="F9164" i="1" s="1"/>
  <c r="D9169" i="1"/>
  <c r="D9223" i="1" s="1"/>
  <c r="E8120" i="1"/>
  <c r="D8128" i="1"/>
  <c r="E8121" i="1"/>
  <c r="D8129" i="1"/>
  <c r="E8119" i="1"/>
  <c r="D8127" i="1"/>
  <c r="D2849" i="1"/>
  <c r="E2849" i="1" s="1"/>
  <c r="E2784" i="1"/>
  <c r="F9726" i="1"/>
  <c r="F9730" i="1" s="1"/>
  <c r="E1040" i="1"/>
  <c r="F1040" i="1" s="1"/>
  <c r="E4709" i="1"/>
  <c r="B4716" i="1" s="1"/>
  <c r="E4716" i="1" s="1"/>
  <c r="F4716" i="1" s="1"/>
  <c r="D5649" i="1"/>
  <c r="E5649" i="1" s="1"/>
  <c r="E2411" i="1"/>
  <c r="D3407" i="1"/>
  <c r="E3407" i="1" s="1"/>
  <c r="D3309" i="1"/>
  <c r="D3315" i="1" s="1"/>
  <c r="E3315" i="1" s="1"/>
  <c r="B3317" i="1" s="1"/>
  <c r="E3317" i="1" s="1"/>
  <c r="F3317" i="1" s="1"/>
  <c r="D4443" i="1"/>
  <c r="E4443" i="1" s="1"/>
  <c r="E3132" i="1"/>
  <c r="E3362" i="1"/>
  <c r="E3323" i="1"/>
  <c r="D1045" i="1"/>
  <c r="D3468" i="1"/>
  <c r="E3468" i="1" s="1"/>
  <c r="B3470" i="1" s="1"/>
  <c r="E3470" i="1" s="1"/>
  <c r="F3470" i="1" s="1"/>
  <c r="F7890" i="1"/>
  <c r="D7897" i="1"/>
  <c r="E7897" i="1" s="1"/>
  <c r="E7894" i="1"/>
  <c r="D7904" i="1"/>
  <c r="E735" i="1"/>
  <c r="D745" i="1"/>
  <c r="D899" i="1"/>
  <c r="E890" i="1"/>
  <c r="D5682" i="1"/>
  <c r="E5682" i="1" s="1"/>
  <c r="E5663" i="1"/>
  <c r="D2267" i="1"/>
  <c r="D2280" i="1" s="1"/>
  <c r="D2318" i="1" s="1"/>
  <c r="D2332" i="1" s="1"/>
  <c r="D2401" i="1" s="1"/>
  <c r="D2416" i="1" s="1"/>
  <c r="D2292" i="1"/>
  <c r="D2305" i="1" s="1"/>
  <c r="E5561" i="1"/>
  <c r="F5562" i="1" s="1"/>
  <c r="D5572" i="1"/>
  <c r="E5572" i="1" s="1"/>
  <c r="D154" i="1"/>
  <c r="E147" i="1"/>
  <c r="D3506" i="1"/>
  <c r="E3506" i="1" s="1"/>
  <c r="B3508" i="1" s="1"/>
  <c r="E3508" i="1" s="1"/>
  <c r="F3508" i="1" s="1"/>
  <c r="E3499" i="1"/>
  <c r="E3369" i="1"/>
  <c r="D3376" i="1"/>
  <c r="E6762" i="1"/>
  <c r="B6767" i="1" s="1"/>
  <c r="E6767" i="1" s="1"/>
  <c r="F6767" i="1" s="1"/>
  <c r="D6771" i="1"/>
  <c r="E6771" i="1" s="1"/>
  <c r="E5051" i="1"/>
  <c r="D5063" i="1"/>
  <c r="E10109" i="1"/>
  <c r="D10116" i="1"/>
  <c r="D799" i="1"/>
  <c r="E789" i="1"/>
  <c r="E2590" i="1"/>
  <c r="D2616" i="1"/>
  <c r="E3481" i="1"/>
  <c r="D3488" i="1"/>
  <c r="E5690" i="1"/>
  <c r="D5702" i="1"/>
  <c r="D5761" i="1"/>
  <c r="E5752" i="1"/>
  <c r="B5757" i="1" s="1"/>
  <c r="E5757" i="1" s="1"/>
  <c r="F5757" i="1" s="1"/>
  <c r="E6107" i="1"/>
  <c r="D6113" i="1"/>
  <c r="E5781" i="1"/>
  <c r="D5792" i="1"/>
  <c r="E5792" i="1" s="1"/>
  <c r="E882" i="1"/>
  <c r="B883" i="1" s="1"/>
  <c r="E883" i="1" s="1"/>
  <c r="F883" i="1" s="1"/>
  <c r="H12" i="12" s="1"/>
  <c r="D891" i="1"/>
  <c r="D3423" i="1"/>
  <c r="E3423" i="1" s="1"/>
  <c r="D3430" i="1"/>
  <c r="E3416" i="1"/>
  <c r="E4959" i="1"/>
  <c r="B4966" i="1" s="1"/>
  <c r="E4966" i="1" s="1"/>
  <c r="F4966" i="1" s="1"/>
  <c r="D4971" i="1"/>
  <c r="E3331" i="1"/>
  <c r="D3338" i="1"/>
  <c r="E3338" i="1" s="1"/>
  <c r="E2437" i="1"/>
  <c r="D2476" i="1"/>
  <c r="D2450" i="1"/>
  <c r="B6757" i="1"/>
  <c r="E6757" i="1" s="1"/>
  <c r="F6757" i="1" s="1"/>
  <c r="B873" i="1"/>
  <c r="E873" i="1" s="1"/>
  <c r="F873" i="1" s="1"/>
  <c r="H11" i="12" s="1"/>
  <c r="D2740" i="1"/>
  <c r="E2740" i="1" s="1"/>
  <c r="B2744" i="1" s="1"/>
  <c r="E2730" i="1"/>
  <c r="E5138" i="1"/>
  <c r="D5161" i="1"/>
  <c r="D5147" i="1"/>
  <c r="E5147" i="1" s="1"/>
  <c r="B3867" i="1"/>
  <c r="E3867" i="1" s="1"/>
  <c r="F3867" i="1" s="1"/>
  <c r="B3658" i="1"/>
  <c r="E3658" i="1" s="1"/>
  <c r="F3658" i="1" s="1"/>
  <c r="B3808" i="1"/>
  <c r="E3808" i="1" s="1"/>
  <c r="F3808" i="1" s="1"/>
  <c r="B728" i="1"/>
  <c r="E728" i="1" s="1"/>
  <c r="F728" i="1" s="1"/>
  <c r="G12" i="12" s="1"/>
  <c r="B4490" i="1"/>
  <c r="E4490" i="1" s="1"/>
  <c r="F4490" i="1" s="1"/>
  <c r="B3390" i="1"/>
  <c r="E3390" i="1" s="1"/>
  <c r="F3390" i="1" s="1"/>
  <c r="B3950" i="1"/>
  <c r="E3950" i="1" s="1"/>
  <c r="F3950" i="1" s="1"/>
  <c r="E4911" i="1"/>
  <c r="D4920" i="1"/>
  <c r="E4920" i="1" s="1"/>
  <c r="D2327" i="1"/>
  <c r="E2313" i="1"/>
  <c r="B3350" i="1"/>
  <c r="E3350" i="1" s="1"/>
  <c r="F3350" i="1" s="1"/>
  <c r="B3860" i="1"/>
  <c r="E3860" i="1" s="1"/>
  <c r="F3860" i="1" s="1"/>
  <c r="E736" i="1"/>
  <c r="D746" i="1"/>
  <c r="B4124" i="1"/>
  <c r="E4124" i="1" s="1"/>
  <c r="F4124" i="1" s="1"/>
  <c r="B4502" i="1"/>
  <c r="E4502" i="1" s="1"/>
  <c r="F4502" i="1" s="1"/>
  <c r="D7562" i="1"/>
  <c r="E7555" i="1"/>
  <c r="B3784" i="1"/>
  <c r="E3784" i="1" s="1"/>
  <c r="F3784" i="1" s="1"/>
  <c r="B4082" i="1"/>
  <c r="E4082" i="1" s="1"/>
  <c r="F4082" i="1" s="1"/>
  <c r="E951" i="1"/>
  <c r="D961" i="1"/>
  <c r="E4583" i="1"/>
  <c r="D4593" i="1"/>
  <c r="B6899" i="1"/>
  <c r="E1985" i="1"/>
  <c r="D1997" i="1"/>
  <c r="B6547" i="1"/>
  <c r="E6547" i="1" s="1"/>
  <c r="F6547" i="1" s="1"/>
  <c r="D6060" i="1"/>
  <c r="E6052" i="1"/>
  <c r="B3792" i="1"/>
  <c r="E3792" i="1" s="1"/>
  <c r="F3792" i="1" s="1"/>
  <c r="D6899" i="1"/>
  <c r="D6908" i="1" s="1"/>
  <c r="E6908" i="1" s="1"/>
  <c r="F6908" i="1" s="1"/>
  <c r="E6891" i="1"/>
  <c r="F6891" i="1" s="1"/>
  <c r="D6339" i="1"/>
  <c r="B6536" i="1"/>
  <c r="E6536" i="1" s="1"/>
  <c r="F6536" i="1" s="1"/>
  <c r="B4540" i="1"/>
  <c r="E4540" i="1" s="1"/>
  <c r="F4540" i="1" s="1"/>
  <c r="D9940" i="1"/>
  <c r="E9940" i="1" s="1"/>
  <c r="E8389" i="1"/>
  <c r="D9317" i="1"/>
  <c r="E4721" i="1"/>
  <c r="D4733" i="1"/>
  <c r="D4759" i="1"/>
  <c r="B6674" i="1"/>
  <c r="E6674" i="1" s="1"/>
  <c r="F6674" i="1" s="1"/>
  <c r="D1670" i="1"/>
  <c r="E1642" i="1"/>
  <c r="D2848" i="1"/>
  <c r="E2841" i="1"/>
  <c r="B6014" i="1"/>
  <c r="E6014" i="1" s="1"/>
  <c r="F6014" i="1" s="1"/>
  <c r="E3592" i="1"/>
  <c r="B3597" i="1" s="1"/>
  <c r="D3614" i="1"/>
  <c r="E3614" i="1" s="1"/>
  <c r="B3618" i="1" s="1"/>
  <c r="D3602" i="1"/>
  <c r="D3624" i="1" s="1"/>
  <c r="E3624" i="1" s="1"/>
  <c r="B3628" i="1" s="1"/>
  <c r="E10164" i="1"/>
  <c r="D10172" i="1"/>
  <c r="E10172" i="1" s="1"/>
  <c r="E4244" i="1"/>
  <c r="D4270" i="1"/>
  <c r="D4294" i="1"/>
  <c r="D4282" i="1"/>
  <c r="B5645" i="1"/>
  <c r="E5645" i="1" s="1"/>
  <c r="F5645" i="1" s="1"/>
  <c r="B6667" i="1"/>
  <c r="E6667" i="1" s="1"/>
  <c r="F6667" i="1" s="1"/>
  <c r="E7742" i="1"/>
  <c r="D7752" i="1"/>
  <c r="D7745" i="1"/>
  <c r="E7745" i="1" s="1"/>
  <c r="E5959" i="1"/>
  <c r="B5961" i="1" s="1"/>
  <c r="D5965" i="1"/>
  <c r="E5965" i="1" s="1"/>
  <c r="D4009" i="1"/>
  <c r="E4009" i="1" s="1"/>
  <c r="D3997" i="1"/>
  <c r="E3997" i="1" s="1"/>
  <c r="E3983" i="1"/>
  <c r="B6315" i="1"/>
  <c r="E6315" i="1" s="1"/>
  <c r="F6315" i="1" s="1"/>
  <c r="D4559" i="1"/>
  <c r="E4545" i="1"/>
  <c r="B5956" i="1"/>
  <c r="E5956" i="1" s="1"/>
  <c r="F5956" i="1" s="1"/>
  <c r="B4265" i="1"/>
  <c r="E4265" i="1" s="1"/>
  <c r="F4265" i="1" s="1"/>
  <c r="D1710" i="1"/>
  <c r="D1724" i="1" s="1"/>
  <c r="E1724" i="1" s="1"/>
  <c r="E1697" i="1"/>
  <c r="D6000" i="1"/>
  <c r="D5994" i="1"/>
  <c r="E5994" i="1" s="1"/>
  <c r="E5988" i="1"/>
  <c r="B6007" i="1"/>
  <c r="E6007" i="1" s="1"/>
  <c r="F6007" i="1" s="1"/>
  <c r="B3587" i="1"/>
  <c r="E3587" i="1" s="1"/>
  <c r="F3587" i="1" s="1"/>
  <c r="D5591" i="1"/>
  <c r="E5579" i="1"/>
  <c r="E4644" i="1"/>
  <c r="D4658" i="1"/>
  <c r="E4823" i="1"/>
  <c r="D4833" i="1"/>
  <c r="D4854" i="1"/>
  <c r="B4239" i="1"/>
  <c r="E4239" i="1" s="1"/>
  <c r="F4239" i="1" s="1"/>
  <c r="E5277" i="1" l="1"/>
  <c r="D5297" i="1"/>
  <c r="E877" i="25"/>
  <c r="F877" i="25" s="1"/>
  <c r="L863" i="25"/>
  <c r="M863" i="25" s="1"/>
  <c r="F863" i="25"/>
  <c r="F850" i="25"/>
  <c r="L850" i="25"/>
  <c r="M850" i="25" s="1"/>
  <c r="E837" i="25"/>
  <c r="F837" i="25" s="1"/>
  <c r="E851" i="25"/>
  <c r="E864" i="25" s="1"/>
  <c r="F779" i="25"/>
  <c r="E836" i="25"/>
  <c r="F836" i="25" s="1"/>
  <c r="E2090" i="1"/>
  <c r="D2355" i="1"/>
  <c r="E2355" i="1" s="1"/>
  <c r="E1670" i="1"/>
  <c r="D2076" i="1"/>
  <c r="M771" i="25"/>
  <c r="M757" i="25"/>
  <c r="E400" i="25"/>
  <c r="L387" i="25"/>
  <c r="F387" i="25"/>
  <c r="L305" i="25"/>
  <c r="M292" i="25"/>
  <c r="F771" i="25"/>
  <c r="L838" i="25"/>
  <c r="M825" i="25"/>
  <c r="E8267" i="1"/>
  <c r="F8273" i="1" s="1"/>
  <c r="L174" i="25"/>
  <c r="L184" i="25" s="1"/>
  <c r="M184" i="25" s="1"/>
  <c r="M189" i="25" s="1"/>
  <c r="M611" i="25"/>
  <c r="L624" i="25"/>
  <c r="E611" i="25"/>
  <c r="E558" i="25"/>
  <c r="F780" i="25"/>
  <c r="E939" i="25"/>
  <c r="F939" i="25" s="1"/>
  <c r="M939" i="25"/>
  <c r="E457" i="25"/>
  <c r="F444" i="25"/>
  <c r="L444" i="25"/>
  <c r="M431" i="25"/>
  <c r="L195" i="25"/>
  <c r="L163" i="25" s="1"/>
  <c r="M163" i="25" s="1"/>
  <c r="M175" i="25"/>
  <c r="E305" i="25"/>
  <c r="F262" i="25"/>
  <c r="F217" i="25"/>
  <c r="E228" i="25"/>
  <c r="F228" i="25" s="1"/>
  <c r="L206" i="25"/>
  <c r="M196" i="25"/>
  <c r="B8092" i="1"/>
  <c r="E8092" i="1" s="1"/>
  <c r="F8092" i="1" s="1"/>
  <c r="B8076" i="1"/>
  <c r="E8076" i="1" s="1"/>
  <c r="F8076" i="1" s="1"/>
  <c r="D9484" i="1"/>
  <c r="E9484" i="1" s="1"/>
  <c r="B9489" i="1" s="1"/>
  <c r="E9489" i="1" s="1"/>
  <c r="F9489" i="1" s="1"/>
  <c r="D8730" i="1"/>
  <c r="D8485" i="1"/>
  <c r="E8475" i="1"/>
  <c r="D8536" i="1"/>
  <c r="E8526" i="1"/>
  <c r="D8474" i="1"/>
  <c r="E8464" i="1"/>
  <c r="B8470" i="1" s="1"/>
  <c r="E8470" i="1" s="1"/>
  <c r="F8440" i="1"/>
  <c r="E8430" i="1"/>
  <c r="F8430" i="1" s="1"/>
  <c r="E8450" i="1"/>
  <c r="E8466" i="1"/>
  <c r="F8460" i="1"/>
  <c r="E8446" i="1"/>
  <c r="C24" i="12"/>
  <c r="E24" i="12" s="1"/>
  <c r="D3173" i="1"/>
  <c r="E3173" i="1" s="1"/>
  <c r="D3047" i="1"/>
  <c r="E3047" i="1" s="1"/>
  <c r="D2921" i="1"/>
  <c r="D2763" i="1"/>
  <c r="E8314" i="1"/>
  <c r="E8327" i="1"/>
  <c r="B8331" i="1" s="1"/>
  <c r="D8315" i="1"/>
  <c r="D8328" i="1" s="1"/>
  <c r="E8306" i="1"/>
  <c r="B8310" i="1" s="1"/>
  <c r="E8310" i="1" s="1"/>
  <c r="B8123" i="1"/>
  <c r="E8123" i="1" s="1"/>
  <c r="F8123" i="1" s="1"/>
  <c r="B5879" i="1"/>
  <c r="E5879" i="1" s="1"/>
  <c r="F5879" i="1" s="1"/>
  <c r="D8351" i="1"/>
  <c r="E8351" i="1" s="1"/>
  <c r="D10099" i="1"/>
  <c r="D10108" i="1" s="1"/>
  <c r="B3839" i="1"/>
  <c r="E3839" i="1" s="1"/>
  <c r="F3839" i="1" s="1"/>
  <c r="E3628" i="1"/>
  <c r="F3628" i="1" s="1"/>
  <c r="E1477" i="1"/>
  <c r="D1489" i="1"/>
  <c r="E1489" i="1" s="1"/>
  <c r="D3549" i="1"/>
  <c r="E3549" i="1" s="1"/>
  <c r="D3562" i="1"/>
  <c r="E3562" i="1" s="1"/>
  <c r="E3541" i="1"/>
  <c r="D3725" i="1"/>
  <c r="E3725" i="1" s="1"/>
  <c r="B3728" i="1" s="1"/>
  <c r="E3728" i="1" s="1"/>
  <c r="F3728" i="1" s="1"/>
  <c r="E3716" i="1"/>
  <c r="B3719" i="1" s="1"/>
  <c r="E3719" i="1" s="1"/>
  <c r="F3719" i="1" s="1"/>
  <c r="D3734" i="1"/>
  <c r="D8662" i="1"/>
  <c r="E8653" i="1"/>
  <c r="C19" i="12"/>
  <c r="D8011" i="1"/>
  <c r="E8011" i="1" s="1"/>
  <c r="B8021" i="1" s="1"/>
  <c r="E8021" i="1" s="1"/>
  <c r="F8021" i="1" s="1"/>
  <c r="D10130" i="1"/>
  <c r="E10130" i="1" s="1"/>
  <c r="B10135" i="1" s="1"/>
  <c r="E10135" i="1" s="1"/>
  <c r="F10135" i="1" s="1"/>
  <c r="D5180" i="1"/>
  <c r="D1527" i="1"/>
  <c r="E1527" i="1" s="1"/>
  <c r="B1532" i="1" s="1"/>
  <c r="D3758" i="1"/>
  <c r="E3758" i="1" s="1"/>
  <c r="B3764" i="1" s="1"/>
  <c r="E3764" i="1" s="1"/>
  <c r="F3764" i="1" s="1"/>
  <c r="D3707" i="1"/>
  <c r="E3707" i="1" s="1"/>
  <c r="D1184" i="1"/>
  <c r="D10151" i="1"/>
  <c r="E10151" i="1" s="1"/>
  <c r="B10158" i="1" s="1"/>
  <c r="E10158" i="1" s="1"/>
  <c r="F10158" i="1" s="1"/>
  <c r="D1071" i="1"/>
  <c r="D3535" i="1"/>
  <c r="D1389" i="1"/>
  <c r="D1402" i="1" s="1"/>
  <c r="E1402" i="1" s="1"/>
  <c r="D3750" i="1"/>
  <c r="E3750" i="1" s="1"/>
  <c r="D1099" i="1"/>
  <c r="D1262" i="1"/>
  <c r="D9936" i="1"/>
  <c r="E9936" i="1" s="1"/>
  <c r="B9941" i="1" s="1"/>
  <c r="E9941" i="1" s="1"/>
  <c r="F9941" i="1" s="1"/>
  <c r="D3871" i="1"/>
  <c r="E3871" i="1" s="1"/>
  <c r="B3873" i="1" s="1"/>
  <c r="E3873" i="1" s="1"/>
  <c r="F3873" i="1" s="1"/>
  <c r="D9262" i="1"/>
  <c r="E9253" i="1"/>
  <c r="D8660" i="1"/>
  <c r="E8651" i="1"/>
  <c r="D8338" i="1"/>
  <c r="E8338" i="1" s="1"/>
  <c r="E9827" i="1"/>
  <c r="C17" i="12"/>
  <c r="E9734" i="1"/>
  <c r="F9734" i="1" s="1"/>
  <c r="F9737" i="1" s="1"/>
  <c r="D1564" i="1"/>
  <c r="E1546" i="1"/>
  <c r="B1548" i="1" s="1"/>
  <c r="E1548" i="1" s="1"/>
  <c r="F1548" i="1" s="1"/>
  <c r="D8154" i="1"/>
  <c r="E8146" i="1"/>
  <c r="D6209" i="1"/>
  <c r="E6209" i="1" s="1"/>
  <c r="B6213" i="1" s="1"/>
  <c r="E6200" i="1"/>
  <c r="B6204" i="1" s="1"/>
  <c r="E6204" i="1" s="1"/>
  <c r="F6204" i="1" s="1"/>
  <c r="E9857" i="1"/>
  <c r="E9855" i="1" s="1"/>
  <c r="D9870" i="1"/>
  <c r="E9870" i="1" s="1"/>
  <c r="E9875" i="1" s="1"/>
  <c r="D7995" i="1"/>
  <c r="E7995" i="1" s="1"/>
  <c r="F7995" i="1" s="1"/>
  <c r="E7984" i="1"/>
  <c r="D5211" i="1"/>
  <c r="E5191" i="1"/>
  <c r="E9560" i="1"/>
  <c r="D9569" i="1"/>
  <c r="E6262" i="1"/>
  <c r="B6266" i="1" s="1"/>
  <c r="E6266" i="1" s="1"/>
  <c r="F6266" i="1" s="1"/>
  <c r="D6270" i="1"/>
  <c r="E6270" i="1" s="1"/>
  <c r="B6272" i="1" s="1"/>
  <c r="E6272" i="1" s="1"/>
  <c r="F6272" i="1" s="1"/>
  <c r="E3671" i="1"/>
  <c r="B3676" i="1" s="1"/>
  <c r="E3676" i="1" s="1"/>
  <c r="F3676" i="1" s="1"/>
  <c r="D3679" i="1"/>
  <c r="E9568" i="1"/>
  <c r="D9577" i="1"/>
  <c r="E2754" i="1"/>
  <c r="B2758" i="1" s="1"/>
  <c r="D2782" i="1"/>
  <c r="D2796" i="1"/>
  <c r="E2796" i="1" s="1"/>
  <c r="B2800" i="1" s="1"/>
  <c r="E2800" i="1" s="1"/>
  <c r="F2800" i="1" s="1"/>
  <c r="D2761" i="1"/>
  <c r="E2761" i="1" s="1"/>
  <c r="B2765" i="1" s="1"/>
  <c r="D2819" i="1"/>
  <c r="D2829" i="1" s="1"/>
  <c r="E2829" i="1" s="1"/>
  <c r="D2768" i="1"/>
  <c r="D2789" i="1"/>
  <c r="D7217" i="1"/>
  <c r="E7217" i="1" s="1"/>
  <c r="F7221" i="1" s="1"/>
  <c r="D9556" i="1"/>
  <c r="E9547" i="1"/>
  <c r="F7558" i="1"/>
  <c r="E9521" i="1"/>
  <c r="B9525" i="1" s="1"/>
  <c r="E9525" i="1" s="1"/>
  <c r="F9525" i="1" s="1"/>
  <c r="D9530" i="1"/>
  <c r="D9503" i="1"/>
  <c r="E9494" i="1"/>
  <c r="B9498" i="1" s="1"/>
  <c r="E9498" i="1" s="1"/>
  <c r="F9498" i="1" s="1"/>
  <c r="E9449" i="1"/>
  <c r="D9458" i="1"/>
  <c r="E9458" i="1" s="1"/>
  <c r="E9343" i="1"/>
  <c r="B9347" i="1" s="1"/>
  <c r="E9347" i="1" s="1"/>
  <c r="F9347" i="1" s="1"/>
  <c r="D9353" i="1"/>
  <c r="B9327" i="1"/>
  <c r="E9327" i="1" s="1"/>
  <c r="F9327" i="1" s="1"/>
  <c r="E8420" i="1"/>
  <c r="F8420" i="1" s="1"/>
  <c r="D8622" i="1"/>
  <c r="E8613" i="1"/>
  <c r="D8614" i="1"/>
  <c r="E388" i="25" s="1"/>
  <c r="E8605" i="1"/>
  <c r="B8609" i="1" s="1"/>
  <c r="E8609" i="1" s="1"/>
  <c r="F8609" i="1" s="1"/>
  <c r="E9169" i="1"/>
  <c r="B9173" i="1" s="1"/>
  <c r="E9173" i="1" s="1"/>
  <c r="F9173" i="1" s="1"/>
  <c r="D9178" i="1"/>
  <c r="E9186" i="1"/>
  <c r="D9195" i="1"/>
  <c r="D8137" i="1"/>
  <c r="E8129" i="1"/>
  <c r="E8127" i="1"/>
  <c r="D8135" i="1"/>
  <c r="D8136" i="1"/>
  <c r="E8128" i="1"/>
  <c r="E3309" i="1"/>
  <c r="D5658" i="1"/>
  <c r="E5658" i="1" s="1"/>
  <c r="D4934" i="1"/>
  <c r="E4934" i="1" s="1"/>
  <c r="D1054" i="1"/>
  <c r="E1054" i="1" s="1"/>
  <c r="B1060" i="1" s="1"/>
  <c r="E1060" i="1" s="1"/>
  <c r="F1060" i="1" s="1"/>
  <c r="H24" i="12" s="1"/>
  <c r="E1045" i="1"/>
  <c r="B1051" i="1" s="1"/>
  <c r="E1051" i="1" s="1"/>
  <c r="F1051" i="1" s="1"/>
  <c r="G24" i="12" s="1"/>
  <c r="F7900" i="1"/>
  <c r="E899" i="1"/>
  <c r="D909" i="1"/>
  <c r="D2442" i="1"/>
  <c r="D2429" i="1"/>
  <c r="E7904" i="1"/>
  <c r="F7908" i="1" s="1"/>
  <c r="D7912" i="1"/>
  <c r="E6899" i="1"/>
  <c r="F6899" i="1" s="1"/>
  <c r="D756" i="1"/>
  <c r="E745" i="1"/>
  <c r="D3495" i="1"/>
  <c r="E3488" i="1"/>
  <c r="D2463" i="1"/>
  <c r="E2463" i="1" s="1"/>
  <c r="E2450" i="1"/>
  <c r="D3436" i="1"/>
  <c r="E3430" i="1"/>
  <c r="D2489" i="1"/>
  <c r="E2476" i="1"/>
  <c r="D2642" i="1"/>
  <c r="D2629" i="1"/>
  <c r="E2629" i="1" s="1"/>
  <c r="E2616" i="1"/>
  <c r="E5063" i="1"/>
  <c r="D5073" i="1"/>
  <c r="D6127" i="1"/>
  <c r="E6113" i="1"/>
  <c r="E5161" i="1"/>
  <c r="D5170" i="1"/>
  <c r="E5170" i="1" s="1"/>
  <c r="B6774" i="1"/>
  <c r="E6774" i="1" s="1"/>
  <c r="F6774" i="1" s="1"/>
  <c r="E5761" i="1"/>
  <c r="D5776" i="1"/>
  <c r="B149" i="1"/>
  <c r="E149" i="1" s="1"/>
  <c r="F149" i="1" s="1"/>
  <c r="C21" i="12" s="1"/>
  <c r="D900" i="1"/>
  <c r="E891" i="1"/>
  <c r="E5702" i="1"/>
  <c r="D5727" i="1"/>
  <c r="E154" i="1"/>
  <c r="B156" i="1" s="1"/>
  <c r="E156" i="1" s="1"/>
  <c r="F156" i="1" s="1"/>
  <c r="C22" i="12" s="1"/>
  <c r="D219" i="1"/>
  <c r="E10116" i="1"/>
  <c r="D10124" i="1"/>
  <c r="D3414" i="1"/>
  <c r="D3517" i="1"/>
  <c r="D3442" i="1"/>
  <c r="D6682" i="1"/>
  <c r="D3473" i="1"/>
  <c r="D5009" i="1"/>
  <c r="D4983" i="1"/>
  <c r="E4971" i="1"/>
  <c r="E799" i="1"/>
  <c r="D810" i="1"/>
  <c r="D3383" i="1"/>
  <c r="E3383" i="1" s="1"/>
  <c r="E3376" i="1"/>
  <c r="B5573" i="1"/>
  <c r="E5573" i="1" s="1"/>
  <c r="F5573" i="1" s="1"/>
  <c r="D3293" i="1"/>
  <c r="D6582" i="1"/>
  <c r="D3321" i="1"/>
  <c r="D971" i="1"/>
  <c r="E961" i="1"/>
  <c r="D4328" i="1"/>
  <c r="E4328" i="1" s="1"/>
  <c r="E4282" i="1"/>
  <c r="D4338" i="1"/>
  <c r="E4338" i="1" s="1"/>
  <c r="D4318" i="1"/>
  <c r="E4318" i="1" s="1"/>
  <c r="E2327" i="1"/>
  <c r="D2397" i="1"/>
  <c r="E2397" i="1" s="1"/>
  <c r="E4854" i="1"/>
  <c r="D4864" i="1"/>
  <c r="D5611" i="1"/>
  <c r="E5591" i="1"/>
  <c r="B4552" i="1"/>
  <c r="E4552" i="1" s="1"/>
  <c r="F4552" i="1" s="1"/>
  <c r="D4371" i="1"/>
  <c r="E4371" i="1" s="1"/>
  <c r="E4294" i="1"/>
  <c r="D4843" i="1"/>
  <c r="E4843" i="1" s="1"/>
  <c r="E4833" i="1"/>
  <c r="B5654" i="1"/>
  <c r="E5654" i="1" s="1"/>
  <c r="F5654" i="1" s="1"/>
  <c r="D4569" i="1"/>
  <c r="E4559" i="1"/>
  <c r="D7760" i="1"/>
  <c r="E7752" i="1"/>
  <c r="F7756" i="1" s="1"/>
  <c r="D4308" i="1"/>
  <c r="D4349" i="1"/>
  <c r="E4349" i="1" s="1"/>
  <c r="E4270" i="1"/>
  <c r="E3602" i="1"/>
  <c r="D3663" i="1"/>
  <c r="E3663" i="1" s="1"/>
  <c r="D3644" i="1"/>
  <c r="E3644" i="1" s="1"/>
  <c r="B6332" i="1"/>
  <c r="E6332" i="1" s="1"/>
  <c r="F6332" i="1" s="1"/>
  <c r="D4604" i="1"/>
  <c r="E4593" i="1"/>
  <c r="E3597" i="1"/>
  <c r="F3597" i="1" s="1"/>
  <c r="E1710" i="1"/>
  <c r="D1737" i="1"/>
  <c r="D1763" i="1"/>
  <c r="B4004" i="1"/>
  <c r="E4004" i="1" s="1"/>
  <c r="F4004" i="1" s="1"/>
  <c r="E9317" i="1"/>
  <c r="D9932" i="1"/>
  <c r="E9932" i="1" s="1"/>
  <c r="E6060" i="1"/>
  <c r="D6066" i="1"/>
  <c r="E6066" i="1" s="1"/>
  <c r="D2010" i="1"/>
  <c r="E1997" i="1"/>
  <c r="B4016" i="1"/>
  <c r="E4016" i="1" s="1"/>
  <c r="F4016" i="1" s="1"/>
  <c r="F7748" i="1"/>
  <c r="B4251" i="1"/>
  <c r="E4251" i="1" s="1"/>
  <c r="F4251" i="1" s="1"/>
  <c r="E3618" i="1"/>
  <c r="F3618" i="1" s="1"/>
  <c r="E6339" i="1"/>
  <c r="D6350" i="1"/>
  <c r="E6350" i="1" s="1"/>
  <c r="B5990" i="1"/>
  <c r="E5990" i="1" s="1"/>
  <c r="F5990" i="1" s="1"/>
  <c r="E2848" i="1"/>
  <c r="D2855" i="1"/>
  <c r="B5968" i="1"/>
  <c r="E5968" i="1" s="1"/>
  <c r="F5968" i="1" s="1"/>
  <c r="D4771" i="1"/>
  <c r="E4759" i="1"/>
  <c r="D4667" i="1"/>
  <c r="E4667" i="1" s="1"/>
  <c r="E4658" i="1"/>
  <c r="E6000" i="1"/>
  <c r="D6041" i="1"/>
  <c r="E4733" i="1"/>
  <c r="D4745" i="1"/>
  <c r="E4745" i="1" s="1"/>
  <c r="D7565" i="1"/>
  <c r="E7565" i="1" s="1"/>
  <c r="E7562" i="1"/>
  <c r="D7572" i="1"/>
  <c r="B5996" i="1"/>
  <c r="E5996" i="1" s="1"/>
  <c r="F5996" i="1" s="1"/>
  <c r="D757" i="1"/>
  <c r="E746" i="1"/>
  <c r="E5961" i="1"/>
  <c r="F5961" i="1" s="1"/>
  <c r="B3990" i="1"/>
  <c r="E3990" i="1" s="1"/>
  <c r="F3990" i="1" s="1"/>
  <c r="B4728" i="1"/>
  <c r="E4728" i="1" s="1"/>
  <c r="F4728" i="1" s="1"/>
  <c r="E5297" i="1" l="1"/>
  <c r="D5313" i="1"/>
  <c r="E5313" i="1" s="1"/>
  <c r="E878" i="25"/>
  <c r="F878" i="25" s="1"/>
  <c r="L864" i="25"/>
  <c r="M864" i="25" s="1"/>
  <c r="M871" i="25" s="1"/>
  <c r="F864" i="25"/>
  <c r="F871" i="25" s="1"/>
  <c r="F885" i="25"/>
  <c r="F787" i="25"/>
  <c r="F844" i="25"/>
  <c r="L851" i="25"/>
  <c r="M851" i="25" s="1"/>
  <c r="M858" i="25" s="1"/>
  <c r="F851" i="25"/>
  <c r="F858" i="25" s="1"/>
  <c r="E2076" i="1"/>
  <c r="D2341" i="1"/>
  <c r="E2341" i="1" s="1"/>
  <c r="E1099" i="1"/>
  <c r="B1103" i="1" s="1"/>
  <c r="E1103" i="1" s="1"/>
  <c r="F1103" i="1" s="1"/>
  <c r="D1110" i="1"/>
  <c r="E1110" i="1" s="1"/>
  <c r="B1114" i="1" s="1"/>
  <c r="E1114" i="1" s="1"/>
  <c r="F1114" i="1" s="1"/>
  <c r="F611" i="25"/>
  <c r="E624" i="25"/>
  <c r="L400" i="25"/>
  <c r="M387" i="25"/>
  <c r="E206" i="25"/>
  <c r="L216" i="25"/>
  <c r="M216" i="25" s="1"/>
  <c r="M206" i="25"/>
  <c r="F305" i="25"/>
  <c r="E275" i="25"/>
  <c r="F457" i="25"/>
  <c r="E470" i="25"/>
  <c r="L637" i="25"/>
  <c r="L676" i="25"/>
  <c r="M676" i="25" s="1"/>
  <c r="M624" i="25"/>
  <c r="E413" i="25"/>
  <c r="F400" i="25"/>
  <c r="E205" i="25"/>
  <c r="L205" i="25"/>
  <c r="M195" i="25"/>
  <c r="L388" i="25"/>
  <c r="E401" i="25"/>
  <c r="F388" i="25"/>
  <c r="C392" i="25" s="1"/>
  <c r="F392" i="25" s="1"/>
  <c r="F395" i="25" s="1"/>
  <c r="L924" i="25"/>
  <c r="M838" i="25"/>
  <c r="L319" i="25"/>
  <c r="L346" i="25"/>
  <c r="M305" i="25"/>
  <c r="D9364" i="1"/>
  <c r="D9374" i="1" s="1"/>
  <c r="E9374" i="1" s="1"/>
  <c r="E236" i="25"/>
  <c r="L457" i="25"/>
  <c r="M444" i="25"/>
  <c r="L558" i="25"/>
  <c r="M558" i="25" s="1"/>
  <c r="E571" i="25"/>
  <c r="F558" i="25"/>
  <c r="M174" i="25"/>
  <c r="J178" i="25" s="1"/>
  <c r="M178" i="25" s="1"/>
  <c r="M179" i="25" s="1"/>
  <c r="B2831" i="1"/>
  <c r="E2831" i="1" s="1"/>
  <c r="F2831" i="1" s="1"/>
  <c r="D8740" i="1"/>
  <c r="E8740" i="1" s="1"/>
  <c r="E8730" i="1"/>
  <c r="F24" i="12"/>
  <c r="D8546" i="1"/>
  <c r="E8536" i="1"/>
  <c r="D8484" i="1"/>
  <c r="E8474" i="1"/>
  <c r="B8480" i="1" s="1"/>
  <c r="E8480" i="1" s="1"/>
  <c r="D8495" i="1"/>
  <c r="E8485" i="1"/>
  <c r="F8450" i="1"/>
  <c r="D24" i="12"/>
  <c r="F8470" i="1"/>
  <c r="D2806" i="1"/>
  <c r="D2814" i="1"/>
  <c r="E2763" i="1"/>
  <c r="E2921" i="1"/>
  <c r="D2934" i="1"/>
  <c r="E2934" i="1" s="1"/>
  <c r="B2936" i="1" s="1"/>
  <c r="E2936" i="1" s="1"/>
  <c r="F2936" i="1" s="1"/>
  <c r="D2942" i="1"/>
  <c r="D2992" i="1"/>
  <c r="E2992" i="1" s="1"/>
  <c r="E1532" i="1"/>
  <c r="F1532" i="1" s="1"/>
  <c r="E8331" i="1"/>
  <c r="E8315" i="1"/>
  <c r="B8319" i="1" s="1"/>
  <c r="E8319" i="1" s="1"/>
  <c r="F8319" i="1" s="1"/>
  <c r="E8328" i="1"/>
  <c r="D8362" i="1"/>
  <c r="E8362" i="1" s="1"/>
  <c r="F8310" i="1"/>
  <c r="E10099" i="1"/>
  <c r="D8355" i="1"/>
  <c r="D8353" i="1"/>
  <c r="D8364" i="1" s="1"/>
  <c r="B7991" i="1"/>
  <c r="E7991" i="1" s="1"/>
  <c r="E2765" i="1"/>
  <c r="E2758" i="1"/>
  <c r="F2758" i="1" s="1"/>
  <c r="B1407" i="1"/>
  <c r="E1407" i="1" s="1"/>
  <c r="F1407" i="1" s="1"/>
  <c r="D7225" i="1"/>
  <c r="D7239" i="1" s="1"/>
  <c r="E6213" i="1"/>
  <c r="F6213" i="1" s="1"/>
  <c r="D9586" i="1"/>
  <c r="E9577" i="1"/>
  <c r="E9569" i="1"/>
  <c r="D9578" i="1"/>
  <c r="D10160" i="1"/>
  <c r="E10160" i="1" s="1"/>
  <c r="D9310" i="1"/>
  <c r="E9310" i="1" s="1"/>
  <c r="B9318" i="1" s="1"/>
  <c r="E9318" i="1" s="1"/>
  <c r="F9318" i="1" s="1"/>
  <c r="D8200" i="1"/>
  <c r="D10076" i="1"/>
  <c r="D10098" i="1"/>
  <c r="E10098" i="1" s="1"/>
  <c r="D9925" i="1"/>
  <c r="E9925" i="1" s="1"/>
  <c r="B9933" i="1" s="1"/>
  <c r="E9933" i="1" s="1"/>
  <c r="F9933" i="1" s="1"/>
  <c r="D10138" i="1"/>
  <c r="E10138" i="1" s="1"/>
  <c r="D10107" i="1"/>
  <c r="D8023" i="1"/>
  <c r="D8003" i="1"/>
  <c r="E8003" i="1" s="1"/>
  <c r="D1438" i="1"/>
  <c r="D1414" i="1"/>
  <c r="E1414" i="1" s="1"/>
  <c r="B1419" i="1" s="1"/>
  <c r="E1419" i="1" s="1"/>
  <c r="F1419" i="1" s="1"/>
  <c r="E1389" i="1"/>
  <c r="B1394" i="1" s="1"/>
  <c r="E1394" i="1" s="1"/>
  <c r="F1394" i="1" s="1"/>
  <c r="D2847" i="1"/>
  <c r="E2847" i="1" s="1"/>
  <c r="B2851" i="1" s="1"/>
  <c r="E2851" i="1" s="1"/>
  <c r="F2851" i="1" s="1"/>
  <c r="D2872" i="1"/>
  <c r="E2872" i="1" s="1"/>
  <c r="E2789" i="1"/>
  <c r="B2793" i="1" s="1"/>
  <c r="E2793" i="1" s="1"/>
  <c r="F2793" i="1" s="1"/>
  <c r="E9805" i="1"/>
  <c r="F9805" i="1" s="1"/>
  <c r="F9810" i="1" s="1"/>
  <c r="F9827" i="1"/>
  <c r="F9833" i="1" s="1"/>
  <c r="E1262" i="1"/>
  <c r="D1285" i="1"/>
  <c r="E3535" i="1"/>
  <c r="B3537" i="1" s="1"/>
  <c r="E3537" i="1" s="1"/>
  <c r="F3537" i="1" s="1"/>
  <c r="D3540" i="1"/>
  <c r="B3710" i="1"/>
  <c r="E3710" i="1" s="1"/>
  <c r="F3710" i="1" s="1"/>
  <c r="D8671" i="1"/>
  <c r="E8662" i="1"/>
  <c r="E8154" i="1"/>
  <c r="D8162" i="1"/>
  <c r="E2768" i="1"/>
  <c r="B2772" i="1" s="1"/>
  <c r="D2812" i="1"/>
  <c r="E2782" i="1"/>
  <c r="D2834" i="1"/>
  <c r="D3687" i="1"/>
  <c r="E3679" i="1"/>
  <c r="B3684" i="1" s="1"/>
  <c r="E3684" i="1" s="1"/>
  <c r="F3684" i="1" s="1"/>
  <c r="E9862" i="1"/>
  <c r="E9863" i="1"/>
  <c r="E1564" i="1"/>
  <c r="D1552" i="1"/>
  <c r="B8343" i="1"/>
  <c r="E8343" i="1" s="1"/>
  <c r="F8343" i="1" s="1"/>
  <c r="D8349" i="1" s="1"/>
  <c r="E9262" i="1"/>
  <c r="D9271" i="1"/>
  <c r="D1082" i="1"/>
  <c r="E1071" i="1"/>
  <c r="B1075" i="1" s="1"/>
  <c r="E1075" i="1" s="1"/>
  <c r="F1075" i="1" s="1"/>
  <c r="D3742" i="1"/>
  <c r="E3734" i="1"/>
  <c r="B3737" i="1" s="1"/>
  <c r="E3737" i="1" s="1"/>
  <c r="F3737" i="1" s="1"/>
  <c r="D8669" i="1"/>
  <c r="E8660" i="1"/>
  <c r="D1173" i="1"/>
  <c r="E1184" i="1"/>
  <c r="B1188" i="1" s="1"/>
  <c r="E1188" i="1" s="1"/>
  <c r="F1188" i="1" s="1"/>
  <c r="E5180" i="1"/>
  <c r="D5190" i="1"/>
  <c r="E2819" i="1"/>
  <c r="D2878" i="1"/>
  <c r="E2878" i="1" s="1"/>
  <c r="D5221" i="1"/>
  <c r="E5221" i="1" s="1"/>
  <c r="E5211" i="1"/>
  <c r="E9556" i="1"/>
  <c r="D9565" i="1"/>
  <c r="E8136" i="1"/>
  <c r="D8144" i="1"/>
  <c r="E8137" i="1"/>
  <c r="D8145" i="1"/>
  <c r="E8135" i="1"/>
  <c r="D8143" i="1"/>
  <c r="D9539" i="1"/>
  <c r="E9530" i="1"/>
  <c r="B9534" i="1" s="1"/>
  <c r="E9534" i="1" s="1"/>
  <c r="F9534" i="1" s="1"/>
  <c r="D9512" i="1"/>
  <c r="E9512" i="1" s="1"/>
  <c r="B9516" i="1" s="1"/>
  <c r="E9516" i="1" s="1"/>
  <c r="F9516" i="1" s="1"/>
  <c r="E9503" i="1"/>
  <c r="B9507" i="1" s="1"/>
  <c r="E9507" i="1" s="1"/>
  <c r="F9507" i="1" s="1"/>
  <c r="E9353" i="1"/>
  <c r="B9358" i="1" s="1"/>
  <c r="D8623" i="1"/>
  <c r="E8614" i="1"/>
  <c r="B8618" i="1" s="1"/>
  <c r="E8618" i="1" s="1"/>
  <c r="F8618" i="1" s="1"/>
  <c r="E8622" i="1"/>
  <c r="D8631" i="1"/>
  <c r="E9195" i="1"/>
  <c r="D9204" i="1"/>
  <c r="D9187" i="1"/>
  <c r="E9178" i="1"/>
  <c r="B8131" i="1"/>
  <c r="E8131" i="1" s="1"/>
  <c r="F8131" i="1" s="1"/>
  <c r="D5678" i="1"/>
  <c r="E5678" i="1" s="1"/>
  <c r="B5683" i="1" s="1"/>
  <c r="E5683" i="1" s="1"/>
  <c r="F5683" i="1" s="1"/>
  <c r="D4943" i="1"/>
  <c r="E4943" i="1" s="1"/>
  <c r="F7568" i="1"/>
  <c r="E756" i="1"/>
  <c r="D766" i="1"/>
  <c r="E7912" i="1"/>
  <c r="F7916" i="1" s="1"/>
  <c r="D7923" i="1"/>
  <c r="D7920" i="1"/>
  <c r="E7920" i="1" s="1"/>
  <c r="D2455" i="1"/>
  <c r="D2468" i="1" s="1"/>
  <c r="D2481" i="1"/>
  <c r="D2494" i="1" s="1"/>
  <c r="D919" i="1"/>
  <c r="E909" i="1"/>
  <c r="E3414" i="1"/>
  <c r="D3421" i="1"/>
  <c r="B5766" i="1"/>
  <c r="E5766" i="1" s="1"/>
  <c r="F5766" i="1" s="1"/>
  <c r="E6127" i="1"/>
  <c r="D6133" i="1"/>
  <c r="E6133" i="1" s="1"/>
  <c r="B4978" i="1"/>
  <c r="E4978" i="1" s="1"/>
  <c r="F4978" i="1" s="1"/>
  <c r="D10142" i="1"/>
  <c r="E10142" i="1" s="1"/>
  <c r="E10124" i="1"/>
  <c r="E5727" i="1"/>
  <c r="D5739" i="1"/>
  <c r="E5739" i="1" s="1"/>
  <c r="D2527" i="1"/>
  <c r="E2489" i="1"/>
  <c r="D2501" i="1"/>
  <c r="D820" i="1"/>
  <c r="E810" i="1"/>
  <c r="D4995" i="1"/>
  <c r="E4995" i="1" s="1"/>
  <c r="E4983" i="1"/>
  <c r="B4990" i="1" s="1"/>
  <c r="E4990" i="1" s="1"/>
  <c r="F4990" i="1" s="1"/>
  <c r="D5021" i="1"/>
  <c r="E5009" i="1"/>
  <c r="B5016" i="1" s="1"/>
  <c r="E5016" i="1" s="1"/>
  <c r="F5016" i="1" s="1"/>
  <c r="D5083" i="1"/>
  <c r="E5073" i="1"/>
  <c r="D5104" i="1"/>
  <c r="E3436" i="1"/>
  <c r="D3444" i="1"/>
  <c r="E3473" i="1"/>
  <c r="D3486" i="1"/>
  <c r="D3479" i="1"/>
  <c r="E3479" i="1" s="1"/>
  <c r="D910" i="1"/>
  <c r="E900" i="1"/>
  <c r="D6693" i="1"/>
  <c r="E6693" i="1" s="1"/>
  <c r="E6682" i="1"/>
  <c r="B6688" i="1" s="1"/>
  <c r="E6688" i="1" s="1"/>
  <c r="F6688" i="1" s="1"/>
  <c r="D6704" i="1"/>
  <c r="D236" i="1"/>
  <c r="E219" i="1"/>
  <c r="E3442" i="1"/>
  <c r="D3449" i="1"/>
  <c r="D3524" i="1"/>
  <c r="E3524" i="1" s="1"/>
  <c r="E3517" i="1"/>
  <c r="D5788" i="1"/>
  <c r="E5788" i="1" s="1"/>
  <c r="B5793" i="1" s="1"/>
  <c r="E5793" i="1" s="1"/>
  <c r="F5793" i="1" s="1"/>
  <c r="E5776" i="1"/>
  <c r="B5782" i="1" s="1"/>
  <c r="E5782" i="1" s="1"/>
  <c r="F5782" i="1" s="1"/>
  <c r="E2642" i="1"/>
  <c r="D2654" i="1"/>
  <c r="E3495" i="1"/>
  <c r="D3501" i="1"/>
  <c r="E4771" i="1"/>
  <c r="D4783" i="1"/>
  <c r="B3668" i="1"/>
  <c r="E3668" i="1" s="1"/>
  <c r="F3668" i="1" s="1"/>
  <c r="B4301" i="1"/>
  <c r="E4301" i="1" s="1"/>
  <c r="F4301" i="1" s="1"/>
  <c r="D6047" i="1"/>
  <c r="E6041" i="1"/>
  <c r="E2855" i="1"/>
  <c r="D2861" i="1"/>
  <c r="B4564" i="1"/>
  <c r="E4564" i="1" s="1"/>
  <c r="F4564" i="1" s="1"/>
  <c r="B4376" i="1"/>
  <c r="E4376" i="1" s="1"/>
  <c r="F4376" i="1" s="1"/>
  <c r="B6002" i="1"/>
  <c r="E6002" i="1" s="1"/>
  <c r="F6002" i="1" s="1"/>
  <c r="B6069" i="1"/>
  <c r="E6069" i="1" s="1"/>
  <c r="F6069" i="1" s="1"/>
  <c r="D4614" i="1"/>
  <c r="E4604" i="1"/>
  <c r="B4277" i="1"/>
  <c r="E4277" i="1" s="1"/>
  <c r="F4277" i="1" s="1"/>
  <c r="D4579" i="1"/>
  <c r="E4569" i="1"/>
  <c r="D4875" i="1"/>
  <c r="E4864" i="1"/>
  <c r="D1776" i="1"/>
  <c r="D2103" i="1" s="1"/>
  <c r="E1763" i="1"/>
  <c r="B5664" i="1"/>
  <c r="E5664" i="1" s="1"/>
  <c r="F5664" i="1" s="1"/>
  <c r="D2049" i="1"/>
  <c r="E2010" i="1"/>
  <c r="D2023" i="1"/>
  <c r="E1737" i="1"/>
  <c r="D1750" i="1"/>
  <c r="B3607" i="1"/>
  <c r="E3607" i="1" s="1"/>
  <c r="F3607" i="1" s="1"/>
  <c r="D5627" i="1"/>
  <c r="E5627" i="1" s="1"/>
  <c r="E5611" i="1"/>
  <c r="B4752" i="1"/>
  <c r="E4752" i="1" s="1"/>
  <c r="F4752" i="1" s="1"/>
  <c r="B4766" i="1"/>
  <c r="E4766" i="1" s="1"/>
  <c r="F4766" i="1" s="1"/>
  <c r="B6062" i="1"/>
  <c r="E6062" i="1" s="1"/>
  <c r="F6062" i="1" s="1"/>
  <c r="B4354" i="1"/>
  <c r="E4354" i="1" s="1"/>
  <c r="F4354" i="1" s="1"/>
  <c r="B4323" i="1"/>
  <c r="E4323" i="1" s="1"/>
  <c r="F4323" i="1" s="1"/>
  <c r="E7572" i="1"/>
  <c r="F7576" i="1" s="1"/>
  <c r="D7580" i="1"/>
  <c r="B2401" i="1"/>
  <c r="E2401" i="1" s="1"/>
  <c r="F2401" i="1" s="1"/>
  <c r="D767" i="1"/>
  <c r="E757" i="1"/>
  <c r="B6343" i="1"/>
  <c r="E6343" i="1" s="1"/>
  <c r="F6343" i="1" s="1"/>
  <c r="D10115" i="1"/>
  <c r="E10108" i="1"/>
  <c r="E7760" i="1"/>
  <c r="F7764" i="1" s="1"/>
  <c r="D7768" i="1"/>
  <c r="B4333" i="1"/>
  <c r="E4333" i="1" s="1"/>
  <c r="F4333" i="1" s="1"/>
  <c r="E971" i="1"/>
  <c r="D981" i="1"/>
  <c r="E981" i="1" s="1"/>
  <c r="D6593" i="1"/>
  <c r="E6593" i="1" s="1"/>
  <c r="D6604" i="1"/>
  <c r="E6582" i="1"/>
  <c r="B4740" i="1"/>
  <c r="E4740" i="1" s="1"/>
  <c r="F4740" i="1" s="1"/>
  <c r="D4360" i="1"/>
  <c r="E4308" i="1"/>
  <c r="B4343" i="1"/>
  <c r="E4343" i="1" s="1"/>
  <c r="F4343" i="1" s="1"/>
  <c r="B6354" i="1"/>
  <c r="E6354" i="1" s="1"/>
  <c r="F6354" i="1" s="1"/>
  <c r="B4289" i="1"/>
  <c r="E4289" i="1" s="1"/>
  <c r="F4289" i="1" s="1"/>
  <c r="E3321" i="1"/>
  <c r="D3329" i="1"/>
  <c r="B3648" i="1"/>
  <c r="E3648" i="1" s="1"/>
  <c r="F3648" i="1" s="1"/>
  <c r="D3300" i="1"/>
  <c r="E3293" i="1"/>
  <c r="D9384" i="1" l="1"/>
  <c r="D9394" i="1" s="1"/>
  <c r="E9394" i="1" s="1"/>
  <c r="D9414" i="1"/>
  <c r="E9414" i="1" s="1"/>
  <c r="B9418" i="1" s="1"/>
  <c r="E9418" i="1" s="1"/>
  <c r="F9418" i="1" s="1"/>
  <c r="E2103" i="1"/>
  <c r="D2368" i="1"/>
  <c r="E2368" i="1" s="1"/>
  <c r="E9384" i="1"/>
  <c r="B9389" i="1" s="1"/>
  <c r="E9389" i="1" s="1"/>
  <c r="F9389" i="1" s="1"/>
  <c r="D9404" i="1"/>
  <c r="E9404" i="1" s="1"/>
  <c r="F571" i="25"/>
  <c r="E585" i="25"/>
  <c r="L572" i="25"/>
  <c r="M319" i="25"/>
  <c r="L332" i="25"/>
  <c r="M332" i="25" s="1"/>
  <c r="J843" i="25"/>
  <c r="M843" i="25" s="1"/>
  <c r="M845" i="25" s="1"/>
  <c r="L215" i="25"/>
  <c r="M215" i="25" s="1"/>
  <c r="M205" i="25"/>
  <c r="E427" i="25"/>
  <c r="F413" i="25"/>
  <c r="F275" i="25"/>
  <c r="E318" i="25"/>
  <c r="E196" i="25"/>
  <c r="F196" i="25" s="1"/>
  <c r="E216" i="25"/>
  <c r="F206" i="25"/>
  <c r="L413" i="25"/>
  <c r="M400" i="25"/>
  <c r="L236" i="25"/>
  <c r="S236" i="25" s="1"/>
  <c r="E293" i="25"/>
  <c r="F236" i="25"/>
  <c r="C241" i="25" s="1"/>
  <c r="F241" i="25" s="1"/>
  <c r="F243" i="25" s="1"/>
  <c r="F8331" i="1"/>
  <c r="F8332" i="1" s="1"/>
  <c r="L194" i="25"/>
  <c r="L162" i="25" s="1"/>
  <c r="M162" i="25" s="1"/>
  <c r="J166" i="25" s="1"/>
  <c r="M166" i="25" s="1"/>
  <c r="M167" i="25" s="1"/>
  <c r="L940" i="25"/>
  <c r="E925" i="25"/>
  <c r="F925" i="25" s="1"/>
  <c r="M924" i="25"/>
  <c r="E414" i="25"/>
  <c r="F401" i="25"/>
  <c r="C405" i="25" s="1"/>
  <c r="F405" i="25" s="1"/>
  <c r="E215" i="25"/>
  <c r="E195" i="25"/>
  <c r="F195" i="25" s="1"/>
  <c r="F205" i="25"/>
  <c r="L650" i="25"/>
  <c r="M650" i="25" s="1"/>
  <c r="L689" i="25"/>
  <c r="M689" i="25" s="1"/>
  <c r="M637" i="25"/>
  <c r="E637" i="25"/>
  <c r="F624" i="25"/>
  <c r="M457" i="25"/>
  <c r="L470" i="25"/>
  <c r="M346" i="25"/>
  <c r="L360" i="25"/>
  <c r="L401" i="25"/>
  <c r="M388" i="25"/>
  <c r="J392" i="25" s="1"/>
  <c r="M392" i="25" s="1"/>
  <c r="M395" i="25" s="1"/>
  <c r="F470" i="25"/>
  <c r="E483" i="25"/>
  <c r="B9379" i="1"/>
  <c r="E9379" i="1" s="1"/>
  <c r="F9379" i="1" s="1"/>
  <c r="B9399" i="1"/>
  <c r="E9399" i="1" s="1"/>
  <c r="F9399" i="1" s="1"/>
  <c r="B9409" i="1"/>
  <c r="E9409" i="1" s="1"/>
  <c r="F9409" i="1" s="1"/>
  <c r="B1566" i="1"/>
  <c r="E1566" i="1" s="1"/>
  <c r="F1566" i="1" s="1"/>
  <c r="F8480" i="1"/>
  <c r="D8505" i="1"/>
  <c r="D8515" i="1" s="1"/>
  <c r="E8515" i="1" s="1"/>
  <c r="E8495" i="1"/>
  <c r="D8494" i="1"/>
  <c r="E8484" i="1"/>
  <c r="B8490" i="1" s="1"/>
  <c r="E8490" i="1" s="1"/>
  <c r="D8556" i="1"/>
  <c r="E8546" i="1"/>
  <c r="F2765" i="1"/>
  <c r="D3006" i="1"/>
  <c r="E3006" i="1" s="1"/>
  <c r="D2957" i="1"/>
  <c r="E2942" i="1"/>
  <c r="D2887" i="1"/>
  <c r="E2887" i="1" s="1"/>
  <c r="E2814" i="1"/>
  <c r="D2894" i="1"/>
  <c r="D2862" i="1"/>
  <c r="E2862" i="1" s="1"/>
  <c r="D2880" i="1"/>
  <c r="E2880" i="1" s="1"/>
  <c r="E2806" i="1"/>
  <c r="B2808" i="1" s="1"/>
  <c r="E2808" i="1" s="1"/>
  <c r="F2808" i="1" s="1"/>
  <c r="D2856" i="1"/>
  <c r="E2856" i="1" s="1"/>
  <c r="B2858" i="1" s="1"/>
  <c r="E2858" i="1" s="1"/>
  <c r="F2858" i="1" s="1"/>
  <c r="B10104" i="1"/>
  <c r="E10104" i="1" s="1"/>
  <c r="F10104" i="1" s="1"/>
  <c r="D8373" i="1"/>
  <c r="E8373" i="1" s="1"/>
  <c r="E9358" i="1"/>
  <c r="F9358" i="1" s="1"/>
  <c r="D7228" i="1"/>
  <c r="E7228" i="1" s="1"/>
  <c r="E8353" i="1"/>
  <c r="D8375" i="1"/>
  <c r="E8375" i="1" s="1"/>
  <c r="E8364" i="1"/>
  <c r="B2786" i="1"/>
  <c r="E2786" i="1" s="1"/>
  <c r="F2786" i="1" s="1"/>
  <c r="B8008" i="1"/>
  <c r="E8008" i="1" s="1"/>
  <c r="F8008" i="1" s="1"/>
  <c r="B5186" i="1"/>
  <c r="E5186" i="1" s="1"/>
  <c r="F5186" i="1" s="1"/>
  <c r="D8366" i="1"/>
  <c r="E8355" i="1"/>
  <c r="B2821" i="1"/>
  <c r="E2821" i="1" s="1"/>
  <c r="F2821" i="1" s="1"/>
  <c r="E2772" i="1"/>
  <c r="F2772" i="1" s="1"/>
  <c r="E1776" i="1"/>
  <c r="D1790" i="1"/>
  <c r="B8139" i="1"/>
  <c r="E8139" i="1" s="1"/>
  <c r="F8139" i="1" s="1"/>
  <c r="E7225" i="1"/>
  <c r="D7230" i="1"/>
  <c r="E7230" i="1" s="1"/>
  <c r="D8360" i="1"/>
  <c r="E8349" i="1"/>
  <c r="D9280" i="1"/>
  <c r="E9271" i="1"/>
  <c r="E1552" i="1"/>
  <c r="B1554" i="1" s="1"/>
  <c r="E1554" i="1" s="1"/>
  <c r="F1554" i="1" s="1"/>
  <c r="D1570" i="1"/>
  <c r="D1558" i="1"/>
  <c r="E1558" i="1" s="1"/>
  <c r="B1560" i="1" s="1"/>
  <c r="E1560" i="1" s="1"/>
  <c r="F1560" i="1" s="1"/>
  <c r="D2892" i="1"/>
  <c r="E2812" i="1"/>
  <c r="D3548" i="1"/>
  <c r="E3548" i="1" s="1"/>
  <c r="B3555" i="1" s="1"/>
  <c r="D3561" i="1"/>
  <c r="E3561" i="1" s="1"/>
  <c r="E3540" i="1"/>
  <c r="B3545" i="1" s="1"/>
  <c r="E3545" i="1" s="1"/>
  <c r="F3545" i="1" s="1"/>
  <c r="E9578" i="1"/>
  <c r="D9587" i="1"/>
  <c r="E1173" i="1"/>
  <c r="B1177" i="1" s="1"/>
  <c r="E1177" i="1" s="1"/>
  <c r="F1177" i="1" s="1"/>
  <c r="D1212" i="1"/>
  <c r="D3749" i="1"/>
  <c r="E3749" i="1" s="1"/>
  <c r="B3753" i="1" s="1"/>
  <c r="E3753" i="1" s="1"/>
  <c r="F3753" i="1" s="1"/>
  <c r="E3742" i="1"/>
  <c r="B3745" i="1" s="1"/>
  <c r="E3745" i="1" s="1"/>
  <c r="F3745" i="1" s="1"/>
  <c r="E3687" i="1"/>
  <c r="B3692" i="1" s="1"/>
  <c r="E3692" i="1" s="1"/>
  <c r="F3692" i="1" s="1"/>
  <c r="D3695" i="1"/>
  <c r="E3695" i="1" s="1"/>
  <c r="B3700" i="1" s="1"/>
  <c r="E3700" i="1" s="1"/>
  <c r="F3700" i="1" s="1"/>
  <c r="E8671" i="1"/>
  <c r="D8680" i="1"/>
  <c r="E8023" i="1"/>
  <c r="B8028" i="1" s="1"/>
  <c r="E8028" i="1" s="1"/>
  <c r="F8028" i="1" s="1"/>
  <c r="D8192" i="1"/>
  <c r="E8192" i="1" s="1"/>
  <c r="B8197" i="1" s="1"/>
  <c r="E8197" i="1" s="1"/>
  <c r="F8197" i="1" s="1"/>
  <c r="D5199" i="1"/>
  <c r="E5190" i="1"/>
  <c r="B5196" i="1" s="1"/>
  <c r="E5196" i="1" s="1"/>
  <c r="F5196" i="1" s="1"/>
  <c r="D2885" i="1"/>
  <c r="E2885" i="1" s="1"/>
  <c r="E2834" i="1"/>
  <c r="B2837" i="1" s="1"/>
  <c r="D2840" i="1"/>
  <c r="E2840" i="1" s="1"/>
  <c r="B2844" i="1" s="1"/>
  <c r="E2844" i="1" s="1"/>
  <c r="F2844" i="1" s="1"/>
  <c r="E8162" i="1"/>
  <c r="D8170" i="1"/>
  <c r="E1285" i="1"/>
  <c r="B1290" i="1" s="1"/>
  <c r="E1290" i="1" s="1"/>
  <c r="F1290" i="1" s="1"/>
  <c r="D1297" i="1"/>
  <c r="E1297" i="1" s="1"/>
  <c r="B1302" i="1" s="1"/>
  <c r="E1302" i="1" s="1"/>
  <c r="F1302" i="1" s="1"/>
  <c r="D1273" i="1"/>
  <c r="D10114" i="1"/>
  <c r="E10107" i="1"/>
  <c r="B10112" i="1" s="1"/>
  <c r="E10112" i="1" s="1"/>
  <c r="F10112" i="1" s="1"/>
  <c r="D10090" i="1"/>
  <c r="E10090" i="1" s="1"/>
  <c r="B10095" i="1" s="1"/>
  <c r="E10095" i="1" s="1"/>
  <c r="F10095" i="1" s="1"/>
  <c r="E10076" i="1"/>
  <c r="B10083" i="1" s="1"/>
  <c r="E10083" i="1" s="1"/>
  <c r="F10083" i="1" s="1"/>
  <c r="D8678" i="1"/>
  <c r="E8669" i="1"/>
  <c r="E1082" i="1"/>
  <c r="B1086" i="1" s="1"/>
  <c r="E1086" i="1" s="1"/>
  <c r="F1086" i="1" s="1"/>
  <c r="D1123" i="1"/>
  <c r="B1266" i="1"/>
  <c r="E1266" i="1" s="1"/>
  <c r="F1266" i="1" s="1"/>
  <c r="E1438" i="1"/>
  <c r="B1443" i="1" s="1"/>
  <c r="E1443" i="1" s="1"/>
  <c r="F1443" i="1" s="1"/>
  <c r="D1426" i="1"/>
  <c r="D8383" i="1"/>
  <c r="E8383" i="1" s="1"/>
  <c r="B8390" i="1" s="1"/>
  <c r="E8390" i="1" s="1"/>
  <c r="F8390" i="1" s="1"/>
  <c r="E8200" i="1"/>
  <c r="B8206" i="1" s="1"/>
  <c r="E8206" i="1" s="1"/>
  <c r="F8206" i="1" s="1"/>
  <c r="D9595" i="1"/>
  <c r="E9586" i="1"/>
  <c r="E9565" i="1"/>
  <c r="D9574" i="1"/>
  <c r="E9539" i="1"/>
  <c r="B9543" i="1" s="1"/>
  <c r="E9543" i="1" s="1"/>
  <c r="F9543" i="1" s="1"/>
  <c r="D9548" i="1"/>
  <c r="E8143" i="1"/>
  <c r="D8151" i="1"/>
  <c r="E8144" i="1"/>
  <c r="D8152" i="1"/>
  <c r="E8145" i="1"/>
  <c r="D8153" i="1"/>
  <c r="E9364" i="1"/>
  <c r="B9369" i="1" s="1"/>
  <c r="E9369" i="1" s="1"/>
  <c r="D9423" i="1"/>
  <c r="D9432" i="1" s="1"/>
  <c r="E9432" i="1" s="1"/>
  <c r="B9436" i="1" s="1"/>
  <c r="E9436" i="1" s="1"/>
  <c r="F9436" i="1" s="1"/>
  <c r="D8640" i="1"/>
  <c r="E8631" i="1"/>
  <c r="D8632" i="1"/>
  <c r="E8623" i="1"/>
  <c r="B8627" i="1" s="1"/>
  <c r="E8627" i="1" s="1"/>
  <c r="F8627" i="1" s="1"/>
  <c r="E9204" i="1"/>
  <c r="D9213" i="1"/>
  <c r="B9182" i="1"/>
  <c r="E9182" i="1" s="1"/>
  <c r="F9182" i="1" s="1"/>
  <c r="D9196" i="1"/>
  <c r="E9187" i="1"/>
  <c r="E919" i="1"/>
  <c r="D929" i="1"/>
  <c r="D2506" i="1"/>
  <c r="D2519" i="1" s="1"/>
  <c r="D2558" i="1" s="1"/>
  <c r="D2571" i="1" s="1"/>
  <c r="D2532" i="1"/>
  <c r="D2545" i="1" s="1"/>
  <c r="D7925" i="1"/>
  <c r="E7923" i="1"/>
  <c r="D776" i="1"/>
  <c r="E766" i="1"/>
  <c r="B225" i="1"/>
  <c r="E225" i="1" s="1"/>
  <c r="F225" i="1" s="1"/>
  <c r="D13" i="12" s="1"/>
  <c r="E5083" i="1"/>
  <c r="D5093" i="1"/>
  <c r="E5093" i="1" s="1"/>
  <c r="D2540" i="1"/>
  <c r="E2540" i="1" s="1"/>
  <c r="E2527" i="1"/>
  <c r="E236" i="1"/>
  <c r="D247" i="1"/>
  <c r="B6136" i="1"/>
  <c r="E6136" i="1" s="1"/>
  <c r="F6136" i="1" s="1"/>
  <c r="E6704" i="1"/>
  <c r="B6710" i="1" s="1"/>
  <c r="E6710" i="1" s="1"/>
  <c r="F6710" i="1" s="1"/>
  <c r="D6715" i="1"/>
  <c r="D3511" i="1"/>
  <c r="E3511" i="1" s="1"/>
  <c r="E3486" i="1"/>
  <c r="D5033" i="1"/>
  <c r="E5021" i="1"/>
  <c r="B6129" i="1"/>
  <c r="E6129" i="1" s="1"/>
  <c r="F6129" i="1" s="1"/>
  <c r="B5002" i="1"/>
  <c r="E5002" i="1" s="1"/>
  <c r="F5002" i="1" s="1"/>
  <c r="E2654" i="1"/>
  <c r="D2667" i="1"/>
  <c r="D2693" i="1"/>
  <c r="E7239" i="1"/>
  <c r="D7242" i="1"/>
  <c r="E7242" i="1" s="1"/>
  <c r="D7249" i="1"/>
  <c r="E3444" i="1"/>
  <c r="D3451" i="1"/>
  <c r="B3438" i="1"/>
  <c r="E3438" i="1" s="1"/>
  <c r="F3438" i="1" s="1"/>
  <c r="E820" i="1"/>
  <c r="D830" i="1"/>
  <c r="E830" i="1" s="1"/>
  <c r="E3421" i="1"/>
  <c r="D3428" i="1"/>
  <c r="E3428" i="1" s="1"/>
  <c r="D3519" i="1"/>
  <c r="E3519" i="1" s="1"/>
  <c r="E3501" i="1"/>
  <c r="B6699" i="1"/>
  <c r="E6699" i="1" s="1"/>
  <c r="F6699" i="1" s="1"/>
  <c r="D3456" i="1"/>
  <c r="E3449" i="1"/>
  <c r="E910" i="1"/>
  <c r="D920" i="1"/>
  <c r="D5114" i="1"/>
  <c r="E5104" i="1"/>
  <c r="E2501" i="1"/>
  <c r="D2514" i="1"/>
  <c r="E6604" i="1"/>
  <c r="D6615" i="1"/>
  <c r="D3336" i="1"/>
  <c r="E3329" i="1"/>
  <c r="B4574" i="1"/>
  <c r="E4574" i="1" s="1"/>
  <c r="F4574" i="1" s="1"/>
  <c r="E6047" i="1"/>
  <c r="D6053" i="1"/>
  <c r="B6599" i="1"/>
  <c r="E6599" i="1" s="1"/>
  <c r="F6599" i="1" s="1"/>
  <c r="E10115" i="1"/>
  <c r="D10123" i="1"/>
  <c r="B6043" i="1"/>
  <c r="E6043" i="1" s="1"/>
  <c r="F6043" i="1" s="1"/>
  <c r="D1830" i="1"/>
  <c r="E1750" i="1"/>
  <c r="D4589" i="1"/>
  <c r="E4579" i="1"/>
  <c r="E7768" i="1"/>
  <c r="D7771" i="1"/>
  <c r="D7773" i="1"/>
  <c r="E7773" i="1" s="1"/>
  <c r="E7580" i="1"/>
  <c r="F7584" i="1" s="1"/>
  <c r="D7588" i="1"/>
  <c r="E3300" i="1"/>
  <c r="D3307" i="1"/>
  <c r="E3307" i="1" s="1"/>
  <c r="E4360" i="1"/>
  <c r="D4388" i="1"/>
  <c r="D777" i="1"/>
  <c r="E767" i="1"/>
  <c r="E4783" i="1"/>
  <c r="D4795" i="1"/>
  <c r="B4313" i="1"/>
  <c r="E4313" i="1" s="1"/>
  <c r="F4313" i="1" s="1"/>
  <c r="E2023" i="1"/>
  <c r="D2036" i="1"/>
  <c r="E2036" i="1" s="1"/>
  <c r="B6588" i="1"/>
  <c r="E6588" i="1" s="1"/>
  <c r="F6588" i="1" s="1"/>
  <c r="D2063" i="1"/>
  <c r="E2049" i="1"/>
  <c r="D4887" i="1"/>
  <c r="E4875" i="1"/>
  <c r="D4625" i="1"/>
  <c r="E4614" i="1"/>
  <c r="D2873" i="1"/>
  <c r="E2861" i="1"/>
  <c r="B4778" i="1"/>
  <c r="E4778" i="1" s="1"/>
  <c r="F4778" i="1" s="1"/>
  <c r="S264" i="25" l="1"/>
  <c r="T264" i="25" s="1"/>
  <c r="Q269" i="25" s="1"/>
  <c r="T269" i="25" s="1"/>
  <c r="T271" i="25" s="1"/>
  <c r="S249" i="25"/>
  <c r="T249" i="25" s="1"/>
  <c r="Q254" i="25" s="1"/>
  <c r="T254" i="25" s="1"/>
  <c r="T256" i="25" s="1"/>
  <c r="T236" i="25"/>
  <c r="Q241" i="25" s="1"/>
  <c r="T241" i="25" s="1"/>
  <c r="T243" i="25" s="1"/>
  <c r="E1790" i="1"/>
  <c r="D2117" i="1"/>
  <c r="L414" i="25"/>
  <c r="M401" i="25"/>
  <c r="J405" i="25" s="1"/>
  <c r="M405" i="25" s="1"/>
  <c r="M408" i="25" s="1"/>
  <c r="E428" i="25"/>
  <c r="F414" i="25"/>
  <c r="C418" i="25" s="1"/>
  <c r="F418" i="25" s="1"/>
  <c r="F421" i="25" s="1"/>
  <c r="L427" i="25"/>
  <c r="M427" i="25" s="1"/>
  <c r="M413" i="25"/>
  <c r="E331" i="25"/>
  <c r="F331" i="25" s="1"/>
  <c r="F318" i="25"/>
  <c r="E440" i="25"/>
  <c r="F427" i="25"/>
  <c r="F483" i="25"/>
  <c r="E496" i="25"/>
  <c r="F496" i="25" s="1"/>
  <c r="M360" i="25"/>
  <c r="L374" i="25"/>
  <c r="M374" i="25" s="1"/>
  <c r="M194" i="25"/>
  <c r="J198" i="25" s="1"/>
  <c r="M198" i="25" s="1"/>
  <c r="M199" i="25" s="1"/>
  <c r="L204" i="25"/>
  <c r="E346" i="25"/>
  <c r="E250" i="25"/>
  <c r="F250" i="25" s="1"/>
  <c r="C255" i="25" s="1"/>
  <c r="F255" i="25" s="1"/>
  <c r="F257" i="25" s="1"/>
  <c r="F293" i="25"/>
  <c r="F408" i="25"/>
  <c r="L585" i="25"/>
  <c r="M572" i="25"/>
  <c r="E226" i="25"/>
  <c r="F226" i="25" s="1"/>
  <c r="F215" i="25"/>
  <c r="L264" i="25"/>
  <c r="M264" i="25" s="1"/>
  <c r="J269" i="25" s="1"/>
  <c r="M269" i="25" s="1"/>
  <c r="M271" i="25" s="1"/>
  <c r="L249" i="25"/>
  <c r="M236" i="25"/>
  <c r="E227" i="25"/>
  <c r="F227" i="25" s="1"/>
  <c r="F216" i="25"/>
  <c r="F585" i="25"/>
  <c r="E598" i="25"/>
  <c r="F598" i="25" s="1"/>
  <c r="M470" i="25"/>
  <c r="L483" i="25"/>
  <c r="F637" i="25"/>
  <c r="E650" i="25"/>
  <c r="F650" i="25" s="1"/>
  <c r="E940" i="25"/>
  <c r="F940" i="25" s="1"/>
  <c r="M940" i="25"/>
  <c r="J944" i="25" s="1"/>
  <c r="M944" i="25" s="1"/>
  <c r="M947" i="25" s="1"/>
  <c r="D8504" i="1"/>
  <c r="D8514" i="1" s="1"/>
  <c r="E8514" i="1" s="1"/>
  <c r="E8494" i="1"/>
  <c r="F8490" i="1"/>
  <c r="D8566" i="1"/>
  <c r="E8556" i="1"/>
  <c r="D8525" i="1"/>
  <c r="E8505" i="1"/>
  <c r="B2816" i="1"/>
  <c r="E2816" i="1" s="1"/>
  <c r="F2816" i="1" s="1"/>
  <c r="E2894" i="1"/>
  <c r="D2901" i="1"/>
  <c r="E2901" i="1" s="1"/>
  <c r="D3024" i="1"/>
  <c r="E3024" i="1" s="1"/>
  <c r="D3031" i="1"/>
  <c r="E3031" i="1" s="1"/>
  <c r="E2957" i="1"/>
  <c r="D8352" i="1"/>
  <c r="D8377" i="1"/>
  <c r="E8377" i="1" s="1"/>
  <c r="E8366" i="1"/>
  <c r="B3567" i="1"/>
  <c r="E3567" i="1" s="1"/>
  <c r="E2837" i="1"/>
  <c r="F2837" i="1" s="1"/>
  <c r="F7233" i="1"/>
  <c r="E1426" i="1"/>
  <c r="B1431" i="1" s="1"/>
  <c r="E1431" i="1" s="1"/>
  <c r="F1431" i="1" s="1"/>
  <c r="D1502" i="1"/>
  <c r="E1212" i="1"/>
  <c r="B1216" i="1" s="1"/>
  <c r="E1216" i="1" s="1"/>
  <c r="F1216" i="1" s="1"/>
  <c r="D1195" i="1"/>
  <c r="D2899" i="1"/>
  <c r="E2899" i="1" s="1"/>
  <c r="E2892" i="1"/>
  <c r="D9604" i="1"/>
  <c r="E9595" i="1"/>
  <c r="D8687" i="1"/>
  <c r="E8678" i="1"/>
  <c r="E10114" i="1"/>
  <c r="B10119" i="1" s="1"/>
  <c r="E10119" i="1" s="1"/>
  <c r="F10119" i="1" s="1"/>
  <c r="D10122" i="1"/>
  <c r="E10122" i="1" s="1"/>
  <c r="E8170" i="1"/>
  <c r="D8178" i="1"/>
  <c r="E9280" i="1"/>
  <c r="D9289" i="1"/>
  <c r="E1123" i="1"/>
  <c r="B1127" i="1" s="1"/>
  <c r="E1127" i="1" s="1"/>
  <c r="F1127" i="1" s="1"/>
  <c r="D1162" i="1"/>
  <c r="E1273" i="1"/>
  <c r="B1278" i="1" s="1"/>
  <c r="E1278" i="1" s="1"/>
  <c r="F1278" i="1" s="1"/>
  <c r="D1312" i="1"/>
  <c r="D8689" i="1"/>
  <c r="E8680" i="1"/>
  <c r="E9587" i="1"/>
  <c r="D9596" i="1"/>
  <c r="D1576" i="1"/>
  <c r="E1576" i="1" s="1"/>
  <c r="B1578" i="1" s="1"/>
  <c r="E1578" i="1" s="1"/>
  <c r="F1578" i="1" s="1"/>
  <c r="E1570" i="1"/>
  <c r="B1572" i="1" s="1"/>
  <c r="E1572" i="1" s="1"/>
  <c r="F1572" i="1" s="1"/>
  <c r="D5210" i="1"/>
  <c r="E5199" i="1"/>
  <c r="B5204" i="1" s="1"/>
  <c r="E5204" i="1" s="1"/>
  <c r="F5204" i="1" s="1"/>
  <c r="D8371" i="1"/>
  <c r="E8371" i="1" s="1"/>
  <c r="E8360" i="1"/>
  <c r="E8152" i="1"/>
  <c r="D8160" i="1"/>
  <c r="E8153" i="1"/>
  <c r="D8161" i="1"/>
  <c r="E8151" i="1"/>
  <c r="D8159" i="1"/>
  <c r="E9574" i="1"/>
  <c r="D9583" i="1"/>
  <c r="D9557" i="1"/>
  <c r="E9548" i="1"/>
  <c r="B9552" i="1" s="1"/>
  <c r="E9552" i="1" s="1"/>
  <c r="F9552" i="1" s="1"/>
  <c r="B8147" i="1"/>
  <c r="E8147" i="1" s="1"/>
  <c r="F8147" i="1" s="1"/>
  <c r="F9369" i="1"/>
  <c r="E9213" i="1"/>
  <c r="E9423" i="1"/>
  <c r="D9441" i="1"/>
  <c r="D8641" i="1"/>
  <c r="E8632" i="1"/>
  <c r="E8640" i="1"/>
  <c r="D8649" i="1"/>
  <c r="E9196" i="1"/>
  <c r="B9200" i="1" s="1"/>
  <c r="E9200" i="1" s="1"/>
  <c r="F9200" i="1" s="1"/>
  <c r="D9205" i="1"/>
  <c r="B9191" i="1"/>
  <c r="E9191" i="1" s="1"/>
  <c r="F9191" i="1" s="1"/>
  <c r="D2595" i="1"/>
  <c r="D2580" i="1"/>
  <c r="D7937" i="1"/>
  <c r="D7934" i="1"/>
  <c r="E7934" i="1" s="1"/>
  <c r="E7925" i="1"/>
  <c r="F7928" i="1" s="1"/>
  <c r="D939" i="1"/>
  <c r="E929" i="1"/>
  <c r="D787" i="1"/>
  <c r="E776" i="1"/>
  <c r="E3456" i="1"/>
  <c r="D3463" i="1"/>
  <c r="E3463" i="1" s="1"/>
  <c r="E3451" i="1"/>
  <c r="D3458" i="1"/>
  <c r="E3458" i="1" s="1"/>
  <c r="E6715" i="1"/>
  <c r="D6730" i="1"/>
  <c r="D2553" i="1"/>
  <c r="E2514" i="1"/>
  <c r="E7249" i="1"/>
  <c r="D7252" i="1"/>
  <c r="D7261" i="1"/>
  <c r="E920" i="1"/>
  <c r="D930" i="1"/>
  <c r="D2705" i="1"/>
  <c r="E2705" i="1" s="1"/>
  <c r="E2693" i="1"/>
  <c r="E5033" i="1"/>
  <c r="B5040" i="1" s="1"/>
  <c r="E5040" i="1" s="1"/>
  <c r="F5040" i="1" s="1"/>
  <c r="D5045" i="1"/>
  <c r="B242" i="1"/>
  <c r="E242" i="1" s="1"/>
  <c r="F242" i="1" s="1"/>
  <c r="D14" i="12" s="1"/>
  <c r="D5125" i="1"/>
  <c r="E5114" i="1"/>
  <c r="F7245" i="1"/>
  <c r="B5028" i="1"/>
  <c r="E5028" i="1" s="1"/>
  <c r="F5028" i="1" s="1"/>
  <c r="E247" i="1"/>
  <c r="D258" i="1"/>
  <c r="E2667" i="1"/>
  <c r="D2680" i="1"/>
  <c r="D2879" i="1"/>
  <c r="E2873" i="1"/>
  <c r="B6049" i="1"/>
  <c r="E6049" i="1" s="1"/>
  <c r="F6049" i="1" s="1"/>
  <c r="E4795" i="1"/>
  <c r="D4809" i="1"/>
  <c r="E4625" i="1"/>
  <c r="D4637" i="1"/>
  <c r="B4790" i="1"/>
  <c r="E4790" i="1" s="1"/>
  <c r="F4790" i="1" s="1"/>
  <c r="E6615" i="1"/>
  <c r="D6630" i="1"/>
  <c r="D2130" i="1"/>
  <c r="E2130" i="1" s="1"/>
  <c r="E2063" i="1"/>
  <c r="D7782" i="1"/>
  <c r="E7771" i="1"/>
  <c r="F7776" i="1" s="1"/>
  <c r="E1830" i="1"/>
  <c r="D1803" i="1"/>
  <c r="B6610" i="1"/>
  <c r="E6610" i="1" s="1"/>
  <c r="F6610" i="1" s="1"/>
  <c r="B4584" i="1"/>
  <c r="E4584" i="1" s="1"/>
  <c r="F4584" i="1" s="1"/>
  <c r="E10123" i="1"/>
  <c r="D10139" i="1"/>
  <c r="D3343" i="1"/>
  <c r="E3336" i="1"/>
  <c r="B4365" i="1"/>
  <c r="E4365" i="1" s="1"/>
  <c r="F4365" i="1" s="1"/>
  <c r="D4600" i="1"/>
  <c r="E4589" i="1"/>
  <c r="D4896" i="1"/>
  <c r="E4887" i="1"/>
  <c r="D7591" i="1"/>
  <c r="E7588" i="1"/>
  <c r="E4388" i="1"/>
  <c r="D4411" i="1"/>
  <c r="D4397" i="1"/>
  <c r="E4397" i="1" s="1"/>
  <c r="B2864" i="1"/>
  <c r="E2864" i="1" s="1"/>
  <c r="F2864" i="1" s="1"/>
  <c r="E777" i="1"/>
  <c r="D788" i="1"/>
  <c r="E6053" i="1"/>
  <c r="D6102" i="1"/>
  <c r="D6122" i="1" s="1"/>
  <c r="E6122" i="1" s="1"/>
  <c r="B6124" i="1" s="1"/>
  <c r="E6124" i="1" s="1"/>
  <c r="F6124" i="1" s="1"/>
  <c r="E2117" i="1" l="1"/>
  <c r="D2382" i="1"/>
  <c r="E2382" i="1" s="1"/>
  <c r="M483" i="25"/>
  <c r="L496" i="25"/>
  <c r="E204" i="25"/>
  <c r="M204" i="25"/>
  <c r="J208" i="25" s="1"/>
  <c r="M208" i="25" s="1"/>
  <c r="M209" i="25" s="1"/>
  <c r="C298" i="25"/>
  <c r="F298" i="25" s="1"/>
  <c r="F300" i="25" s="1"/>
  <c r="E441" i="25"/>
  <c r="F428" i="25"/>
  <c r="C432" i="25" s="1"/>
  <c r="F432" i="25" s="1"/>
  <c r="F435" i="25" s="1"/>
  <c r="J241" i="25"/>
  <c r="M241" i="25" s="1"/>
  <c r="M243" i="25" s="1"/>
  <c r="L598" i="25"/>
  <c r="M585" i="25"/>
  <c r="L277" i="25"/>
  <c r="M277" i="25" s="1"/>
  <c r="J282" i="25" s="1"/>
  <c r="M282" i="25" s="1"/>
  <c r="M284" i="25" s="1"/>
  <c r="M249" i="25"/>
  <c r="J254" i="25" s="1"/>
  <c r="M254" i="25" s="1"/>
  <c r="M256" i="25" s="1"/>
  <c r="E263" i="25"/>
  <c r="L293" i="25"/>
  <c r="E359" i="25"/>
  <c r="F359" i="25" s="1"/>
  <c r="C364" i="25" s="1"/>
  <c r="F364" i="25" s="1"/>
  <c r="F366" i="25" s="1"/>
  <c r="F346" i="25"/>
  <c r="C351" i="25" s="1"/>
  <c r="F351" i="25" s="1"/>
  <c r="F353" i="25" s="1"/>
  <c r="E453" i="25"/>
  <c r="L440" i="25"/>
  <c r="F440" i="25"/>
  <c r="L428" i="25"/>
  <c r="M428" i="25" s="1"/>
  <c r="M414" i="25"/>
  <c r="J418" i="25" s="1"/>
  <c r="M418" i="25" s="1"/>
  <c r="M421" i="25" s="1"/>
  <c r="B8520" i="1"/>
  <c r="E8520" i="1" s="1"/>
  <c r="F8520" i="1" s="1"/>
  <c r="D8535" i="1"/>
  <c r="E8525" i="1"/>
  <c r="B8500" i="1"/>
  <c r="E8500" i="1" s="1"/>
  <c r="F8500" i="1" s="1"/>
  <c r="D8576" i="1"/>
  <c r="E8566" i="1"/>
  <c r="D8524" i="1"/>
  <c r="E8504" i="1"/>
  <c r="B8636" i="1"/>
  <c r="E8636" i="1" s="1"/>
  <c r="F8636" i="1" s="1"/>
  <c r="B9427" i="1"/>
  <c r="E9427" i="1" s="1"/>
  <c r="F9427" i="1" s="1"/>
  <c r="D3553" i="1"/>
  <c r="D3565" i="1" s="1"/>
  <c r="E3565" i="1" s="1"/>
  <c r="F3567" i="1" s="1"/>
  <c r="D7989" i="1"/>
  <c r="E7989" i="1" s="1"/>
  <c r="F7991" i="1" s="1"/>
  <c r="D8363" i="1"/>
  <c r="E8352" i="1"/>
  <c r="B8155" i="1"/>
  <c r="E8155" i="1" s="1"/>
  <c r="F8155" i="1" s="1"/>
  <c r="E1803" i="1"/>
  <c r="D1817" i="1"/>
  <c r="E1817" i="1" s="1"/>
  <c r="D1134" i="1"/>
  <c r="E1162" i="1"/>
  <c r="B1166" i="1" s="1"/>
  <c r="E1166" i="1" s="1"/>
  <c r="F1166" i="1" s="1"/>
  <c r="D8186" i="1"/>
  <c r="E8186" i="1" s="1"/>
  <c r="E8178" i="1"/>
  <c r="D1245" i="1"/>
  <c r="E1195" i="1"/>
  <c r="B1199" i="1" s="1"/>
  <c r="E1199" i="1" s="1"/>
  <c r="F1199" i="1" s="1"/>
  <c r="E8689" i="1"/>
  <c r="D8698" i="1"/>
  <c r="D8696" i="1"/>
  <c r="E8687" i="1"/>
  <c r="D9613" i="1"/>
  <c r="E9604" i="1"/>
  <c r="D9605" i="1"/>
  <c r="E9596" i="1"/>
  <c r="E1312" i="1"/>
  <c r="B1317" i="1" s="1"/>
  <c r="E1317" i="1" s="1"/>
  <c r="F1317" i="1" s="1"/>
  <c r="D1375" i="1"/>
  <c r="E9289" i="1"/>
  <c r="D9298" i="1"/>
  <c r="E1502" i="1"/>
  <c r="B1507" i="1" s="1"/>
  <c r="E1507" i="1" s="1"/>
  <c r="F1507" i="1" s="1"/>
  <c r="D1452" i="1"/>
  <c r="D1478" i="1"/>
  <c r="D1515" i="1"/>
  <c r="E1515" i="1" s="1"/>
  <c r="B1520" i="1" s="1"/>
  <c r="E1520" i="1" s="1"/>
  <c r="F1520" i="1" s="1"/>
  <c r="D5220" i="1"/>
  <c r="E5220" i="1" s="1"/>
  <c r="B5228" i="1" s="1"/>
  <c r="E5228" i="1" s="1"/>
  <c r="F5228" i="1" s="1"/>
  <c r="E5210" i="1"/>
  <c r="B5216" i="1" s="1"/>
  <c r="E5216" i="1" s="1"/>
  <c r="F5216" i="1" s="1"/>
  <c r="E8161" i="1"/>
  <c r="D8169" i="1"/>
  <c r="E8159" i="1"/>
  <c r="D8167" i="1"/>
  <c r="E8160" i="1"/>
  <c r="D8168" i="1"/>
  <c r="D9592" i="1"/>
  <c r="E9583" i="1"/>
  <c r="E9557" i="1"/>
  <c r="B9561" i="1" s="1"/>
  <c r="E9561" i="1" s="1"/>
  <c r="F9561" i="1" s="1"/>
  <c r="D9566" i="1"/>
  <c r="D9231" i="1"/>
  <c r="D9240" i="1" s="1"/>
  <c r="D9249" i="1" s="1"/>
  <c r="D9258" i="1" s="1"/>
  <c r="E9222" i="1"/>
  <c r="D9450" i="1"/>
  <c r="E9441" i="1"/>
  <c r="E8649" i="1"/>
  <c r="D8658" i="1"/>
  <c r="D8650" i="1"/>
  <c r="E8641" i="1"/>
  <c r="B8645" i="1" s="1"/>
  <c r="D9214" i="1"/>
  <c r="E9205" i="1"/>
  <c r="B9209" i="1" s="1"/>
  <c r="E9209" i="1" s="1"/>
  <c r="F9209" i="1" s="1"/>
  <c r="D949" i="1"/>
  <c r="E939" i="1"/>
  <c r="E7937" i="1"/>
  <c r="F7940" i="1" s="1"/>
  <c r="D7944" i="1"/>
  <c r="D2621" i="1"/>
  <c r="D2608" i="1"/>
  <c r="D797" i="1"/>
  <c r="E787" i="1"/>
  <c r="D1669" i="1"/>
  <c r="D3881" i="1"/>
  <c r="D1696" i="1"/>
  <c r="E1696" i="1" s="1"/>
  <c r="D5264" i="1"/>
  <c r="D1593" i="1"/>
  <c r="E1593" i="1" s="1"/>
  <c r="D1641" i="1"/>
  <c r="D1606" i="1"/>
  <c r="E1606" i="1" s="1"/>
  <c r="B1612" i="1" s="1"/>
  <c r="E1612" i="1" s="1"/>
  <c r="F1612" i="1" s="1"/>
  <c r="D5312" i="1"/>
  <c r="E5312" i="1" s="1"/>
  <c r="B5322" i="1" s="1"/>
  <c r="E5322" i="1" s="1"/>
  <c r="F5322" i="1" s="1"/>
  <c r="D1842" i="1"/>
  <c r="E1842" i="1" s="1"/>
  <c r="B1848" i="1" s="1"/>
  <c r="D1802" i="1"/>
  <c r="D4023" i="1"/>
  <c r="E4023" i="1" s="1"/>
  <c r="B4028" i="1" s="1"/>
  <c r="E4028" i="1" s="1"/>
  <c r="F4028" i="1" s="1"/>
  <c r="D1619" i="1"/>
  <c r="E1619" i="1" s="1"/>
  <c r="B1625" i="1" s="1"/>
  <c r="E1625" i="1" s="1"/>
  <c r="F1625" i="1" s="1"/>
  <c r="D1762" i="1"/>
  <c r="D1829" i="1"/>
  <c r="E1829" i="1" s="1"/>
  <c r="B1835" i="1" s="1"/>
  <c r="E1835" i="1" s="1"/>
  <c r="F1835" i="1" s="1"/>
  <c r="D1736" i="1"/>
  <c r="D1709" i="1"/>
  <c r="D4036" i="1"/>
  <c r="E4036" i="1" s="1"/>
  <c r="D269" i="1"/>
  <c r="E258" i="1"/>
  <c r="B253" i="1"/>
  <c r="E253" i="1" s="1"/>
  <c r="F253" i="1" s="1"/>
  <c r="D15" i="12" s="1"/>
  <c r="D5059" i="1"/>
  <c r="E5045" i="1"/>
  <c r="D2566" i="1"/>
  <c r="E2553" i="1"/>
  <c r="E6730" i="1"/>
  <c r="B6736" i="1" s="1"/>
  <c r="E6736" i="1" s="1"/>
  <c r="F6736" i="1" s="1"/>
  <c r="D6741" i="1"/>
  <c r="E6741" i="1" s="1"/>
  <c r="E7261" i="1"/>
  <c r="D7265" i="1"/>
  <c r="D940" i="1"/>
  <c r="E930" i="1"/>
  <c r="D2718" i="1"/>
  <c r="E2718" i="1" s="1"/>
  <c r="E2680" i="1"/>
  <c r="E5125" i="1"/>
  <c r="D5137" i="1"/>
  <c r="B3465" i="1"/>
  <c r="E3465" i="1" s="1"/>
  <c r="F3465" i="1" s="1"/>
  <c r="B6721" i="1"/>
  <c r="E6721" i="1" s="1"/>
  <c r="F6721" i="1" s="1"/>
  <c r="D7254" i="1"/>
  <c r="E7254" i="1" s="1"/>
  <c r="E7252" i="1"/>
  <c r="D7785" i="1"/>
  <c r="E7782" i="1"/>
  <c r="D4910" i="1"/>
  <c r="E4896" i="1"/>
  <c r="E4637" i="1"/>
  <c r="D4646" i="1"/>
  <c r="B4399" i="1"/>
  <c r="E4399" i="1" s="1"/>
  <c r="F4399" i="1" s="1"/>
  <c r="E3343" i="1"/>
  <c r="D3354" i="1"/>
  <c r="E3354" i="1" s="1"/>
  <c r="D3360" i="1"/>
  <c r="B2134" i="1"/>
  <c r="E2134" i="1" s="1"/>
  <c r="F2134" i="1" s="1"/>
  <c r="B4890" i="1"/>
  <c r="E4890" i="1" s="1"/>
  <c r="F4890" i="1" s="1"/>
  <c r="E4411" i="1"/>
  <c r="D4420" i="1"/>
  <c r="E4420" i="1" s="1"/>
  <c r="B4594" i="1"/>
  <c r="E4594" i="1" s="1"/>
  <c r="F4594" i="1" s="1"/>
  <c r="B4390" i="1"/>
  <c r="E4390" i="1" s="1"/>
  <c r="F4390" i="1" s="1"/>
  <c r="D7593" i="1"/>
  <c r="E7593" i="1" s="1"/>
  <c r="E7591" i="1"/>
  <c r="D7602" i="1"/>
  <c r="E4600" i="1"/>
  <c r="D4610" i="1"/>
  <c r="E4809" i="1"/>
  <c r="D4819" i="1"/>
  <c r="B2875" i="1"/>
  <c r="E2875" i="1" s="1"/>
  <c r="F2875" i="1" s="1"/>
  <c r="E6630" i="1"/>
  <c r="D6641" i="1"/>
  <c r="E6641" i="1" s="1"/>
  <c r="B4802" i="1"/>
  <c r="E4802" i="1" s="1"/>
  <c r="F4802" i="1" s="1"/>
  <c r="D6108" i="1"/>
  <c r="E6102" i="1"/>
  <c r="B6621" i="1"/>
  <c r="E6621" i="1" s="1"/>
  <c r="F6621" i="1" s="1"/>
  <c r="D2886" i="1"/>
  <c r="E2879" i="1"/>
  <c r="E10139" i="1"/>
  <c r="D10141" i="1"/>
  <c r="E10141" i="1" s="1"/>
  <c r="D10140" i="1"/>
  <c r="E10140" i="1" s="1"/>
  <c r="D10161" i="1"/>
  <c r="B6055" i="1"/>
  <c r="E6055" i="1" s="1"/>
  <c r="F6055" i="1" s="1"/>
  <c r="D798" i="1"/>
  <c r="E788" i="1"/>
  <c r="B10127" i="1"/>
  <c r="E10127" i="1" s="1"/>
  <c r="F10127" i="1" s="1"/>
  <c r="E1669" i="1" l="1"/>
  <c r="B1675" i="1" s="1"/>
  <c r="E1675" i="1" s="1"/>
  <c r="F1675" i="1" s="1"/>
  <c r="D2075" i="1"/>
  <c r="L453" i="25"/>
  <c r="M440" i="25"/>
  <c r="E214" i="25"/>
  <c r="E194" i="25"/>
  <c r="F194" i="25" s="1"/>
  <c r="C198" i="25" s="1"/>
  <c r="F198" i="25" s="1"/>
  <c r="F199" i="25" s="1"/>
  <c r="F204" i="25"/>
  <c r="C208" i="25" s="1"/>
  <c r="F208" i="25" s="1"/>
  <c r="F209" i="25" s="1"/>
  <c r="E9298" i="1"/>
  <c r="E509" i="25"/>
  <c r="J432" i="25"/>
  <c r="M432" i="25" s="1"/>
  <c r="M435" i="25" s="1"/>
  <c r="E466" i="25"/>
  <c r="F453" i="25"/>
  <c r="L306" i="25"/>
  <c r="M293" i="25"/>
  <c r="L613" i="25"/>
  <c r="M598" i="25"/>
  <c r="M496" i="25"/>
  <c r="L509" i="25"/>
  <c r="E306" i="25"/>
  <c r="F263" i="25"/>
  <c r="C268" i="25" s="1"/>
  <c r="F268" i="25" s="1"/>
  <c r="F270" i="25" s="1"/>
  <c r="E454" i="25"/>
  <c r="L441" i="25"/>
  <c r="M441" i="25" s="1"/>
  <c r="F441" i="25"/>
  <c r="C445" i="25" s="1"/>
  <c r="F445" i="25" s="1"/>
  <c r="F448" i="25" s="1"/>
  <c r="E1641" i="1"/>
  <c r="B1647" i="1" s="1"/>
  <c r="E1647" i="1" s="1"/>
  <c r="F1647" i="1" s="1"/>
  <c r="D1655" i="1"/>
  <c r="D1683" i="1" s="1"/>
  <c r="B8510" i="1"/>
  <c r="E8510" i="1" s="1"/>
  <c r="F8510" i="1" s="1"/>
  <c r="D8534" i="1"/>
  <c r="E8524" i="1"/>
  <c r="D8586" i="1"/>
  <c r="E8576" i="1"/>
  <c r="D8545" i="1"/>
  <c r="E8535" i="1"/>
  <c r="E3553" i="1"/>
  <c r="E3555" i="1" s="1"/>
  <c r="F3555" i="1" s="1"/>
  <c r="B9445" i="1"/>
  <c r="E9445" i="1" s="1"/>
  <c r="F9445" i="1" s="1"/>
  <c r="E8363" i="1"/>
  <c r="D8374" i="1"/>
  <c r="E8374" i="1" s="1"/>
  <c r="E1802" i="1"/>
  <c r="B1808" i="1" s="1"/>
  <c r="E1808" i="1" s="1"/>
  <c r="F1808" i="1" s="1"/>
  <c r="D1816" i="1"/>
  <c r="E1816" i="1" s="1"/>
  <c r="B1822" i="1" s="1"/>
  <c r="E1822" i="1" s="1"/>
  <c r="F1822" i="1" s="1"/>
  <c r="E1709" i="1"/>
  <c r="B1715" i="1" s="1"/>
  <c r="E1715" i="1" s="1"/>
  <c r="F1715" i="1" s="1"/>
  <c r="D1723" i="1"/>
  <c r="E1723" i="1" s="1"/>
  <c r="B1729" i="1" s="1"/>
  <c r="E1729" i="1" s="1"/>
  <c r="F1729" i="1" s="1"/>
  <c r="E1478" i="1"/>
  <c r="B1483" i="1" s="1"/>
  <c r="D1490" i="1"/>
  <c r="E1490" i="1" s="1"/>
  <c r="B1495" i="1" s="1"/>
  <c r="E1495" i="1" s="1"/>
  <c r="F1495" i="1" s="1"/>
  <c r="E1452" i="1"/>
  <c r="B1457" i="1" s="1"/>
  <c r="E1457" i="1" s="1"/>
  <c r="F1457" i="1" s="1"/>
  <c r="D1465" i="1"/>
  <c r="E1465" i="1" s="1"/>
  <c r="B1470" i="1" s="1"/>
  <c r="E1470" i="1" s="1"/>
  <c r="F1470" i="1" s="1"/>
  <c r="E1375" i="1"/>
  <c r="B1380" i="1" s="1"/>
  <c r="E1380" i="1" s="1"/>
  <c r="F1380" i="1" s="1"/>
  <c r="D1324" i="1"/>
  <c r="D1337" i="1" s="1"/>
  <c r="D8707" i="1"/>
  <c r="E8698" i="1"/>
  <c r="D9622" i="1"/>
  <c r="E9613" i="1"/>
  <c r="D9614" i="1"/>
  <c r="E9605" i="1"/>
  <c r="D8705" i="1"/>
  <c r="E8696" i="1"/>
  <c r="E1245" i="1"/>
  <c r="B1249" i="1" s="1"/>
  <c r="E1249" i="1" s="1"/>
  <c r="F1249" i="1" s="1"/>
  <c r="D8350" i="1" s="1"/>
  <c r="D1223" i="1"/>
  <c r="E1134" i="1"/>
  <c r="B1138" i="1" s="1"/>
  <c r="E1138" i="1" s="1"/>
  <c r="F1138" i="1" s="1"/>
  <c r="D1145" i="1"/>
  <c r="E1145" i="1" s="1"/>
  <c r="B1149" i="1" s="1"/>
  <c r="E1149" i="1" s="1"/>
  <c r="F1149" i="1" s="1"/>
  <c r="E8167" i="1"/>
  <c r="D8175" i="1"/>
  <c r="E8168" i="1"/>
  <c r="D8176" i="1"/>
  <c r="E8169" i="1"/>
  <c r="D8177" i="1"/>
  <c r="B8163" i="1"/>
  <c r="E8163" i="1" s="1"/>
  <c r="F8163" i="1" s="1"/>
  <c r="D9575" i="1"/>
  <c r="E9566" i="1"/>
  <c r="E9592" i="1"/>
  <c r="D9601" i="1"/>
  <c r="E9258" i="1"/>
  <c r="D9267" i="1"/>
  <c r="E9214" i="1"/>
  <c r="B9218" i="1" s="1"/>
  <c r="E9218" i="1" s="1"/>
  <c r="F9218" i="1" s="1"/>
  <c r="E9231" i="1"/>
  <c r="E9450" i="1"/>
  <c r="B9454" i="1" s="1"/>
  <c r="E9454" i="1" s="1"/>
  <c r="F9454" i="1" s="1"/>
  <c r="D9459" i="1"/>
  <c r="E9459" i="1" s="1"/>
  <c r="D8659" i="1"/>
  <c r="E8650" i="1"/>
  <c r="B8654" i="1" s="1"/>
  <c r="E8654" i="1" s="1"/>
  <c r="D8667" i="1"/>
  <c r="E8658" i="1"/>
  <c r="E8645" i="1"/>
  <c r="F8645" i="1" s="1"/>
  <c r="F7257" i="1"/>
  <c r="E797" i="1"/>
  <c r="D808" i="1"/>
  <c r="D2634" i="1"/>
  <c r="D2647" i="1"/>
  <c r="E7944" i="1"/>
  <c r="D7956" i="1"/>
  <c r="D7947" i="1"/>
  <c r="F7596" i="1"/>
  <c r="D959" i="1"/>
  <c r="E949" i="1"/>
  <c r="E940" i="1"/>
  <c r="D950" i="1"/>
  <c r="E5059" i="1"/>
  <c r="B5064" i="1" s="1"/>
  <c r="E5064" i="1" s="1"/>
  <c r="F5064" i="1" s="1"/>
  <c r="D5069" i="1"/>
  <c r="E1736" i="1"/>
  <c r="D1749" i="1"/>
  <c r="E1749" i="1" s="1"/>
  <c r="E5137" i="1"/>
  <c r="D5146" i="1"/>
  <c r="B6747" i="1"/>
  <c r="E6747" i="1" s="1"/>
  <c r="F6747" i="1" s="1"/>
  <c r="E1762" i="1"/>
  <c r="B1768" i="1" s="1"/>
  <c r="E1768" i="1" s="1"/>
  <c r="F1768" i="1" s="1"/>
  <c r="D1775" i="1"/>
  <c r="D2102" i="1" s="1"/>
  <c r="B1599" i="1"/>
  <c r="E1599" i="1" s="1"/>
  <c r="F1599" i="1" s="1"/>
  <c r="D2576" i="1"/>
  <c r="E2576" i="1" s="1"/>
  <c r="B2580" i="1" s="1"/>
  <c r="E2580" i="1" s="1"/>
  <c r="F2580" i="1" s="1"/>
  <c r="E2566" i="1"/>
  <c r="D280" i="1"/>
  <c r="E280" i="1" s="1"/>
  <c r="B286" i="1" s="1"/>
  <c r="E286" i="1" s="1"/>
  <c r="F286" i="1" s="1"/>
  <c r="D18" i="12" s="1"/>
  <c r="E269" i="1"/>
  <c r="B275" i="1" s="1"/>
  <c r="E275" i="1" s="1"/>
  <c r="F275" i="1" s="1"/>
  <c r="D17" i="12" s="1"/>
  <c r="D291" i="1"/>
  <c r="D3895" i="1"/>
  <c r="E3895" i="1" s="1"/>
  <c r="E3881" i="1"/>
  <c r="D3886" i="1"/>
  <c r="E3886" i="1" s="1"/>
  <c r="E7265" i="1"/>
  <c r="D7267" i="1"/>
  <c r="E7267" i="1" s="1"/>
  <c r="E5264" i="1"/>
  <c r="B5272" i="1" s="1"/>
  <c r="D5276" i="1"/>
  <c r="B264" i="1"/>
  <c r="E264" i="1" s="1"/>
  <c r="F264" i="1" s="1"/>
  <c r="D16" i="12" s="1"/>
  <c r="B1702" i="1"/>
  <c r="E1702" i="1" s="1"/>
  <c r="F1702" i="1" s="1"/>
  <c r="B5052" i="1"/>
  <c r="E5052" i="1" s="1"/>
  <c r="F5052" i="1" s="1"/>
  <c r="B4041" i="1"/>
  <c r="E4041" i="1" s="1"/>
  <c r="F4041" i="1" s="1"/>
  <c r="E1848" i="1"/>
  <c r="F1848" i="1" s="1"/>
  <c r="D6114" i="1"/>
  <c r="E6108" i="1"/>
  <c r="D4829" i="1"/>
  <c r="E4819" i="1"/>
  <c r="D4850" i="1"/>
  <c r="D7792" i="1"/>
  <c r="E7785" i="1"/>
  <c r="F7788" i="1" s="1"/>
  <c r="B10148" i="1"/>
  <c r="E10148" i="1" s="1"/>
  <c r="F10148" i="1" s="1"/>
  <c r="B2882" i="1"/>
  <c r="E2882" i="1" s="1"/>
  <c r="F2882" i="1" s="1"/>
  <c r="B4422" i="1"/>
  <c r="E4422" i="1" s="1"/>
  <c r="F4422" i="1" s="1"/>
  <c r="B4640" i="1"/>
  <c r="E4640" i="1" s="1"/>
  <c r="F4640" i="1" s="1"/>
  <c r="D7605" i="1"/>
  <c r="E7605" i="1" s="1"/>
  <c r="E7602" i="1"/>
  <c r="B4814" i="1"/>
  <c r="E4814" i="1" s="1"/>
  <c r="F4814" i="1" s="1"/>
  <c r="E4646" i="1"/>
  <c r="D4660" i="1"/>
  <c r="D2913" i="1"/>
  <c r="E2886" i="1"/>
  <c r="D2893" i="1"/>
  <c r="B6647" i="1"/>
  <c r="E6647" i="1" s="1"/>
  <c r="F6647" i="1" s="1"/>
  <c r="B4413" i="1"/>
  <c r="E4413" i="1" s="1"/>
  <c r="F4413" i="1" s="1"/>
  <c r="E798" i="1"/>
  <c r="D809" i="1"/>
  <c r="B6636" i="1"/>
  <c r="E6636" i="1" s="1"/>
  <c r="F6636" i="1" s="1"/>
  <c r="B4899" i="1"/>
  <c r="E4899" i="1" s="1"/>
  <c r="F4899" i="1" s="1"/>
  <c r="D4919" i="1"/>
  <c r="E4919" i="1" s="1"/>
  <c r="E4910" i="1"/>
  <c r="D4621" i="1"/>
  <c r="E4621" i="1" s="1"/>
  <c r="E4610" i="1"/>
  <c r="D3367" i="1"/>
  <c r="E3360" i="1"/>
  <c r="E10161" i="1"/>
  <c r="D10170" i="1"/>
  <c r="B6104" i="1"/>
  <c r="E6104" i="1" s="1"/>
  <c r="F6104" i="1" s="1"/>
  <c r="B4605" i="1"/>
  <c r="E4605" i="1" s="1"/>
  <c r="F4605" i="1" s="1"/>
  <c r="B3345" i="1"/>
  <c r="E3345" i="1" s="1"/>
  <c r="F3345" i="1" s="1"/>
  <c r="E2075" i="1" l="1"/>
  <c r="B2081" i="1" s="1"/>
  <c r="E2081" i="1" s="1"/>
  <c r="F2081" i="1" s="1"/>
  <c r="D2340" i="1"/>
  <c r="E2340" i="1" s="1"/>
  <c r="B2346" i="1" s="1"/>
  <c r="E2346" i="1" s="1"/>
  <c r="F2346" i="1" s="1"/>
  <c r="E2102" i="1"/>
  <c r="B2108" i="1" s="1"/>
  <c r="E2108" i="1" s="1"/>
  <c r="F2108" i="1" s="1"/>
  <c r="D2367" i="1"/>
  <c r="E2367" i="1" s="1"/>
  <c r="B2373" i="1" s="1"/>
  <c r="E2373" i="1" s="1"/>
  <c r="F2373" i="1" s="1"/>
  <c r="E1683" i="1"/>
  <c r="D2089" i="1"/>
  <c r="L626" i="25"/>
  <c r="M613" i="25"/>
  <c r="E613" i="25"/>
  <c r="E479" i="25"/>
  <c r="F466" i="25"/>
  <c r="L505" i="25"/>
  <c r="M505" i="25" s="1"/>
  <c r="M453" i="25"/>
  <c r="J458" i="25" s="1"/>
  <c r="M458" i="25" s="1"/>
  <c r="M461" i="25" s="1"/>
  <c r="L466" i="25"/>
  <c r="E467" i="25"/>
  <c r="F454" i="25"/>
  <c r="C458" i="25" s="1"/>
  <c r="F458" i="25" s="1"/>
  <c r="F461" i="25" s="1"/>
  <c r="L681" i="25"/>
  <c r="M509" i="25"/>
  <c r="J297" i="25"/>
  <c r="M297" i="25" s="1"/>
  <c r="L320" i="25"/>
  <c r="L347" i="25"/>
  <c r="M306" i="25"/>
  <c r="J310" i="25" s="1"/>
  <c r="M310" i="25" s="1"/>
  <c r="E522" i="25"/>
  <c r="F509" i="25"/>
  <c r="F214" i="25"/>
  <c r="C218" i="25" s="1"/>
  <c r="F218" i="25" s="1"/>
  <c r="F219" i="25" s="1"/>
  <c r="L214" i="25"/>
  <c r="M214" i="25" s="1"/>
  <c r="J218" i="25" s="1"/>
  <c r="M218" i="25" s="1"/>
  <c r="M219" i="25" s="1"/>
  <c r="E225" i="25"/>
  <c r="E276" i="25"/>
  <c r="F306" i="25"/>
  <c r="C311" i="25" s="1"/>
  <c r="F311" i="25" s="1"/>
  <c r="F313" i="25" s="1"/>
  <c r="J445" i="25"/>
  <c r="M445" i="25" s="1"/>
  <c r="M448" i="25" s="1"/>
  <c r="E1655" i="1"/>
  <c r="B1661" i="1" s="1"/>
  <c r="E1661" i="1" s="1"/>
  <c r="F1661" i="1" s="1"/>
  <c r="E1684" i="1"/>
  <c r="D1362" i="1"/>
  <c r="E1362" i="1" s="1"/>
  <c r="B1367" i="1" s="1"/>
  <c r="E1367" i="1" s="1"/>
  <c r="F1367" i="1" s="1"/>
  <c r="E1337" i="1"/>
  <c r="B1342" i="1" s="1"/>
  <c r="E1342" i="1" s="1"/>
  <c r="F1342" i="1" s="1"/>
  <c r="B8530" i="1"/>
  <c r="E8530" i="1" s="1"/>
  <c r="F8530" i="1" s="1"/>
  <c r="D8555" i="1"/>
  <c r="E8545" i="1"/>
  <c r="D8544" i="1"/>
  <c r="E8534" i="1"/>
  <c r="B8540" i="1" s="1"/>
  <c r="E8540" i="1" s="1"/>
  <c r="F8540" i="1" s="1"/>
  <c r="D8596" i="1"/>
  <c r="E8596" i="1" s="1"/>
  <c r="E8586" i="1"/>
  <c r="E1483" i="1"/>
  <c r="F1483" i="1" s="1"/>
  <c r="E1775" i="1"/>
  <c r="B1781" i="1" s="1"/>
  <c r="E1781" i="1" s="1"/>
  <c r="F1781" i="1" s="1"/>
  <c r="D1789" i="1"/>
  <c r="E1223" i="1"/>
  <c r="B1227" i="1" s="1"/>
  <c r="E1227" i="1" s="1"/>
  <c r="F1227" i="1" s="1"/>
  <c r="D1234" i="1"/>
  <c r="E1234" i="1" s="1"/>
  <c r="B1238" i="1" s="1"/>
  <c r="E1238" i="1" s="1"/>
  <c r="F1238" i="1" s="1"/>
  <c r="D8361" i="1"/>
  <c r="E8350" i="1"/>
  <c r="F8355" i="1" s="1"/>
  <c r="E9614" i="1"/>
  <c r="D9623" i="1"/>
  <c r="L296" i="25" s="1"/>
  <c r="E8707" i="1"/>
  <c r="D8793" i="1"/>
  <c r="D1349" i="1"/>
  <c r="E1349" i="1" s="1"/>
  <c r="E1324" i="1"/>
  <c r="B1329" i="1" s="1"/>
  <c r="E1329" i="1" s="1"/>
  <c r="F1329" i="1" s="1"/>
  <c r="D8791" i="1"/>
  <c r="E8705" i="1"/>
  <c r="E9622" i="1"/>
  <c r="D9631" i="1"/>
  <c r="B8171" i="1"/>
  <c r="E8171" i="1" s="1"/>
  <c r="F8171" i="1" s="1"/>
  <c r="E8176" i="1"/>
  <c r="D8184" i="1"/>
  <c r="E8184" i="1" s="1"/>
  <c r="E8177" i="1"/>
  <c r="D8185" i="1"/>
  <c r="E8185" i="1" s="1"/>
  <c r="E8175" i="1"/>
  <c r="D8183" i="1"/>
  <c r="E8183" i="1" s="1"/>
  <c r="B9570" i="1"/>
  <c r="E9570" i="1" s="1"/>
  <c r="F9570" i="1" s="1"/>
  <c r="D9610" i="1"/>
  <c r="E9601" i="1"/>
  <c r="D9584" i="1"/>
  <c r="E9575" i="1"/>
  <c r="D9276" i="1"/>
  <c r="E9267" i="1"/>
  <c r="D9232" i="1"/>
  <c r="D9241" i="1" s="1"/>
  <c r="D9250" i="1" s="1"/>
  <c r="D9259" i="1" s="1"/>
  <c r="E9223" i="1"/>
  <c r="E9240" i="1"/>
  <c r="E9249" i="1"/>
  <c r="B9463" i="1"/>
  <c r="E9463" i="1" s="1"/>
  <c r="F9463" i="1" s="1"/>
  <c r="D8676" i="1"/>
  <c r="E8667" i="1"/>
  <c r="F8654" i="1"/>
  <c r="D8668" i="1"/>
  <c r="E8659" i="1"/>
  <c r="B8663" i="1" s="1"/>
  <c r="E8663" i="1" s="1"/>
  <c r="F8663" i="1" s="1"/>
  <c r="F7608" i="1"/>
  <c r="D7960" i="1"/>
  <c r="E7956" i="1"/>
  <c r="D2672" i="1"/>
  <c r="D2659" i="1"/>
  <c r="D2698" i="1" s="1"/>
  <c r="E808" i="1"/>
  <c r="D818" i="1"/>
  <c r="D7949" i="1"/>
  <c r="E7949" i="1" s="1"/>
  <c r="E7947" i="1"/>
  <c r="E959" i="1"/>
  <c r="D969" i="1"/>
  <c r="B3891" i="1"/>
  <c r="E3891" i="1" s="1"/>
  <c r="F3891" i="1" s="1"/>
  <c r="B1755" i="1"/>
  <c r="E1755" i="1" s="1"/>
  <c r="F1755" i="1" s="1"/>
  <c r="D5160" i="1"/>
  <c r="E5146" i="1"/>
  <c r="B5149" i="1" s="1"/>
  <c r="E5149" i="1" s="1"/>
  <c r="F5149" i="1" s="1"/>
  <c r="F7270" i="1"/>
  <c r="B5140" i="1"/>
  <c r="E5140" i="1" s="1"/>
  <c r="F5140" i="1" s="1"/>
  <c r="B3883" i="1"/>
  <c r="E3883" i="1" s="1"/>
  <c r="F3883" i="1" s="1"/>
  <c r="B1742" i="1"/>
  <c r="E1742" i="1" s="1"/>
  <c r="F1742" i="1" s="1"/>
  <c r="E291" i="1"/>
  <c r="D302" i="1"/>
  <c r="D5287" i="1"/>
  <c r="E5276" i="1"/>
  <c r="D960" i="1"/>
  <c r="E950" i="1"/>
  <c r="B3900" i="1"/>
  <c r="E3900" i="1" s="1"/>
  <c r="F3900" i="1" s="1"/>
  <c r="E5069" i="1"/>
  <c r="B5074" i="1" s="1"/>
  <c r="E5074" i="1" s="1"/>
  <c r="F5074" i="1" s="1"/>
  <c r="D5079" i="1"/>
  <c r="D5100" i="1"/>
  <c r="E5272" i="1"/>
  <c r="F5272" i="1" s="1"/>
  <c r="B6110" i="1"/>
  <c r="E6110" i="1" s="1"/>
  <c r="F6110" i="1" s="1"/>
  <c r="E6114" i="1"/>
  <c r="D6156" i="1"/>
  <c r="B4615" i="1"/>
  <c r="E4615" i="1" s="1"/>
  <c r="F4615" i="1" s="1"/>
  <c r="B2889" i="1"/>
  <c r="E2889" i="1" s="1"/>
  <c r="F2889" i="1" s="1"/>
  <c r="B4626" i="1"/>
  <c r="E4626" i="1" s="1"/>
  <c r="F4626" i="1" s="1"/>
  <c r="E2913" i="1"/>
  <c r="B2916" i="1" s="1"/>
  <c r="D2920" i="1"/>
  <c r="D3393" i="1"/>
  <c r="E3367" i="1"/>
  <c r="B4913" i="1"/>
  <c r="E4913" i="1" s="1"/>
  <c r="F4913" i="1" s="1"/>
  <c r="D4669" i="1"/>
  <c r="E4669" i="1" s="1"/>
  <c r="E4660" i="1"/>
  <c r="E7792" i="1"/>
  <c r="D7804" i="1"/>
  <c r="D7795" i="1"/>
  <c r="B4922" i="1"/>
  <c r="E4922" i="1" s="1"/>
  <c r="F4922" i="1" s="1"/>
  <c r="D4860" i="1"/>
  <c r="E4850" i="1"/>
  <c r="B4824" i="1"/>
  <c r="E4824" i="1" s="1"/>
  <c r="F4824" i="1" s="1"/>
  <c r="D819" i="1"/>
  <c r="E809" i="1"/>
  <c r="B4649" i="1"/>
  <c r="E4649" i="1" s="1"/>
  <c r="F4649" i="1" s="1"/>
  <c r="E10170" i="1"/>
  <c r="B10166" i="1"/>
  <c r="E10166" i="1" s="1"/>
  <c r="F10166" i="1" s="1"/>
  <c r="E2893" i="1"/>
  <c r="D2900" i="1"/>
  <c r="E2900" i="1" s="1"/>
  <c r="D4839" i="1"/>
  <c r="E4839" i="1" s="1"/>
  <c r="E4829" i="1"/>
  <c r="E2089" i="1" l="1"/>
  <c r="B2095" i="1" s="1"/>
  <c r="E2095" i="1" s="1"/>
  <c r="F2095" i="1" s="1"/>
  <c r="D2354" i="1"/>
  <c r="E2354" i="1" s="1"/>
  <c r="B2360" i="1" s="1"/>
  <c r="E2360" i="1" s="1"/>
  <c r="F2360" i="1" s="1"/>
  <c r="E1789" i="1"/>
  <c r="D2116" i="1"/>
  <c r="L361" i="25"/>
  <c r="M347" i="25"/>
  <c r="J352" i="25" s="1"/>
  <c r="M352" i="25" s="1"/>
  <c r="M354" i="25" s="1"/>
  <c r="M466" i="25"/>
  <c r="J471" i="25" s="1"/>
  <c r="M471" i="25" s="1"/>
  <c r="M474" i="25" s="1"/>
  <c r="L479" i="25"/>
  <c r="L309" i="25"/>
  <c r="M296" i="25"/>
  <c r="M300" i="25" s="1"/>
  <c r="F276" i="25"/>
  <c r="C281" i="25" s="1"/>
  <c r="F281" i="25" s="1"/>
  <c r="F283" i="25" s="1"/>
  <c r="E319" i="25"/>
  <c r="M320" i="25"/>
  <c r="J324" i="25" s="1"/>
  <c r="M324" i="25" s="1"/>
  <c r="M327" i="25" s="1"/>
  <c r="L333" i="25"/>
  <c r="M333" i="25" s="1"/>
  <c r="J337" i="25" s="1"/>
  <c r="M337" i="25" s="1"/>
  <c r="M340" i="25" s="1"/>
  <c r="L694" i="25"/>
  <c r="M681" i="25"/>
  <c r="E626" i="25"/>
  <c r="F613" i="25"/>
  <c r="E492" i="25"/>
  <c r="F492" i="25" s="1"/>
  <c r="F479" i="25"/>
  <c r="F225" i="25"/>
  <c r="C229" i="25" s="1"/>
  <c r="F229" i="25" s="1"/>
  <c r="F230" i="25" s="1"/>
  <c r="L225" i="25"/>
  <c r="M225" i="25" s="1"/>
  <c r="M230" i="25" s="1"/>
  <c r="E535" i="25"/>
  <c r="F522" i="25"/>
  <c r="L522" i="25"/>
  <c r="M522" i="25" s="1"/>
  <c r="J510" i="25"/>
  <c r="M510" i="25" s="1"/>
  <c r="M513" i="25" s="1"/>
  <c r="E480" i="25"/>
  <c r="F467" i="25"/>
  <c r="C471" i="25" s="1"/>
  <c r="F471" i="25" s="1"/>
  <c r="F474" i="25" s="1"/>
  <c r="L639" i="25"/>
  <c r="M626" i="25"/>
  <c r="E8544" i="1"/>
  <c r="B8550" i="1" s="1"/>
  <c r="E8550" i="1" s="1"/>
  <c r="F8550" i="1" s="1"/>
  <c r="D8554" i="1"/>
  <c r="D8565" i="1"/>
  <c r="E8555" i="1"/>
  <c r="B297" i="1"/>
  <c r="E297" i="1" s="1"/>
  <c r="F297" i="1" s="1"/>
  <c r="D19" i="12" s="1"/>
  <c r="B1795" i="1"/>
  <c r="E1795" i="1" s="1"/>
  <c r="F1795" i="1" s="1"/>
  <c r="B8187" i="1"/>
  <c r="E8187" i="1" s="1"/>
  <c r="F8187" i="1" s="1"/>
  <c r="B8179" i="1"/>
  <c r="E8179" i="1" s="1"/>
  <c r="F8179" i="1" s="1"/>
  <c r="D8802" i="1"/>
  <c r="D8829" i="1"/>
  <c r="D8716" i="1"/>
  <c r="E8793" i="1"/>
  <c r="E8714" i="1"/>
  <c r="D8827" i="1"/>
  <c r="E8791" i="1"/>
  <c r="E8361" i="1"/>
  <c r="F8366" i="1" s="1"/>
  <c r="D8372" i="1"/>
  <c r="E8372" i="1" s="1"/>
  <c r="F8377" i="1" s="1"/>
  <c r="E9631" i="1"/>
  <c r="D9640" i="1"/>
  <c r="D9632" i="1"/>
  <c r="E9623" i="1"/>
  <c r="B1354" i="1"/>
  <c r="E1354" i="1" s="1"/>
  <c r="F1354" i="1" s="1"/>
  <c r="B9579" i="1"/>
  <c r="E9579" i="1" s="1"/>
  <c r="F9579" i="1" s="1"/>
  <c r="D9593" i="1"/>
  <c r="E9584" i="1"/>
  <c r="B9588" i="1" s="1"/>
  <c r="E9588" i="1" s="1"/>
  <c r="F9588" i="1" s="1"/>
  <c r="E9610" i="1"/>
  <c r="D9619" i="1"/>
  <c r="E9276" i="1"/>
  <c r="D9285" i="1"/>
  <c r="D9268" i="1"/>
  <c r="E9259" i="1"/>
  <c r="B9227" i="1"/>
  <c r="E9227" i="1" s="1"/>
  <c r="F9227" i="1" s="1"/>
  <c r="E9232" i="1"/>
  <c r="E8676" i="1"/>
  <c r="D8685" i="1"/>
  <c r="D8677" i="1"/>
  <c r="E8668" i="1"/>
  <c r="B8672" i="1" s="1"/>
  <c r="E8672" i="1" s="1"/>
  <c r="F7952" i="1"/>
  <c r="D828" i="1"/>
  <c r="E828" i="1" s="1"/>
  <c r="E818" i="1"/>
  <c r="D2710" i="1"/>
  <c r="D2685" i="1"/>
  <c r="D2723" i="1" s="1"/>
  <c r="D2735" i="1" s="1"/>
  <c r="D2744" i="1" s="1"/>
  <c r="E2744" i="1" s="1"/>
  <c r="F2744" i="1" s="1"/>
  <c r="E969" i="1"/>
  <c r="D979" i="1"/>
  <c r="E979" i="1" s="1"/>
  <c r="E7960" i="1"/>
  <c r="D7962" i="1"/>
  <c r="E7962" i="1" s="1"/>
  <c r="D5169" i="1"/>
  <c r="E5169" i="1" s="1"/>
  <c r="B5172" i="1" s="1"/>
  <c r="E5172" i="1" s="1"/>
  <c r="F5172" i="1" s="1"/>
  <c r="E5160" i="1"/>
  <c r="E5100" i="1"/>
  <c r="B5105" i="1" s="1"/>
  <c r="E5105" i="1" s="1"/>
  <c r="F5105" i="1" s="1"/>
  <c r="D5110" i="1"/>
  <c r="D5296" i="1"/>
  <c r="E5296" i="1" s="1"/>
  <c r="E5287" i="1"/>
  <c r="B5292" i="1" s="1"/>
  <c r="E5292" i="1" s="1"/>
  <c r="F5292" i="1" s="1"/>
  <c r="E960" i="1"/>
  <c r="D970" i="1"/>
  <c r="B5284" i="1"/>
  <c r="E5284" i="1" s="1"/>
  <c r="F5284" i="1" s="1"/>
  <c r="D5089" i="1"/>
  <c r="E5089" i="1" s="1"/>
  <c r="B5094" i="1" s="1"/>
  <c r="E5094" i="1" s="1"/>
  <c r="F5094" i="1" s="1"/>
  <c r="E5079" i="1"/>
  <c r="B5084" i="1" s="1"/>
  <c r="E5084" i="1" s="1"/>
  <c r="F5084" i="1" s="1"/>
  <c r="D313" i="1"/>
  <c r="E302" i="1"/>
  <c r="B308" i="1" s="1"/>
  <c r="E308" i="1" s="1"/>
  <c r="F308" i="1" s="1"/>
  <c r="D20" i="12" s="1"/>
  <c r="B4672" i="1"/>
  <c r="E4672" i="1" s="1"/>
  <c r="F4672" i="1" s="1"/>
  <c r="B4834" i="1"/>
  <c r="E4834" i="1" s="1"/>
  <c r="F4834" i="1" s="1"/>
  <c r="D6162" i="1"/>
  <c r="E6156" i="1"/>
  <c r="B4663" i="1"/>
  <c r="E4663" i="1" s="1"/>
  <c r="F4663" i="1" s="1"/>
  <c r="D2927" i="1"/>
  <c r="E2920" i="1"/>
  <c r="B2923" i="1" s="1"/>
  <c r="B2903" i="1"/>
  <c r="E2903" i="1" s="1"/>
  <c r="F2903" i="1" s="1"/>
  <c r="E2916" i="1"/>
  <c r="F2916" i="1" s="1"/>
  <c r="D3398" i="1"/>
  <c r="E3393" i="1"/>
  <c r="B2896" i="1"/>
  <c r="E2896" i="1" s="1"/>
  <c r="F2896" i="1" s="1"/>
  <c r="B4844" i="1"/>
  <c r="E4844" i="1" s="1"/>
  <c r="F4844" i="1" s="1"/>
  <c r="B10174" i="1"/>
  <c r="E10174" i="1" s="1"/>
  <c r="F10174" i="1" s="1"/>
  <c r="B6116" i="1"/>
  <c r="E6116" i="1" s="1"/>
  <c r="F6116" i="1" s="1"/>
  <c r="B4855" i="1"/>
  <c r="E4855" i="1" s="1"/>
  <c r="F4855" i="1" s="1"/>
  <c r="E819" i="1"/>
  <c r="D829" i="1"/>
  <c r="E829" i="1" s="1"/>
  <c r="E4860" i="1"/>
  <c r="D4871" i="1"/>
  <c r="E4871" i="1" s="1"/>
  <c r="E7795" i="1"/>
  <c r="D7797" i="1"/>
  <c r="E7797" i="1" s="1"/>
  <c r="D7808" i="1"/>
  <c r="E7804" i="1"/>
  <c r="E2116" i="1" l="1"/>
  <c r="B2122" i="1" s="1"/>
  <c r="E2122" i="1" s="1"/>
  <c r="F2122" i="1" s="1"/>
  <c r="D2381" i="1"/>
  <c r="E2381" i="1" s="1"/>
  <c r="B2387" i="1" s="1"/>
  <c r="E2387" i="1" s="1"/>
  <c r="F2387" i="1" s="1"/>
  <c r="L492" i="25"/>
  <c r="M492" i="25" s="1"/>
  <c r="J497" i="25" s="1"/>
  <c r="M497" i="25" s="1"/>
  <c r="M500" i="25" s="1"/>
  <c r="M479" i="25"/>
  <c r="E493" i="25"/>
  <c r="F493" i="25" s="1"/>
  <c r="C497" i="25" s="1"/>
  <c r="F497" i="25" s="1"/>
  <c r="F480" i="25"/>
  <c r="C484" i="25" s="1"/>
  <c r="F484" i="25" s="1"/>
  <c r="F487" i="25" s="1"/>
  <c r="F535" i="25"/>
  <c r="L535" i="25"/>
  <c r="M535" i="25" s="1"/>
  <c r="E548" i="25"/>
  <c r="M694" i="25"/>
  <c r="E707" i="25"/>
  <c r="L716" i="25" s="1"/>
  <c r="E332" i="25"/>
  <c r="F332" i="25" s="1"/>
  <c r="C337" i="25" s="1"/>
  <c r="F337" i="25" s="1"/>
  <c r="F339" i="25" s="1"/>
  <c r="F319" i="25"/>
  <c r="C324" i="25" s="1"/>
  <c r="F324" i="25" s="1"/>
  <c r="F326" i="25" s="1"/>
  <c r="M639" i="25"/>
  <c r="L652" i="25"/>
  <c r="M652" i="25" s="1"/>
  <c r="E639" i="25"/>
  <c r="F626" i="25"/>
  <c r="L351" i="25"/>
  <c r="L365" i="25" s="1"/>
  <c r="L379" i="25" s="1"/>
  <c r="M309" i="25"/>
  <c r="M313" i="25" s="1"/>
  <c r="L375" i="25"/>
  <c r="M375" i="25" s="1"/>
  <c r="J380" i="25" s="1"/>
  <c r="M380" i="25" s="1"/>
  <c r="M382" i="25" s="1"/>
  <c r="M361" i="25"/>
  <c r="J366" i="25" s="1"/>
  <c r="M366" i="25" s="1"/>
  <c r="M368" i="25" s="1"/>
  <c r="D8564" i="1"/>
  <c r="E8554" i="1"/>
  <c r="B8560" i="1" s="1"/>
  <c r="E8560" i="1" s="1"/>
  <c r="F8560" i="1" s="1"/>
  <c r="D8575" i="1"/>
  <c r="E8565" i="1"/>
  <c r="D9641" i="1"/>
  <c r="E9632" i="1"/>
  <c r="D9649" i="1"/>
  <c r="E9649" i="1" s="1"/>
  <c r="E9640" i="1"/>
  <c r="E8716" i="1"/>
  <c r="D8736" i="1"/>
  <c r="E562" i="25" s="1"/>
  <c r="D8863" i="1"/>
  <c r="E8827" i="1"/>
  <c r="D8838" i="1"/>
  <c r="E8829" i="1"/>
  <c r="D8865" i="1"/>
  <c r="D8726" i="1"/>
  <c r="E1109" i="25" s="1"/>
  <c r="E1120" i="25" s="1"/>
  <c r="E8802" i="1"/>
  <c r="D8811" i="1"/>
  <c r="D8766" i="1"/>
  <c r="E8766" i="1" s="1"/>
  <c r="E9619" i="1"/>
  <c r="D9628" i="1"/>
  <c r="D9602" i="1"/>
  <c r="E9593" i="1"/>
  <c r="E9285" i="1"/>
  <c r="D9294" i="1"/>
  <c r="B9263" i="1"/>
  <c r="E9263" i="1" s="1"/>
  <c r="F9263" i="1" s="1"/>
  <c r="D9277" i="1"/>
  <c r="E9268" i="1"/>
  <c r="E9241" i="1"/>
  <c r="B9245" i="1" s="1"/>
  <c r="E9245" i="1" s="1"/>
  <c r="F9245" i="1" s="1"/>
  <c r="E9250" i="1"/>
  <c r="B9236" i="1"/>
  <c r="E9236" i="1" s="1"/>
  <c r="F9236" i="1" s="1"/>
  <c r="E8685" i="1"/>
  <c r="D8694" i="1"/>
  <c r="F8672" i="1"/>
  <c r="D8686" i="1"/>
  <c r="E8677" i="1"/>
  <c r="B8681" i="1" s="1"/>
  <c r="E8681" i="1" s="1"/>
  <c r="F8681" i="1" s="1"/>
  <c r="F7965" i="1"/>
  <c r="E313" i="1"/>
  <c r="D391" i="1"/>
  <c r="D323" i="1"/>
  <c r="E323" i="1" s="1"/>
  <c r="B5304" i="1"/>
  <c r="E5304" i="1" s="1"/>
  <c r="F5304" i="1" s="1"/>
  <c r="F7800" i="1"/>
  <c r="B5163" i="1"/>
  <c r="E5163" i="1" s="1"/>
  <c r="F5163" i="1" s="1"/>
  <c r="D980" i="1"/>
  <c r="E980" i="1" s="1"/>
  <c r="E970" i="1"/>
  <c r="E5110" i="1"/>
  <c r="D5121" i="1"/>
  <c r="E5121" i="1" s="1"/>
  <c r="B5126" i="1" s="1"/>
  <c r="E5126" i="1" s="1"/>
  <c r="F5126" i="1" s="1"/>
  <c r="B6158" i="1"/>
  <c r="E6158" i="1" s="1"/>
  <c r="F6158" i="1" s="1"/>
  <c r="E3398" i="1"/>
  <c r="D3405" i="1"/>
  <c r="E3405" i="1" s="1"/>
  <c r="E2923" i="1"/>
  <c r="F2923" i="1" s="1"/>
  <c r="E6162" i="1"/>
  <c r="D6168" i="1"/>
  <c r="E6168" i="1" s="1"/>
  <c r="D2941" i="1"/>
  <c r="E2927" i="1"/>
  <c r="B2930" i="1" s="1"/>
  <c r="B4876" i="1"/>
  <c r="E4876" i="1" s="1"/>
  <c r="F4876" i="1" s="1"/>
  <c r="B4865" i="1"/>
  <c r="E4865" i="1" s="1"/>
  <c r="F4865" i="1" s="1"/>
  <c r="D7810" i="1"/>
  <c r="E7810" i="1" s="1"/>
  <c r="E7808" i="1"/>
  <c r="L732" i="25" l="1"/>
  <c r="M716" i="25"/>
  <c r="F500" i="25"/>
  <c r="E720" i="25"/>
  <c r="F720" i="25" s="1"/>
  <c r="F724" i="25" s="1"/>
  <c r="F707" i="25"/>
  <c r="F711" i="25" s="1"/>
  <c r="L548" i="25"/>
  <c r="F548" i="25"/>
  <c r="E9294" i="1"/>
  <c r="E505" i="25"/>
  <c r="J484" i="25"/>
  <c r="M484" i="25" s="1"/>
  <c r="M487" i="25" s="1"/>
  <c r="E575" i="25"/>
  <c r="F562" i="25"/>
  <c r="E652" i="25"/>
  <c r="F652" i="25" s="1"/>
  <c r="F639" i="25"/>
  <c r="D8585" i="1"/>
  <c r="E8575" i="1"/>
  <c r="D8574" i="1"/>
  <c r="E8564" i="1"/>
  <c r="B8570" i="1" s="1"/>
  <c r="E8570" i="1" s="1"/>
  <c r="F8570" i="1" s="1"/>
  <c r="D8874" i="1"/>
  <c r="D8901" i="1"/>
  <c r="E8865" i="1"/>
  <c r="D8899" i="1"/>
  <c r="E8863" i="1"/>
  <c r="D8775" i="1"/>
  <c r="E8775" i="1" s="1"/>
  <c r="E8811" i="1"/>
  <c r="D8820" i="1"/>
  <c r="E8736" i="1"/>
  <c r="D8746" i="1"/>
  <c r="E8746" i="1" s="1"/>
  <c r="E8838" i="1"/>
  <c r="D8847" i="1"/>
  <c r="E9641" i="1"/>
  <c r="D9650" i="1"/>
  <c r="E9650" i="1" s="1"/>
  <c r="D9611" i="1"/>
  <c r="E9602" i="1"/>
  <c r="E9628" i="1"/>
  <c r="D9637" i="1"/>
  <c r="B9597" i="1"/>
  <c r="E9597" i="1" s="1"/>
  <c r="F9597" i="1" s="1"/>
  <c r="E9277" i="1"/>
  <c r="B9281" i="1" s="1"/>
  <c r="E9281" i="1" s="1"/>
  <c r="F9281" i="1" s="1"/>
  <c r="D9286" i="1"/>
  <c r="B9272" i="1"/>
  <c r="E9272" i="1" s="1"/>
  <c r="F9272" i="1" s="1"/>
  <c r="B9254" i="1"/>
  <c r="E9254" i="1" s="1"/>
  <c r="F9254" i="1" s="1"/>
  <c r="D8703" i="1"/>
  <c r="E8694" i="1"/>
  <c r="D8695" i="1"/>
  <c r="E8686" i="1"/>
  <c r="B8690" i="1" s="1"/>
  <c r="E8690" i="1" s="1"/>
  <c r="F8690" i="1" s="1"/>
  <c r="F7813" i="1"/>
  <c r="B328" i="1"/>
  <c r="E328" i="1" s="1"/>
  <c r="F328" i="1" s="1"/>
  <c r="D22" i="12" s="1"/>
  <c r="E391" i="1"/>
  <c r="D401" i="1"/>
  <c r="B5115" i="1"/>
  <c r="E5115" i="1" s="1"/>
  <c r="F5115" i="1" s="1"/>
  <c r="B318" i="1"/>
  <c r="E318" i="1" s="1"/>
  <c r="F318" i="1" s="1"/>
  <c r="D21" i="12" s="1"/>
  <c r="E1682" i="1" s="1"/>
  <c r="B1689" i="1" s="1"/>
  <c r="E1689" i="1" s="1"/>
  <c r="F1689" i="1" s="1"/>
  <c r="B6164" i="1"/>
  <c r="E6164" i="1" s="1"/>
  <c r="F6164" i="1" s="1"/>
  <c r="B6170" i="1"/>
  <c r="E6170" i="1" s="1"/>
  <c r="F6170" i="1" s="1"/>
  <c r="E2930" i="1"/>
  <c r="F2930" i="1" s="1"/>
  <c r="D2949" i="1"/>
  <c r="D2956" i="1"/>
  <c r="E2956" i="1" s="1"/>
  <c r="E2941" i="1"/>
  <c r="M732" i="25" l="1"/>
  <c r="E735" i="25"/>
  <c r="F735" i="25" s="1"/>
  <c r="M548" i="25"/>
  <c r="L561" i="25"/>
  <c r="M561" i="25" s="1"/>
  <c r="E518" i="25"/>
  <c r="F505" i="25"/>
  <c r="E557" i="25"/>
  <c r="L576" i="25"/>
  <c r="F575" i="25"/>
  <c r="E589" i="25"/>
  <c r="E8574" i="1"/>
  <c r="D8584" i="1"/>
  <c r="D8595" i="1"/>
  <c r="E8595" i="1" s="1"/>
  <c r="E8585" i="1"/>
  <c r="E8847" i="1"/>
  <c r="D8856" i="1"/>
  <c r="E8856" i="1" s="1"/>
  <c r="E8820" i="1"/>
  <c r="D8784" i="1"/>
  <c r="E8784" i="1" s="1"/>
  <c r="D8945" i="1"/>
  <c r="E8899" i="1"/>
  <c r="D8910" i="1"/>
  <c r="E8901" i="1"/>
  <c r="D8947" i="1"/>
  <c r="D8883" i="1"/>
  <c r="E8874" i="1"/>
  <c r="D9646" i="1"/>
  <c r="E9646" i="1" s="1"/>
  <c r="E9637" i="1"/>
  <c r="B9606" i="1"/>
  <c r="E9606" i="1" s="1"/>
  <c r="F9606" i="1" s="1"/>
  <c r="D9620" i="1"/>
  <c r="E9611" i="1"/>
  <c r="B9615" i="1" s="1"/>
  <c r="E9615" i="1" s="1"/>
  <c r="F9615" i="1" s="1"/>
  <c r="E9286" i="1"/>
  <c r="D9295" i="1"/>
  <c r="D8704" i="1"/>
  <c r="E8695" i="1"/>
  <c r="B8699" i="1" s="1"/>
  <c r="E8699" i="1" s="1"/>
  <c r="F8699" i="1" s="1"/>
  <c r="D8789" i="1"/>
  <c r="E8703" i="1"/>
  <c r="B396" i="1"/>
  <c r="E396" i="1" s="1"/>
  <c r="F396" i="1" s="1"/>
  <c r="E13" i="12" s="1"/>
  <c r="E401" i="1"/>
  <c r="B407" i="1" s="1"/>
  <c r="D412" i="1"/>
  <c r="B2945" i="1"/>
  <c r="E2945" i="1" s="1"/>
  <c r="F2945" i="1" s="1"/>
  <c r="B2959" i="1"/>
  <c r="E2959" i="1" s="1"/>
  <c r="F2959" i="1" s="1"/>
  <c r="D2978" i="1"/>
  <c r="E2949" i="1"/>
  <c r="F589" i="25" l="1"/>
  <c r="E602" i="25"/>
  <c r="F602" i="25" s="1"/>
  <c r="E9295" i="1"/>
  <c r="B9299" i="1" s="1"/>
  <c r="E9299" i="1" s="1"/>
  <c r="F9299" i="1" s="1"/>
  <c r="E506" i="25"/>
  <c r="L518" i="25"/>
  <c r="M518" i="25" s="1"/>
  <c r="E531" i="25"/>
  <c r="F518" i="25"/>
  <c r="M576" i="25"/>
  <c r="L589" i="25"/>
  <c r="E570" i="25"/>
  <c r="L557" i="25"/>
  <c r="M557" i="25" s="1"/>
  <c r="F557" i="25"/>
  <c r="C563" i="25" s="1"/>
  <c r="F563" i="25" s="1"/>
  <c r="F565" i="25" s="1"/>
  <c r="D8594" i="1"/>
  <c r="E8594" i="1" s="1"/>
  <c r="E8584" i="1"/>
  <c r="B8590" i="1" s="1"/>
  <c r="E8590" i="1" s="1"/>
  <c r="F8590" i="1" s="1"/>
  <c r="B8580" i="1"/>
  <c r="E8580" i="1" s="1"/>
  <c r="F8580" i="1" s="1"/>
  <c r="D8919" i="1"/>
  <c r="E8910" i="1"/>
  <c r="E8883" i="1"/>
  <c r="D8892" i="1"/>
  <c r="E8892" i="1" s="1"/>
  <c r="D8956" i="1"/>
  <c r="E8947" i="1"/>
  <c r="D8992" i="1"/>
  <c r="E8945" i="1"/>
  <c r="D8990" i="1"/>
  <c r="D9629" i="1"/>
  <c r="E9620" i="1"/>
  <c r="B9624" i="1" s="1"/>
  <c r="E9624" i="1" s="1"/>
  <c r="F9624" i="1" s="1"/>
  <c r="D8798" i="1"/>
  <c r="D8721" i="1" s="1"/>
  <c r="E664" i="25" s="1"/>
  <c r="D8712" i="1"/>
  <c r="B9290" i="1"/>
  <c r="E9290" i="1" s="1"/>
  <c r="F9290" i="1" s="1"/>
  <c r="E8789" i="1"/>
  <c r="D8825" i="1"/>
  <c r="D8834" i="1" s="1"/>
  <c r="D8790" i="1"/>
  <c r="E8704" i="1"/>
  <c r="B8708" i="1" s="1"/>
  <c r="E8708" i="1" s="1"/>
  <c r="F8708" i="1" s="1"/>
  <c r="D422" i="1"/>
  <c r="E412" i="1"/>
  <c r="B417" i="1" s="1"/>
  <c r="E417" i="1" s="1"/>
  <c r="F417" i="1" s="1"/>
  <c r="E15" i="12" s="1"/>
  <c r="E407" i="1"/>
  <c r="F407" i="1" s="1"/>
  <c r="B2952" i="1"/>
  <c r="E2952" i="1" s="1"/>
  <c r="F2952" i="1" s="1"/>
  <c r="D2984" i="1"/>
  <c r="E2978" i="1"/>
  <c r="L602" i="25" l="1"/>
  <c r="M589" i="25"/>
  <c r="L571" i="25"/>
  <c r="E584" i="25"/>
  <c r="F570" i="25"/>
  <c r="C576" i="25" s="1"/>
  <c r="F576" i="25" s="1"/>
  <c r="F578" i="25" s="1"/>
  <c r="L531" i="25"/>
  <c r="M531" i="25" s="1"/>
  <c r="E544" i="25"/>
  <c r="F531" i="25"/>
  <c r="E519" i="25"/>
  <c r="F506" i="25"/>
  <c r="E677" i="25"/>
  <c r="F664" i="25"/>
  <c r="J562" i="25"/>
  <c r="M562" i="25" s="1"/>
  <c r="M565" i="25" s="1"/>
  <c r="E8721" i="1"/>
  <c r="E1104" i="25"/>
  <c r="B8600" i="1"/>
  <c r="E8600" i="1" s="1"/>
  <c r="F8600" i="1" s="1"/>
  <c r="D9001" i="1"/>
  <c r="D9028" i="1"/>
  <c r="E8992" i="1"/>
  <c r="E8990" i="1"/>
  <c r="D9026" i="1"/>
  <c r="E8956" i="1"/>
  <c r="D8965" i="1"/>
  <c r="D8928" i="1"/>
  <c r="E8919" i="1"/>
  <c r="E8712" i="1"/>
  <c r="D8731" i="1"/>
  <c r="D9638" i="1"/>
  <c r="E9629" i="1"/>
  <c r="B9633" i="1" s="1"/>
  <c r="E9633" i="1" s="1"/>
  <c r="F9633" i="1" s="1"/>
  <c r="E8798" i="1"/>
  <c r="D8762" i="1"/>
  <c r="E8762" i="1" s="1"/>
  <c r="D8807" i="1"/>
  <c r="D8799" i="1"/>
  <c r="D8722" i="1" s="1"/>
  <c r="E665" i="25" s="1"/>
  <c r="D8713" i="1"/>
  <c r="D8843" i="1"/>
  <c r="E8834" i="1"/>
  <c r="D8826" i="1"/>
  <c r="D8835" i="1" s="1"/>
  <c r="E8790" i="1"/>
  <c r="B8794" i="1" s="1"/>
  <c r="E8794" i="1" s="1"/>
  <c r="F8794" i="1" s="1"/>
  <c r="E8825" i="1"/>
  <c r="D8861" i="1"/>
  <c r="D8870" i="1" s="1"/>
  <c r="D5391" i="1"/>
  <c r="E5391" i="1" s="1"/>
  <c r="B5396" i="1" s="1"/>
  <c r="E5396" i="1" s="1"/>
  <c r="F5396" i="1" s="1"/>
  <c r="E14" i="12"/>
  <c r="D5416" i="1"/>
  <c r="E5416" i="1" s="1"/>
  <c r="E422" i="1"/>
  <c r="D432" i="1"/>
  <c r="B2980" i="1"/>
  <c r="E2980" i="1" s="1"/>
  <c r="F2980" i="1" s="1"/>
  <c r="E2984" i="1"/>
  <c r="D2991" i="1"/>
  <c r="L519" i="25" l="1"/>
  <c r="M519" i="25" s="1"/>
  <c r="E532" i="25"/>
  <c r="F519" i="25"/>
  <c r="C510" i="25"/>
  <c r="F510" i="25" s="1"/>
  <c r="F513" i="25" s="1"/>
  <c r="E678" i="25"/>
  <c r="F665" i="25"/>
  <c r="C670" i="25" s="1"/>
  <c r="F670" i="25" s="1"/>
  <c r="F672" i="25" s="1"/>
  <c r="E597" i="25"/>
  <c r="F597" i="25" s="1"/>
  <c r="C603" i="25" s="1"/>
  <c r="F603" i="25" s="1"/>
  <c r="F605" i="25" s="1"/>
  <c r="F584" i="25"/>
  <c r="C590" i="25" s="1"/>
  <c r="F590" i="25" s="1"/>
  <c r="F592" i="25" s="1"/>
  <c r="E690" i="25"/>
  <c r="F677" i="25"/>
  <c r="L544" i="25"/>
  <c r="M544" i="25" s="1"/>
  <c r="F544" i="25"/>
  <c r="L584" i="25"/>
  <c r="M571" i="25"/>
  <c r="J577" i="25" s="1"/>
  <c r="M577" i="25" s="1"/>
  <c r="M579" i="25" s="1"/>
  <c r="L617" i="25"/>
  <c r="M602" i="25"/>
  <c r="E1053" i="25"/>
  <c r="F1053" i="25" s="1"/>
  <c r="E1115" i="25"/>
  <c r="F1115" i="25" s="1"/>
  <c r="E8722" i="1"/>
  <c r="B8727" i="1" s="1"/>
  <c r="E8727" i="1" s="1"/>
  <c r="E1105" i="25"/>
  <c r="F1104" i="25"/>
  <c r="E8965" i="1"/>
  <c r="D8974" i="1"/>
  <c r="E8928" i="1"/>
  <c r="D8937" i="1"/>
  <c r="E8937" i="1" s="1"/>
  <c r="D9037" i="1"/>
  <c r="E9028" i="1"/>
  <c r="D9073" i="1"/>
  <c r="E9035" i="1"/>
  <c r="E9026" i="1"/>
  <c r="D9071" i="1"/>
  <c r="D9010" i="1"/>
  <c r="E9001" i="1"/>
  <c r="E8731" i="1"/>
  <c r="D8741" i="1"/>
  <c r="E8741" i="1" s="1"/>
  <c r="E8713" i="1"/>
  <c r="B8717" i="1" s="1"/>
  <c r="E8717" i="1" s="1"/>
  <c r="D8732" i="1"/>
  <c r="D9647" i="1"/>
  <c r="E9647" i="1" s="1"/>
  <c r="B9651" i="1" s="1"/>
  <c r="E9651" i="1" s="1"/>
  <c r="F9651" i="1" s="1"/>
  <c r="E9638" i="1"/>
  <c r="D8808" i="1"/>
  <c r="D8772" i="1" s="1"/>
  <c r="E8772" i="1" s="1"/>
  <c r="D8763" i="1"/>
  <c r="E8763" i="1" s="1"/>
  <c r="B8767" i="1" s="1"/>
  <c r="E8767" i="1" s="1"/>
  <c r="F8767" i="1" s="1"/>
  <c r="E8807" i="1"/>
  <c r="D8771" i="1"/>
  <c r="E8771" i="1" s="1"/>
  <c r="D8816" i="1"/>
  <c r="E8799" i="1"/>
  <c r="B8803" i="1" s="1"/>
  <c r="E8803" i="1" s="1"/>
  <c r="F8803" i="1" s="1"/>
  <c r="D8844" i="1"/>
  <c r="E8835" i="1"/>
  <c r="B8839" i="1" s="1"/>
  <c r="E8839" i="1" s="1"/>
  <c r="F8839" i="1" s="1"/>
  <c r="D8852" i="1"/>
  <c r="E8852" i="1" s="1"/>
  <c r="E8843" i="1"/>
  <c r="E8870" i="1"/>
  <c r="D8879" i="1"/>
  <c r="E8861" i="1"/>
  <c r="D8897" i="1"/>
  <c r="D8906" i="1" s="1"/>
  <c r="D8862" i="1"/>
  <c r="D8871" i="1" s="1"/>
  <c r="E8826" i="1"/>
  <c r="B8830" i="1" s="1"/>
  <c r="E8830" i="1" s="1"/>
  <c r="B5426" i="1"/>
  <c r="E5426" i="1" s="1"/>
  <c r="F5426" i="1" s="1"/>
  <c r="D2048" i="1"/>
  <c r="E2048" i="1" s="1"/>
  <c r="B2054" i="1" s="1"/>
  <c r="E2054" i="1" s="1"/>
  <c r="F2054" i="1" s="1"/>
  <c r="D1901" i="1"/>
  <c r="E1901" i="1" s="1"/>
  <c r="D4176" i="1"/>
  <c r="D5368" i="1"/>
  <c r="D1942" i="1"/>
  <c r="E1942" i="1" s="1"/>
  <c r="D1929" i="1"/>
  <c r="E1929" i="1" s="1"/>
  <c r="B1935" i="1" s="1"/>
  <c r="E1935" i="1" s="1"/>
  <c r="F1935" i="1" s="1"/>
  <c r="D1888" i="1"/>
  <c r="E1888" i="1" s="1"/>
  <c r="D1875" i="1"/>
  <c r="E1875" i="1" s="1"/>
  <c r="B1881" i="1" s="1"/>
  <c r="E1881" i="1" s="1"/>
  <c r="F1881" i="1" s="1"/>
  <c r="D5400" i="1"/>
  <c r="E5400" i="1" s="1"/>
  <c r="D1984" i="1"/>
  <c r="D1916" i="1"/>
  <c r="E1916" i="1" s="1"/>
  <c r="D1996" i="1"/>
  <c r="E1969" i="1" s="1"/>
  <c r="D2022" i="1"/>
  <c r="E2022" i="1" s="1"/>
  <c r="B2028" i="1" s="1"/>
  <c r="E2028" i="1" s="1"/>
  <c r="F2028" i="1" s="1"/>
  <c r="D2062" i="1"/>
  <c r="E2062" i="1" s="1"/>
  <c r="B2068" i="1" s="1"/>
  <c r="D2035" i="1"/>
  <c r="E2035" i="1" s="1"/>
  <c r="E432" i="1"/>
  <c r="D443" i="1"/>
  <c r="B427" i="1"/>
  <c r="E427" i="1" s="1"/>
  <c r="F427" i="1" s="1"/>
  <c r="E16" i="12" s="1"/>
  <c r="D2998" i="1"/>
  <c r="E2991" i="1"/>
  <c r="B2987" i="1"/>
  <c r="E2987" i="1" s="1"/>
  <c r="F2987" i="1" s="1"/>
  <c r="F690" i="25" l="1"/>
  <c r="L711" i="25"/>
  <c r="L597" i="25"/>
  <c r="M584" i="25"/>
  <c r="J590" i="25" s="1"/>
  <c r="M590" i="25" s="1"/>
  <c r="M592" i="25" s="1"/>
  <c r="C523" i="25"/>
  <c r="F523" i="25" s="1"/>
  <c r="F526" i="25" s="1"/>
  <c r="E691" i="25"/>
  <c r="L678" i="25"/>
  <c r="F678" i="25"/>
  <c r="C683" i="25" s="1"/>
  <c r="F683" i="25" s="1"/>
  <c r="F685" i="25" s="1"/>
  <c r="F532" i="25"/>
  <c r="L532" i="25"/>
  <c r="M532" i="25" s="1"/>
  <c r="E545" i="25"/>
  <c r="M617" i="25"/>
  <c r="E617" i="25"/>
  <c r="F617" i="25" s="1"/>
  <c r="L630" i="25"/>
  <c r="J523" i="25"/>
  <c r="M523" i="25" s="1"/>
  <c r="M526" i="25" s="1"/>
  <c r="E1116" i="25"/>
  <c r="F1116" i="25" s="1"/>
  <c r="C1121" i="25" s="1"/>
  <c r="F1121" i="25" s="1"/>
  <c r="G1121" i="25" s="1"/>
  <c r="E1054" i="25"/>
  <c r="F1054" i="25" s="1"/>
  <c r="E1093" i="25"/>
  <c r="F1093" i="25" s="1"/>
  <c r="G1098" i="25" s="1"/>
  <c r="E1065" i="25"/>
  <c r="C1058" i="25"/>
  <c r="F1058" i="25" s="1"/>
  <c r="F1105" i="25"/>
  <c r="C1110" i="25" s="1"/>
  <c r="F1110" i="25" s="1"/>
  <c r="F8727" i="1"/>
  <c r="E2068" i="1"/>
  <c r="F2068" i="1" s="1"/>
  <c r="E9010" i="1"/>
  <c r="D9019" i="1"/>
  <c r="E9019" i="1" s="1"/>
  <c r="D9082" i="1"/>
  <c r="E9073" i="1"/>
  <c r="D9118" i="1"/>
  <c r="E9071" i="1"/>
  <c r="D9116" i="1"/>
  <c r="E9116" i="1" s="1"/>
  <c r="E8974" i="1"/>
  <c r="D8983" i="1"/>
  <c r="E8983" i="1" s="1"/>
  <c r="D9046" i="1"/>
  <c r="E9037" i="1"/>
  <c r="F8717" i="1"/>
  <c r="E8732" i="1"/>
  <c r="B8737" i="1" s="1"/>
  <c r="E8737" i="1" s="1"/>
  <c r="F8737" i="1" s="1"/>
  <c r="D8742" i="1"/>
  <c r="E8742" i="1" s="1"/>
  <c r="B8747" i="1" s="1"/>
  <c r="B8776" i="1"/>
  <c r="E8776" i="1" s="1"/>
  <c r="F8776" i="1" s="1"/>
  <c r="B9642" i="1"/>
  <c r="E9642" i="1" s="1"/>
  <c r="F9642" i="1" s="1"/>
  <c r="E8808" i="1"/>
  <c r="B8812" i="1" s="1"/>
  <c r="E8812" i="1" s="1"/>
  <c r="F8812" i="1" s="1"/>
  <c r="D8817" i="1"/>
  <c r="E8817" i="1" s="1"/>
  <c r="E8816" i="1"/>
  <c r="D8780" i="1"/>
  <c r="E8780" i="1" s="1"/>
  <c r="E8906" i="1"/>
  <c r="D8915" i="1"/>
  <c r="D8880" i="1"/>
  <c r="E8871" i="1"/>
  <c r="B8875" i="1" s="1"/>
  <c r="E8875" i="1" s="1"/>
  <c r="F8875" i="1" s="1"/>
  <c r="E8879" i="1"/>
  <c r="D8888" i="1"/>
  <c r="E8888" i="1" s="1"/>
  <c r="D8853" i="1"/>
  <c r="E8853" i="1" s="1"/>
  <c r="E8844" i="1"/>
  <c r="B8848" i="1" s="1"/>
  <c r="E8848" i="1" s="1"/>
  <c r="F8848" i="1" s="1"/>
  <c r="F8830" i="1"/>
  <c r="D8898" i="1"/>
  <c r="D8907" i="1" s="1"/>
  <c r="E8862" i="1"/>
  <c r="B8866" i="1" s="1"/>
  <c r="E8866" i="1" s="1"/>
  <c r="F8866" i="1" s="1"/>
  <c r="D8943" i="1"/>
  <c r="D8952" i="1" s="1"/>
  <c r="E8897" i="1"/>
  <c r="E1984" i="1"/>
  <c r="B1990" i="1" s="1"/>
  <c r="E1990" i="1" s="1"/>
  <c r="F1990" i="1" s="1"/>
  <c r="D1956" i="1"/>
  <c r="B1948" i="1"/>
  <c r="E1948" i="1" s="1"/>
  <c r="F1948" i="1" s="1"/>
  <c r="D2009" i="1"/>
  <c r="E2009" i="1" s="1"/>
  <c r="E1996" i="1"/>
  <c r="D5380" i="1"/>
  <c r="E5380" i="1" s="1"/>
  <c r="B5388" i="1" s="1"/>
  <c r="E5388" i="1" s="1"/>
  <c r="F5388" i="1" s="1"/>
  <c r="E5368" i="1"/>
  <c r="B5376" i="1" s="1"/>
  <c r="E4176" i="1"/>
  <c r="D4181" i="1"/>
  <c r="E443" i="1"/>
  <c r="B448" i="1" s="1"/>
  <c r="E448" i="1" s="1"/>
  <c r="F448" i="1" s="1"/>
  <c r="E18" i="12" s="1"/>
  <c r="D453" i="1"/>
  <c r="B5408" i="1"/>
  <c r="E5408" i="1" s="1"/>
  <c r="F5408" i="1" s="1"/>
  <c r="B1922" i="1"/>
  <c r="E1922" i="1" s="1"/>
  <c r="F1922" i="1" s="1"/>
  <c r="B1907" i="1"/>
  <c r="E1907" i="1" s="1"/>
  <c r="F1907" i="1" s="1"/>
  <c r="B438" i="1"/>
  <c r="E438" i="1" s="1"/>
  <c r="F438" i="1" s="1"/>
  <c r="E17" i="12" s="1"/>
  <c r="B2041" i="1"/>
  <c r="E2041" i="1" s="1"/>
  <c r="F2041" i="1" s="1"/>
  <c r="B1894" i="1"/>
  <c r="E1894" i="1" s="1"/>
  <c r="F1894" i="1" s="1"/>
  <c r="E2998" i="1"/>
  <c r="D3005" i="1"/>
  <c r="B2994" i="1"/>
  <c r="E2994" i="1" s="1"/>
  <c r="F2994" i="1" s="1"/>
  <c r="F691" i="25" l="1"/>
  <c r="C696" i="25" s="1"/>
  <c r="F696" i="25" s="1"/>
  <c r="F698" i="25" s="1"/>
  <c r="L712" i="25"/>
  <c r="L727" i="25"/>
  <c r="M711" i="25"/>
  <c r="F1065" i="25"/>
  <c r="E1077" i="25"/>
  <c r="F1077" i="25" s="1"/>
  <c r="C1082" i="25" s="1"/>
  <c r="F1082" i="25" s="1"/>
  <c r="L545" i="25"/>
  <c r="M545" i="25" s="1"/>
  <c r="F545" i="25"/>
  <c r="L691" i="25"/>
  <c r="M691" i="25" s="1"/>
  <c r="M678" i="25"/>
  <c r="C536" i="25"/>
  <c r="F536" i="25" s="1"/>
  <c r="F539" i="25" s="1"/>
  <c r="E630" i="25"/>
  <c r="F630" i="25" s="1"/>
  <c r="L643" i="25"/>
  <c r="M630" i="25"/>
  <c r="J536" i="25"/>
  <c r="M536" i="25" s="1"/>
  <c r="M539" i="25" s="1"/>
  <c r="M597" i="25"/>
  <c r="J603" i="25" s="1"/>
  <c r="M603" i="25" s="1"/>
  <c r="M605" i="25" s="1"/>
  <c r="L612" i="25"/>
  <c r="C1070" i="25"/>
  <c r="F1070" i="25" s="1"/>
  <c r="E1066" i="25"/>
  <c r="G1058" i="25"/>
  <c r="G1059" i="25" s="1"/>
  <c r="G1110" i="25"/>
  <c r="E8747" i="1"/>
  <c r="F8747" i="1" s="1"/>
  <c r="E1956" i="1"/>
  <c r="B1962" i="1" s="1"/>
  <c r="E1962" i="1" s="1"/>
  <c r="F1962" i="1" s="1"/>
  <c r="D1970" i="1"/>
  <c r="E1970" i="1" s="1"/>
  <c r="B1976" i="1" s="1"/>
  <c r="E9082" i="1"/>
  <c r="D9091" i="1"/>
  <c r="E9046" i="1"/>
  <c r="D9055" i="1"/>
  <c r="E9118" i="1"/>
  <c r="D9127" i="1"/>
  <c r="D8781" i="1"/>
  <c r="E8781" i="1" s="1"/>
  <c r="B8785" i="1" s="1"/>
  <c r="E8785" i="1" s="1"/>
  <c r="F8785" i="1" s="1"/>
  <c r="B8821" i="1"/>
  <c r="E8821" i="1" s="1"/>
  <c r="F8821" i="1" s="1"/>
  <c r="D8961" i="1"/>
  <c r="E8952" i="1"/>
  <c r="D8916" i="1"/>
  <c r="E8907" i="1"/>
  <c r="B8911" i="1" s="1"/>
  <c r="E8911" i="1" s="1"/>
  <c r="F8911" i="1" s="1"/>
  <c r="D8924" i="1"/>
  <c r="E8915" i="1"/>
  <c r="D8889" i="1"/>
  <c r="E8889" i="1" s="1"/>
  <c r="B8893" i="1" s="1"/>
  <c r="E8893" i="1" s="1"/>
  <c r="F8893" i="1" s="1"/>
  <c r="E8880" i="1"/>
  <c r="B8884" i="1" s="1"/>
  <c r="E8884" i="1" s="1"/>
  <c r="F8884" i="1" s="1"/>
  <c r="B8857" i="1"/>
  <c r="E8857" i="1" s="1"/>
  <c r="F8857" i="1" s="1"/>
  <c r="E8943" i="1"/>
  <c r="D8988" i="1"/>
  <c r="D8997" i="1" s="1"/>
  <c r="D8944" i="1"/>
  <c r="D8953" i="1" s="1"/>
  <c r="E8898" i="1"/>
  <c r="B8902" i="1" s="1"/>
  <c r="E8902" i="1" s="1"/>
  <c r="D4190" i="1"/>
  <c r="E4190" i="1" s="1"/>
  <c r="B4195" i="1" s="1"/>
  <c r="E4195" i="1" s="1"/>
  <c r="F4195" i="1" s="1"/>
  <c r="E4181" i="1"/>
  <c r="B4178" i="1"/>
  <c r="E4178" i="1" s="1"/>
  <c r="F4178" i="1" s="1"/>
  <c r="E5376" i="1"/>
  <c r="F5376" i="1" s="1"/>
  <c r="B2015" i="1"/>
  <c r="E2015" i="1" s="1"/>
  <c r="F2015" i="1" s="1"/>
  <c r="B2002" i="1"/>
  <c r="E2002" i="1" s="1"/>
  <c r="F2002" i="1" s="1"/>
  <c r="E453" i="1"/>
  <c r="B459" i="1" s="1"/>
  <c r="D464" i="1"/>
  <c r="B3001" i="1"/>
  <c r="E3001" i="1" s="1"/>
  <c r="F3001" i="1" s="1"/>
  <c r="E3005" i="1"/>
  <c r="D3017" i="1"/>
  <c r="E730" i="25" l="1"/>
  <c r="F730" i="25" s="1"/>
  <c r="M727" i="25"/>
  <c r="L728" i="25"/>
  <c r="M712" i="25"/>
  <c r="J717" i="25" s="1"/>
  <c r="M717" i="25" s="1"/>
  <c r="F1066" i="25"/>
  <c r="G1070" i="25" s="1"/>
  <c r="G1071" i="25" s="1"/>
  <c r="E1078" i="25"/>
  <c r="F1078" i="25" s="1"/>
  <c r="G1082" i="25" s="1"/>
  <c r="G1083" i="25" s="1"/>
  <c r="C549" i="25"/>
  <c r="F549" i="25" s="1"/>
  <c r="F552" i="25" s="1"/>
  <c r="L656" i="25"/>
  <c r="M656" i="25" s="1"/>
  <c r="M643" i="25"/>
  <c r="E643" i="25"/>
  <c r="L625" i="25"/>
  <c r="M612" i="25"/>
  <c r="E612" i="25"/>
  <c r="J549" i="25"/>
  <c r="M549" i="25" s="1"/>
  <c r="M552" i="25" s="1"/>
  <c r="E1976" i="1"/>
  <c r="F1976" i="1" s="1"/>
  <c r="D9064" i="1"/>
  <c r="E9064" i="1" s="1"/>
  <c r="E9055" i="1"/>
  <c r="D9136" i="1"/>
  <c r="E9127" i="1"/>
  <c r="D9100" i="1"/>
  <c r="E9091" i="1"/>
  <c r="D8962" i="1"/>
  <c r="E8953" i="1"/>
  <c r="B8957" i="1" s="1"/>
  <c r="E8957" i="1" s="1"/>
  <c r="F8957" i="1" s="1"/>
  <c r="D9006" i="1"/>
  <c r="E8997" i="1"/>
  <c r="E8961" i="1"/>
  <c r="D8970" i="1"/>
  <c r="D8925" i="1"/>
  <c r="E8916" i="1"/>
  <c r="B8920" i="1" s="1"/>
  <c r="E8920" i="1" s="1"/>
  <c r="F8920" i="1" s="1"/>
  <c r="D8933" i="1"/>
  <c r="E8933" i="1" s="1"/>
  <c r="E8924" i="1"/>
  <c r="E8944" i="1"/>
  <c r="B8948" i="1" s="1"/>
  <c r="E8948" i="1" s="1"/>
  <c r="F8948" i="1" s="1"/>
  <c r="D8989" i="1"/>
  <c r="D8998" i="1" s="1"/>
  <c r="E8988" i="1"/>
  <c r="D9024" i="1"/>
  <c r="D9033" i="1" s="1"/>
  <c r="F8902" i="1"/>
  <c r="E459" i="1"/>
  <c r="F459" i="1" s="1"/>
  <c r="E19" i="12" s="1"/>
  <c r="D474" i="1"/>
  <c r="E464" i="1"/>
  <c r="B4186" i="1"/>
  <c r="E4186" i="1" s="1"/>
  <c r="F4186" i="1" s="1"/>
  <c r="B3008" i="1"/>
  <c r="E3008" i="1" s="1"/>
  <c r="F3008" i="1" s="1"/>
  <c r="E3017" i="1"/>
  <c r="D3023" i="1"/>
  <c r="M719" i="25" l="1"/>
  <c r="E731" i="25"/>
  <c r="F731" i="25" s="1"/>
  <c r="C736" i="25" s="1"/>
  <c r="F736" i="25" s="1"/>
  <c r="F738" i="25" s="1"/>
  <c r="M728" i="25"/>
  <c r="J733" i="25" s="1"/>
  <c r="M733" i="25" s="1"/>
  <c r="M735" i="25" s="1"/>
  <c r="J618" i="25"/>
  <c r="M618" i="25" s="1"/>
  <c r="M620" i="25" s="1"/>
  <c r="F612" i="25"/>
  <c r="C618" i="25" s="1"/>
  <c r="F618" i="25" s="1"/>
  <c r="F620" i="25" s="1"/>
  <c r="E625" i="25"/>
  <c r="L638" i="25"/>
  <c r="L677" i="25"/>
  <c r="M677" i="25" s="1"/>
  <c r="J682" i="25" s="1"/>
  <c r="M682" i="25" s="1"/>
  <c r="M685" i="25" s="1"/>
  <c r="M625" i="25"/>
  <c r="J631" i="25" s="1"/>
  <c r="M631" i="25" s="1"/>
  <c r="M633" i="25" s="1"/>
  <c r="E656" i="25"/>
  <c r="F643" i="25"/>
  <c r="D9145" i="1"/>
  <c r="E9145" i="1" s="1"/>
  <c r="E9136" i="1"/>
  <c r="E9100" i="1"/>
  <c r="D9109" i="1"/>
  <c r="E9109" i="1" s="1"/>
  <c r="E9033" i="1"/>
  <c r="D9042" i="1"/>
  <c r="E8970" i="1"/>
  <c r="D8979" i="1"/>
  <c r="E8979" i="1" s="1"/>
  <c r="E8998" i="1"/>
  <c r="B9002" i="1" s="1"/>
  <c r="E9002" i="1" s="1"/>
  <c r="F9002" i="1" s="1"/>
  <c r="D9007" i="1"/>
  <c r="E9006" i="1"/>
  <c r="D9015" i="1"/>
  <c r="E9015" i="1" s="1"/>
  <c r="D8971" i="1"/>
  <c r="E8962" i="1"/>
  <c r="B8966" i="1" s="1"/>
  <c r="E8966" i="1" s="1"/>
  <c r="F8966" i="1" s="1"/>
  <c r="D8934" i="1"/>
  <c r="E8934" i="1" s="1"/>
  <c r="B8938" i="1" s="1"/>
  <c r="E8938" i="1" s="1"/>
  <c r="F8938" i="1" s="1"/>
  <c r="E8925" i="1"/>
  <c r="B8929" i="1" s="1"/>
  <c r="E8929" i="1" s="1"/>
  <c r="F8929" i="1" s="1"/>
  <c r="D9025" i="1"/>
  <c r="D9034" i="1" s="1"/>
  <c r="E8989" i="1"/>
  <c r="B8993" i="1" s="1"/>
  <c r="E8993" i="1" s="1"/>
  <c r="F8993" i="1" s="1"/>
  <c r="D9069" i="1"/>
  <c r="D9078" i="1" s="1"/>
  <c r="E9024" i="1"/>
  <c r="B469" i="1"/>
  <c r="E469" i="1" s="1"/>
  <c r="F469" i="1" s="1"/>
  <c r="E20" i="12" s="1"/>
  <c r="E474" i="1"/>
  <c r="D484" i="1"/>
  <c r="B3019" i="1"/>
  <c r="E3019" i="1" s="1"/>
  <c r="F3019" i="1" s="1"/>
  <c r="E3023" i="1"/>
  <c r="D3030" i="1"/>
  <c r="F656" i="25" l="1"/>
  <c r="E669" i="25"/>
  <c r="E682" i="25" s="1"/>
  <c r="E695" i="25" s="1"/>
  <c r="F625" i="25"/>
  <c r="C631" i="25" s="1"/>
  <c r="F631" i="25" s="1"/>
  <c r="F633" i="25" s="1"/>
  <c r="E638" i="25"/>
  <c r="L690" i="25"/>
  <c r="M690" i="25" s="1"/>
  <c r="J695" i="25" s="1"/>
  <c r="M695" i="25" s="1"/>
  <c r="M698" i="25" s="1"/>
  <c r="L651" i="25"/>
  <c r="M651" i="25" s="1"/>
  <c r="J657" i="25" s="1"/>
  <c r="M657" i="25" s="1"/>
  <c r="M659" i="25" s="1"/>
  <c r="M638" i="25"/>
  <c r="J644" i="25" s="1"/>
  <c r="M644" i="25" s="1"/>
  <c r="M646" i="25" s="1"/>
  <c r="D9087" i="1"/>
  <c r="E9078" i="1"/>
  <c r="E9034" i="1"/>
  <c r="B9038" i="1" s="1"/>
  <c r="E9038" i="1" s="1"/>
  <c r="F9038" i="1" s="1"/>
  <c r="D9043" i="1"/>
  <c r="D9051" i="1"/>
  <c r="E9042" i="1"/>
  <c r="D8980" i="1"/>
  <c r="E8980" i="1" s="1"/>
  <c r="B8984" i="1" s="1"/>
  <c r="E8984" i="1" s="1"/>
  <c r="F8984" i="1" s="1"/>
  <c r="E8971" i="1"/>
  <c r="B8975" i="1" s="1"/>
  <c r="E8975" i="1" s="1"/>
  <c r="F8975" i="1" s="1"/>
  <c r="D9016" i="1"/>
  <c r="E9016" i="1" s="1"/>
  <c r="B9020" i="1" s="1"/>
  <c r="E9020" i="1" s="1"/>
  <c r="F9020" i="1" s="1"/>
  <c r="E9007" i="1"/>
  <c r="B9011" i="1" s="1"/>
  <c r="E9011" i="1" s="1"/>
  <c r="F9011" i="1" s="1"/>
  <c r="E9069" i="1"/>
  <c r="D9114" i="1"/>
  <c r="D9070" i="1"/>
  <c r="D9079" i="1" s="1"/>
  <c r="E9025" i="1"/>
  <c r="B9029" i="1" s="1"/>
  <c r="E9029" i="1" s="1"/>
  <c r="B479" i="1"/>
  <c r="E479" i="1" s="1"/>
  <c r="F479" i="1" s="1"/>
  <c r="E21" i="12" s="1"/>
  <c r="E484" i="1"/>
  <c r="B489" i="1" s="1"/>
  <c r="E489" i="1" s="1"/>
  <c r="F489" i="1" s="1"/>
  <c r="E22" i="12" s="1"/>
  <c r="D571" i="1"/>
  <c r="B3026" i="1"/>
  <c r="E3026" i="1" s="1"/>
  <c r="F3026" i="1" s="1"/>
  <c r="E3030" i="1"/>
  <c r="D3039" i="1"/>
  <c r="F638" i="25" l="1"/>
  <c r="C644" i="25" s="1"/>
  <c r="F644" i="25" s="1"/>
  <c r="F646" i="25" s="1"/>
  <c r="E651" i="25"/>
  <c r="F651" i="25" s="1"/>
  <c r="C657" i="25" s="1"/>
  <c r="F657" i="25" s="1"/>
  <c r="F659" i="25" s="1"/>
  <c r="E9114" i="1"/>
  <c r="D9123" i="1"/>
  <c r="E9087" i="1"/>
  <c r="D9096" i="1"/>
  <c r="D9088" i="1"/>
  <c r="E9079" i="1"/>
  <c r="B9083" i="1" s="1"/>
  <c r="E9083" i="1" s="1"/>
  <c r="D9052" i="1"/>
  <c r="E9043" i="1"/>
  <c r="B9047" i="1" s="1"/>
  <c r="E9047" i="1" s="1"/>
  <c r="F9047" i="1" s="1"/>
  <c r="E9051" i="1"/>
  <c r="D9060" i="1"/>
  <c r="E9060" i="1" s="1"/>
  <c r="D9115" i="1"/>
  <c r="E9070" i="1"/>
  <c r="B9074" i="1" s="1"/>
  <c r="E9074" i="1" s="1"/>
  <c r="F9074" i="1" s="1"/>
  <c r="F9029" i="1"/>
  <c r="D581" i="1"/>
  <c r="E571" i="1"/>
  <c r="B576" i="1" s="1"/>
  <c r="E576" i="1" s="1"/>
  <c r="F576" i="1" s="1"/>
  <c r="F13" i="12" s="1"/>
  <c r="E3039" i="1"/>
  <c r="B3042" i="1" s="1"/>
  <c r="D3046" i="1"/>
  <c r="B3033" i="1"/>
  <c r="E3033" i="1" s="1"/>
  <c r="F3033" i="1" s="1"/>
  <c r="E9115" i="1" l="1"/>
  <c r="B9119" i="1" s="1"/>
  <c r="E9119" i="1" s="1"/>
  <c r="F9119" i="1" s="1"/>
  <c r="D9124" i="1"/>
  <c r="E9123" i="1"/>
  <c r="D9132" i="1"/>
  <c r="F9083" i="1"/>
  <c r="E9088" i="1"/>
  <c r="B9092" i="1" s="1"/>
  <c r="E9092" i="1" s="1"/>
  <c r="F9092" i="1" s="1"/>
  <c r="D9097" i="1"/>
  <c r="E9096" i="1"/>
  <c r="D9105" i="1"/>
  <c r="E9105" i="1" s="1"/>
  <c r="D9061" i="1"/>
  <c r="E9061" i="1" s="1"/>
  <c r="B9065" i="1" s="1"/>
  <c r="E9065" i="1" s="1"/>
  <c r="F9065" i="1" s="1"/>
  <c r="E9052" i="1"/>
  <c r="B9056" i="1" s="1"/>
  <c r="E9056" i="1" s="1"/>
  <c r="F9056" i="1" s="1"/>
  <c r="D592" i="1"/>
  <c r="E581" i="1"/>
  <c r="E3042" i="1"/>
  <c r="F3042" i="1" s="1"/>
  <c r="E3046" i="1"/>
  <c r="B3049" i="1" s="1"/>
  <c r="D3053" i="1"/>
  <c r="E9132" i="1" l="1"/>
  <c r="D9141" i="1"/>
  <c r="E9141" i="1" s="1"/>
  <c r="D9133" i="1"/>
  <c r="E9124" i="1"/>
  <c r="B9128" i="1" s="1"/>
  <c r="E9128" i="1" s="1"/>
  <c r="D9106" i="1"/>
  <c r="E9106" i="1" s="1"/>
  <c r="B9110" i="1" s="1"/>
  <c r="E9110" i="1" s="1"/>
  <c r="F9110" i="1" s="1"/>
  <c r="E9097" i="1"/>
  <c r="B9101" i="1" s="1"/>
  <c r="E9101" i="1" s="1"/>
  <c r="F9101" i="1" s="1"/>
  <c r="B587" i="1"/>
  <c r="E587" i="1" s="1"/>
  <c r="F587" i="1" s="1"/>
  <c r="F14" i="12" s="1"/>
  <c r="D602" i="1"/>
  <c r="E592" i="1"/>
  <c r="B597" i="1" s="1"/>
  <c r="E597" i="1" s="1"/>
  <c r="F597" i="1" s="1"/>
  <c r="F15" i="12" s="1"/>
  <c r="E3049" i="1"/>
  <c r="F3049" i="1" s="1"/>
  <c r="D3067" i="1"/>
  <c r="E3053" i="1"/>
  <c r="B3056" i="1" s="1"/>
  <c r="D9142" i="1" l="1"/>
  <c r="E9142" i="1" s="1"/>
  <c r="B9146" i="1" s="1"/>
  <c r="E9146" i="1" s="1"/>
  <c r="E9133" i="1"/>
  <c r="B9137" i="1" s="1"/>
  <c r="E9137" i="1" s="1"/>
  <c r="F9137" i="1" s="1"/>
  <c r="F9128" i="1"/>
  <c r="D2221" i="1"/>
  <c r="D2299" i="1"/>
  <c r="E2299" i="1" s="1"/>
  <c r="D2143" i="1"/>
  <c r="E2143" i="1" s="1"/>
  <c r="D2312" i="1"/>
  <c r="E2312" i="1" s="1"/>
  <c r="B2318" i="1" s="1"/>
  <c r="E2318" i="1" s="1"/>
  <c r="F2318" i="1" s="1"/>
  <c r="D2208" i="1"/>
  <c r="E2208" i="1" s="1"/>
  <c r="B2214" i="1" s="1"/>
  <c r="E2214" i="1" s="1"/>
  <c r="F2214" i="1" s="1"/>
  <c r="D2326" i="1"/>
  <c r="E2326" i="1" s="1"/>
  <c r="B2332" i="1" s="1"/>
  <c r="D2156" i="1"/>
  <c r="E2156" i="1" s="1"/>
  <c r="B2162" i="1" s="1"/>
  <c r="E2162" i="1" s="1"/>
  <c r="F2162" i="1" s="1"/>
  <c r="D2195" i="1"/>
  <c r="E2195" i="1" s="1"/>
  <c r="B2201" i="1" s="1"/>
  <c r="E2201" i="1" s="1"/>
  <c r="F2201" i="1" s="1"/>
  <c r="D2261" i="1"/>
  <c r="D2169" i="1"/>
  <c r="E2169" i="1" s="1"/>
  <c r="B2175" i="1" s="1"/>
  <c r="E2175" i="1" s="1"/>
  <c r="F2175" i="1" s="1"/>
  <c r="D4427" i="1"/>
  <c r="D5474" i="1"/>
  <c r="D2182" i="1"/>
  <c r="E2182" i="1" s="1"/>
  <c r="D2286" i="1"/>
  <c r="E2286" i="1" s="1"/>
  <c r="B2292" i="1" s="1"/>
  <c r="E2292" i="1" s="1"/>
  <c r="F2292" i="1" s="1"/>
  <c r="E602" i="1"/>
  <c r="B607" i="1" s="1"/>
  <c r="E607" i="1" s="1"/>
  <c r="F607" i="1" s="1"/>
  <c r="F16" i="12" s="1"/>
  <c r="D612" i="1"/>
  <c r="D3074" i="1"/>
  <c r="E3074" i="1" s="1"/>
  <c r="D3081" i="1"/>
  <c r="E3067" i="1"/>
  <c r="E3056" i="1"/>
  <c r="F3056" i="1" s="1"/>
  <c r="F9146" i="1" l="1"/>
  <c r="E2221" i="1"/>
  <c r="B2227" i="1" s="1"/>
  <c r="E2227" i="1" s="1"/>
  <c r="F2227" i="1" s="1"/>
  <c r="D2234" i="1"/>
  <c r="E2332" i="1"/>
  <c r="F2332" i="1" s="1"/>
  <c r="B2149" i="1"/>
  <c r="E2149" i="1" s="1"/>
  <c r="F2149" i="1" s="1"/>
  <c r="E612" i="1"/>
  <c r="B618" i="1" s="1"/>
  <c r="E618" i="1" s="1"/>
  <c r="F618" i="1" s="1"/>
  <c r="F17" i="12" s="1"/>
  <c r="D623" i="1"/>
  <c r="B2305" i="1"/>
  <c r="E2305" i="1" s="1"/>
  <c r="F2305" i="1" s="1"/>
  <c r="B2188" i="1"/>
  <c r="E2188" i="1" s="1"/>
  <c r="F2188" i="1" s="1"/>
  <c r="D5486" i="1"/>
  <c r="E5474" i="1"/>
  <c r="B5482" i="1" s="1"/>
  <c r="E5482" i="1" s="1"/>
  <c r="F5482" i="1" s="1"/>
  <c r="D4432" i="1"/>
  <c r="E4427" i="1"/>
  <c r="D2274" i="1"/>
  <c r="E2274" i="1" s="1"/>
  <c r="E2261" i="1"/>
  <c r="D3105" i="1"/>
  <c r="E3081" i="1"/>
  <c r="B3071" i="1"/>
  <c r="E3071" i="1" s="1"/>
  <c r="F3071" i="1" s="1"/>
  <c r="B3077" i="1"/>
  <c r="E3077" i="1" s="1"/>
  <c r="F3077" i="1" s="1"/>
  <c r="E2234" i="1" l="1"/>
  <c r="B2240" i="1" s="1"/>
  <c r="E2240" i="1" s="1"/>
  <c r="F2240" i="1" s="1"/>
  <c r="D2248" i="1"/>
  <c r="E2248" i="1" s="1"/>
  <c r="B2254" i="1" s="1"/>
  <c r="B2267" i="1"/>
  <c r="E2267" i="1" s="1"/>
  <c r="F2267" i="1" s="1"/>
  <c r="B4429" i="1"/>
  <c r="E4429" i="1" s="1"/>
  <c r="F4429" i="1" s="1"/>
  <c r="D633" i="1"/>
  <c r="E623" i="1"/>
  <c r="D5497" i="1"/>
  <c r="E5486" i="1"/>
  <c r="B2280" i="1"/>
  <c r="E2280" i="1" s="1"/>
  <c r="F2280" i="1" s="1"/>
  <c r="E4432" i="1"/>
  <c r="B4437" i="1" s="1"/>
  <c r="E4437" i="1" s="1"/>
  <c r="F4437" i="1" s="1"/>
  <c r="D4441" i="1"/>
  <c r="E4441" i="1" s="1"/>
  <c r="B4446" i="1" s="1"/>
  <c r="E4446" i="1" s="1"/>
  <c r="F4446" i="1" s="1"/>
  <c r="E3105" i="1"/>
  <c r="B3107" i="1" s="1"/>
  <c r="D3111" i="1"/>
  <c r="B3084" i="1"/>
  <c r="E3084" i="1" s="1"/>
  <c r="F3084" i="1" s="1"/>
  <c r="E2254" i="1" l="1"/>
  <c r="F2254" i="1" s="1"/>
  <c r="E3107" i="1"/>
  <c r="F3107" i="1" s="1"/>
  <c r="B628" i="1"/>
  <c r="E628" i="1" s="1"/>
  <c r="F628" i="1" s="1"/>
  <c r="F18" i="12" s="1"/>
  <c r="D644" i="1"/>
  <c r="E633" i="1"/>
  <c r="B639" i="1" s="1"/>
  <c r="E639" i="1" s="1"/>
  <c r="F639" i="1" s="1"/>
  <c r="F19" i="12" s="1"/>
  <c r="B5494" i="1"/>
  <c r="E5494" i="1" s="1"/>
  <c r="F5494" i="1" s="1"/>
  <c r="D5506" i="1"/>
  <c r="E5497" i="1"/>
  <c r="B5502" i="1" s="1"/>
  <c r="E5502" i="1" s="1"/>
  <c r="F5502" i="1" s="1"/>
  <c r="D3118" i="1"/>
  <c r="E3111" i="1"/>
  <c r="D5523" i="1" l="1"/>
  <c r="E5523" i="1" s="1"/>
  <c r="E5506" i="1"/>
  <c r="B5514" i="1" s="1"/>
  <c r="E5514" i="1" s="1"/>
  <c r="F5514" i="1" s="1"/>
  <c r="E644" i="1"/>
  <c r="B649" i="1" s="1"/>
  <c r="E649" i="1" s="1"/>
  <c r="F649" i="1" s="1"/>
  <c r="F20" i="12" s="1"/>
  <c r="D733" i="1"/>
  <c r="D654" i="1"/>
  <c r="B3114" i="1"/>
  <c r="E3114" i="1" s="1"/>
  <c r="F3114" i="1" s="1"/>
  <c r="E3118" i="1"/>
  <c r="D3125" i="1"/>
  <c r="E654" i="1" l="1"/>
  <c r="B659" i="1" s="1"/>
  <c r="E659" i="1" s="1"/>
  <c r="F659" i="1" s="1"/>
  <c r="F21" i="12" s="1"/>
  <c r="D664" i="1"/>
  <c r="E664" i="1" s="1"/>
  <c r="B669" i="1" s="1"/>
  <c r="E669" i="1" s="1"/>
  <c r="F669" i="1" s="1"/>
  <c r="F22" i="12" s="1"/>
  <c r="D743" i="1"/>
  <c r="E733" i="1"/>
  <c r="B738" i="1" s="1"/>
  <c r="E738" i="1" s="1"/>
  <c r="F738" i="1" s="1"/>
  <c r="G13" i="12" s="1"/>
  <c r="B5533" i="1"/>
  <c r="E5533" i="1" s="1"/>
  <c r="F5533" i="1" s="1"/>
  <c r="B3121" i="1"/>
  <c r="E3121" i="1" s="1"/>
  <c r="F3121" i="1" s="1"/>
  <c r="D3131" i="1"/>
  <c r="E3125" i="1"/>
  <c r="E743" i="1" l="1"/>
  <c r="B749" i="1" s="1"/>
  <c r="E749" i="1" s="1"/>
  <c r="F749" i="1" s="1"/>
  <c r="G14" i="12" s="1"/>
  <c r="D754" i="1"/>
  <c r="B3128" i="1"/>
  <c r="E3128" i="1" s="1"/>
  <c r="F3128" i="1" s="1"/>
  <c r="E3131" i="1"/>
  <c r="D3143" i="1"/>
  <c r="E754" i="1" l="1"/>
  <c r="B759" i="1" s="1"/>
  <c r="E759" i="1" s="1"/>
  <c r="F759" i="1" s="1"/>
  <c r="G15" i="12" s="1"/>
  <c r="D764" i="1"/>
  <c r="D2552" i="1"/>
  <c r="E2552" i="1" s="1"/>
  <c r="B2558" i="1" s="1"/>
  <c r="E2558" i="1" s="1"/>
  <c r="F2558" i="1" s="1"/>
  <c r="D5578" i="1"/>
  <c r="D2436" i="1"/>
  <c r="E2436" i="1" s="1"/>
  <c r="D2488" i="1"/>
  <c r="E2488" i="1" s="1"/>
  <c r="B2494" i="1" s="1"/>
  <c r="E2494" i="1" s="1"/>
  <c r="F2494" i="1" s="1"/>
  <c r="D2565" i="1"/>
  <c r="E2565" i="1" s="1"/>
  <c r="D2449" i="1"/>
  <c r="E2449" i="1" s="1"/>
  <c r="B2455" i="1" s="1"/>
  <c r="E2455" i="1" s="1"/>
  <c r="F2455" i="1" s="1"/>
  <c r="D2462" i="1"/>
  <c r="E2462" i="1" s="1"/>
  <c r="D2539" i="1"/>
  <c r="E2539" i="1" s="1"/>
  <c r="B2545" i="1" s="1"/>
  <c r="E2545" i="1" s="1"/>
  <c r="F2545" i="1" s="1"/>
  <c r="D2475" i="1"/>
  <c r="E2475" i="1" s="1"/>
  <c r="B2481" i="1" s="1"/>
  <c r="E2481" i="1" s="1"/>
  <c r="F2481" i="1" s="1"/>
  <c r="D2500" i="1"/>
  <c r="D2423" i="1"/>
  <c r="E2423" i="1" s="1"/>
  <c r="D2526" i="1"/>
  <c r="E2526" i="1" s="1"/>
  <c r="B2532" i="1" s="1"/>
  <c r="E2532" i="1" s="1"/>
  <c r="F2532" i="1" s="1"/>
  <c r="D4677" i="1"/>
  <c r="D2410" i="1"/>
  <c r="E2410" i="1" s="1"/>
  <c r="B2416" i="1" s="1"/>
  <c r="E2416" i="1" s="1"/>
  <c r="F2416" i="1" s="1"/>
  <c r="D5626" i="1"/>
  <c r="E5626" i="1" s="1"/>
  <c r="D3149" i="1"/>
  <c r="E3143" i="1"/>
  <c r="B3134" i="1"/>
  <c r="E3134" i="1" s="1"/>
  <c r="F3134" i="1" s="1"/>
  <c r="B2442" i="1" l="1"/>
  <c r="E2442" i="1" s="1"/>
  <c r="F2442" i="1" s="1"/>
  <c r="D4682" i="1"/>
  <c r="E4677" i="1"/>
  <c r="B2429" i="1"/>
  <c r="E2429" i="1" s="1"/>
  <c r="F2429" i="1" s="1"/>
  <c r="D2513" i="1"/>
  <c r="E2513" i="1" s="1"/>
  <c r="B2519" i="1" s="1"/>
  <c r="E2519" i="1" s="1"/>
  <c r="F2519" i="1" s="1"/>
  <c r="E2500" i="1"/>
  <c r="B2506" i="1" s="1"/>
  <c r="E2506" i="1" s="1"/>
  <c r="F2506" i="1" s="1"/>
  <c r="E764" i="1"/>
  <c r="B769" i="1" s="1"/>
  <c r="E769" i="1" s="1"/>
  <c r="F769" i="1" s="1"/>
  <c r="G16" i="12" s="1"/>
  <c r="D774" i="1"/>
  <c r="B2571" i="1"/>
  <c r="E2571" i="1" s="1"/>
  <c r="F2571" i="1" s="1"/>
  <c r="D5590" i="1"/>
  <c r="E5578" i="1"/>
  <c r="B5636" i="1"/>
  <c r="E5636" i="1" s="1"/>
  <c r="F5636" i="1" s="1"/>
  <c r="B2468" i="1"/>
  <c r="E2468" i="1" s="1"/>
  <c r="F2468" i="1" s="1"/>
  <c r="D3156" i="1"/>
  <c r="E3149" i="1"/>
  <c r="B3145" i="1"/>
  <c r="E3145" i="1" s="1"/>
  <c r="F3145" i="1" s="1"/>
  <c r="B5586" i="1" l="1"/>
  <c r="E5586" i="1" s="1"/>
  <c r="F5586" i="1" s="1"/>
  <c r="D5601" i="1"/>
  <c r="E5590" i="1"/>
  <c r="B5598" i="1" s="1"/>
  <c r="E5598" i="1" s="1"/>
  <c r="F5598" i="1" s="1"/>
  <c r="D4691" i="1"/>
  <c r="E4691" i="1" s="1"/>
  <c r="B4696" i="1" s="1"/>
  <c r="E4696" i="1" s="1"/>
  <c r="F4696" i="1" s="1"/>
  <c r="E4682" i="1"/>
  <c r="B4687" i="1" s="1"/>
  <c r="E4687" i="1" s="1"/>
  <c r="F4687" i="1" s="1"/>
  <c r="B4679" i="1"/>
  <c r="E4679" i="1" s="1"/>
  <c r="F4679" i="1" s="1"/>
  <c r="D785" i="1"/>
  <c r="E774" i="1"/>
  <c r="B3152" i="1"/>
  <c r="E3152" i="1" s="1"/>
  <c r="F3152" i="1" s="1"/>
  <c r="D3165" i="1"/>
  <c r="E3156" i="1"/>
  <c r="E5601" i="1" l="1"/>
  <c r="D5610" i="1"/>
  <c r="E5610" i="1" s="1"/>
  <c r="B780" i="1"/>
  <c r="E780" i="1" s="1"/>
  <c r="F780" i="1" s="1"/>
  <c r="G17" i="12" s="1"/>
  <c r="E785" i="1"/>
  <c r="B790" i="1" s="1"/>
  <c r="E790" i="1" s="1"/>
  <c r="F790" i="1" s="1"/>
  <c r="G18" i="12" s="1"/>
  <c r="D795" i="1"/>
  <c r="B3159" i="1"/>
  <c r="E3159" i="1" s="1"/>
  <c r="F3159" i="1" s="1"/>
  <c r="D3172" i="1"/>
  <c r="E3165" i="1"/>
  <c r="B3168" i="1" s="1"/>
  <c r="E795" i="1" l="1"/>
  <c r="D806" i="1"/>
  <c r="B5618" i="1"/>
  <c r="E5618" i="1" s="1"/>
  <c r="F5618" i="1" s="1"/>
  <c r="B5606" i="1"/>
  <c r="E5606" i="1" s="1"/>
  <c r="F5606" i="1" s="1"/>
  <c r="E3168" i="1"/>
  <c r="F3168" i="1" s="1"/>
  <c r="E3172" i="1"/>
  <c r="B3175" i="1" s="1"/>
  <c r="D3182" i="1"/>
  <c r="B801" i="1" l="1"/>
  <c r="E801" i="1" s="1"/>
  <c r="F801" i="1" s="1"/>
  <c r="E806" i="1"/>
  <c r="B811" i="1" s="1"/>
  <c r="E811" i="1" s="1"/>
  <c r="F811" i="1" s="1"/>
  <c r="G20" i="12" s="1"/>
  <c r="D816" i="1"/>
  <c r="E3182" i="1"/>
  <c r="B3185" i="1" s="1"/>
  <c r="D3196" i="1"/>
  <c r="E3175" i="1"/>
  <c r="F3175" i="1" s="1"/>
  <c r="G19" i="12" l="1"/>
  <c r="E816" i="1"/>
  <c r="B821" i="1" s="1"/>
  <c r="E821" i="1" s="1"/>
  <c r="F821" i="1" s="1"/>
  <c r="G21" i="12" s="1"/>
  <c r="D826" i="1"/>
  <c r="E3196" i="1"/>
  <c r="D3204" i="1"/>
  <c r="E3204" i="1" s="1"/>
  <c r="D3211" i="1"/>
  <c r="E3185" i="1"/>
  <c r="F3185" i="1" s="1"/>
  <c r="E826" i="1" l="1"/>
  <c r="B831" i="1" s="1"/>
  <c r="E831" i="1" s="1"/>
  <c r="F831" i="1" s="1"/>
  <c r="G22" i="12" s="1"/>
  <c r="D888" i="1"/>
  <c r="B3207" i="1"/>
  <c r="E3207" i="1" s="1"/>
  <c r="F3207" i="1" s="1"/>
  <c r="D3234" i="1"/>
  <c r="E3211" i="1"/>
  <c r="B3200" i="1"/>
  <c r="E3200" i="1" s="1"/>
  <c r="F3200" i="1" s="1"/>
  <c r="D897" i="1" l="1"/>
  <c r="E888" i="1"/>
  <c r="B893" i="1" s="1"/>
  <c r="E893" i="1" s="1"/>
  <c r="F893" i="1" s="1"/>
  <c r="H13" i="12" s="1"/>
  <c r="E3234" i="1"/>
  <c r="B3236" i="1" s="1"/>
  <c r="D3240" i="1"/>
  <c r="B3214" i="1"/>
  <c r="E3214" i="1" s="1"/>
  <c r="F3214" i="1" s="1"/>
  <c r="E897" i="1" l="1"/>
  <c r="B902" i="1" s="1"/>
  <c r="E902" i="1" s="1"/>
  <c r="F902" i="1" s="1"/>
  <c r="H14" i="12" s="1"/>
  <c r="D907" i="1"/>
  <c r="E3240" i="1"/>
  <c r="D3247" i="1"/>
  <c r="E3236" i="1"/>
  <c r="F3236" i="1" s="1"/>
  <c r="E907" i="1" l="1"/>
  <c r="B912" i="1" s="1"/>
  <c r="E912" i="1" s="1"/>
  <c r="F912" i="1" s="1"/>
  <c r="H15" i="12" s="1"/>
  <c r="D917" i="1"/>
  <c r="D2628" i="1"/>
  <c r="E2628" i="1" s="1"/>
  <c r="B2634" i="1" s="1"/>
  <c r="E2634" i="1" s="1"/>
  <c r="F2634" i="1" s="1"/>
  <c r="D2704" i="1"/>
  <c r="E2704" i="1" s="1"/>
  <c r="D5738" i="1"/>
  <c r="E5738" i="1" s="1"/>
  <c r="D2692" i="1"/>
  <c r="E2692" i="1" s="1"/>
  <c r="B2698" i="1" s="1"/>
  <c r="E2698" i="1" s="1"/>
  <c r="F2698" i="1" s="1"/>
  <c r="D2729" i="1"/>
  <c r="E2729" i="1" s="1"/>
  <c r="B2735" i="1" s="1"/>
  <c r="E2735" i="1" s="1"/>
  <c r="F2735" i="1" s="1"/>
  <c r="D2641" i="1"/>
  <c r="E2641" i="1" s="1"/>
  <c r="D5689" i="1"/>
  <c r="D2589" i="1"/>
  <c r="E2589" i="1" s="1"/>
  <c r="B2595" i="1" s="1"/>
  <c r="E2595" i="1" s="1"/>
  <c r="F2595" i="1" s="1"/>
  <c r="D2615" i="1"/>
  <c r="E2615" i="1" s="1"/>
  <c r="B2621" i="1" s="1"/>
  <c r="E2621" i="1" s="1"/>
  <c r="F2621" i="1" s="1"/>
  <c r="D2653" i="1"/>
  <c r="E2653" i="1" s="1"/>
  <c r="D2666" i="1"/>
  <c r="D2717" i="1"/>
  <c r="E2717" i="1" s="1"/>
  <c r="B2723" i="1" s="1"/>
  <c r="E2723" i="1" s="1"/>
  <c r="F2723" i="1" s="1"/>
  <c r="D2602" i="1"/>
  <c r="E2602" i="1" s="1"/>
  <c r="D4927" i="1"/>
  <c r="B3243" i="1"/>
  <c r="E3243" i="1" s="1"/>
  <c r="F3243" i="1" s="1"/>
  <c r="E3247" i="1"/>
  <c r="D3254" i="1"/>
  <c r="B2647" i="1" l="1"/>
  <c r="E2647" i="1" s="1"/>
  <c r="F2647" i="1" s="1"/>
  <c r="B2608" i="1"/>
  <c r="E2608" i="1" s="1"/>
  <c r="F2608" i="1" s="1"/>
  <c r="D2679" i="1"/>
  <c r="E2679" i="1" s="1"/>
  <c r="B2685" i="1" s="1"/>
  <c r="E2685" i="1" s="1"/>
  <c r="F2685" i="1" s="1"/>
  <c r="E2666" i="1"/>
  <c r="B2710" i="1"/>
  <c r="E2710" i="1" s="1"/>
  <c r="F2710" i="1" s="1"/>
  <c r="B2659" i="1"/>
  <c r="E2659" i="1" s="1"/>
  <c r="F2659" i="1" s="1"/>
  <c r="D927" i="1"/>
  <c r="E917" i="1"/>
  <c r="B922" i="1" s="1"/>
  <c r="E922" i="1" s="1"/>
  <c r="F922" i="1" s="1"/>
  <c r="H16" i="12" s="1"/>
  <c r="D4932" i="1"/>
  <c r="E4927" i="1"/>
  <c r="B4929" i="1" s="1"/>
  <c r="E4929" i="1" s="1"/>
  <c r="F4929" i="1" s="1"/>
  <c r="B5748" i="1"/>
  <c r="E5748" i="1" s="1"/>
  <c r="F5748" i="1" s="1"/>
  <c r="E5689" i="1"/>
  <c r="B5697" i="1" s="1"/>
  <c r="E5697" i="1" s="1"/>
  <c r="F5697" i="1" s="1"/>
  <c r="D5701" i="1"/>
  <c r="D3261" i="1"/>
  <c r="E3254" i="1"/>
  <c r="B3250" i="1"/>
  <c r="E3250" i="1" s="1"/>
  <c r="F3250" i="1" s="1"/>
  <c r="B2672" i="1" l="1"/>
  <c r="E2672" i="1" s="1"/>
  <c r="F2672" i="1" s="1"/>
  <c r="E4932" i="1"/>
  <c r="B4937" i="1" s="1"/>
  <c r="E4937" i="1" s="1"/>
  <c r="F4937" i="1" s="1"/>
  <c r="D4941" i="1"/>
  <c r="E4941" i="1" s="1"/>
  <c r="B4946" i="1" s="1"/>
  <c r="E4946" i="1" s="1"/>
  <c r="F4946" i="1" s="1"/>
  <c r="E927" i="1"/>
  <c r="B932" i="1" s="1"/>
  <c r="E932" i="1" s="1"/>
  <c r="F932" i="1" s="1"/>
  <c r="H17" i="12" s="1"/>
  <c r="D937" i="1"/>
  <c r="D5712" i="1"/>
  <c r="E5701" i="1"/>
  <c r="B5709" i="1" s="1"/>
  <c r="E5709" i="1" s="1"/>
  <c r="F5709" i="1" s="1"/>
  <c r="E3261" i="1"/>
  <c r="D3273" i="1"/>
  <c r="B3257" i="1"/>
  <c r="E3257" i="1" s="1"/>
  <c r="F3257" i="1" s="1"/>
  <c r="D5726" i="1" l="1"/>
  <c r="E5726" i="1" s="1"/>
  <c r="B5734" i="1" s="1"/>
  <c r="E5734" i="1" s="1"/>
  <c r="F5734" i="1" s="1"/>
  <c r="E5712" i="1"/>
  <c r="E937" i="1"/>
  <c r="B942" i="1" s="1"/>
  <c r="E942" i="1" s="1"/>
  <c r="F942" i="1" s="1"/>
  <c r="H18" i="12" s="1"/>
  <c r="D947" i="1"/>
  <c r="B3264" i="1"/>
  <c r="E3264" i="1" s="1"/>
  <c r="F3264" i="1" s="1"/>
  <c r="E3273" i="1"/>
  <c r="D3279" i="1"/>
  <c r="B5717" i="1" l="1"/>
  <c r="E5717" i="1" s="1"/>
  <c r="F5717" i="1" s="1"/>
  <c r="D957" i="1"/>
  <c r="E947" i="1"/>
  <c r="B952" i="1" s="1"/>
  <c r="E952" i="1" s="1"/>
  <c r="F952" i="1" s="1"/>
  <c r="H19" i="12" s="1"/>
  <c r="D3286" i="1"/>
  <c r="E3279" i="1"/>
  <c r="B3275" i="1"/>
  <c r="E3275" i="1" s="1"/>
  <c r="F3275" i="1" s="1"/>
  <c r="D967" i="1" l="1"/>
  <c r="E957" i="1"/>
  <c r="B962" i="1" s="1"/>
  <c r="E962" i="1" s="1"/>
  <c r="F962" i="1" s="1"/>
  <c r="H20" i="12" s="1"/>
  <c r="B3282" i="1"/>
  <c r="E3282" i="1" s="1"/>
  <c r="F3282" i="1" s="1"/>
  <c r="D3294" i="1"/>
  <c r="E3286" i="1"/>
  <c r="D977" i="1" l="1"/>
  <c r="E977" i="1" s="1"/>
  <c r="B982" i="1" s="1"/>
  <c r="E982" i="1" s="1"/>
  <c r="F982" i="1" s="1"/>
  <c r="H22" i="12" s="1"/>
  <c r="E967" i="1"/>
  <c r="D3301" i="1"/>
  <c r="E3294" i="1"/>
  <c r="B3289" i="1"/>
  <c r="E3289" i="1" s="1"/>
  <c r="F3289" i="1" s="1"/>
  <c r="B972" i="1" l="1"/>
  <c r="E972" i="1" s="1"/>
  <c r="F972" i="1" s="1"/>
  <c r="H21" i="12" s="1"/>
  <c r="B3297" i="1"/>
  <c r="E3297" i="1" s="1"/>
  <c r="F3297" i="1" s="1"/>
  <c r="E3301" i="1"/>
  <c r="D3308" i="1"/>
  <c r="B3304" i="1" l="1"/>
  <c r="E3304" i="1" s="1"/>
  <c r="F3304" i="1" s="1"/>
  <c r="D3322" i="1"/>
  <c r="E3322" i="1" s="1"/>
  <c r="E3308" i="1"/>
  <c r="D3330" i="1"/>
  <c r="B3311" i="1" l="1"/>
  <c r="E3311" i="1" s="1"/>
  <c r="F3311" i="1" s="1"/>
  <c r="B3326" i="1"/>
  <c r="E3326" i="1" s="1"/>
  <c r="F3326" i="1" s="1"/>
  <c r="D3337" i="1"/>
  <c r="E3337" i="1" s="1"/>
  <c r="D3355" i="1"/>
  <c r="E3330" i="1"/>
  <c r="B3340" i="1" l="1"/>
  <c r="E3340" i="1" s="1"/>
  <c r="F3340" i="1" s="1"/>
  <c r="B3333" i="1"/>
  <c r="E3333" i="1" s="1"/>
  <c r="F3333" i="1" s="1"/>
  <c r="E3355" i="1"/>
  <c r="D3361" i="1"/>
  <c r="B3357" i="1" l="1"/>
  <c r="E3357" i="1" s="1"/>
  <c r="F3357" i="1" s="1"/>
  <c r="D3368" i="1"/>
  <c r="E3361" i="1"/>
  <c r="B3364" i="1" l="1"/>
  <c r="E3364" i="1" s="1"/>
  <c r="F3364" i="1" s="1"/>
  <c r="D3375" i="1"/>
  <c r="E3375" i="1" s="1"/>
  <c r="E3368" i="1"/>
  <c r="D3382" i="1"/>
  <c r="B3371" i="1" l="1"/>
  <c r="E3371" i="1" s="1"/>
  <c r="F3371" i="1" s="1"/>
  <c r="B3378" i="1"/>
  <c r="E3378" i="1" s="1"/>
  <c r="F3378" i="1" s="1"/>
  <c r="E3382" i="1"/>
  <c r="D3394" i="1"/>
  <c r="B3385" i="1" l="1"/>
  <c r="E3385" i="1" s="1"/>
  <c r="F3385" i="1" s="1"/>
  <c r="D3399" i="1"/>
  <c r="E3394" i="1"/>
  <c r="B3396" i="1" l="1"/>
  <c r="E3396" i="1" s="1"/>
  <c r="F3396" i="1" s="1"/>
  <c r="E3399" i="1"/>
  <c r="D3406" i="1"/>
  <c r="B3402" i="1" l="1"/>
  <c r="E3402" i="1" s="1"/>
  <c r="F3402" i="1" s="1"/>
  <c r="E3406" i="1"/>
  <c r="D3415" i="1"/>
  <c r="B3409" i="1" l="1"/>
  <c r="E3409" i="1" s="1"/>
  <c r="F3409" i="1" s="1"/>
  <c r="D3429" i="1"/>
  <c r="D3422" i="1"/>
  <c r="E3422" i="1" s="1"/>
  <c r="E3415" i="1"/>
  <c r="B3425" i="1" l="1"/>
  <c r="E3425" i="1" s="1"/>
  <c r="F3425" i="1" s="1"/>
  <c r="B3418" i="1"/>
  <c r="E3418" i="1" s="1"/>
  <c r="F3418" i="1" s="1"/>
  <c r="D3443" i="1"/>
  <c r="E3429" i="1"/>
  <c r="B3432" i="1" l="1"/>
  <c r="E3432" i="1" s="1"/>
  <c r="F3432" i="1" s="1"/>
  <c r="E3443" i="1"/>
  <c r="D3450" i="1"/>
  <c r="B3447" i="1" l="1"/>
  <c r="E3447" i="1" s="1"/>
  <c r="F3447" i="1" s="1"/>
  <c r="E3450" i="1"/>
  <c r="D3457" i="1"/>
  <c r="D3474" i="1" l="1"/>
  <c r="E3457" i="1"/>
  <c r="B3453" i="1"/>
  <c r="E3453" i="1" s="1"/>
  <c r="F3453" i="1" s="1"/>
  <c r="B3460" i="1" l="1"/>
  <c r="E3460" i="1" s="1"/>
  <c r="F3460" i="1" s="1"/>
  <c r="D3480" i="1"/>
  <c r="E3474" i="1"/>
  <c r="B3476" i="1" l="1"/>
  <c r="E3476" i="1" s="1"/>
  <c r="F3476" i="1" s="1"/>
  <c r="D3487" i="1"/>
  <c r="E3480" i="1"/>
  <c r="B3483" i="1" l="1"/>
  <c r="E3483" i="1" s="1"/>
  <c r="F3483" i="1" s="1"/>
  <c r="D3494" i="1"/>
  <c r="E3487" i="1"/>
  <c r="B3490" i="1" l="1"/>
  <c r="E3490" i="1" s="1"/>
  <c r="F3490" i="1" s="1"/>
  <c r="E3494" i="1"/>
  <c r="D3500" i="1"/>
  <c r="B3497" i="1" l="1"/>
  <c r="E3497" i="1" s="1"/>
  <c r="F3497" i="1" s="1"/>
  <c r="D3512" i="1"/>
  <c r="E3500" i="1"/>
  <c r="B3503" i="1" l="1"/>
  <c r="E3503" i="1" s="1"/>
  <c r="F3503" i="1" s="1"/>
  <c r="E3512" i="1"/>
  <c r="D3518" i="1"/>
  <c r="E3518" i="1" l="1"/>
  <c r="D3525" i="1"/>
  <c r="E3525" i="1" s="1"/>
  <c r="B3514" i="1"/>
  <c r="E3514" i="1" s="1"/>
  <c r="F3514" i="1" s="1"/>
  <c r="B3528" i="1" l="1"/>
  <c r="E3528" i="1" s="1"/>
  <c r="F3528" i="1" s="1"/>
  <c r="B3521" i="1"/>
  <c r="E3521" i="1" s="1"/>
  <c r="F3521" i="1" s="1"/>
  <c r="D671" i="27"/>
  <c r="Z46" i="26"/>
  <c r="M796" i="25"/>
  <c r="J802" i="25" s="1"/>
  <c r="M802" i="25" s="1"/>
  <c r="M805" i="25" s="1"/>
  <c r="M824" i="25"/>
  <c r="E797" i="25"/>
  <c r="E803" i="25" s="1"/>
  <c r="F803" i="25" s="1"/>
  <c r="M922" i="25"/>
  <c r="J928" i="25" l="1"/>
  <c r="M928" i="25" s="1"/>
  <c r="M931" i="25" s="1"/>
  <c r="J829" i="25"/>
  <c r="M829" i="25" s="1"/>
  <c r="M832" i="25" s="1"/>
  <c r="E893" i="25"/>
  <c r="E1038" i="25"/>
  <c r="F1038" i="25" s="1"/>
  <c r="E808" i="25"/>
  <c r="F808" i="25" s="1"/>
  <c r="F797" i="25"/>
  <c r="M810" i="25"/>
  <c r="J816" i="25" l="1"/>
  <c r="M816" i="25" s="1"/>
  <c r="M819" i="25" s="1"/>
  <c r="F893" i="25"/>
  <c r="L893" i="25"/>
  <c r="E904" i="25"/>
  <c r="F904" i="25" s="1"/>
  <c r="E899" i="25"/>
  <c r="F899" i="25" s="1"/>
  <c r="G815" i="25"/>
  <c r="F923" i="25"/>
  <c r="F938" i="25"/>
  <c r="C945" i="25" l="1"/>
  <c r="F945" i="25" s="1"/>
  <c r="F947" i="25" s="1"/>
  <c r="C929" i="25"/>
  <c r="F929" i="25" s="1"/>
  <c r="F932" i="25" s="1"/>
  <c r="G816" i="25"/>
  <c r="G817" i="25"/>
  <c r="L899" i="25"/>
  <c r="M899" i="25" s="1"/>
  <c r="M893" i="25"/>
  <c r="L904" i="25"/>
  <c r="M904" i="25" s="1"/>
  <c r="G917" i="25"/>
  <c r="G911" i="25"/>
  <c r="N911" i="25" l="1"/>
  <c r="N913" i="25" s="1"/>
  <c r="G913" i="25"/>
  <c r="G912" i="25"/>
  <c r="N912" i="25" l="1"/>
  <c r="F828" i="25" l="1"/>
  <c r="E5446" i="1"/>
  <c r="F5446" i="1" s="1"/>
  <c r="F56" i="18" l="1"/>
  <c r="F53" i="18"/>
  <c r="F52" i="18"/>
  <c r="F57" i="18"/>
  <c r="F54" i="18"/>
  <c r="F58" i="18"/>
  <c r="F55" i="18"/>
  <c r="F59" i="18"/>
  <c r="G59" i="18" l="1"/>
  <c r="G61" i="18" s="1"/>
</calcChain>
</file>

<file path=xl/comments1.xml><?xml version="1.0" encoding="utf-8"?>
<comments xmlns="http://schemas.openxmlformats.org/spreadsheetml/2006/main">
  <authors>
    <author>malopez</author>
    <author>Marisol Lopez</author>
    <author>.</author>
  </authors>
  <commentList>
    <comment ref="D5" authorId="0" shapeId="0">
      <text>
        <r>
          <rPr>
            <b/>
            <sz val="8"/>
            <color indexed="81"/>
            <rFont val="Tahoma"/>
            <family val="2"/>
          </rPr>
          <t>malopez:</t>
        </r>
        <r>
          <rPr>
            <sz val="8"/>
            <color indexed="81"/>
            <rFont val="Tahoma"/>
            <family val="2"/>
          </rPr>
          <t xml:space="preserve">
27-agosto-08 papaterra</t>
        </r>
      </text>
    </comment>
    <comment ref="F52" authorId="0" shapeId="0">
      <text>
        <r>
          <rPr>
            <b/>
            <sz val="8"/>
            <color indexed="81"/>
            <rFont val="Tahoma"/>
            <family val="2"/>
          </rPr>
          <t>malopez:</t>
        </r>
        <r>
          <rPr>
            <sz val="8"/>
            <color indexed="81"/>
            <rFont val="Tahoma"/>
            <family val="2"/>
          </rPr>
          <t xml:space="preserve">
27-agosto-08 papaterra
</t>
        </r>
      </text>
    </comment>
    <comment ref="C76" authorId="0" shapeId="0">
      <text>
        <r>
          <rPr>
            <b/>
            <sz val="8"/>
            <color indexed="81"/>
            <rFont val="Tahoma"/>
            <family val="2"/>
          </rPr>
          <t>malopez:</t>
        </r>
        <r>
          <rPr>
            <sz val="8"/>
            <color indexed="81"/>
            <rFont val="Tahoma"/>
            <family val="2"/>
          </rPr>
          <t xml:space="preserve">
POPULAR
</t>
        </r>
      </text>
    </comment>
    <comment ref="A188" authorId="0" shapeId="0">
      <text>
        <r>
          <rPr>
            <b/>
            <sz val="8"/>
            <color indexed="81"/>
            <rFont val="Tahoma"/>
            <family val="2"/>
          </rPr>
          <t>malopez:</t>
        </r>
        <r>
          <rPr>
            <sz val="8"/>
            <color indexed="81"/>
            <rFont val="Tahoma"/>
            <family val="2"/>
          </rPr>
          <t xml:space="preserve">
dos espantapajaros por plancha
</t>
        </r>
      </text>
    </comment>
    <comment ref="A299" authorId="0" shapeId="0">
      <text>
        <r>
          <rPr>
            <b/>
            <sz val="8"/>
            <color indexed="81"/>
            <rFont val="Tahoma"/>
            <family val="2"/>
          </rPr>
          <t>malopez:</t>
        </r>
        <r>
          <rPr>
            <sz val="8"/>
            <color indexed="81"/>
            <rFont val="Tahoma"/>
            <family val="2"/>
          </rPr>
          <t xml:space="preserve">
ACTUALIZADA CON RESOLUCIONES 1,2,3 Y 8 DEL 2011
</t>
        </r>
      </text>
    </comment>
    <comment ref="C301" authorId="1" shapeId="0">
      <text>
        <r>
          <rPr>
            <b/>
            <sz val="9"/>
            <color indexed="81"/>
            <rFont val="Tahoma"/>
            <family val="2"/>
          </rPr>
          <t>Marisol Lopez:</t>
        </r>
        <r>
          <rPr>
            <sz val="9"/>
            <color indexed="81"/>
            <rFont val="Tahoma"/>
            <family val="2"/>
          </rPr>
          <t xml:space="preserve">
AUMENTO UN 15% SEGÚN EL MINISTERIO DE TRABAJO.
</t>
        </r>
      </text>
    </comment>
    <comment ref="D672" authorId="2" shapeId="0">
      <text>
        <r>
          <rPr>
            <b/>
            <sz val="8"/>
            <color indexed="81"/>
            <rFont val="Tahoma"/>
            <family val="2"/>
          </rPr>
          <t>.:</t>
        </r>
        <r>
          <rPr>
            <sz val="8"/>
            <color indexed="81"/>
            <rFont val="Tahoma"/>
            <family val="2"/>
          </rPr>
          <t xml:space="preserve">
La mano de obra anterior
se dividio entre dos .</t>
        </r>
      </text>
    </comment>
  </commentList>
</comments>
</file>

<file path=xl/comments2.xml><?xml version="1.0" encoding="utf-8"?>
<comments xmlns="http://schemas.openxmlformats.org/spreadsheetml/2006/main">
  <authors>
    <author>malopez</author>
    <author>rpimentel</author>
  </authors>
  <commentList>
    <comment ref="D1039"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D1049"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D1058" authorId="0" shapeId="0">
      <text>
        <r>
          <rPr>
            <b/>
            <sz val="8"/>
            <color indexed="81"/>
            <rFont val="Tahoma"/>
            <family val="2"/>
          </rPr>
          <t>malopez:</t>
        </r>
        <r>
          <rPr>
            <sz val="8"/>
            <color indexed="81"/>
            <rFont val="Tahoma"/>
            <family val="2"/>
          </rPr>
          <t xml:space="preserve">
la mano de obra anterior se dividió entre dos que 
es lo que se paga por el
desmonte.
</t>
        </r>
      </text>
    </comment>
    <comment ref="B518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19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1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2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65"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7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29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13"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6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38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0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1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75"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48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0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24"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7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59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11"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2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690"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02"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27"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 ref="B5739" authorId="1" shapeId="0">
      <text>
        <r>
          <rPr>
            <b/>
            <sz val="8"/>
            <color indexed="81"/>
            <rFont val="Tahoma"/>
            <family val="2"/>
          </rPr>
          <t>rpimentel:</t>
        </r>
        <r>
          <rPr>
            <sz val="8"/>
            <color indexed="81"/>
            <rFont val="Tahoma"/>
            <family val="2"/>
          </rPr>
          <t xml:space="preserve">
se tomó esta mezcla y esta volumetria del libro rojo, y en colaboración con Ruben Pimentel.
</t>
        </r>
      </text>
    </comment>
  </commentList>
</comments>
</file>

<file path=xl/comments3.xml><?xml version="1.0" encoding="utf-8"?>
<comments xmlns="http://schemas.openxmlformats.org/spreadsheetml/2006/main">
  <authors>
    <author>Lisbeth</author>
    <author>Danis Ines E Del C De Js Brito Gomez</author>
  </authors>
  <commentList>
    <comment ref="K208" authorId="0" shapeId="0">
      <text>
        <r>
          <rPr>
            <b/>
            <sz val="9"/>
            <color indexed="81"/>
            <rFont val="Tahoma"/>
            <family val="2"/>
          </rPr>
          <t>Lisbeth:</t>
        </r>
        <r>
          <rPr>
            <sz val="9"/>
            <color indexed="81"/>
            <rFont val="Tahoma"/>
            <family val="2"/>
          </rPr>
          <t xml:space="preserve">
NO SE TIENEN LOS PLANOS ESTRUCTURALES
</t>
        </r>
      </text>
    </comment>
    <comment ref="F225" authorId="1" shapeId="0">
      <text>
        <r>
          <rPr>
            <b/>
            <sz val="9"/>
            <color indexed="81"/>
            <rFont val="Tahoma"/>
            <family val="2"/>
          </rPr>
          <t>Danis Ines E Del C De Js Brito Gomez:</t>
        </r>
        <r>
          <rPr>
            <sz val="9"/>
            <color indexed="81"/>
            <rFont val="Tahoma"/>
            <family val="2"/>
          </rPr>
          <t xml:space="preserve">
DEFINIR ALTURA</t>
        </r>
      </text>
    </comment>
    <comment ref="O225" authorId="1" shapeId="0">
      <text>
        <r>
          <rPr>
            <b/>
            <sz val="9"/>
            <color indexed="81"/>
            <rFont val="Tahoma"/>
            <family val="2"/>
          </rPr>
          <t>Danis Ines E Del C De Js Brito Gomez:</t>
        </r>
        <r>
          <rPr>
            <sz val="9"/>
            <color indexed="81"/>
            <rFont val="Tahoma"/>
            <family val="2"/>
          </rPr>
          <t xml:space="preserve">
DEFINIR ALTURA</t>
        </r>
      </text>
    </comment>
    <comment ref="K233" authorId="0" shapeId="0">
      <text>
        <r>
          <rPr>
            <b/>
            <sz val="9"/>
            <color indexed="81"/>
            <rFont val="Tahoma"/>
            <family val="2"/>
          </rPr>
          <t>Lisbeth:</t>
        </r>
        <r>
          <rPr>
            <sz val="9"/>
            <color indexed="81"/>
            <rFont val="Tahoma"/>
            <family val="2"/>
          </rPr>
          <t xml:space="preserve">
NO SE TIENEN LOS PLANOS ESTRUCTURALES
</t>
        </r>
      </text>
    </comment>
    <comment ref="K343" authorId="0" shapeId="0">
      <text>
        <r>
          <rPr>
            <b/>
            <sz val="9"/>
            <color indexed="81"/>
            <rFont val="Tahoma"/>
            <family val="2"/>
          </rPr>
          <t>Lisbeth:</t>
        </r>
        <r>
          <rPr>
            <sz val="9"/>
            <color indexed="81"/>
            <rFont val="Tahoma"/>
            <family val="2"/>
          </rPr>
          <t xml:space="preserve">
NO SE TIENEN LOS PLANOS ESTRUCTURALES
</t>
        </r>
      </text>
    </comment>
    <comment ref="F360" authorId="1" shapeId="0">
      <text>
        <r>
          <rPr>
            <b/>
            <sz val="9"/>
            <color indexed="81"/>
            <rFont val="Tahoma"/>
            <family val="2"/>
          </rPr>
          <t>Danis Ines E Del C De Js Brito Gomez:</t>
        </r>
        <r>
          <rPr>
            <sz val="9"/>
            <color indexed="81"/>
            <rFont val="Tahoma"/>
            <family val="2"/>
          </rPr>
          <t xml:space="preserve">
DEFINIR ALTURA</t>
        </r>
      </text>
    </comment>
    <comment ref="O360" authorId="1" shapeId="0">
      <text>
        <r>
          <rPr>
            <b/>
            <sz val="9"/>
            <color indexed="81"/>
            <rFont val="Tahoma"/>
            <family val="2"/>
          </rPr>
          <t>Danis Ines E Del C De Js Brito Gomez:</t>
        </r>
        <r>
          <rPr>
            <sz val="9"/>
            <color indexed="81"/>
            <rFont val="Tahoma"/>
            <family val="2"/>
          </rPr>
          <t xml:space="preserve">
DEFINIR ALTURA</t>
        </r>
      </text>
    </comment>
    <comment ref="K368" authorId="0" shapeId="0">
      <text>
        <r>
          <rPr>
            <b/>
            <sz val="9"/>
            <color indexed="81"/>
            <rFont val="Tahoma"/>
            <family val="2"/>
          </rPr>
          <t>Lisbeth:</t>
        </r>
        <r>
          <rPr>
            <sz val="9"/>
            <color indexed="81"/>
            <rFont val="Tahoma"/>
            <family val="2"/>
          </rPr>
          <t xml:space="preserve">
NO SE TIENEN LOS PLANOS ESTRUCTURALES
</t>
        </r>
      </text>
    </comment>
    <comment ref="K488" authorId="0" shapeId="0">
      <text>
        <r>
          <rPr>
            <b/>
            <sz val="9"/>
            <color indexed="81"/>
            <rFont val="Tahoma"/>
            <family val="2"/>
          </rPr>
          <t>Lisbeth:</t>
        </r>
        <r>
          <rPr>
            <sz val="9"/>
            <color indexed="81"/>
            <rFont val="Tahoma"/>
            <family val="2"/>
          </rPr>
          <t xml:space="preserve">
NO SE TIENEN LOS PLANOS ESTRUCTURALES
</t>
        </r>
      </text>
    </comment>
    <comment ref="K508" authorId="0" shapeId="0">
      <text>
        <r>
          <rPr>
            <b/>
            <sz val="9"/>
            <color indexed="81"/>
            <rFont val="Tahoma"/>
            <family val="2"/>
          </rPr>
          <t>Lisbeth:</t>
        </r>
        <r>
          <rPr>
            <sz val="9"/>
            <color indexed="81"/>
            <rFont val="Tahoma"/>
            <family val="2"/>
          </rPr>
          <t xml:space="preserve">
NO SE TIENEN LOS PLANOS ESTRUCTURALES
</t>
        </r>
      </text>
    </comment>
  </commentList>
</comments>
</file>

<file path=xl/comments4.xml><?xml version="1.0" encoding="utf-8"?>
<comments xmlns="http://schemas.openxmlformats.org/spreadsheetml/2006/main">
  <authors>
    <author>Lisbeth</author>
  </authors>
  <commentList>
    <comment ref="I666" authorId="0" shapeId="0">
      <text>
        <r>
          <rPr>
            <b/>
            <sz val="9"/>
            <color indexed="81"/>
            <rFont val="Tahoma"/>
            <family val="2"/>
          </rPr>
          <t>Lisbeth:</t>
        </r>
        <r>
          <rPr>
            <sz val="9"/>
            <color indexed="81"/>
            <rFont val="Tahoma"/>
            <family val="2"/>
          </rPr>
          <t xml:space="preserve">
los 5 adicionales que faltan calcularlo en la losa 11</t>
        </r>
      </text>
    </comment>
    <comment ref="I667" authorId="0" shapeId="0">
      <text>
        <r>
          <rPr>
            <b/>
            <sz val="9"/>
            <color indexed="81"/>
            <rFont val="Tahoma"/>
            <family val="2"/>
          </rPr>
          <t>Lisbeth:</t>
        </r>
        <r>
          <rPr>
            <sz val="9"/>
            <color indexed="81"/>
            <rFont val="Tahoma"/>
            <family val="2"/>
          </rPr>
          <t xml:space="preserve">
de los 14 Se calcula 7 para esta losa y 7 para la sguiente</t>
        </r>
      </text>
    </comment>
    <comment ref="I712" authorId="0" shapeId="0">
      <text>
        <r>
          <rPr>
            <b/>
            <sz val="9"/>
            <color indexed="81"/>
            <rFont val="Tahoma"/>
            <family val="2"/>
          </rPr>
          <t>Lisbeth:</t>
        </r>
        <r>
          <rPr>
            <sz val="9"/>
            <color indexed="81"/>
            <rFont val="Tahoma"/>
            <family val="2"/>
          </rPr>
          <t xml:space="preserve">
de los 14 Se calcula 7 para esta losa y 7 para la sguiente</t>
        </r>
      </text>
    </comment>
    <comment ref="I720" authorId="0" shapeId="0">
      <text>
        <r>
          <rPr>
            <b/>
            <sz val="9"/>
            <color indexed="81"/>
            <rFont val="Tahoma"/>
            <family val="2"/>
          </rPr>
          <t>Lisbeth:</t>
        </r>
        <r>
          <rPr>
            <sz val="9"/>
            <color indexed="81"/>
            <rFont val="Tahoma"/>
            <family val="2"/>
          </rPr>
          <t xml:space="preserve">
los 5 adicionales que faltan calcularlo en la losa 11</t>
        </r>
      </text>
    </comment>
    <comment ref="I721" authorId="0" shapeId="0">
      <text>
        <r>
          <rPr>
            <b/>
            <sz val="9"/>
            <color indexed="81"/>
            <rFont val="Tahoma"/>
            <family val="2"/>
          </rPr>
          <t>Lisbeth:</t>
        </r>
        <r>
          <rPr>
            <sz val="9"/>
            <color indexed="81"/>
            <rFont val="Tahoma"/>
            <family val="2"/>
          </rPr>
          <t xml:space="preserve">
de los 14 Se calcula 7 para esta losa y 7 para la sguiente</t>
        </r>
      </text>
    </comment>
    <comment ref="I916" authorId="0" shapeId="0">
      <text>
        <r>
          <rPr>
            <b/>
            <sz val="9"/>
            <color indexed="81"/>
            <rFont val="Tahoma"/>
            <family val="2"/>
          </rPr>
          <t>Lisbeth:</t>
        </r>
        <r>
          <rPr>
            <sz val="9"/>
            <color indexed="81"/>
            <rFont val="Tahoma"/>
            <family val="2"/>
          </rPr>
          <t xml:space="preserve">
los 5 adicionales que faltan calcularlo en la losa 11</t>
        </r>
      </text>
    </comment>
    <comment ref="I917" authorId="0" shapeId="0">
      <text>
        <r>
          <rPr>
            <b/>
            <sz val="9"/>
            <color indexed="81"/>
            <rFont val="Tahoma"/>
            <family val="2"/>
          </rPr>
          <t>Lisbeth:</t>
        </r>
        <r>
          <rPr>
            <sz val="9"/>
            <color indexed="81"/>
            <rFont val="Tahoma"/>
            <family val="2"/>
          </rPr>
          <t xml:space="preserve">
de los 14 Se calcula 7 para esta losa y 7 para la sguiente</t>
        </r>
      </text>
    </comment>
    <comment ref="I966" authorId="0" shapeId="0">
      <text>
        <r>
          <rPr>
            <b/>
            <sz val="9"/>
            <color indexed="81"/>
            <rFont val="Tahoma"/>
            <family val="2"/>
          </rPr>
          <t>Lisbeth:</t>
        </r>
        <r>
          <rPr>
            <sz val="9"/>
            <color indexed="81"/>
            <rFont val="Tahoma"/>
            <family val="2"/>
          </rPr>
          <t xml:space="preserve">
de los 14 Se calcula 7 para esta losa y 7 para la sguiente</t>
        </r>
      </text>
    </comment>
    <comment ref="I974" authorId="0" shapeId="0">
      <text>
        <r>
          <rPr>
            <b/>
            <sz val="9"/>
            <color indexed="81"/>
            <rFont val="Tahoma"/>
            <family val="2"/>
          </rPr>
          <t>Lisbeth:</t>
        </r>
        <r>
          <rPr>
            <sz val="9"/>
            <color indexed="81"/>
            <rFont val="Tahoma"/>
            <family val="2"/>
          </rPr>
          <t xml:space="preserve">
los 5 adicionales que faltan calcularlo en la losa 11</t>
        </r>
      </text>
    </comment>
    <comment ref="I975" authorId="0" shapeId="0">
      <text>
        <r>
          <rPr>
            <b/>
            <sz val="9"/>
            <color indexed="81"/>
            <rFont val="Tahoma"/>
            <family val="2"/>
          </rPr>
          <t>Lisbeth:</t>
        </r>
        <r>
          <rPr>
            <sz val="9"/>
            <color indexed="81"/>
            <rFont val="Tahoma"/>
            <family val="2"/>
          </rPr>
          <t xml:space="preserve">
de los 14 Se calcula 7 para esta losa y 7 para la sguiente</t>
        </r>
      </text>
    </comment>
    <comment ref="I1211" authorId="0" shapeId="0">
      <text>
        <r>
          <rPr>
            <b/>
            <sz val="9"/>
            <color indexed="81"/>
            <rFont val="Tahoma"/>
            <family val="2"/>
          </rPr>
          <t>Lisbeth:</t>
        </r>
        <r>
          <rPr>
            <sz val="9"/>
            <color indexed="81"/>
            <rFont val="Tahoma"/>
            <family val="2"/>
          </rPr>
          <t xml:space="preserve">
los 5 adicionales que faltan calcularlo en la losa 11</t>
        </r>
      </text>
    </comment>
    <comment ref="I1212" authorId="0" shapeId="0">
      <text>
        <r>
          <rPr>
            <b/>
            <sz val="9"/>
            <color indexed="81"/>
            <rFont val="Tahoma"/>
            <family val="2"/>
          </rPr>
          <t>Lisbeth:</t>
        </r>
        <r>
          <rPr>
            <sz val="9"/>
            <color indexed="81"/>
            <rFont val="Tahoma"/>
            <family val="2"/>
          </rPr>
          <t xml:space="preserve">
de los 14 Se calcula 7 para esta losa y 7 para la sguiente</t>
        </r>
      </text>
    </comment>
    <comment ref="I1221" authorId="0" shapeId="0">
      <text>
        <r>
          <rPr>
            <b/>
            <sz val="9"/>
            <color indexed="81"/>
            <rFont val="Tahoma"/>
            <family val="2"/>
          </rPr>
          <t>Lisbeth:</t>
        </r>
        <r>
          <rPr>
            <sz val="9"/>
            <color indexed="81"/>
            <rFont val="Tahoma"/>
            <family val="2"/>
          </rPr>
          <t xml:space="preserve">
los 5 adicionales que faltan calcularlo en la losa 11</t>
        </r>
      </text>
    </comment>
    <comment ref="I1222" authorId="0" shapeId="0">
      <text>
        <r>
          <rPr>
            <b/>
            <sz val="9"/>
            <color indexed="81"/>
            <rFont val="Tahoma"/>
            <family val="2"/>
          </rPr>
          <t>Lisbeth:</t>
        </r>
        <r>
          <rPr>
            <sz val="9"/>
            <color indexed="81"/>
            <rFont val="Tahoma"/>
            <family val="2"/>
          </rPr>
          <t xml:space="preserve">
de los 14 Se calcula 7 para esta losa y 7 para la sguiente</t>
        </r>
      </text>
    </comment>
    <comment ref="I1231" authorId="0" shapeId="0">
      <text>
        <r>
          <rPr>
            <b/>
            <sz val="9"/>
            <color indexed="81"/>
            <rFont val="Tahoma"/>
            <family val="2"/>
          </rPr>
          <t>Lisbeth:</t>
        </r>
        <r>
          <rPr>
            <sz val="9"/>
            <color indexed="81"/>
            <rFont val="Tahoma"/>
            <family val="2"/>
          </rPr>
          <t xml:space="preserve">
los 5 adicionales que faltan calcularlo en la losa 11</t>
        </r>
      </text>
    </comment>
    <comment ref="I1233" authorId="0" shapeId="0">
      <text>
        <r>
          <rPr>
            <b/>
            <sz val="9"/>
            <color indexed="81"/>
            <rFont val="Tahoma"/>
            <family val="2"/>
          </rPr>
          <t>Lisbeth:</t>
        </r>
        <r>
          <rPr>
            <sz val="9"/>
            <color indexed="81"/>
            <rFont val="Tahoma"/>
            <family val="2"/>
          </rPr>
          <t xml:space="preserve">
de los 14 Se calcula 7 para esta losa y 7 para la sguiente</t>
        </r>
      </text>
    </comment>
    <comment ref="I1266" authorId="0" shapeId="0">
      <text>
        <r>
          <rPr>
            <b/>
            <sz val="9"/>
            <color indexed="81"/>
            <rFont val="Tahoma"/>
            <family val="2"/>
          </rPr>
          <t>Lisbeth:</t>
        </r>
        <r>
          <rPr>
            <sz val="9"/>
            <color indexed="81"/>
            <rFont val="Tahoma"/>
            <family val="2"/>
          </rPr>
          <t xml:space="preserve">
los 5 adicionales que faltan calcularlo en la losa 11</t>
        </r>
      </text>
    </comment>
    <comment ref="I1268" authorId="0" shapeId="0">
      <text>
        <r>
          <rPr>
            <b/>
            <sz val="9"/>
            <color indexed="81"/>
            <rFont val="Tahoma"/>
            <family val="2"/>
          </rPr>
          <t>Lisbeth:</t>
        </r>
        <r>
          <rPr>
            <sz val="9"/>
            <color indexed="81"/>
            <rFont val="Tahoma"/>
            <family val="2"/>
          </rPr>
          <t xml:space="preserve">
de los 14 Se calcula 7 para esta losa y 7 para la sguiente</t>
        </r>
      </text>
    </comment>
  </commentList>
</comments>
</file>

<file path=xl/sharedStrings.xml><?xml version="1.0" encoding="utf-8"?>
<sst xmlns="http://schemas.openxmlformats.org/spreadsheetml/2006/main" count="29368" uniqueCount="5503">
  <si>
    <t>Colocación zócalos de marmol</t>
  </si>
  <si>
    <t>Cemento grís</t>
  </si>
  <si>
    <t>Cemento blanco</t>
  </si>
  <si>
    <t>Arena fina para pañete</t>
  </si>
  <si>
    <t>qq</t>
  </si>
  <si>
    <t>Alambre dulce no. 18</t>
  </si>
  <si>
    <t>Clavos corrientes</t>
  </si>
  <si>
    <t>Bloques de 0.15 m</t>
  </si>
  <si>
    <t>Torta de hormigón simple de 8 cm.  de espesor  6to. Nivel</t>
  </si>
  <si>
    <t>Piso de hormigón frotado E= 0.10 mts.  6to. Nivel</t>
  </si>
  <si>
    <t>Piso de hormigón pulido E= 0.10 mts.  6to. Nivel</t>
  </si>
  <si>
    <t>Piso de granito fondo blanco de (0.30 x 0.30) mts.  6to. Nivel</t>
  </si>
  <si>
    <t>Vaciado industrial (incl. Personal de la casa)</t>
  </si>
  <si>
    <t>Zabaletas de techo  2do. Nivel</t>
  </si>
  <si>
    <t>4to. Nivel</t>
  </si>
  <si>
    <t>Mezcla 1:2   4to. Nivel</t>
  </si>
  <si>
    <t>Mezcla 1:3   4to. Nivel</t>
  </si>
  <si>
    <t>Subida de cemento 4to. Nivel</t>
  </si>
  <si>
    <t>Subida grava  y gravilla 4to. Nivel</t>
  </si>
  <si>
    <t>Subida arena gruesa y de pañetes 4to. Nivel</t>
  </si>
  <si>
    <t>Subida bloques de 0.20 m 4to. Nivel</t>
  </si>
  <si>
    <t>Subida bloques de 0.15 m 4to. Nivel</t>
  </si>
  <si>
    <t>Pañete en superficie de hormigòn (S.H.)</t>
  </si>
  <si>
    <t>Subida de sealler no.1000</t>
  </si>
  <si>
    <t>Zócalos de granito fondo blanco de (0.07 x 0.40) mts.  6to. Nivel</t>
  </si>
  <si>
    <t>Zócalos de granito fondo gris de (0.07 x 0.40) mts.  6to. Nivel</t>
  </si>
  <si>
    <t>Zócalos de ceramica criolla de (0.07 x 0.33) mts.  6to. Nivel</t>
  </si>
  <si>
    <t>Zócalos de ceramica importada de (0.07 x 0.33) mts.  6to. Nivel</t>
  </si>
  <si>
    <t>Zócalos de mármol de fab. nacional de (0.07 x 0.40) mts.  6to. Nivel</t>
  </si>
  <si>
    <t>Zabaleta de pisos  6to. Nivel</t>
  </si>
  <si>
    <t>Montura de botiquin de lujo, (sin empotrar)</t>
  </si>
  <si>
    <t>Montura de botiquin de lujo, (empotrado)</t>
  </si>
  <si>
    <t>Montura accesorios empotrados</t>
  </si>
  <si>
    <t>Trampa de grasa de (0.80x0.80x0.75)</t>
  </si>
  <si>
    <t xml:space="preserve">Viga en caseta para bomba de cisternas </t>
  </si>
  <si>
    <t>Zapata para muro de (0.45x0.20)</t>
  </si>
  <si>
    <t>Acrilica preparada en muros exteriores (dos manos)</t>
  </si>
  <si>
    <t>Acrilica preparada en muros interiores (dos manos)</t>
  </si>
  <si>
    <t>Subida escalones de granito 6to. Nivel</t>
  </si>
  <si>
    <t>Subida zócalos para escaleras 5to. Nivel</t>
  </si>
  <si>
    <t>Mezcla 1:3 para un 6to. Nivel</t>
  </si>
  <si>
    <t>No.</t>
  </si>
  <si>
    <t xml:space="preserve">Mezcla 1:2 </t>
  </si>
  <si>
    <t>Confección registro de mas de  60x60 cms. con tapa</t>
  </si>
  <si>
    <t>Confección registro de 60x60 cms.   con tapa</t>
  </si>
  <si>
    <t>Zócalos de mármol de fab. Nacional para escalones  5to. Nivel</t>
  </si>
  <si>
    <t>Piso de cerámica criolla de (0.33 x 0.33) mts.  2do. Nivel</t>
  </si>
  <si>
    <t>Colocacion de bloques calados</t>
  </si>
  <si>
    <t>PA</t>
  </si>
  <si>
    <t>Calados de cemento (0.20x0.40x0.15)</t>
  </si>
  <si>
    <t>Bloques calados de (0.20x0.40x0.15)</t>
  </si>
  <si>
    <t>Calados de cemento (0.20x0.20x0.15)</t>
  </si>
  <si>
    <t>Bloques calados de (0.20x0.20x0.15)</t>
  </si>
  <si>
    <t>Calados de cemento (0.20x0.20x0.20)</t>
  </si>
  <si>
    <t>Bloques calados de (0.20x0.20x0.20)</t>
  </si>
  <si>
    <t>Calados de cemento (0.20x0.40x0.20)</t>
  </si>
  <si>
    <t>Bloques calados de (0.20x0.40x0.20)</t>
  </si>
  <si>
    <t>Calados de 0.15x0.15x0.15 circular</t>
  </si>
  <si>
    <t>Zócalos de  mármol de fab. Nacional para escalones   4to. Nivel</t>
  </si>
  <si>
    <t xml:space="preserve">Colocación de piedra de roca o cantos rodados en muros de mamposteria </t>
  </si>
  <si>
    <t>Cantos 4to. Nivel</t>
  </si>
  <si>
    <t>Escalones de granito fondo gris  2do. Nivel</t>
  </si>
  <si>
    <t>Escalones de cemento  2do. Nivel</t>
  </si>
  <si>
    <t>Zócalos de granito fondo blanco de (0.07 x 0.30) mts.  4to. Nivel</t>
  </si>
  <si>
    <t>Piso de granito fondo blanco de (0.40 x 0.40) mts.  6to. Nivel</t>
  </si>
  <si>
    <t>Piso de granito fondo gris de (0.40 x 0.40) mts.  6to. Nivel</t>
  </si>
  <si>
    <t>Zocalos de granito fdo. Blanco</t>
  </si>
  <si>
    <t>Quicios de Granito gris 0.40 mt</t>
  </si>
  <si>
    <t>Zócalos de marmol de fab. nacional de (0.07 x 0.40) mts.  2do. Nivel</t>
  </si>
  <si>
    <t>Zabaleta de pisos  3er. Nivel</t>
  </si>
  <si>
    <t>Zabaleta de pisos  2do. Nivel</t>
  </si>
  <si>
    <t>Piso de hormigón frotado E= 0.10 mts.  3er. Nivel</t>
  </si>
  <si>
    <t>Piso de hormigón pulido E= 0.10 mts.  3er. Nivel</t>
  </si>
  <si>
    <t>Piso de granito fondo blanco de (0.30 x 0.30) mts.  3er. Nivel</t>
  </si>
  <si>
    <t>Zócalos de ceramica fab. Nacional para escalones  3er. Nivel</t>
  </si>
  <si>
    <t>Escalones de mármol</t>
  </si>
  <si>
    <t xml:space="preserve">Mármol </t>
  </si>
  <si>
    <t>Hormigón 160 kg/cm2 (1:2:3)  4to. Nivel</t>
  </si>
  <si>
    <t>Subida grava  y gravilla 3er. Nivel</t>
  </si>
  <si>
    <t>Subida de cemento 2do. Nivel</t>
  </si>
  <si>
    <t>Calados de cemento (0.15x0.15x0.15) circular</t>
  </si>
  <si>
    <t>De cerámica fab. Nacional de (0.15 x 0.15 ) mts. Blanca  6to. Nivel</t>
  </si>
  <si>
    <t>Trampa de grasa de (1.00x0.80x0.75)</t>
  </si>
  <si>
    <t>Caja de Inspecciòn (0.50x0.50x0.75)</t>
  </si>
  <si>
    <t>Losa de techo  septico de una camara 2.00x3.50x1.70</t>
  </si>
  <si>
    <t>Hormigòn 180 kg-cm2</t>
  </si>
  <si>
    <t>Losa y vuelo con una altura 2.60</t>
  </si>
  <si>
    <t xml:space="preserve">Losa de fondo en septico de una camara </t>
  </si>
  <si>
    <t>Hormigòn 160 kg-cm2</t>
  </si>
  <si>
    <t>Piso de cerámica importada de (0.33 x 0.33) mts.  2do. Nivel</t>
  </si>
  <si>
    <t>Piso de granito fondo blanco de (0.40 x 0.40) mts.  2do. Nivel</t>
  </si>
  <si>
    <t>Cantos 5to. Nivel</t>
  </si>
  <si>
    <t>Confección de escalones</t>
  </si>
  <si>
    <t>Montura de escalones</t>
  </si>
  <si>
    <t>Limpieza de escalones</t>
  </si>
  <si>
    <t>Escalones de granito fondo gris</t>
  </si>
  <si>
    <t>Escalones de cemento</t>
  </si>
  <si>
    <t>Terminación de escalones</t>
  </si>
  <si>
    <t>Cerámica (huella y contrahuella)</t>
  </si>
  <si>
    <t>Colocación de cerámica</t>
  </si>
  <si>
    <t>Hormigón 250 kg/cm2   5to. Nivel</t>
  </si>
  <si>
    <t xml:space="preserve">Mezcla 1:2.5:4 ( Hormigón ciclopeo) </t>
  </si>
  <si>
    <t>Bloques de 6"</t>
  </si>
  <si>
    <t>Cerámica blanca (0.15 x 0.15) mts.</t>
  </si>
  <si>
    <t>Zócalos de granito fondo blanco (0.30 mt.)</t>
  </si>
  <si>
    <t>Pintura a pistola en ventanas (ambos lados)</t>
  </si>
  <si>
    <t>Desmonte de ventanas</t>
  </si>
  <si>
    <t>Estrias 4to. Nivel</t>
  </si>
  <si>
    <t>Goteros colgantes 4to. Nivel</t>
  </si>
  <si>
    <t>Goteros de ranura 4to. Nivel</t>
  </si>
  <si>
    <t>Bloques de vidrio (0.20  m</t>
  </si>
  <si>
    <t>Limpieza de bloques</t>
  </si>
  <si>
    <t>Subida zócalos para pisos 4to. Nivel</t>
  </si>
  <si>
    <t>Subida zócalos para pisos 5to. Nivel</t>
  </si>
  <si>
    <t>Hormigón 100 kg/cm2   4to. Nivel</t>
  </si>
  <si>
    <t>Hormigón 140 kg/cm2 (1:3:5) 4to. Nivel</t>
  </si>
  <si>
    <t>Hormigón 150 kg/cm2   4to. Nivel</t>
  </si>
  <si>
    <t>Acero f 3/8"</t>
  </si>
  <si>
    <t>Bloques de 0.15 m con  f 3/8 a 0.80 m y cámaras llenas D.N.P.</t>
  </si>
  <si>
    <t>Bloques de 0.15 m con  f 3/8 a 0.80 m  D.N.P.</t>
  </si>
  <si>
    <t>Bloques de 0.15 m con  f 3/8 a 0.40 m  D.N.P.</t>
  </si>
  <si>
    <t xml:space="preserve">Acero f 1/4 </t>
  </si>
  <si>
    <t>Bloques de 0.20 m con  f 3/8 a 0.40 m y cámaras llenas S.N.P.</t>
  </si>
  <si>
    <t>Bloques de 0.20 m con  f 3/8 a 0.80 m y cámaras llenas S.N.P.</t>
  </si>
  <si>
    <t>Piso de granito fondo gris de (0.30 x 0.30) mts.  2do. Nivel</t>
  </si>
  <si>
    <t>Mezcla 1:1.5:5 (Pañete)</t>
  </si>
  <si>
    <t>De cerámica fab. Nacional de (0.20 x 0.30 ) mts. a color  6to. Nivel</t>
  </si>
  <si>
    <t>De cerámica fab. Nacional de (0.20 x 0.20 ) mts. a color  6to. Nivel</t>
  </si>
  <si>
    <t>De ladrillos 2" x 2" x 8"  6to. Nivel</t>
  </si>
  <si>
    <t>Revestimiento en lajas 6to. Nivel</t>
  </si>
  <si>
    <t>Techo de madera y zinc ( 2"x4" y 1"x4" )</t>
  </si>
  <si>
    <t>Bloques de 0.15 m con  ø 3/8 a 0.20 m  D.N.P.</t>
  </si>
  <si>
    <t>De Cana (Especial)</t>
  </si>
  <si>
    <t>Puerta de vaiven de pino (1.40x2.35)</t>
  </si>
  <si>
    <t xml:space="preserve">Puerta de vaiven de pino </t>
  </si>
  <si>
    <t>Marco de pino 2"x4"</t>
  </si>
  <si>
    <t>Bisagra batiente</t>
  </si>
  <si>
    <t>Montura de puerta</t>
  </si>
  <si>
    <t>COSTO/M2</t>
  </si>
  <si>
    <t>Division de plywood a dos caras (Pandereta)</t>
  </si>
  <si>
    <t>Piso de hormigón frotado E= 0.10 mts.  4to. Nivel</t>
  </si>
  <si>
    <t>Piso de hormigón pulido E= 0.10 mts.  4to. Nivel</t>
  </si>
  <si>
    <t>Piso de granito fondo blanco de (0.30 x 0.30) mts.  4to. Nivel</t>
  </si>
  <si>
    <t>Piso de granito fondo gris de (0.30 x 0.30) mts.  4to. Nivel</t>
  </si>
  <si>
    <t>Puerta de pino en baños pino tratado</t>
  </si>
  <si>
    <t>Bisagra de 3/2`x31/2"</t>
  </si>
  <si>
    <t>Pestillos pasadores</t>
  </si>
  <si>
    <t>Puertas de pino baños</t>
  </si>
  <si>
    <t>Tirador de puertas</t>
  </si>
  <si>
    <t>Colocaciòn de puerta de pino en baño</t>
  </si>
  <si>
    <t>Montura de puertas de pino en baños</t>
  </si>
  <si>
    <t>Unidad</t>
  </si>
  <si>
    <t>Fino en techo</t>
  </si>
  <si>
    <t>Losa y vuelo</t>
  </si>
  <si>
    <t>Molde para viga de 0.20x0.20</t>
  </si>
  <si>
    <t>Columnas y columnas de amarre cisterna de 10,000 Gls.</t>
  </si>
  <si>
    <t>Antepecho</t>
  </si>
  <si>
    <t>Trampa de grasa de (1.10x1.20x1.05)</t>
  </si>
  <si>
    <t>Arena para pañetes</t>
  </si>
  <si>
    <t>Cal 50Lbs</t>
  </si>
  <si>
    <t>Bloques de 0.10m</t>
  </si>
  <si>
    <t>Acero 1/4"</t>
  </si>
  <si>
    <t xml:space="preserve">Confecciòn trampa de grasa </t>
  </si>
  <si>
    <t xml:space="preserve">Subida de aguarras </t>
  </si>
  <si>
    <t>Hormigón 180 kg/cm2 (1:2:4) 2do. Nivel</t>
  </si>
  <si>
    <t>Hormigón 200 kg/cm2   2do. Nivel</t>
  </si>
  <si>
    <t>Llenado de huecos a 0.60 m</t>
  </si>
  <si>
    <t>Subida bloques de 0.15 m 5to. Nivel</t>
  </si>
  <si>
    <t>Colocación bloques de vidrio</t>
  </si>
  <si>
    <t>Limpieza bloques de vidrio</t>
  </si>
  <si>
    <t>Bloques de vidrio 0.20 mts.</t>
  </si>
  <si>
    <t>Subida de cemento gris</t>
  </si>
  <si>
    <t>Subida de cemento blanco</t>
  </si>
  <si>
    <t>Acero de 3/8"</t>
  </si>
  <si>
    <t xml:space="preserve">                                                                                                                                                                               </t>
  </si>
  <si>
    <t>Teja asfaltica  roja sencilla  (incl. Instalacion)</t>
  </si>
  <si>
    <t xml:space="preserve">Aluzinc  acanalado 3, 45` de ancho </t>
  </si>
  <si>
    <t>Pintura de aluminio  Tropical</t>
  </si>
  <si>
    <t>Pintura   alto trafico (Amarillo ) Tropical</t>
  </si>
  <si>
    <t>Barniz   natural  Tropical c / brillo</t>
  </si>
  <si>
    <t>Thinner  no. 1000   Tropical</t>
  </si>
  <si>
    <t xml:space="preserve">Masilla  p / pared </t>
  </si>
  <si>
    <t>Madera de pino americano ( Bruta )</t>
  </si>
  <si>
    <t>Madera de pino americano ( cepillada )</t>
  </si>
  <si>
    <t>DEMOLICIONES</t>
  </si>
  <si>
    <t>Plywood de 1/4"</t>
  </si>
  <si>
    <t>De madera tratada y  plywood</t>
  </si>
  <si>
    <t>De cerámica fab. Nacional de (0.20 x 0.20 ) mts. Blanco brillante  2do. Nivel</t>
  </si>
  <si>
    <t>De cerámica fab. Nacional de (0.15 x 0.15 ) mts. Blanca  2do. Nivel</t>
  </si>
  <si>
    <t>De ladrillos 2" x 4" x 8"  6to. Nivel</t>
  </si>
  <si>
    <t>Ladrillos 2" x 4" x 8"</t>
  </si>
  <si>
    <t>Aceite de cocina</t>
  </si>
  <si>
    <t>Cantos 2do. Nivel</t>
  </si>
  <si>
    <t>Desmonte de andamios exteriores</t>
  </si>
  <si>
    <t>Colocación andamios interiores</t>
  </si>
  <si>
    <t>Subida de madera 6to. Nivel</t>
  </si>
  <si>
    <t>Transporte interno acero normal</t>
  </si>
  <si>
    <t>Acarreo interno bloques 0.20 mt.</t>
  </si>
  <si>
    <t>Pegatop blanco (50 lib.)</t>
  </si>
  <si>
    <t>Aplicación de imper. techo inclinado (incl. Limpieza y sellado de grieta) (una mano)</t>
  </si>
  <si>
    <t>Piso de cerámica criolla de (0.20 x 0.20) mts.  2do. Nivel</t>
  </si>
  <si>
    <t>Piso de marmol fabricación nacional de (0.40 x 0.40) mts.  2do. Nivel</t>
  </si>
  <si>
    <t>Zócalos de granito fondo blanco de (0.07 x 0.30) mts.  2do. Nivel</t>
  </si>
  <si>
    <t>Subida de cal</t>
  </si>
  <si>
    <t>Pañete púlido</t>
  </si>
  <si>
    <t>Subida de cemento grís</t>
  </si>
  <si>
    <t>Pañete de yeso en techo</t>
  </si>
  <si>
    <t>Adoquines de ( 0.10 x 0.20 x 0.20 ) mts.</t>
  </si>
  <si>
    <t>Herramientas y equipos</t>
  </si>
  <si>
    <t>P.A.</t>
  </si>
  <si>
    <t>Cal</t>
  </si>
  <si>
    <t>p2</t>
  </si>
  <si>
    <t>Colocación andamios</t>
  </si>
  <si>
    <t>m2</t>
  </si>
  <si>
    <t>Bloques de 8"</t>
  </si>
  <si>
    <t>u</t>
  </si>
  <si>
    <t>qqs</t>
  </si>
  <si>
    <t>Alambre</t>
  </si>
  <si>
    <t>lbs</t>
  </si>
  <si>
    <t>Pintura semigloss</t>
  </si>
  <si>
    <t>Bloques de vidrio (0.20 x 0.20 x 0.10 ) m</t>
  </si>
  <si>
    <t>De ladrillos 2" x 4" x 8"   1er. Nivel</t>
  </si>
  <si>
    <t>Clavos galvanizados 2"</t>
  </si>
  <si>
    <t>Clavo corriente</t>
  </si>
  <si>
    <t>Escalones revestidos ceramica imp. incl. huella , contrahuella y vuelo</t>
  </si>
  <si>
    <t xml:space="preserve">Revestimiento de escalones en ladrillos </t>
  </si>
  <si>
    <t>Zocalos para escalones de marmol</t>
  </si>
  <si>
    <t>MUROS DE BLOQUES</t>
  </si>
  <si>
    <t>TERMINACION DE SUPERFICIE</t>
  </si>
  <si>
    <t>TERMINACION DE PISOS</t>
  </si>
  <si>
    <t>TERMINACION DE ESCALERA</t>
  </si>
  <si>
    <t>TERMINACION DE TECHOS</t>
  </si>
  <si>
    <t>REVESTIMIENTOS</t>
  </si>
  <si>
    <t>PORTAJES</t>
  </si>
  <si>
    <t>PINTURAS</t>
  </si>
  <si>
    <t>VARIOS</t>
  </si>
  <si>
    <t>Hormigón 250 kg/cm2   6to. Nivel</t>
  </si>
  <si>
    <t>Andamios interiores 4to. Nivel</t>
  </si>
  <si>
    <t>Andamios interiores 5to. Nivel</t>
  </si>
  <si>
    <t>Andamios interiores 6to. Nivel</t>
  </si>
  <si>
    <t>Cal y carburo (1ra. Mano)</t>
  </si>
  <si>
    <t>Cal y carburo (2da. Mano)</t>
  </si>
  <si>
    <t>De cerámica fab. Nacional de (0.20 x 0.20 ) mts. a color  3er. Nivel</t>
  </si>
  <si>
    <t>Piso de hormigón pulido con helicoptero</t>
  </si>
  <si>
    <t xml:space="preserve">Confección escalones y revestimiento de ladrillos </t>
  </si>
  <si>
    <t>Piso de granito fondo gris de (0.40 x 0.40) mts.  4to. Nivel</t>
  </si>
  <si>
    <t>De cerámica fab. Nacional de (0.20 x 0.20 ) mts. Blanco brillante  6to. Nivel</t>
  </si>
  <si>
    <t>Zócalos de de mármol de fab. Nacional para escalones  6to. Nivel</t>
  </si>
  <si>
    <t>Cubierta de madera y tela asfaltica (no incl. Tijerilla)</t>
  </si>
  <si>
    <t>Plywood de 3/4</t>
  </si>
  <si>
    <t>Tela asfaltica</t>
  </si>
  <si>
    <t>Mantenimiento en puertas</t>
  </si>
  <si>
    <t>Zócalos de ceramica importada de (0.07 x 0.33) mts.  4to. Nivel</t>
  </si>
  <si>
    <t>Zocalo de marmol fab. Nacional para pisos</t>
  </si>
  <si>
    <t>Piedras  de 3" y 4"</t>
  </si>
  <si>
    <t>Mosaicos rojos de Aguayo.</t>
  </si>
  <si>
    <t>Fino de mezcla en techo plano   1er. Nivel</t>
  </si>
  <si>
    <t>Mano de obra pintura de agua (1era.mano)</t>
  </si>
  <si>
    <t>Piso de marmol fabricación nacional de (0.40 x 0.40) mts.</t>
  </si>
  <si>
    <t>subida de aguarras</t>
  </si>
  <si>
    <t>Piso de granito fondo blanco de (0.30 x 0.30) mts.  2do. Nivel</t>
  </si>
  <si>
    <t>Gls.</t>
  </si>
  <si>
    <t>Fino en techo inclinado</t>
  </si>
  <si>
    <t>Fino en séptico y cisterna</t>
  </si>
  <si>
    <t>Fino en techo bermuda</t>
  </si>
  <si>
    <t>Fino de mezcla en techo bermuda   1er. Nivel</t>
  </si>
  <si>
    <t xml:space="preserve">Fino en séptico y cisterna </t>
  </si>
  <si>
    <t>Bloques de 0.15 m con  f 3/8 a 0.20 m  S.N.P.</t>
  </si>
  <si>
    <t>Zócalos de granito fondo gris de (0.07 x 0.40) mts.  2do. Nivel</t>
  </si>
  <si>
    <t xml:space="preserve">Puertas de caoba apaneladas con marcos en caoba dos hojas 2" x 4" </t>
  </si>
  <si>
    <t>Escalones de granito fondo blanco  2do. Nivel</t>
  </si>
  <si>
    <t>Escalones de granito fondo gris  4to.. Nivel</t>
  </si>
  <si>
    <t>De ladrillos 2" x 4" x 8"  4to. Nivel</t>
  </si>
  <si>
    <t>De ladrillos 2" x 2" x 8"  4to. Nivel</t>
  </si>
  <si>
    <t xml:space="preserve">Mezcla 1:3 </t>
  </si>
  <si>
    <t>Zabaletas de techo  1er. Nivel</t>
  </si>
  <si>
    <t>Fino de mezcla en techo plano   2do. Nivel</t>
  </si>
  <si>
    <t>Mezcla 1:3 para un 3er. Nivel</t>
  </si>
  <si>
    <t>Fino de mezcla en techo inclinado   2do. Nivel</t>
  </si>
  <si>
    <t>Fino de mezcla en techo bermuda   2do. Nivel</t>
  </si>
  <si>
    <t>Impermeabilizante techo plano (sellador popular)</t>
  </si>
  <si>
    <t>Sellador popular</t>
  </si>
  <si>
    <t>cubeta</t>
  </si>
  <si>
    <t>Impermeabilizante sellador popular (5 galones)</t>
  </si>
  <si>
    <t>Pañete en Superficie de Hormigòn</t>
  </si>
  <si>
    <t>Resane frotado 2do. Nivel</t>
  </si>
  <si>
    <t>Zinc C-29</t>
  </si>
  <si>
    <t>TECHOS</t>
  </si>
  <si>
    <t>Clavo de zinc</t>
  </si>
  <si>
    <t>Limpieza de cerámica con ácido muriático</t>
  </si>
  <si>
    <t>Zócalos de granito fondo grís para escalones  2do. Nivel</t>
  </si>
  <si>
    <t>De cerámica fab. Nacional de (0.20 x 0.20 ) mts. Blanco brillante  4to. Nivel</t>
  </si>
  <si>
    <t xml:space="preserve">Subida de ladrillos 2do. Nivel </t>
  </si>
  <si>
    <t>Corte de ladrillos</t>
  </si>
  <si>
    <t>Colocación de ladrillos limpios a una cara</t>
  </si>
  <si>
    <t>Ladrillos de 2"x 4" x 8"</t>
  </si>
  <si>
    <t>Demolición  de conten</t>
  </si>
  <si>
    <t>Resane con goma</t>
  </si>
  <si>
    <t>Pintura  epóxica</t>
  </si>
  <si>
    <t>Piso de adoquines coloniales grises de ( 2" x 4" x 8" )</t>
  </si>
  <si>
    <t>Subida escalones de granito 2do. Nivel</t>
  </si>
  <si>
    <t>Subida escalones de granito 3er. Nivel</t>
  </si>
  <si>
    <t xml:space="preserve">Zócalos de granito fondo grís </t>
  </si>
  <si>
    <t>Colocación de zócalos</t>
  </si>
  <si>
    <t>Derretido cemento grís</t>
  </si>
  <si>
    <t>Zócalos de ceramica fab. Nacional para escalones</t>
  </si>
  <si>
    <t>Revestimiento en lajas 4to. Nivel</t>
  </si>
  <si>
    <t>De cerámica importada de (0.20 x 0.30 ) mts. a color  4to. Nivel</t>
  </si>
  <si>
    <t>De cerámica importada de (0.20 x 0.30 ) mts. a color  5to. Nivel</t>
  </si>
  <si>
    <t xml:space="preserve">Confeccion de registro </t>
  </si>
  <si>
    <t>Andamios Exteriores 5to. Nivel</t>
  </si>
  <si>
    <t>Andamios Exteriores 6to. Nivel</t>
  </si>
  <si>
    <t xml:space="preserve">Andamios Exteriores </t>
  </si>
  <si>
    <t>(1ro. Hasta 4to. Nivel )</t>
  </si>
  <si>
    <t>Subida derretido y pegamento 5to. Nivel</t>
  </si>
  <si>
    <t>Subida derretido y pegamento 6to. Nivel</t>
  </si>
  <si>
    <t>Subida escalones de granito 5to. Nivel</t>
  </si>
  <si>
    <t>Subida de tejas para un 3er. Nivel</t>
  </si>
  <si>
    <t xml:space="preserve">Demolición de muros de bloques </t>
  </si>
  <si>
    <t>Demolición  de pañete en muros  (1.00  m2)</t>
  </si>
  <si>
    <t>Demolición  de pañete en techos y vigas  (1.00  m2)</t>
  </si>
  <si>
    <t xml:space="preserve">1er. Nivel </t>
  </si>
  <si>
    <t>Pañete en muros exteriores</t>
  </si>
  <si>
    <t>Andamios interiores 3er. Nivel</t>
  </si>
  <si>
    <t>UD</t>
  </si>
  <si>
    <t>Adoquines coloniales de 2" x 4" x 8" color rojo</t>
  </si>
  <si>
    <t>Apisonado</t>
  </si>
  <si>
    <t>Piso de adoquines rojos clasicos de (0.10 x 0.20 x 0.20 ) mts.</t>
  </si>
  <si>
    <t>Subida de piso</t>
  </si>
  <si>
    <t>Subida de derretido</t>
  </si>
  <si>
    <t xml:space="preserve">Piso de ladrillo 2"x4"x8" 2do. Nivel </t>
  </si>
  <si>
    <t>Canto</t>
  </si>
  <si>
    <t>Piso de cerámica importada de (0.33 x 0.33) mts.  6to. Nivel</t>
  </si>
  <si>
    <t>Piso de cerámica criolla de (0.33 x 0.33) mts.  6to. Nivel</t>
  </si>
  <si>
    <t>Piso de cerámica criolla de (0.20 x 0.20) mts.  6to. Nivel</t>
  </si>
  <si>
    <t>Piso de mármol fabricación nacional de (0.40 x 0.40) mts.  6to. Nivel</t>
  </si>
  <si>
    <t>De cerámica fab. Nacional de (0.20 x 0.30 ) mts. a color  4to. Nivel</t>
  </si>
  <si>
    <t>De cerámica fab. Nacional de (0.20 x 0.20 ) mts. a color  4to. Nivel</t>
  </si>
  <si>
    <t>De cerámica fab. Nacional de (0.20 x 0.20 ) mts. Blanca  4to. Nivel</t>
  </si>
  <si>
    <t xml:space="preserve">Mano de obra acero grado 40 6to. Nivel </t>
  </si>
  <si>
    <t>Mano de obra acero alta resistencia 1er. Nivel</t>
  </si>
  <si>
    <t>Mano de obra acero alta resistencia 4to. Nivel</t>
  </si>
  <si>
    <t>Mano de obra acero alta resistencia 5to. Nivel</t>
  </si>
  <si>
    <t>Mano de obra acero alta resistencia 6to. Nivel</t>
  </si>
  <si>
    <t>Mano de obra acero en dinteles y vigas de amarre 3ro. Nivel</t>
  </si>
  <si>
    <t>Mano de obra acero en dinteles y vigas de amarre 4to. Nivel</t>
  </si>
  <si>
    <t>Mano de obra acero en dinteles y vigas de amarre 5to. Nivel</t>
  </si>
  <si>
    <t>Mano de obra acero en dinteles y vigas de amarre 6to. Nivel</t>
  </si>
  <si>
    <t>Zócalos de granito fondo gris (0.30 mt.)</t>
  </si>
  <si>
    <t>Fino de mezcla en techo plano   6to. Nivel</t>
  </si>
  <si>
    <t>Mezcla 1:3 para un 7mo. Nivel</t>
  </si>
  <si>
    <t>Tejas sobre losas de techo 16"  6to. Nivel</t>
  </si>
  <si>
    <t>Ceramica importada para piso de ( 0.33 x 0.33 ) m</t>
  </si>
  <si>
    <t>Zócalos de ceramica importada de (0.07 x 0.33) mts.</t>
  </si>
  <si>
    <t>Piso de ladrillo 2"x4"x8"</t>
  </si>
  <si>
    <t xml:space="preserve">Hormigón 180 kg/cm2 </t>
  </si>
  <si>
    <t>Viga en cisternas de 10,000 Gls.</t>
  </si>
  <si>
    <t>Piso de cerámica criolla de (0.20 x 0.20) mts.  3er. Nivel</t>
  </si>
  <si>
    <t>Goteros colgantes 3er. Nivel</t>
  </si>
  <si>
    <t>Goteros de ranura 3er. Nivel</t>
  </si>
  <si>
    <t>Goteros de ranura 2do. Nivel</t>
  </si>
  <si>
    <t>Hormigón 210 kg/cm2   2do. Nivel</t>
  </si>
  <si>
    <t>Hormigón 240 kg/cm2   2do. Nivel</t>
  </si>
  <si>
    <t>Hormigón 250 kg/cm2   2do. Nivel</t>
  </si>
  <si>
    <t>Mezcla 1:2   3er. Nivel</t>
  </si>
  <si>
    <t>Subida de arena gruesa</t>
  </si>
  <si>
    <t>Subida de grava</t>
  </si>
  <si>
    <t xml:space="preserve">Fraguache </t>
  </si>
  <si>
    <t>Escoba</t>
  </si>
  <si>
    <t>Fraguache</t>
  </si>
  <si>
    <t>Corte y amarre de acero a 0.20 m</t>
  </si>
  <si>
    <t>Zócalos de granito fondo blanco de (0.07 x 0.40) mts.  4to. Nivel</t>
  </si>
  <si>
    <t>Zócalos de granito fondo gris de (0.07 x 0.40) mts.  4to. Nivel</t>
  </si>
  <si>
    <t>Colocación piedras  blancas (San Crist. cambita, azulada., etc.)</t>
  </si>
  <si>
    <t>Subida pisos o revestimientos  6to. Nivel</t>
  </si>
  <si>
    <t>Subida pisos o revestimientos 3er. Nivel</t>
  </si>
  <si>
    <t>Ladrillos 2" x 2" x 8"</t>
  </si>
  <si>
    <t>Tejas sobre losas de techo  16" 1er. Nivel</t>
  </si>
  <si>
    <t>Mano de obra en rustico (2da.mano)</t>
  </si>
  <si>
    <t>Pintura epóxica (dos manos)</t>
  </si>
  <si>
    <t>Pintura de epóxica</t>
  </si>
  <si>
    <t>Acrilica en rústico (dos manos)</t>
  </si>
  <si>
    <t>Excavación en caliche</t>
  </si>
  <si>
    <t xml:space="preserve">2da. Mano pintura barniz      </t>
  </si>
  <si>
    <t xml:space="preserve">Rapillado total y/o parcial    </t>
  </si>
  <si>
    <t xml:space="preserve">Pintura mantenimiento en puertas (dos manos)      </t>
  </si>
  <si>
    <t>Demolición de escalones ( incl.base ) (1.00  ml)</t>
  </si>
  <si>
    <t>Demolición  de fino de techo (1.00  m2)</t>
  </si>
  <si>
    <t>Subida bloques de 0.15 m 2do. Nivel</t>
  </si>
  <si>
    <t>Subida bloques de 0.15 m 3er. Nivel</t>
  </si>
  <si>
    <t>Subida bloques de 0.10 m 2do. Nivel</t>
  </si>
  <si>
    <t>Pañete en muros interiores</t>
  </si>
  <si>
    <t xml:space="preserve">Pañete en muros exteriores </t>
  </si>
  <si>
    <t>Hormigón 180 kg/cm2 (1:2:4) 6to. Nivel</t>
  </si>
  <si>
    <t>Hormigón 200 kg/cm2   6to. Nivel</t>
  </si>
  <si>
    <t>Hormigón 210 kg/cm2   6to. Nivel</t>
  </si>
  <si>
    <t>Hormigón 240 kg/cm2   6to. Nivel</t>
  </si>
  <si>
    <t>Piso de loseta de Barro 0.20x0.20</t>
  </si>
  <si>
    <t>loseta de barro 0.20x0.20</t>
  </si>
  <si>
    <t xml:space="preserve">Colocaciòn de loseta de ladrillo </t>
  </si>
  <si>
    <t>Subida bloques de 0.10 m 4to. Nivel</t>
  </si>
  <si>
    <t>Pañete en muros exteriores 4to. Nivel</t>
  </si>
  <si>
    <t>Subida derretido y pegamento 4to. Nivel</t>
  </si>
  <si>
    <t>Subida escalones de granito 4to. Nivel</t>
  </si>
  <si>
    <t>Subida zócalos para escaleras 4to. Nivel</t>
  </si>
  <si>
    <t>De Cana</t>
  </si>
  <si>
    <t>Cana</t>
  </si>
  <si>
    <t>Cobijador de cana</t>
  </si>
  <si>
    <t>caballo</t>
  </si>
  <si>
    <t>Yeso 60 lbs.</t>
  </si>
  <si>
    <t>Subida arena gruesa y de pañetes 5to. Nivel</t>
  </si>
  <si>
    <t>Subida arena gruesa y de pañetes 6to. Nivel</t>
  </si>
  <si>
    <t>Subida grava  y gravilla 5to. Nivel</t>
  </si>
  <si>
    <t>Subida grava  y gravilla 6to. Nivel</t>
  </si>
  <si>
    <t>Subida de cemento 5to. Nivel</t>
  </si>
  <si>
    <t>Subida de cemento 6to. Nivel</t>
  </si>
  <si>
    <t>Subida bloques de 0.20 m 5to. Nivel</t>
  </si>
  <si>
    <t>Subida bloques de 0.20 m 6to. Nivel</t>
  </si>
  <si>
    <t>Careteo con llana 4to. Nivel</t>
  </si>
  <si>
    <t>Arena para pañete</t>
  </si>
  <si>
    <t>Hormigón 100 kg/cm2</t>
  </si>
  <si>
    <t>Hormigón 140 kg/cm2 (1:3:5)</t>
  </si>
  <si>
    <t>Hormigón 160 kg/cm2 (1:2:3)</t>
  </si>
  <si>
    <t>Hormigón 180 kg/cm2 (1:2:4)</t>
  </si>
  <si>
    <t xml:space="preserve">Hormigón 200 kg/cm2 </t>
  </si>
  <si>
    <t xml:space="preserve">Hormigón 210 kg/cm2 </t>
  </si>
  <si>
    <t>Clavo de plywood</t>
  </si>
  <si>
    <t>Mezcla 1:3</t>
  </si>
  <si>
    <t>Colocación bloques</t>
  </si>
  <si>
    <t>Bloques de 4"</t>
  </si>
  <si>
    <t>Andamios</t>
  </si>
  <si>
    <t>Mano de obra acero en dinteles y vigas de amarre 2do. Nivel</t>
  </si>
  <si>
    <t>Corte y amarre de acero</t>
  </si>
  <si>
    <t>Llenado de huecos</t>
  </si>
  <si>
    <t>subida de thinner</t>
  </si>
  <si>
    <t xml:space="preserve">2da. Mano pintura de aceite     </t>
  </si>
  <si>
    <t xml:space="preserve">1era. Mano pintura en superficie rústica     </t>
  </si>
  <si>
    <t xml:space="preserve">2da. Mano pintura en superficie rústica   </t>
  </si>
  <si>
    <t xml:space="preserve">1era. Mano pintura barniz     </t>
  </si>
  <si>
    <t>De ladrillos 2" x 2" x 8"    1er. Nivel</t>
  </si>
  <si>
    <t>Piso de hormigòn frotado marcado a violin</t>
  </si>
  <si>
    <t>Piso de hormigòn pulido marcado a violin</t>
  </si>
  <si>
    <t>Piso de hormigòn pulido a color</t>
  </si>
  <si>
    <t>Corte de loseta</t>
  </si>
  <si>
    <t>Corte de zocalos</t>
  </si>
  <si>
    <t>Zócalos de granito fondo blanco de (0.07 x 0.40) mts.</t>
  </si>
  <si>
    <t>Zócalos de granito fondo gris de (0.07 x 0.40) mts.</t>
  </si>
  <si>
    <t>Torta de hormigón simple de 8 cm.  de espesor 2do. Nivel</t>
  </si>
  <si>
    <t>Pañete en muros interiores 5to. Nivel</t>
  </si>
  <si>
    <t>Pañete en muros exteriores 5to. Nivel</t>
  </si>
  <si>
    <t>Pañete rústico 5to. Nivel</t>
  </si>
  <si>
    <t>Pañete púlido 5to. Nivel</t>
  </si>
  <si>
    <t>Subida de cemento</t>
  </si>
  <si>
    <t>Pañete punta de llana 5to. Nivel</t>
  </si>
  <si>
    <t>Pañete rasgado 5to. Nivel</t>
  </si>
  <si>
    <t>Fraguache 5to. Nivel</t>
  </si>
  <si>
    <t>Violinado 5to. Nivel</t>
  </si>
  <si>
    <t>Clavos corrientes 2 1/2"</t>
  </si>
  <si>
    <t>Colocación mármol importado  en escaleras</t>
  </si>
  <si>
    <t>Subida pisos o revestimientos 2do. Nivel</t>
  </si>
  <si>
    <t>Subida pisos o revestimientos 4to. Nivel</t>
  </si>
  <si>
    <t>Pañete rústico</t>
  </si>
  <si>
    <t>Mezcla 1:2</t>
  </si>
  <si>
    <t>p/tramo</t>
  </si>
  <si>
    <t>Escalones de ceramica  4to. Nivel</t>
  </si>
  <si>
    <t>Subida de disolvente</t>
  </si>
  <si>
    <t>Subida disolvente pintura epoxica</t>
  </si>
  <si>
    <t>Acarreo interno bloques 0.15 mt.</t>
  </si>
  <si>
    <t>Acarreo interno bloques 0.10 mt.</t>
  </si>
  <si>
    <t>Subida zócalos para pisos 6to. Nivel</t>
  </si>
  <si>
    <t>Transon de pino con marco de 2" x 4"</t>
  </si>
  <si>
    <t>Transon de pino</t>
  </si>
  <si>
    <t>Subida pisos o revestimientos 5to. Nivel</t>
  </si>
  <si>
    <t>Piso de hormigón frotado E= 0.10 mts.  2do. Nivel</t>
  </si>
  <si>
    <t>Piso de hormigón pulido E= 0.10 mts.  2do. Nivel</t>
  </si>
  <si>
    <t>subida de barniz</t>
  </si>
  <si>
    <t>Rollo</t>
  </si>
  <si>
    <t>Subida de madera 5to. Nivel</t>
  </si>
  <si>
    <t>Llenado de huecos a 0.20 m</t>
  </si>
  <si>
    <t>Terminación escalón de cemento</t>
  </si>
  <si>
    <t>Mano de obra acero alta resistencia 2do. Nivel</t>
  </si>
  <si>
    <t>Mano de obra pintura barniz (1era.mano)</t>
  </si>
  <si>
    <t>Mano de obra pintura barniz (2da.mano)</t>
  </si>
  <si>
    <t xml:space="preserve">Barniz </t>
  </si>
  <si>
    <t xml:space="preserve">Barniz en panderetas </t>
  </si>
  <si>
    <t>Barniz en panderetas ( no incluye sealer)</t>
  </si>
  <si>
    <t>Caliche</t>
  </si>
  <si>
    <t>Bloques de 0.10 m</t>
  </si>
  <si>
    <t>par</t>
  </si>
  <si>
    <t>Mezcla 1:5   3er. Nivel</t>
  </si>
  <si>
    <t>Tejas de 16" (Alfarería Dominicana)</t>
  </si>
  <si>
    <t>Tejas de barro de 16"</t>
  </si>
  <si>
    <t>Mezcla 1:6   3er. Nivel</t>
  </si>
  <si>
    <t>Mezcla 1:1.5:5 (Pañete)  3er. Nivel</t>
  </si>
  <si>
    <t>Hormigón 100 kg/cm2   3er. Nivel</t>
  </si>
  <si>
    <t>Hormigón 140 kg/cm2 (1:3:5) 3er. Nivel</t>
  </si>
  <si>
    <t>Hormigón 150 kg/cm2   3er. Nivel</t>
  </si>
  <si>
    <t xml:space="preserve">Subida de piedras 2do. Nivel </t>
  </si>
  <si>
    <t xml:space="preserve">Subida de piedras 6to. Nivel </t>
  </si>
  <si>
    <t xml:space="preserve">1era. Mano pintura de aceite     </t>
  </si>
  <si>
    <t>De cerámica fab. Nacional de (0.20 x 0.20 ) mts. Blanco brillante  5to. Nivel</t>
  </si>
  <si>
    <t>Escalones de granito fondo blanco  4to. Nivel</t>
  </si>
  <si>
    <t>Piso de granito fondo gris de (0.40 x 0.40) mts.  5to. Nivel</t>
  </si>
  <si>
    <t>Piso de cerámica importada de (0.33 x 0.33) mts.  5to. Nivel</t>
  </si>
  <si>
    <t>Zócalos de granito fondo blanco de (0.07 x 0.40) mts.  5to. Nivel</t>
  </si>
  <si>
    <t>Bloques de 0.20 m con  ø 3/8 a 0.80 m y cámaras llenas D.N.P.</t>
  </si>
  <si>
    <t>Bloques de 0.20 m con  ø 3/8 a 0.40 m y cámaras llenas D.N.P.</t>
  </si>
  <si>
    <t>Bloques de 0.20 m con  ø 3/8 a 0.80 m  D.N.P.</t>
  </si>
  <si>
    <t>Bloques de 0.20 m con  ø 3/8 a 0.40 m  D.N.P.</t>
  </si>
  <si>
    <t>Acero ø  3/8"</t>
  </si>
  <si>
    <t>Bloques de 0.20 m con  ø 3/8 a 0.60 m  D.N.P.</t>
  </si>
  <si>
    <t>Relleno Compactado</t>
  </si>
  <si>
    <t>Subida derretido y pegamento 2do. Nivel</t>
  </si>
  <si>
    <t>Subida derretido y pegamento 3er. Nivel</t>
  </si>
  <si>
    <t>DESCRIPCION</t>
  </si>
  <si>
    <t>CANTIDAD</t>
  </si>
  <si>
    <t>P.U.</t>
  </si>
  <si>
    <t>SUB-TOTAL</t>
  </si>
  <si>
    <t>TOTAL</t>
  </si>
  <si>
    <t>Ligado y vaciado en zapata</t>
  </si>
  <si>
    <t>Subida de sellador popular</t>
  </si>
  <si>
    <t>De cerámica importada de (0.20 x 0.30 ) mts. a color  2do. Nivel</t>
  </si>
  <si>
    <t>De cerámica importada de (0.20 x 0.30 ) mts. a color  3er. Nivel</t>
  </si>
  <si>
    <t>Zócalos de ceramica importada de (0.07 x 0.33) mts.  5to. Nivel</t>
  </si>
  <si>
    <t>De ladrillos 2" x 2" x 8"  3er. Nivel</t>
  </si>
  <si>
    <t>Revestimiento en lajas 3er. Nivel</t>
  </si>
  <si>
    <t>Cerradura</t>
  </si>
  <si>
    <t>Económica en techo (dos manos)</t>
  </si>
  <si>
    <t>Desperdicio</t>
  </si>
  <si>
    <t>Pañete en muros interiores 3er. Nivel</t>
  </si>
  <si>
    <t>De cerámica fab. Nacional de (0.20 x 0.30 ) mts. a color  5to. Nivel</t>
  </si>
  <si>
    <t>Mano de obra pintura (2 mano)</t>
  </si>
  <si>
    <t>Subida de thinner</t>
  </si>
  <si>
    <t>Subida de sealler no.100</t>
  </si>
  <si>
    <t>Pintura Laca en puertas</t>
  </si>
  <si>
    <t>Laca</t>
  </si>
  <si>
    <t>Mano de obra 1ra. Mano</t>
  </si>
  <si>
    <t>Mano de obra 2da. Mano</t>
  </si>
  <si>
    <t>Deperdicio y retoque</t>
  </si>
  <si>
    <t>Puertas de plywood (Tapa y Tapa)</t>
  </si>
  <si>
    <t>Montura de marcos de  madera preciosa</t>
  </si>
  <si>
    <t>Transon de caoba con marco de 2" x 4"</t>
  </si>
  <si>
    <t xml:space="preserve">Transon de caoba </t>
  </si>
  <si>
    <t>Caballete de zinc.  C-29</t>
  </si>
  <si>
    <t>Bloques de "6</t>
  </si>
  <si>
    <t>Subida de pintura</t>
  </si>
  <si>
    <t>Limpieza escalones</t>
  </si>
  <si>
    <t>Zócalos de granito fondo gris de (0.07 x 0.30) mts.  2do. Nivel</t>
  </si>
  <si>
    <t>Zócalos de ceramica criolla de (0.07 x 0.33) mts.  2do. Nivel</t>
  </si>
  <si>
    <t>De cerámica fab. Nacional de (0.15 x 0.15 ) mts. Blanca  5to. Nivel</t>
  </si>
  <si>
    <t>Zócalos de ceramica fab. Nacional para escalones  5to. Nivel</t>
  </si>
  <si>
    <t>Pañete rústico 3er. Nivel</t>
  </si>
  <si>
    <t>Pañete púlido 3er. Nivel</t>
  </si>
  <si>
    <t>Pañete punta de llana 3er. Nivel</t>
  </si>
  <si>
    <t>Pañete rasgado 3er. Nivel</t>
  </si>
  <si>
    <t>Violinado 3er. Nivel</t>
  </si>
  <si>
    <t>Fraguache 3er.nivel</t>
  </si>
  <si>
    <t>Cantos 3er. Nivel</t>
  </si>
  <si>
    <t>Resane frotado 3er. Nivel</t>
  </si>
  <si>
    <t>Resane con goma 3er. Nivel</t>
  </si>
  <si>
    <t>Mano de obra pintura de agua (2da.mano)</t>
  </si>
  <si>
    <t>Pintura acrílica popular</t>
  </si>
  <si>
    <t>Zócalos de granito fondo gris de (0.07 x 0.40) mts.  5to. Nivel</t>
  </si>
  <si>
    <t xml:space="preserve">Pintura de cal </t>
  </si>
  <si>
    <t>Escalones de granito fondo blanco</t>
  </si>
  <si>
    <t>Piso loseta de mármol de importado incl. base y nivel</t>
  </si>
  <si>
    <t>Mezcla 1:4   2do. Nivel</t>
  </si>
  <si>
    <t>Mezcla 1:5   2do. Nivel</t>
  </si>
  <si>
    <t>Mezcla 1:6   2do. Nivel</t>
  </si>
  <si>
    <t>Mezcla 1:1.5:5 (Pañete)  2do. Nivel</t>
  </si>
  <si>
    <t>Hormigón 100 kg/cm2   2do. Nivel</t>
  </si>
  <si>
    <t>Colocación de adoquines</t>
  </si>
  <si>
    <t>Piso de hormigón pulido e= 0.10 mts.</t>
  </si>
  <si>
    <t>De cerámica fab. Nacional de (0.20 x 0.30 ) mts. a color  3er. Nivel</t>
  </si>
  <si>
    <t>PARTIDAS</t>
  </si>
  <si>
    <t>Mezcla 1:3 para un 5to. Nivel</t>
  </si>
  <si>
    <t>Colocación zócalos  de granito para escaleras</t>
  </si>
  <si>
    <t>Losa de fondo de cisternas de 10,000 Gls.</t>
  </si>
  <si>
    <t>Acero de 1/2"</t>
  </si>
  <si>
    <t>Montura accesorios atornillados</t>
  </si>
  <si>
    <t>Montura de marcos de madera preciosa</t>
  </si>
  <si>
    <t>Montura de marcos de metal</t>
  </si>
  <si>
    <t xml:space="preserve">Puertas de caoba apaneladas con marcos en caoba 2" x 4" </t>
  </si>
  <si>
    <t>Marcos de caoba  2" x 4"</t>
  </si>
  <si>
    <t>Subida pisos o revestimientos  7mo. Nivel</t>
  </si>
  <si>
    <t>Subida de tejas para un 7mo. Nivel</t>
  </si>
  <si>
    <t>Subida de tejas para un 5to. Nivel</t>
  </si>
  <si>
    <t>Subida de tejas para un 4to. Nivel</t>
  </si>
  <si>
    <t>Subida de tejas para un 6to. Nivel</t>
  </si>
  <si>
    <t>Subida arena gruesa y de pañetes 7mo. Nivel</t>
  </si>
  <si>
    <t>Subida de cemento 7mo. Nivel</t>
  </si>
  <si>
    <t>Escalones de ceramica  5to. Nivel</t>
  </si>
  <si>
    <t>Escalones de mármol  6to. Nivel</t>
  </si>
  <si>
    <t>Zócalos de granito fondo gris de (0.07 x 0.40) mts.  3er. Nivel</t>
  </si>
  <si>
    <t>Zócalos de ceramica importada de (0.07 x 0.33) mts.  3er. Nivel</t>
  </si>
  <si>
    <t xml:space="preserve">Subida de ladrillos 6to. Nivel </t>
  </si>
  <si>
    <t>Hormigón 240 kg/cm2   3er. Nivel</t>
  </si>
  <si>
    <t>Zócalos de granito fondo blanco de (0.07 x 0.30) mts.  6to. Nivel</t>
  </si>
  <si>
    <t>Zócalos de granito fondo gris de (0.07 x 0.30) mts.  6to. Nivel</t>
  </si>
  <si>
    <t xml:space="preserve">Cerámica para piso criolla ( 0.20 x 0.20 )m </t>
  </si>
  <si>
    <t>Piso de hormigón frotado y marcado a violín</t>
  </si>
  <si>
    <t>Piso de hormigón pulido y marcado a violín</t>
  </si>
  <si>
    <t xml:space="preserve">Regado, Nivelado y Apisonado de Relleno </t>
  </si>
  <si>
    <t>Excavación en tierra</t>
  </si>
  <si>
    <t>De cerámica importada de (0.20 x 0.30 ) mts. a color  6to. Nivel</t>
  </si>
  <si>
    <t>Colocación mármol fab. nac. en escaleras</t>
  </si>
  <si>
    <t>Escalones en mosaicos</t>
  </si>
  <si>
    <t>PLYWOOD</t>
  </si>
  <si>
    <t>Corte y amarre de acero a 0.60 m</t>
  </si>
  <si>
    <t>Colocación  de listelos</t>
  </si>
  <si>
    <t>Repello en muro 3er. Nivel</t>
  </si>
  <si>
    <t>Repello en techos 3er. Nivel</t>
  </si>
  <si>
    <t>Piso de granito fondo blanco de (0.40 x 0.40) mts.  5to. Nivel</t>
  </si>
  <si>
    <t>subida de pintura</t>
  </si>
  <si>
    <t>Demolición  de zócalos (1.00  ml)</t>
  </si>
  <si>
    <t>Corrección de grietas sencillas  (1.00  ml)</t>
  </si>
  <si>
    <t>Corrección de grietas con mallas  (1.00  ml)</t>
  </si>
  <si>
    <t>Limpieza de aparatos sanitarios con ácido muriático</t>
  </si>
  <si>
    <t>Hormigón 250 kg/cm2   3er. Nivel</t>
  </si>
  <si>
    <t>5to. Nivel</t>
  </si>
  <si>
    <t>Mezcla 1:2   5to. Nivel</t>
  </si>
  <si>
    <t>Piso de cerámica criolla de (0.33 x 0.33) mts.  5to. Nivel</t>
  </si>
  <si>
    <t>Derretido cemento gris</t>
  </si>
  <si>
    <t>Corte de loseta de ceramica</t>
  </si>
  <si>
    <t>Puertas plywood  con marco de pino 2" x 4"</t>
  </si>
  <si>
    <t>Puertas de plywood</t>
  </si>
  <si>
    <t>Puertas de pino tratado apaneladas</t>
  </si>
  <si>
    <t>Bloques de 0.15 m con  ø 3/8 a 0.40 m y cámaras llenas D.N.P.</t>
  </si>
  <si>
    <t>Subida de sealler no.1,000</t>
  </si>
  <si>
    <t>Subida de aguarras</t>
  </si>
  <si>
    <t>PLAFONES</t>
  </si>
  <si>
    <t>De cerámica fab. Nacional de (0.20 x 0.20 ) mts. Blanca  2do. Nivel</t>
  </si>
  <si>
    <t>Repello en muro</t>
  </si>
  <si>
    <t>Careteo con llana</t>
  </si>
  <si>
    <t>Resane frotado</t>
  </si>
  <si>
    <t>Estrias</t>
  </si>
  <si>
    <t>Goteros colgantes</t>
  </si>
  <si>
    <t>Ladrillos de 2"x 2" x 8"</t>
  </si>
  <si>
    <t>Subida de ladrillos</t>
  </si>
  <si>
    <t>Subida bloques de 0.15 m 6to. Nivel</t>
  </si>
  <si>
    <t>Subida bloques de 0.10 m 5to. Nivel</t>
  </si>
  <si>
    <t>Bloques de 0.20 m con  f 3/8 a 0.80 m  S.N.P.</t>
  </si>
  <si>
    <t>Bloques de 0.20 m con  f 3/8 a 0.40 m  S.N.P.</t>
  </si>
  <si>
    <t>Bloques de 0.20 m con  f 3/8 a 0.60 m  S.N.P.</t>
  </si>
  <si>
    <t>Bloques de 0.15 m con  f 3/8 a 0.40 m y cámaras llenas S.N.P.</t>
  </si>
  <si>
    <t>De cerámica fab. Nacional de (0.20 x 0.20 ) mts. Blanca  5to. Nivel</t>
  </si>
  <si>
    <t>Pintura económica popular</t>
  </si>
  <si>
    <t>Mano de obra 2da. mano</t>
  </si>
  <si>
    <t>Escalones de granito fondo grís</t>
  </si>
  <si>
    <t>Mosaico de granito fondo gris</t>
  </si>
  <si>
    <t>Piso de granito fondo blanco de (0.40 x 0.40) mts.  3er. Nivel</t>
  </si>
  <si>
    <t>Confección trampa de grasa</t>
  </si>
  <si>
    <t>Molde para viga de carga 0.20x0.20</t>
  </si>
  <si>
    <t>Molde para col. tapa y tapa hasta 0.30</t>
  </si>
  <si>
    <t>Fino de mezcla en techo bermuda   5to. Nivel</t>
  </si>
  <si>
    <t>Zabaletas de techo  5to. Nivel</t>
  </si>
  <si>
    <t xml:space="preserve">Transporte interno acero alta resistencia </t>
  </si>
  <si>
    <t>Derretido de cemento blanco</t>
  </si>
  <si>
    <t>Andamios interiores 1er. Nivel</t>
  </si>
  <si>
    <t>Thinner No.1,000</t>
  </si>
  <si>
    <t>Subida de sealler</t>
  </si>
  <si>
    <t>Thinner no 1500</t>
  </si>
  <si>
    <t xml:space="preserve">4to. Nivel </t>
  </si>
  <si>
    <t>Mezcla 1:5</t>
  </si>
  <si>
    <t>Mezcla 1:6</t>
  </si>
  <si>
    <t>Fino de mezcla en techo plano   3ro. Nivel</t>
  </si>
  <si>
    <t>Fino de mezcla en techo inclinado   3ro. Nivel</t>
  </si>
  <si>
    <t>Fino de mezcla en techo bermuda   3ro. Nivel</t>
  </si>
  <si>
    <t>Zabaletas de techo  3ro. Nivel</t>
  </si>
  <si>
    <t>Tejas sobre losas de techo 16"  3ro. Nivel</t>
  </si>
  <si>
    <t>Revestimiento en lajas 2do. Nivel</t>
  </si>
  <si>
    <t>Piso de granito fondo blanco de (0.30 x 0.30) mts.</t>
  </si>
  <si>
    <t>Mosaico de granito fondo blanco</t>
  </si>
  <si>
    <t>Derretido cemento blanco</t>
  </si>
  <si>
    <t>Colocación</t>
  </si>
  <si>
    <t>Hormigón 160 kg/cm2 (1:2:3) 3er. Nivel</t>
  </si>
  <si>
    <t>Hormigón 180 kg/cm2 (1:2:4) 3er. Nivel</t>
  </si>
  <si>
    <t>Hormigón 200 kg/cm2   3er. Nivel</t>
  </si>
  <si>
    <t>Hormigón 210 kg/cm2   3er. Nivel</t>
  </si>
  <si>
    <t>Zócalos de mármol de fab. nacional (0.07 x 0.40) mts.  3er. Nivel</t>
  </si>
  <si>
    <t>Cerámica fab. Nacional blanca  (0.15 x 0.15 ) mts. para pared</t>
  </si>
  <si>
    <t>Mosaico de granito fondo gris de ( 0.40 x 0.40 ) mts.</t>
  </si>
  <si>
    <t>Zócalos de granito fondo gris (0.40 mt.)</t>
  </si>
  <si>
    <t xml:space="preserve">Cerámica importada a color (0.20 x 0.30 ) mts. para pared </t>
  </si>
  <si>
    <t>Hormigón 150 kg/cm2   5to. Nivel</t>
  </si>
  <si>
    <t>Pulido y brillado de piso (incl. Cera)</t>
  </si>
  <si>
    <t>Colocación zócalos de  granito</t>
  </si>
  <si>
    <t>Marmol fab. nacional para piso de ( 0.40 x 0.40 ) m</t>
  </si>
  <si>
    <t>Corte</t>
  </si>
  <si>
    <t>Confección escalones de cemento</t>
  </si>
  <si>
    <t>Impermeabilizante techo inclinado (sellador popular)</t>
  </si>
  <si>
    <t>Hormigón Industrial 140 kg/cm2</t>
  </si>
  <si>
    <t>Pañete en muros interiores 2do. Nivel</t>
  </si>
  <si>
    <t>Pañete rústico 2do. Nivel</t>
  </si>
  <si>
    <t>Pañete púlido 2do. Nivel</t>
  </si>
  <si>
    <t>Adoquines clásicos color grís de ( 0.10 x 0.20 x 0.20 ) m</t>
  </si>
  <si>
    <t>Adoquines clásicos color rojo de ( 0.10 x 0.20 x 0.20 ) m</t>
  </si>
  <si>
    <t>Puertas de caoba</t>
  </si>
  <si>
    <t>Marco de 2" x 4" en caoba</t>
  </si>
  <si>
    <t>Pañete punta de llana 2do. Nivel</t>
  </si>
  <si>
    <t>Pañete rasgado 2do. Nivel</t>
  </si>
  <si>
    <t>Violinado 2do. Nivel</t>
  </si>
  <si>
    <t>Fraguache 2do.nivel</t>
  </si>
  <si>
    <t>Hormigón 140 kg/cm2 (1:3:5) 6to. Nivel</t>
  </si>
  <si>
    <t>Hormigón 150 kg/cm2   6to. Nivel</t>
  </si>
  <si>
    <t>Hormigón 160 kg/cm2 (1:2:3)  6to. Nivel</t>
  </si>
  <si>
    <t>Colocación ( en plumilla)</t>
  </si>
  <si>
    <t>Zócalos de ceramica criolla de (0.07 x 0.33) mts.  4to. Nivel</t>
  </si>
  <si>
    <t>Zócalos de mármol de fab. nacional de (0.07 x 0.40) mts.  4to. Nivel</t>
  </si>
  <si>
    <t>Zabaleta de pisos  4to. Nivel</t>
  </si>
  <si>
    <t>Acero ø 3/8"</t>
  </si>
  <si>
    <t>Fino de mezcla en techo plano   4to. Nivel</t>
  </si>
  <si>
    <t>Tejas sobre losas de techo 16"  4to. Nivel</t>
  </si>
  <si>
    <t>Fino de mezcla en techo plano   5to. Nivel</t>
  </si>
  <si>
    <t>Tejas sobre losas de techo 16"  5to. Nivel</t>
  </si>
  <si>
    <t>Resane frotado 4to. Nivel</t>
  </si>
  <si>
    <t>Resane con goma 4to. Nivel</t>
  </si>
  <si>
    <t>Repello en muro 4to. Nivel</t>
  </si>
  <si>
    <t>Repello en techos 4to. Nivel</t>
  </si>
  <si>
    <t>Zócalos de granito fondo blanco de (0.07 x 0.30) mts.  5to. Nivel</t>
  </si>
  <si>
    <t>Zócalos de granito fondo gris de (0.07 x 0.30) mts.  5to. Nivel</t>
  </si>
  <si>
    <t>Subida de madera</t>
  </si>
  <si>
    <t>Clavos  para cartón</t>
  </si>
  <si>
    <t>Subida de ladrillos 3er. Nivel</t>
  </si>
  <si>
    <t>Zócalos de  mármol de fab. Nacional para escalones</t>
  </si>
  <si>
    <t>Piso de granito fondo gris de (0.30 x 0.30) mts.  3er. Nivel</t>
  </si>
  <si>
    <t>Piso de cerámica criolla de (0.33 x 0.33) mts.  3er. Nivel</t>
  </si>
  <si>
    <t>Corte de capa vegetal</t>
  </si>
  <si>
    <t xml:space="preserve">Hormigón 140 kg/cm2 (1:3:5) </t>
  </si>
  <si>
    <t>Escalones de granito fondo gris  5to. Nivel</t>
  </si>
  <si>
    <t>Escalones de cemento  5to. Nivel</t>
  </si>
  <si>
    <t>Escalones de mármol 5to. Nivel</t>
  </si>
  <si>
    <t>Zócalos de granito fondo grís para escalones  5to. Nivel</t>
  </si>
  <si>
    <t>Zócalos de granito fondo blanco para escalones  5to. Nivel</t>
  </si>
  <si>
    <t>Hormigón 160 kg/cm2 (1:2:3)  5to. Nivel</t>
  </si>
  <si>
    <t>Hormigón 180 kg/cm2 (1:2:4) 5to. Nivel</t>
  </si>
  <si>
    <t>Hormigón 200 kg/cm2   5to. Nivel</t>
  </si>
  <si>
    <t>Zabaletas de techo  6to. Nivel</t>
  </si>
  <si>
    <t>Fino de mezcla en techo inclinado   5to. Nivel</t>
  </si>
  <si>
    <t>Losa de caseta de bomba</t>
  </si>
  <si>
    <t xml:space="preserve">Losa y vuelo con una altura 2.60M </t>
  </si>
  <si>
    <t>Zapata para muro de 0.20 (0.60x0.25) convencional</t>
  </si>
  <si>
    <t>Zapata para muro de 0.15 (0.45x0.25) convencional</t>
  </si>
  <si>
    <t>Zapata para muro de 0.10 (0.30x0.20) convencional</t>
  </si>
  <si>
    <t>Bordillos</t>
  </si>
  <si>
    <t xml:space="preserve">5to. Nivel </t>
  </si>
  <si>
    <t>Pulidoy brillado piso de granito</t>
  </si>
  <si>
    <t>Piso de granito fondo gris de (0.30 x 0.30) mts.</t>
  </si>
  <si>
    <t>Zocalo de granito fondo blanco</t>
  </si>
  <si>
    <t>Zocalo de granito fondo gris</t>
  </si>
  <si>
    <t>Mezcla 1:3   3er. Nivel</t>
  </si>
  <si>
    <t>Mezcla 1:4   3er. Nivel</t>
  </si>
  <si>
    <t>Piso de loseta de barro tipo Feria</t>
  </si>
  <si>
    <t>Colocaciòn de loseta de ladrillo o cemento</t>
  </si>
  <si>
    <t>Corte de chazo 0.20 mt.</t>
  </si>
  <si>
    <t>fda.</t>
  </si>
  <si>
    <t>Loseta de Barro tipo feria (pequeña)</t>
  </si>
  <si>
    <t>Loseta de Barro tipo feria (grande)</t>
  </si>
  <si>
    <t>Ligado y vaciado en columnas</t>
  </si>
  <si>
    <t>Piso cancha Volibol y Baloncesto (sin acero)</t>
  </si>
  <si>
    <t xml:space="preserve">Hormigón 150 kg/cm2 </t>
  </si>
  <si>
    <t>Piso loseta de mármol de importado incl. base y nivel ( en plumilla )</t>
  </si>
  <si>
    <t>Puertas pino tratado de dos hojas con marcos en pino 2" x 4"</t>
  </si>
  <si>
    <t>Puertas de pino tratado de dos hojas</t>
  </si>
  <si>
    <t>Pestillos de 4"</t>
  </si>
  <si>
    <t>Cemento gris</t>
  </si>
  <si>
    <t>Plywood de 3/4"</t>
  </si>
  <si>
    <t>Resane con goma 2do. Nivel</t>
  </si>
  <si>
    <t>Repello en muro 2do. Nivel</t>
  </si>
  <si>
    <t>Repello en techos 2do. Nivel</t>
  </si>
  <si>
    <t>Careteo con llana 2do. Nivel</t>
  </si>
  <si>
    <t>Estrias 2do. Nivel</t>
  </si>
  <si>
    <t>Goteros colgantes 2do. Nivel</t>
  </si>
  <si>
    <t>Escalones de mármol 3er. Nivel</t>
  </si>
  <si>
    <t>Zócalos de de mármol de fab. Nacional</t>
  </si>
  <si>
    <t>Colocación de poliuretano en junta</t>
  </si>
  <si>
    <t>De cerámica fab. Nacional de (0.20 x 0.20 ) mts. Blanco brillante  3er. Nivel</t>
  </si>
  <si>
    <t>De cerámica fab. Nacional de (0.15 x 0.15 ) mts. Blanca  3er. Nivel</t>
  </si>
  <si>
    <t>Subida bloques de 0.10 m 6to. Nivel</t>
  </si>
  <si>
    <t>Piso de adoquines grises clasicos de (0.10 x 0.20 x 0.20 ) mts.</t>
  </si>
  <si>
    <t>Adoquines coloniales de 2" x 4" x 8" color grís</t>
  </si>
  <si>
    <t>Acero 3/8"</t>
  </si>
  <si>
    <t xml:space="preserve">Hormigón 140 kg/cm2 </t>
  </si>
  <si>
    <t>Ligado y vaciado</t>
  </si>
  <si>
    <t>Caja de Inspecciòn (0.60x0.60x0.75)</t>
  </si>
  <si>
    <t>De cerámica fab. Nacional de (0.20 x 0.20 ) mts. Blanca  3er. Nivel</t>
  </si>
  <si>
    <t>De ladrillos 2" x 4" x 8"  3er. Nivel</t>
  </si>
  <si>
    <t>Subida de ladrillos 4to. Nivel</t>
  </si>
  <si>
    <t>Subida de ladrillos 5to. Nivel</t>
  </si>
  <si>
    <t>Piso de granito fondo gris de (0.40 x 0.40) mts.  2do. Nivel</t>
  </si>
  <si>
    <t>Mosaico de granito gris blanco</t>
  </si>
  <si>
    <t>Fino de techo inclinado sin incl. Subida</t>
  </si>
  <si>
    <t>ladrillo 2"x4"x8"</t>
  </si>
  <si>
    <t>Hormigòn 140</t>
  </si>
  <si>
    <t>Colocaciòn de loseta de ladrillo</t>
  </si>
  <si>
    <t>Corte de ladrillo</t>
  </si>
  <si>
    <t>Derretido de cemento gris</t>
  </si>
  <si>
    <t>gls.</t>
  </si>
  <si>
    <t>fdas.</t>
  </si>
  <si>
    <t>Piso de cerámica criolla de (0.20 x 0.20) mts.  4to. Nivel</t>
  </si>
  <si>
    <t>Piso de mármol fabricación nacional de (0.40 x 0.40) mts.  4to. Nivel</t>
  </si>
  <si>
    <t>Marco de 2" x 4" en pino</t>
  </si>
  <si>
    <t>Bisagras de 3 1/2" x 3 1/2"</t>
  </si>
  <si>
    <t>Zócalos de granito fondo blanco para escalones  2do. Nivel</t>
  </si>
  <si>
    <t>Zócalos de ceramica fab. Nacional para escalones  2do. Nivel</t>
  </si>
  <si>
    <t>Subida escalones de granito</t>
  </si>
  <si>
    <t>Subida derretido cemento</t>
  </si>
  <si>
    <t>Caballete de zinc.</t>
  </si>
  <si>
    <t>Confecciòn de tijerilla con clavos</t>
  </si>
  <si>
    <t>Inst. de plancha de zinc sin enlate</t>
  </si>
  <si>
    <t>Inst. de caballete</t>
  </si>
  <si>
    <t>P2</t>
  </si>
  <si>
    <t>Techo de madera y tejas</t>
  </si>
  <si>
    <t>Clavo de corriente</t>
  </si>
  <si>
    <t>Alambre No.18</t>
  </si>
  <si>
    <t>colocaciòn de tejas</t>
  </si>
  <si>
    <t>Piso de adoquines coloniales rojos de ( 2" x 4" x 8" )</t>
  </si>
  <si>
    <t>Adoquines coloniales de ( 2" x 4" x 8" )</t>
  </si>
  <si>
    <t>Cerámica</t>
  </si>
  <si>
    <t>Cerámica importada</t>
  </si>
  <si>
    <t>Marmol fab. Nacional</t>
  </si>
  <si>
    <t>Zócalos de ceramica criolla de (0.07 x 0.33) mts.</t>
  </si>
  <si>
    <t>Cemento</t>
  </si>
  <si>
    <t>fdas</t>
  </si>
  <si>
    <t>Arena gruesa</t>
  </si>
  <si>
    <t>m3</t>
  </si>
  <si>
    <t>Gravilla</t>
  </si>
  <si>
    <t>Agua</t>
  </si>
  <si>
    <t>gl</t>
  </si>
  <si>
    <t>Pañete en S.H. 2do. Nivel</t>
  </si>
  <si>
    <t>Pañete en S.H. 3er. Nivel</t>
  </si>
  <si>
    <t>Pañete en S.H. 5to. Nivel</t>
  </si>
  <si>
    <t>Pañete en S.H. 6to. Nivel</t>
  </si>
  <si>
    <t>Losa de techo de cisternas de 10,000 Gls.</t>
  </si>
  <si>
    <t>Zócalos de ceramica criolla de (0.07 x 0.33) mts.  5to. Nivel</t>
  </si>
  <si>
    <t>Pañete punta de llana 6to. Nivel</t>
  </si>
  <si>
    <t>Pañete rasgado 6to. Nivel</t>
  </si>
  <si>
    <t>Violinado 6to. Nivel</t>
  </si>
  <si>
    <t>Madera para  marcos de 2" x 6"en pino tratado</t>
  </si>
  <si>
    <t>Madera para marcos de 2" x 4"en pino tratado</t>
  </si>
  <si>
    <t>Madera para marcos de 2" x 4"en caoba</t>
  </si>
  <si>
    <t>Marcos de 2"x4" en puerta baño</t>
  </si>
  <si>
    <t>Tornillos diablitos de 3x12</t>
  </si>
  <si>
    <t>Tarugos mamey</t>
  </si>
  <si>
    <t>Clavos corrientes de 2 1/2"</t>
  </si>
  <si>
    <t>Madera de pino tratado 1"x4"x12</t>
  </si>
  <si>
    <t>Desmonte de andamios</t>
  </si>
  <si>
    <t>Corte con equipos</t>
  </si>
  <si>
    <t>Zócalos de granito fondo gris de (0.07 x 0.30) mts.  4to. Nivel</t>
  </si>
  <si>
    <t>Subida zócalos para escaleras 2do. Nivel</t>
  </si>
  <si>
    <t>Subida zócalos para escaleras 3er. Nivel</t>
  </si>
  <si>
    <t>Escalones de granito fondo blanco  3er. Nivel</t>
  </si>
  <si>
    <t>Escalones de granito fondo gris  3er. Nivel</t>
  </si>
  <si>
    <t>Escalones de cemento  3er. Nivel</t>
  </si>
  <si>
    <t>Zócalos de granito fondo grís para escalones  3er. Nivel</t>
  </si>
  <si>
    <t>Subida zócalos para escaleras 6to. Nivel</t>
  </si>
  <si>
    <t>Montura de botiquin sin empotrar</t>
  </si>
  <si>
    <t>Montura de botiquin empotrado 14 x 22 cms.</t>
  </si>
  <si>
    <t>Montura repisas para baño corriente</t>
  </si>
  <si>
    <t>Montura papeleras portarevistas</t>
  </si>
  <si>
    <t>Oxido de zinc (1ra. Mano)</t>
  </si>
  <si>
    <t>Oxido de zinc (2da. Mano)</t>
  </si>
  <si>
    <t>Cerámica blanca (0.20 x 0.20) mts.</t>
  </si>
  <si>
    <t>Cerámica a color (0.20 x 0.30) mts.</t>
  </si>
  <si>
    <t>Cerámica a color (0.20 x 0.20) mts.</t>
  </si>
  <si>
    <t>De cerámica fab. Nacional de (0.20 x 0.20 ) mts. Blanca  6to. Nivel</t>
  </si>
  <si>
    <t>Cubrefalta de aluminio DC-21</t>
  </si>
  <si>
    <t>Excavacion</t>
  </si>
  <si>
    <t>Zócalos de ceramica criolla de (0.07 x 0.33) mts.  3er. Nivel</t>
  </si>
  <si>
    <t>ANDAMIOS EXTERIORES</t>
  </si>
  <si>
    <t>Subida de zocalos</t>
  </si>
  <si>
    <t>Zócalos de ceramica importada de (0.07 x 0.33) mts.  2do. Nivel</t>
  </si>
  <si>
    <t>Acrilica en muros exteriores (dos manos)</t>
  </si>
  <si>
    <t>Guindola</t>
  </si>
  <si>
    <t>Acrilica en muros interiores (dos manos)</t>
  </si>
  <si>
    <t>Pintura de aceite</t>
  </si>
  <si>
    <t>Aguarras</t>
  </si>
  <si>
    <t>Mantenimiento en puertas (dos manos)</t>
  </si>
  <si>
    <t>Mantenimiento en muros (dos manos)</t>
  </si>
  <si>
    <t>6to. Nivel</t>
  </si>
  <si>
    <t>Maestro</t>
  </si>
  <si>
    <t>Fino en techo plano</t>
  </si>
  <si>
    <t>Zabaletas de techo</t>
  </si>
  <si>
    <t>Zabaletas de piso</t>
  </si>
  <si>
    <t>Removedor ( tropical)</t>
  </si>
  <si>
    <t>Fino de mezcla en techo inclinado   4to. Nivel</t>
  </si>
  <si>
    <t>Fino de mezcla en techo bermuda   4to. Nivel</t>
  </si>
  <si>
    <t>Zabaletas de techo  4to. Nivel</t>
  </si>
  <si>
    <t>Fino de mezcla en techo inclinado   6to. Nivel</t>
  </si>
  <si>
    <t>Fino de mezcla en techo bermuda   6to. Nivel</t>
  </si>
  <si>
    <t xml:space="preserve">Subida escalones </t>
  </si>
  <si>
    <t>Piso de cerámica importada de (0.33 x 0.33) mts.</t>
  </si>
  <si>
    <t>Cerámica importada de ( 0.33 x 0.33 ) mts.</t>
  </si>
  <si>
    <t>Torta de hormigón simple de 8 cm.  de espesor</t>
  </si>
  <si>
    <t>Pintura económica</t>
  </si>
  <si>
    <t>Pañete en muros interiores 4to. Nivel</t>
  </si>
  <si>
    <t>Pañete en vigas y techos 4to. Nivel</t>
  </si>
  <si>
    <t>Pañete rústico 4to. Nivel</t>
  </si>
  <si>
    <t>Andamios interiores 2do. Nivel</t>
  </si>
  <si>
    <t>Subida de madera 2do. Nivel</t>
  </si>
  <si>
    <t>Subida de madera 3er. Nivel</t>
  </si>
  <si>
    <t>Colocación zócalos de  ceramica</t>
  </si>
  <si>
    <t>3er. Nivel</t>
  </si>
  <si>
    <t>Mezcla 1:3   5to. Nivel</t>
  </si>
  <si>
    <t>Mezcla 1:4   5to. Nivel</t>
  </si>
  <si>
    <t>Mezcla 1:5   5to. Nivel</t>
  </si>
  <si>
    <t>Mezcla 1:6   5to. Nivel</t>
  </si>
  <si>
    <t>Mezcla 1:1.5:5 (Pañete)  5to. Nivel</t>
  </si>
  <si>
    <t>Hormigón 100 kg/cm2   5to. Nivel</t>
  </si>
  <si>
    <t>Hormigón 140 kg/cm2 (1:3:5) 5to. Nivel</t>
  </si>
  <si>
    <t>Mezcla 1:4   4to. Nivel</t>
  </si>
  <si>
    <t>Piso de granito fondo gris de (0.30 x 0.30) mts.  6to. Nivel</t>
  </si>
  <si>
    <t>Zócalos de granito fondo blanco para escalones  3er. Nivel</t>
  </si>
  <si>
    <t>Plywood de 3/16¨</t>
  </si>
  <si>
    <t>Mantenimiento sobre muros</t>
  </si>
  <si>
    <t>Division de plywood ( ambos lados )</t>
  </si>
  <si>
    <t>Mosaico de granito fondo blanco de ( 0.40 x 0.40 ) mts.  ( 1 , 2 , 3 )</t>
  </si>
  <si>
    <t>Zócalos de granito fondo blanco (0.40 mt.) ( 1,  2, 3 )</t>
  </si>
  <si>
    <t xml:space="preserve">Bloques de 0.20 m con  f 3/8 a 0.40 m y cámaras llenas </t>
  </si>
  <si>
    <t>Bloques de 0.20 m con  f 3/8 a 0.80 m y cámaras llenas</t>
  </si>
  <si>
    <t xml:space="preserve">Bloques de 0.20 m con  f 3/8 a 0.80 m  </t>
  </si>
  <si>
    <t xml:space="preserve">Bloques de 0.20 m con  f 3/8 a 0.40 m  </t>
  </si>
  <si>
    <t xml:space="preserve">Bloques de 0.20 m con  f 3/8 a 0.20 m </t>
  </si>
  <si>
    <t xml:space="preserve">Bloques de 0.20 m con  f 3/8 a 0.60 m  </t>
  </si>
  <si>
    <t xml:space="preserve">Bloques de 0.15 m con  f 3/8 a 0.40 m y cámaras llenas </t>
  </si>
  <si>
    <t xml:space="preserve">Bloques de 0.15 m con  f 3/8 a 0.20 m y cámaras llenas </t>
  </si>
  <si>
    <t>Bloques de 0.15 m con  f 3/8 a 0.80 m y cámaras llenas</t>
  </si>
  <si>
    <t xml:space="preserve">Bloques de 0.15 m con  f 3/8 a 0.60 m y cámaras llenas </t>
  </si>
  <si>
    <t xml:space="preserve">Bloques de 0.15 m con  f 3/8 a 0.80 m  </t>
  </si>
  <si>
    <t xml:space="preserve">Bloques de 0.15 m con  f 3/8 a 0.40 m  </t>
  </si>
  <si>
    <t>Bloques de 0.20 m con  f 3/8 a 0.40 m y cámaras llenas</t>
  </si>
  <si>
    <t xml:space="preserve">Bloques de 0.20 m con  f 3/8 a 0.80 m y cámaras llenas </t>
  </si>
  <si>
    <t xml:space="preserve">Bloques de 0.15 m con  f 3/8 a 0.20 m </t>
  </si>
  <si>
    <t xml:space="preserve">Bloques de 0.20 m con  f 3/8 a 0.80 m </t>
  </si>
  <si>
    <t xml:space="preserve">Bloques de 0.15 m con  f 3/8 a 0.80 m y cámaras llenas </t>
  </si>
  <si>
    <t xml:space="preserve">Bloques de 0.15 m con  f 3/8 a 0.80 m </t>
  </si>
  <si>
    <t xml:space="preserve">Bloques de 0.15 m con  f 3/8 a 0.40 m </t>
  </si>
  <si>
    <t xml:space="preserve">Bloques de 0.20 m con  f 3/8 a 0.40 m </t>
  </si>
  <si>
    <t xml:space="preserve">Bloques de 0.20 m con  f 3/8 a 0.60 m </t>
  </si>
  <si>
    <t>Bloques de 0.15 m con  f 3/8 a 0.60 m y cámaras llenas</t>
  </si>
  <si>
    <t>Bloques de 0.15 m con  f 3/8 a 0.40 m y cámaras llenas</t>
  </si>
  <si>
    <t>Madera de pino  Tratado ( cepillado )</t>
  </si>
  <si>
    <t>Madera de pino  tratado cepillado</t>
  </si>
  <si>
    <t>Mezcla 1:1.5:5</t>
  </si>
  <si>
    <t xml:space="preserve">Listelos de ceramica  de ( 0.20 x 0.10 ) </t>
  </si>
  <si>
    <t>Cana natural</t>
  </si>
  <si>
    <t>Caballete de tejas (Alfarería Dominicana)</t>
  </si>
  <si>
    <t>Caballete teja plastica real 0.50 mt</t>
  </si>
  <si>
    <t>Tornillos de 1 1/2 rosca madera para tejas</t>
  </si>
  <si>
    <t>Tejas plasticas (real 1mt x .50mt)</t>
  </si>
  <si>
    <t xml:space="preserve">Caballetes  limaton castellanas 1.0 mt de largo </t>
  </si>
  <si>
    <t xml:space="preserve">Caballetes  limaton castellanas con terminal </t>
  </si>
  <si>
    <t>Tornillos de 4  para fijar planchas</t>
  </si>
  <si>
    <t>Tejas fibrocemento castellanas .90mt x .90mt</t>
  </si>
  <si>
    <t>Espantapajaros para tejas</t>
  </si>
  <si>
    <t>Piso de hormigón estampado todo costo ( suministro y colocación )</t>
  </si>
  <si>
    <t>Piso de cerámica criolla de (0.33 x 0.33) mts.  4to. Nivel</t>
  </si>
  <si>
    <t>7mo. Nivel</t>
  </si>
  <si>
    <t>Colocación de sellador adherente en junta</t>
  </si>
  <si>
    <t xml:space="preserve">Colocación de correa water-stop </t>
  </si>
  <si>
    <t>Colocación de poliuretano en muros</t>
  </si>
  <si>
    <t>Zócalos de granito fondo blanco</t>
  </si>
  <si>
    <t>Tejas sobre losas de techo 16"  2do. Nivel</t>
  </si>
  <si>
    <t>Subida de sellador</t>
  </si>
  <si>
    <t>Colocación de ladrilos limpios a una cara paredes</t>
  </si>
  <si>
    <t>Caballete de tejas</t>
  </si>
  <si>
    <t>Inst. de caballete de tejas</t>
  </si>
  <si>
    <t>Quicios de cemento</t>
  </si>
  <si>
    <t>tejas de barro de 16"</t>
  </si>
  <si>
    <t>Resane frotado 5to. Nivel</t>
  </si>
  <si>
    <t>Resane con goma 5to. Nivel</t>
  </si>
  <si>
    <t>Repello en muro 5to. Nivel</t>
  </si>
  <si>
    <t>Repello en techos 5to. Nivel</t>
  </si>
  <si>
    <t>Careteo con llana 5to. Nivel</t>
  </si>
  <si>
    <t>Estrias 5to. Nivel</t>
  </si>
  <si>
    <t xml:space="preserve">Andamios interiores </t>
  </si>
  <si>
    <t>De cerámica fab. Nacional de (0.20 x 0.20 ) mts. a color  5to. Nivel</t>
  </si>
  <si>
    <t>Pañete pulido sin color</t>
  </si>
  <si>
    <t>Acrilica  preparada en muros exteriores (dos manos)</t>
  </si>
  <si>
    <t>Thinner no. 1000</t>
  </si>
  <si>
    <t xml:space="preserve">subida de sealler </t>
  </si>
  <si>
    <t>Teaner No.1,000</t>
  </si>
  <si>
    <t xml:space="preserve">Subida de sealler </t>
  </si>
  <si>
    <t>Thinner no. 1500</t>
  </si>
  <si>
    <t>Thinner no.1,500</t>
  </si>
  <si>
    <t>Acrilica preparado en muros interiores (dos manos)</t>
  </si>
  <si>
    <t>Acrilica preparado en muros exteriores (dos manos)</t>
  </si>
  <si>
    <t>Zócalos de ceramica fab. Nacional para escalones  6to. Nivel</t>
  </si>
  <si>
    <t>Repello en techos</t>
  </si>
  <si>
    <t xml:space="preserve">2do. Nivel </t>
  </si>
  <si>
    <t>Pañete en muros exteriores 2do. Nivel</t>
  </si>
  <si>
    <t>Pañete en muros exteriores 3er. Nivel</t>
  </si>
  <si>
    <t>Escalones de granito fondo blanco  5to. Nivel</t>
  </si>
  <si>
    <t>De ladrillos 2" x 4" x 8"  2do. Nivel</t>
  </si>
  <si>
    <t>Zapata  de columna de cancha de Baloncesto</t>
  </si>
  <si>
    <t>Pañete en muros interiores 6to. Nivel</t>
  </si>
  <si>
    <t>Pañete en muros exteriores 6to. Nivel</t>
  </si>
  <si>
    <t>Montura escalones de acceso en granito</t>
  </si>
  <si>
    <t>Mano de obra pintura (2da.mano)</t>
  </si>
  <si>
    <t>Subida de pintura 3er. Nivel</t>
  </si>
  <si>
    <t>Calzos</t>
  </si>
  <si>
    <t>Confección acera frotada y viloinada</t>
  </si>
  <si>
    <t>Confección conten</t>
  </si>
  <si>
    <t>Corte y amarre de acero a 0.40 m</t>
  </si>
  <si>
    <t>Llenado de huecos a 0.40 m</t>
  </si>
  <si>
    <t>Corte y amarre de acero a 0.80 m</t>
  </si>
  <si>
    <t>Torta de hormigón simple de 8 cm.  de espesor  5to. Nivel</t>
  </si>
  <si>
    <t>Pintura a pistola en puertas (ambos lados)</t>
  </si>
  <si>
    <t>Fraguache 6to.nivel</t>
  </si>
  <si>
    <t>Cantos 6to. Nivel</t>
  </si>
  <si>
    <t>Zócalos de mármol de fab. nacional de (0.07 x 0.40) mts.  5to. Nivel</t>
  </si>
  <si>
    <t>Zabaleta de pisos  5to. Nivel</t>
  </si>
  <si>
    <t xml:space="preserve">Cerámica Nacional a color (0.20 x 0.30 ) mts. para pared </t>
  </si>
  <si>
    <t>Zócalos de de mármol de fab. Nacional para escalones   2do. Nivel</t>
  </si>
  <si>
    <t>Zócalos de granito fondo blanco de (0.07 x 0.40) mts.  2do. Nivel</t>
  </si>
  <si>
    <t>Corte de chazos</t>
  </si>
  <si>
    <t>Pulido y brillado de piso</t>
  </si>
  <si>
    <t>ud</t>
  </si>
  <si>
    <t>lb</t>
  </si>
  <si>
    <t>Colocación piso de granito (0.30 x 0.30) m</t>
  </si>
  <si>
    <t>Cerámica fab. Nacional blanca (0.20 x 0.20 ) mts. para pared</t>
  </si>
  <si>
    <t>Escalones de granito fondo blanco  6to. Nivel</t>
  </si>
  <si>
    <t>Escalones de granito fondo gris  6to. Nivel</t>
  </si>
  <si>
    <t>Escalones de cemento  6to. Nivel</t>
  </si>
  <si>
    <t>Zócalos de granito fondo grís para escalones  6to. Nivel</t>
  </si>
  <si>
    <t>Zócalos de granito fondo blanco para escalones  6to. Nivel</t>
  </si>
  <si>
    <t>Pintura acrílica preparada popular</t>
  </si>
  <si>
    <t xml:space="preserve">Acero ø  1/4" </t>
  </si>
  <si>
    <t xml:space="preserve">Acero ø  3/8" </t>
  </si>
  <si>
    <t xml:space="preserve">Acero ø  1/2" </t>
  </si>
  <si>
    <t xml:space="preserve">Acero ø  3/4" </t>
  </si>
  <si>
    <t>Acero ø  1"</t>
  </si>
  <si>
    <t>Piso de granito fondo blanco de (0.40 x 0.40) mts.</t>
  </si>
  <si>
    <t>Piso de granito fondo gris de (0.40 x 0.40) mts.</t>
  </si>
  <si>
    <t>Subida de cemento 3er. Nivel</t>
  </si>
  <si>
    <t>Subida bloques de 0.20 m 2do. Nivel</t>
  </si>
  <si>
    <t>Clavos de plywood</t>
  </si>
  <si>
    <t>Mano de obra acero</t>
  </si>
  <si>
    <t>pa</t>
  </si>
  <si>
    <t>Piso de cerámica criolla de (0.20 x 0.20) mts.  5to. Nivel</t>
  </si>
  <si>
    <t>Piso de mármol fabricación nacional de (0.40 x 0.40) mts.  5to. Nivel</t>
  </si>
  <si>
    <t>Puertas pino tratado apaneladas con marcos en pino 2" x 4"</t>
  </si>
  <si>
    <t>Marcos de pino 2" x 4"</t>
  </si>
  <si>
    <t>Montura de marcos madera corriente</t>
  </si>
  <si>
    <t>Mano de obra acero en dinteles y vigas de amarre 1er. Nivel</t>
  </si>
  <si>
    <t>Transporte interno arena gruesa y pañete</t>
  </si>
  <si>
    <t>Transporte interno grava y gravilla</t>
  </si>
  <si>
    <t>Transporte interno cemento y cal</t>
  </si>
  <si>
    <t>Subida arena gruesa y de pañetes 2do. Nivel</t>
  </si>
  <si>
    <t>Subida arena gruesa y de pañetes 3er. Nivel</t>
  </si>
  <si>
    <t>Piso de mármol fabricación nacional de (0.40 x 0.40) mts.  3er. Nivel</t>
  </si>
  <si>
    <t>Subida grava  y gravilla 2do. Nivel</t>
  </si>
  <si>
    <t>Colocación cubrefaltas de aluminio</t>
  </si>
  <si>
    <t>Mano de obra acero alta resistencia 3er. Nivel</t>
  </si>
  <si>
    <t>Cal (50 libras )</t>
  </si>
  <si>
    <t>Excavación en caliche mas de 3 mt.</t>
  </si>
  <si>
    <t>Excavación en roca blanda a mano</t>
  </si>
  <si>
    <t>Excavación en roca dura a mano</t>
  </si>
  <si>
    <t>Excavación en roca a compresor</t>
  </si>
  <si>
    <t xml:space="preserve">Mano de obra acero grado 40 1er. Nivel </t>
  </si>
  <si>
    <t>Piso de Rejon Frotado</t>
  </si>
  <si>
    <t>Cascajo</t>
  </si>
  <si>
    <t>Piso rejonado y pulido</t>
  </si>
  <si>
    <t>Resane frotado 6to. Nivel</t>
  </si>
  <si>
    <t>Resane con goma 6to. Nivel</t>
  </si>
  <si>
    <t>Repello en muro 6to. Nivel</t>
  </si>
  <si>
    <t>Repello en techos 6to. Nivel</t>
  </si>
  <si>
    <t>Careteo con llana 6to. Nivel</t>
  </si>
  <si>
    <t>Estrias 6to. Nivel</t>
  </si>
  <si>
    <t>Goteros colgantes 6to. Nivel</t>
  </si>
  <si>
    <t>Goteros de ranura 6to. Nivel</t>
  </si>
  <si>
    <t>Mezcla 1:2   2do. Nivel</t>
  </si>
  <si>
    <t>Mezcla 1:3   2do. Nivel</t>
  </si>
  <si>
    <t>Fino de mezcla en techo inclinado   1er. Nivel</t>
  </si>
  <si>
    <t>Subida de laca</t>
  </si>
  <si>
    <t xml:space="preserve">Sealler </t>
  </si>
  <si>
    <t>Barniz natural</t>
  </si>
  <si>
    <t>Piso de hormigón frotado E= 0.10 mts.  5to. Nivel</t>
  </si>
  <si>
    <t>Piso de hormigón pulido E= 0.10 mts.  5to. Nivel</t>
  </si>
  <si>
    <t>Piso de granito fondo blanco de (0.30 x 0.30) mts.  5to. Nivel</t>
  </si>
  <si>
    <t>Piso de granito fondo gris de (0.30 x 0.30) mts.  5to. Nivel</t>
  </si>
  <si>
    <t>Zapata de muros 0.15 m (en verjas y aceras)</t>
  </si>
  <si>
    <t>Cantos, en vigas, columnas , antepecho</t>
  </si>
  <si>
    <t>Clavos de zinc</t>
  </si>
  <si>
    <t>Clavos de acero</t>
  </si>
  <si>
    <t xml:space="preserve"> </t>
  </si>
  <si>
    <t>Subida de piedras 4to. Nivel</t>
  </si>
  <si>
    <t>Subida de piedras 5to. Nivel</t>
  </si>
  <si>
    <t>Subida de pintura 4to. Nivel</t>
  </si>
  <si>
    <t>Subida de pintura 5to. Nivel</t>
  </si>
  <si>
    <t>Subida de pintura 6to. Nivel</t>
  </si>
  <si>
    <t>Subida de madera 4to. Nivel</t>
  </si>
  <si>
    <t>Bloques de 0.15 m con  f 3/8 a 0.80 m y cámaras llenas S.N.P.</t>
  </si>
  <si>
    <t>Bloques de 0.15 m con  f 3/8 a 0.60 m y cámaras llenas S.N.P.</t>
  </si>
  <si>
    <t>Bloques de 0.15 m con  f 3/8 a 0.80 m  S.N.P.</t>
  </si>
  <si>
    <t>Bloques de 0.15 m con  f 3/8 a 0.40 m  S.N.P.</t>
  </si>
  <si>
    <t>Pañete en perrilla</t>
  </si>
  <si>
    <t>De ladrillos 2" x 2" x 8"  2do. Nivel</t>
  </si>
  <si>
    <t>Piedra laja</t>
  </si>
  <si>
    <t>Laja para revestimientos de muros</t>
  </si>
  <si>
    <t xml:space="preserve">Colocación </t>
  </si>
  <si>
    <t>Colocación de laja en muros</t>
  </si>
  <si>
    <t>Subida de piedras 3er. Nivel</t>
  </si>
  <si>
    <t>Subida de piedras</t>
  </si>
  <si>
    <t>Torta de hormigón simple de 8 cm.  de espesor  4to. Nivel</t>
  </si>
  <si>
    <t>Piso de granito fondo blanco de (0.40 x 0.40) mts.  4to. Nivel</t>
  </si>
  <si>
    <t>Escalones de ceramica  6to. Nivel</t>
  </si>
  <si>
    <t>Hormigón 210 kg/cm2   5to. Nivel</t>
  </si>
  <si>
    <t>Hormigón 240 kg/cm2   5to. Nivel</t>
  </si>
  <si>
    <t>Confecciòn de Bordillo</t>
  </si>
  <si>
    <t>rollo</t>
  </si>
  <si>
    <t>Demolición  de losetas   (1.00  m2) (ceramica de pared )</t>
  </si>
  <si>
    <t>Pulidoy brillado piso de marmol (incl. Cera)</t>
  </si>
  <si>
    <t>Zócalos de granito fondo blanco de (0.07 x 0.40) mts.  3er. Nivel</t>
  </si>
  <si>
    <t xml:space="preserve">Colocación de transon de pino </t>
  </si>
  <si>
    <t>Subida bloques de 0.20 m 3er. Nivel</t>
  </si>
  <si>
    <t>Subida bloques de 0.10 m 3er. Nivel</t>
  </si>
  <si>
    <t>Pegatop gris (50 lib.)</t>
  </si>
  <si>
    <t>Mezcla 1:3 para un 4to. Nivel</t>
  </si>
  <si>
    <t>Mortero 1:1.5:5</t>
  </si>
  <si>
    <t>Cerámica fab. Nacional a color (0.20 x 0.20 ) mts. para pared</t>
  </si>
  <si>
    <t>Confecciòn de bordillos</t>
  </si>
  <si>
    <t>Columna en Cancha de Baloncesto</t>
  </si>
  <si>
    <t>Acero de 3/4"</t>
  </si>
  <si>
    <t>Piso de granito fondo gris de (0.40 x 0.40) mts.  3er. Nivel</t>
  </si>
  <si>
    <t>Piso de cerámica importada de (0.33 x 0.33) mts.  3er. Nivel</t>
  </si>
  <si>
    <t>Piso de hormigón frotado esp 10 cm.</t>
  </si>
  <si>
    <t>Piso de hormigón frotado E= 0.10 mts.</t>
  </si>
  <si>
    <t xml:space="preserve">Ceramica criolla para piso de ( 0.33 x 0.33 ) m </t>
  </si>
  <si>
    <t>Quicios de Granito blanco  0.40 mt</t>
  </si>
  <si>
    <t>Subida de derretido de cemento</t>
  </si>
  <si>
    <t>Apisonado para colocación de adoquines</t>
  </si>
  <si>
    <t xml:space="preserve">Mano de obra acero grado 40 2do. Nivel </t>
  </si>
  <si>
    <t xml:space="preserve">Mano de obra acero grado 40 3er. Nivel </t>
  </si>
  <si>
    <t xml:space="preserve">Mano de obra acero grado 40 4to. Nivel </t>
  </si>
  <si>
    <t xml:space="preserve">Mano de obra acero grado 40 5to. Nivel </t>
  </si>
  <si>
    <t>Colocación piedra caliza labrada</t>
  </si>
  <si>
    <t>Instalaciòn cubierta plywood</t>
  </si>
  <si>
    <t>Mano de obra pintura sealler (1era.mano)</t>
  </si>
  <si>
    <t>Teanner 1000</t>
  </si>
  <si>
    <t>Pintura en Oleo con Laca en puertas</t>
  </si>
  <si>
    <t>Oleo</t>
  </si>
  <si>
    <t>tubo</t>
  </si>
  <si>
    <t xml:space="preserve">Piso de hormigòn pulido </t>
  </si>
  <si>
    <t>Pintura semigloss en muros (dos manos)</t>
  </si>
  <si>
    <t>Piso de cerámica criolla de (0.20 x 0.20) mts.</t>
  </si>
  <si>
    <t>Cerámica de ( 0.33 x 0.33 ) mts.</t>
  </si>
  <si>
    <t>Cerámica de ( 0.20 x 0.20 ) mts.</t>
  </si>
  <si>
    <t>Cerámica importada de ( 0.35 x 0.35 ) mts.</t>
  </si>
  <si>
    <t>Zócalos de marmol de fab. nacional de (0.07 x 0.40) mts.</t>
  </si>
  <si>
    <t>Puertas plywood  en closet con marco de pino 2" x 4" ( incluye</t>
  </si>
  <si>
    <t>cerradura tipo ombligo )</t>
  </si>
  <si>
    <t>Zócalos de granito fondo blanco de (0.07 x 0.30) mts.</t>
  </si>
  <si>
    <t>Zócalos de granito fondo gris de (0.07 x 0.30) mts.</t>
  </si>
  <si>
    <t>Subida derretido</t>
  </si>
  <si>
    <t>Subida de pisos</t>
  </si>
  <si>
    <t>Subida de zócalos</t>
  </si>
  <si>
    <t>Subida zócalos para pisos 2do. Nivel</t>
  </si>
  <si>
    <t>Subida zócalos para pisos 3er. Nivel</t>
  </si>
  <si>
    <t xml:space="preserve">3er. Nivel </t>
  </si>
  <si>
    <t>Zabaleta de pisos</t>
  </si>
  <si>
    <t xml:space="preserve">Hormigón 240 kg/cm2 </t>
  </si>
  <si>
    <t xml:space="preserve">Hormigón 250 kg/cm2 </t>
  </si>
  <si>
    <t>Mezcla 1:2.5:4 ( Hormigón ciclopeo)</t>
  </si>
  <si>
    <t>2do. Nivel</t>
  </si>
  <si>
    <t>1er. Nivel</t>
  </si>
  <si>
    <t>Llenado de huecos a 0.80 m</t>
  </si>
  <si>
    <t>Aplicación</t>
  </si>
  <si>
    <t>Mano de obra</t>
  </si>
  <si>
    <t>Mortero 1 :1.5:5</t>
  </si>
  <si>
    <t>Cantos</t>
  </si>
  <si>
    <t>ml</t>
  </si>
  <si>
    <t>fda</t>
  </si>
  <si>
    <t>Estopa</t>
  </si>
  <si>
    <t>Mezcla 1:4</t>
  </si>
  <si>
    <t>pl</t>
  </si>
  <si>
    <t>Materiales diversos</t>
  </si>
  <si>
    <t>Mezcla 1:5   4to. Nivel</t>
  </si>
  <si>
    <t>Mezcla 1:6   4to. Nivel</t>
  </si>
  <si>
    <t>Mezcla 1:1.5:5 (Pañete)  4to. Nivel</t>
  </si>
  <si>
    <t xml:space="preserve">Montura de puertas de vaiven </t>
  </si>
  <si>
    <t>Montura de puertas plegadizas de correderas</t>
  </si>
  <si>
    <t>De cerámica fab. Nacional de (0.15 x 0.15 ) mts. Blanca  4to. Nivel</t>
  </si>
  <si>
    <t>Subida de bloques 0.20 mt.</t>
  </si>
  <si>
    <t>Subida de bloques 0.15 mt.</t>
  </si>
  <si>
    <t>Subida de bloques 0.10 mt.</t>
  </si>
  <si>
    <t xml:space="preserve">Subida de bloques </t>
  </si>
  <si>
    <t>Goteros colgantes 5to. Nivel</t>
  </si>
  <si>
    <t>Goteros de ranura 5to. Nivel</t>
  </si>
  <si>
    <t xml:space="preserve">6to. Nivel </t>
  </si>
  <si>
    <t>Confección andamios exteriores</t>
  </si>
  <si>
    <t xml:space="preserve">Confecciòn de  andamios exteriores </t>
  </si>
  <si>
    <t>Cerámica fab. Nacional blanca Brillante (0.20 x 0.20 ) mts. para pared</t>
  </si>
  <si>
    <t>Colocación tejas en techo</t>
  </si>
  <si>
    <t>Colocación caballete</t>
  </si>
  <si>
    <t>Subida de pintura 2do. Nivel</t>
  </si>
  <si>
    <t>Aceras y paseos</t>
  </si>
  <si>
    <t>Acero de 1/4"</t>
  </si>
  <si>
    <t>Alambre # 18</t>
  </si>
  <si>
    <t>Zócalos de granito fondo blanco de (0.07 x 0.30) mts.  3er. Nivel</t>
  </si>
  <si>
    <t>Zócalos de granito fondo gris de (0.07 x 0.30) mts.  3er. Nivel</t>
  </si>
  <si>
    <t>De cerámica fab. Nacional de (0.20 x 0.30 ) mts. a color  2do. Nivel</t>
  </si>
  <si>
    <t>De cerámica fab. Nacional de (0.20 x 0.20 ) mts. a color  2do. Nivel</t>
  </si>
  <si>
    <t>confecciòn de  andamios exteriores</t>
  </si>
  <si>
    <t>lbs.</t>
  </si>
  <si>
    <t>Zócalos de de mármol de fab. Nacional para escalones   3er. Nivel</t>
  </si>
  <si>
    <t>Escalones de mármol  2do. Nivel</t>
  </si>
  <si>
    <t>Mezcla 1:3 para un 2do. Nivel</t>
  </si>
  <si>
    <t>Pintura acrilica alto trafico</t>
  </si>
  <si>
    <t>Mezcla 1:2   6to. Nivel</t>
  </si>
  <si>
    <t>Mezcla 1:3   6to. Nivel</t>
  </si>
  <si>
    <t>Mezcla 1:4  6to. Nivel</t>
  </si>
  <si>
    <t>Mezcla 1:5   6to. Nivel</t>
  </si>
  <si>
    <t>Mezcla 1:6   6to. Nivel</t>
  </si>
  <si>
    <t>Mezcla 1:1.5:5 (Pañete)  6to. Nivel</t>
  </si>
  <si>
    <t xml:space="preserve">Escalones de ceramica </t>
  </si>
  <si>
    <t>Zocalos de granito fdo. Gris</t>
  </si>
  <si>
    <t xml:space="preserve">Quicios y entre puertas </t>
  </si>
  <si>
    <t>Quicios y entrepuertas</t>
  </si>
  <si>
    <t>Quicios de Granito gris 0.30 mt</t>
  </si>
  <si>
    <t>Quicios de Granito blanco  0.30 mt</t>
  </si>
  <si>
    <t>Relleno de caliche</t>
  </si>
  <si>
    <t>Regado, nivelado y apisonado</t>
  </si>
  <si>
    <t>Pulidoy brillado piso de granito (P. Viejo)</t>
  </si>
  <si>
    <t xml:space="preserve">Colocaciòn Loseta de Barro 0.20x0.20 </t>
  </si>
  <si>
    <t>Colocaciòn Loseta de Barro tipo feria (grande)</t>
  </si>
  <si>
    <t>Pulidoy brillado piso de marmol (incl. Cera) (P. Viejo)</t>
  </si>
  <si>
    <t xml:space="preserve">Loseta de Barro 0.20x0.20 </t>
  </si>
  <si>
    <t>gls</t>
  </si>
  <si>
    <t>fds</t>
  </si>
  <si>
    <t>Pañete yeso</t>
  </si>
  <si>
    <t>Pañete en perrilla exterior</t>
  </si>
  <si>
    <t>Mosaico de granito fondo blanco de ( 0.30 x 0.30 ) mts.</t>
  </si>
  <si>
    <t>Mosaico de granito fondo gris de ( 0.30 x 0.30 ) mts.</t>
  </si>
  <si>
    <t>Piso de cerámica criolla de (0.33 x 0.33) mts.</t>
  </si>
  <si>
    <t>Escalones de cemento  4to. Nivel</t>
  </si>
  <si>
    <t>Escalones de mármol 4to. Nivel</t>
  </si>
  <si>
    <t>Zócalos de granito fondo grís para escalones 4to. Nivel</t>
  </si>
  <si>
    <t>Zócalos de granito fondo blanco para escalones  4to. Nivel</t>
  </si>
  <si>
    <t>Zócalos de ceramica fab. Nacional para escalones  4to. Nivel</t>
  </si>
  <si>
    <t>Escalones de ceramica   3er. Nivel</t>
  </si>
  <si>
    <t xml:space="preserve">Bloques calados de (0.15x0.15x0.15) </t>
  </si>
  <si>
    <t>Señalizaciòn de lineas en parqueos</t>
  </si>
  <si>
    <t>Loseta de barro tipo Feria pequeña</t>
  </si>
  <si>
    <t>Piso de loseta de barro exagonales grande</t>
  </si>
  <si>
    <t>Loseta de barro exagonale grande</t>
  </si>
  <si>
    <t>Torta de hormigón simple de 8 cm.  de espesor  3er. Nivel</t>
  </si>
  <si>
    <t xml:space="preserve">Subida de impermeabilizante 2do. Nivel </t>
  </si>
  <si>
    <t xml:space="preserve">Subida de impermeabilizante 3ro. Nivel </t>
  </si>
  <si>
    <t xml:space="preserve">Subida de impermeabilizante 4to. Nivel </t>
  </si>
  <si>
    <t xml:space="preserve">Subida de impermeabilizante 5to. Nivel </t>
  </si>
  <si>
    <t xml:space="preserve">Subida de impermeabilizante 6to. Nivel </t>
  </si>
  <si>
    <t xml:space="preserve">Subida de impermeabilizante 7mo. Nivel </t>
  </si>
  <si>
    <t xml:space="preserve">Piso de hormigón armado en cancha volibol y baloncesto </t>
  </si>
  <si>
    <t>Pañete púlido 4to. Nivel</t>
  </si>
  <si>
    <t>Pañete punta de llana 4to. Nivel</t>
  </si>
  <si>
    <t>Pañete rasgado 4to. Nivel</t>
  </si>
  <si>
    <t>Violinado 4to. Nivel</t>
  </si>
  <si>
    <t>Fraguache 4to.nivel</t>
  </si>
  <si>
    <t>Demolición  de aceras</t>
  </si>
  <si>
    <t>Demolición  de hormigón simple (1.00  m3)</t>
  </si>
  <si>
    <t>Demolición  de hormigón armado (1.00  m3)</t>
  </si>
  <si>
    <t>Demolición  de escalones, solo recubrimiento  (1.00  ml)</t>
  </si>
  <si>
    <t>Goteros de ranura</t>
  </si>
  <si>
    <t>Goteros de ranuras</t>
  </si>
  <si>
    <t>Pañete punta de llana</t>
  </si>
  <si>
    <t>Pañete rasgado</t>
  </si>
  <si>
    <t>Violinado</t>
  </si>
  <si>
    <t>Zócalos de granito fondo grís para escalones</t>
  </si>
  <si>
    <t>Zócalos de granito fondo blanco para escalones</t>
  </si>
  <si>
    <t>Pintura de aluminio (dos manos)</t>
  </si>
  <si>
    <t>Pintura epoxica</t>
  </si>
  <si>
    <t>Mano de obra pintura aceite (2da.mano)</t>
  </si>
  <si>
    <t>Mano de obra pintura aceite (1era.mano)</t>
  </si>
  <si>
    <t>Mano de obra pintura agua (1era.mano)</t>
  </si>
  <si>
    <t>Mano de obra pintura agua (2da.mano)</t>
  </si>
  <si>
    <t>Disolvente pintura epoxica</t>
  </si>
  <si>
    <t>Pintura acrilica</t>
  </si>
  <si>
    <t>Mano de obra en rustico (1era.mano)</t>
  </si>
  <si>
    <t>Hormigón 180 kg/cm2 (1:2:4) 4to. Nivel</t>
  </si>
  <si>
    <t>Hormigón 200 kg/cm2   4to. Nivel</t>
  </si>
  <si>
    <t>Hormigón 210 kg/cm2   4to. Nivel</t>
  </si>
  <si>
    <t>Hormigón 240 kg/cm2   4to. Nivel</t>
  </si>
  <si>
    <t>Hormigón 250 kg/cm2   4to. Nivel</t>
  </si>
  <si>
    <t>Careteo con llana 3er. Nivel</t>
  </si>
  <si>
    <t>Estrias 3er. Nivel</t>
  </si>
  <si>
    <t>Ceramica importada para piso de ( 0.40 x 0.40 ) m</t>
  </si>
  <si>
    <t>Andamios Exteriores (1ro. Hasta 4to. Nivel )</t>
  </si>
  <si>
    <t>ANDAMIOS INTERIORES</t>
  </si>
  <si>
    <t>MEZCLA Y HORMIGONES</t>
  </si>
  <si>
    <t>Cana incl. Transporte</t>
  </si>
  <si>
    <t>Piso de cerámica importada de (0.33 x 0.33) mts.  en plumilla</t>
  </si>
  <si>
    <t>Labores de malla elèctrosoldada (en pisos y losas)</t>
  </si>
  <si>
    <t>De ladrillos 2" x 4" x 8"  5to. Nivel</t>
  </si>
  <si>
    <t>De ladrillos 2" x 2" x 8"  5to. Nivel</t>
  </si>
  <si>
    <t>Revestimiento en lajas 5to. Nivel</t>
  </si>
  <si>
    <t>Revestimiento en lajas 1er. Nivel</t>
  </si>
  <si>
    <t>De cerámica fab. Nacional de (0.20 x 0.30 ) mts. a color  1er. Nivel</t>
  </si>
  <si>
    <t>De cerámica fab. Nacional de (0.20 x 0.20 ) mts. a color   1er. Nivel</t>
  </si>
  <si>
    <t>De cerámica fab. Nacional de (0.20 x 0.20 ) mts. Blanca   1er. Nivel</t>
  </si>
  <si>
    <t>De cerámica fab. Nacional de (0.20 x 0.20 ) mts. Blanco brillante   1er. Nivel</t>
  </si>
  <si>
    <t>De cerámica fab. Nacional de (0.15 x 0.15 ) mts. Blanca   1er. Nivel</t>
  </si>
  <si>
    <t>Pañete rústico 6to. Nivel</t>
  </si>
  <si>
    <t>Pañete púlido 6to. Nivel</t>
  </si>
  <si>
    <t>Marcos de pino 2" x 6"</t>
  </si>
  <si>
    <t>Marcos de caoba 2" x 4"</t>
  </si>
  <si>
    <t>Pañete en columnas aisladas</t>
  </si>
  <si>
    <t>Calados tipo media luna</t>
  </si>
  <si>
    <t>Grava</t>
  </si>
  <si>
    <t>Relleno de reposición</t>
  </si>
  <si>
    <t>Bote de material</t>
  </si>
  <si>
    <t>Colocación piso de granito (0.40 x 0.40) m</t>
  </si>
  <si>
    <t>Marmol de ( 0.40 x 0.40 ) mts.</t>
  </si>
  <si>
    <t>Hormigón 100 kg/cm2   6to. Nivel</t>
  </si>
  <si>
    <t>Hormigón 140 kg/cm2 (1:3:5) 2do. Nivel</t>
  </si>
  <si>
    <t>Hormigón 150 kg/cm2   2do. Nivel</t>
  </si>
  <si>
    <t>Hormigón 160 kg/cm2 (1:2:3) 2do. Nivel</t>
  </si>
  <si>
    <t>plancha Plywood decorativo</t>
  </si>
  <si>
    <t>plancha Plywood de pino 1 cara  3/4" de construcción</t>
  </si>
  <si>
    <t>plancha Plywood 1/2  de pino 1 cara</t>
  </si>
  <si>
    <t>plancha Plywood 1/4  de pino 1 cara</t>
  </si>
  <si>
    <t>Piedras  ( tipo )</t>
  </si>
  <si>
    <t>plancha Plywood 3/16     ( 3¨ x 7¨ )ocume</t>
  </si>
  <si>
    <t>HORMIGON</t>
  </si>
  <si>
    <t>Porcelanato chino (0.50x 0.50)</t>
  </si>
  <si>
    <t>Porcelanato chino (0.30x 0.60)</t>
  </si>
  <si>
    <t>Hormigón Industrial 160 kg/cm2</t>
  </si>
  <si>
    <t>Hormigón Industrial 260 kg/cm2</t>
  </si>
  <si>
    <t>Hormigón Industrial 280 kg/cm2</t>
  </si>
  <si>
    <t>Hormigón Industrial 300 kg/cm2</t>
  </si>
  <si>
    <t>Hormigón Industrial 315 kg/cm2</t>
  </si>
  <si>
    <t>Hormigón Industrial 350 kg/cm2</t>
  </si>
  <si>
    <t>Hormigón Industrial 400 kg/cm2</t>
  </si>
  <si>
    <t>M2</t>
  </si>
  <si>
    <t>BLOQUES</t>
  </si>
  <si>
    <t>PRELIMINARES</t>
  </si>
  <si>
    <t>ESCALERA</t>
  </si>
  <si>
    <t xml:space="preserve">Desmonte de plafon </t>
  </si>
  <si>
    <t>PINTURA</t>
  </si>
  <si>
    <t>PRECIOS</t>
  </si>
  <si>
    <t xml:space="preserve">Reparación y pintura de ventanas de aluminio (incl. Desmonte, montura y masilla) </t>
  </si>
  <si>
    <t>HORMIGONES Y MEZCLA</t>
  </si>
  <si>
    <t>Perilla 30 lbs</t>
  </si>
  <si>
    <t xml:space="preserve">Ligado y vaciado </t>
  </si>
  <si>
    <t>YESO  americano</t>
  </si>
  <si>
    <t>Cola carpintero (blanco )</t>
  </si>
  <si>
    <t xml:space="preserve">Cola amarilla Universal </t>
  </si>
  <si>
    <t>Clavos corrientes 3"</t>
  </si>
  <si>
    <t>Clavos corrientes 4"</t>
  </si>
  <si>
    <t>Relleno Reposicion de caliche</t>
  </si>
  <si>
    <t>Relleno de Reposicion</t>
  </si>
  <si>
    <t>Demolición  de pisos</t>
  </si>
  <si>
    <t>Marmol fab. nacional para piso de ( 0.30 x 0.60 )  TRAVERTINO</t>
  </si>
  <si>
    <t>plancha laminada (Formica  4´x 8´) ( por m2 =$264.70 )</t>
  </si>
  <si>
    <t>Thinner  no. 1500   Tropical</t>
  </si>
  <si>
    <t>Bloques de 0.20 m (8")</t>
  </si>
  <si>
    <t>Bloques TEXTUBLOCK de 0.20 m</t>
  </si>
  <si>
    <t>Bloques TEXTUBLOCK de 0.15 m</t>
  </si>
  <si>
    <t>Clavos corrientes 2 CON CABEZA</t>
  </si>
  <si>
    <t>Clavos corrientes 2 SIN CABEZA</t>
  </si>
  <si>
    <t>Clavos corrientes 1 1/2" CON CABEZA</t>
  </si>
  <si>
    <t>Clavos corrientes 1 1/2" SIN CABEZA</t>
  </si>
  <si>
    <t>Clavos corrientes 1 " CON CABEZA</t>
  </si>
  <si>
    <t>Clavos corrientes 1 " SIN CABEZA</t>
  </si>
  <si>
    <t>Yeso BARAHONA 65 libras CRIOLLO</t>
  </si>
  <si>
    <t>Cal (35 libras ) STO-DGO</t>
  </si>
  <si>
    <t>Bloques DE CONCRETO SANTO DOMINGO de 5" CRIOLLO</t>
  </si>
  <si>
    <t>Clavos de acero ESTRIADO P/CONOR GA 1-1/2" X 9"</t>
  </si>
  <si>
    <t>Clavos de acero ESTRIADO P/CONOR GA 2-1/2" X 9"</t>
  </si>
  <si>
    <t>Clavos de acero ESTRIADO P/CONOR GA 2" X 9"</t>
  </si>
  <si>
    <t>Clavos de acero ESTRIADO P/CONOR GA 3" X 9"</t>
  </si>
  <si>
    <t>Clavos de acero ESTRIADO P/CONOR GA 4" X 9"</t>
  </si>
  <si>
    <t>Ceramica criolla para piso de ( 0.33 x 0.33 ) m  ECONOMICA</t>
  </si>
  <si>
    <t>Grava Triturada azul semana santa 3/4" x 1/2"</t>
  </si>
  <si>
    <t xml:space="preserve">Arena seca tipo  ( itabo) sto-dgo.3/16" </t>
  </si>
  <si>
    <t>Porcelanato español (0.40x 0.40)</t>
  </si>
  <si>
    <t>TUBO DE OLEO # 2Y 3</t>
  </si>
  <si>
    <t>ALAMBRES</t>
  </si>
  <si>
    <t>CLAVOS</t>
  </si>
  <si>
    <t>Herramientas y equipos  OBRAS PUBLICAS</t>
  </si>
  <si>
    <t>Arena gruesa ( itabo) LAVADA</t>
  </si>
  <si>
    <t>DERRETIDO DE CEMENTO  BLANCO 90 LBS</t>
  </si>
  <si>
    <t>Pintura  Ultratex Tropical blanco 00 ( 5 gls )</t>
  </si>
  <si>
    <t>Pintura  Ultratex Tropical blanco 00  (  1 gls )</t>
  </si>
  <si>
    <t>IMPERMEABILIZANTES</t>
  </si>
  <si>
    <t>PINTURAS Y DILUYENTES</t>
  </si>
  <si>
    <t>MATERIALES GASTABLE</t>
  </si>
  <si>
    <t>EXCAVACIONES</t>
  </si>
  <si>
    <t>COLOCACION DE BLOQUES</t>
  </si>
  <si>
    <t>MANO DE OBRA ACERO</t>
  </si>
  <si>
    <t>TRANSPORTE   INTERNO</t>
  </si>
  <si>
    <t>ACARREO   INTERNO</t>
  </si>
  <si>
    <t>SUBIDA   GRAVA Y GRAVILLA</t>
  </si>
  <si>
    <t>SUBIDA   DE CEMENTO</t>
  </si>
  <si>
    <t>SUBIDA   DE BLOQUES</t>
  </si>
  <si>
    <t>MANO OBRA PAÑETE</t>
  </si>
  <si>
    <t>MANO OBRA PULIDO Y BRILLADO</t>
  </si>
  <si>
    <t>MANO OBRA  EN TECHO</t>
  </si>
  <si>
    <t>CORTE DE CHAZOS</t>
  </si>
  <si>
    <t>COLOCACION DE ZOCALOS</t>
  </si>
  <si>
    <t xml:space="preserve">MANO DE OBRA DE ESCALONES </t>
  </si>
  <si>
    <t>MANO DE OBRA DE  REVESTIMIENTO</t>
  </si>
  <si>
    <t>COLOCACION DE ADHERENTES</t>
  </si>
  <si>
    <t>CORTE Y AMARRE DE ACERO</t>
  </si>
  <si>
    <t>LLENADOS DE HUECOS</t>
  </si>
  <si>
    <t>SUBIDA DE PISOS O REVESTIMIENTOS</t>
  </si>
  <si>
    <t>SUBIDA DE DERRETIDO Y PEGAMENTO</t>
  </si>
  <si>
    <t>Herramientas y equipos  PRIVADO</t>
  </si>
  <si>
    <t xml:space="preserve">GRAVA </t>
  </si>
  <si>
    <t>MADERA PINO</t>
  </si>
  <si>
    <t>MARCOS PARA PUERTA</t>
  </si>
  <si>
    <t>Madera para marcos de 2" x 4"en pino  Americano</t>
  </si>
  <si>
    <t>jg</t>
  </si>
  <si>
    <t>plancha Plywood 3/16     ( 3¨ x 7¨ )BRASILEÑO</t>
  </si>
  <si>
    <t>plancha Plywood 3/16    ( 4¨ x 8¨ ) BRASILEÑO</t>
  </si>
  <si>
    <t>plancha Plywood 1/4      ( 4¨ x 8¨ )BRASILEÑO</t>
  </si>
  <si>
    <t>plancha Plywood 3/8      ( 4¨ x 8¨ ) BRASILEÑO</t>
  </si>
  <si>
    <t>plancha Plywood 1/2   ( 4¨ x 8¨ ) BRASILEÑO</t>
  </si>
  <si>
    <t>plancha Plywood 5/8    ( 4¨ x 8¨ ) BRASILEÑO</t>
  </si>
  <si>
    <t>plancha Plywood 3/4    ( 4¨ x 8¨ ) BRASILEÑO</t>
  </si>
  <si>
    <t>plancha Plywood 3/16    ( 4¨ x 8¨ )  OKUME</t>
  </si>
  <si>
    <t>plancha Plywood 1/4      ( 4¨ x 8¨ )  OKUME</t>
  </si>
  <si>
    <t>plancha Plywood 3/8      ( 4¨ x 8¨ )  OKUME</t>
  </si>
  <si>
    <t>plancha Plywood 1/2   ( 4¨ x 8¨ ) OKUME</t>
  </si>
  <si>
    <t>plancha Plywood 5/8    ( 4¨ x 8¨ )  OKUME</t>
  </si>
  <si>
    <t>plancha Plywood 3/4    ( 4¨ x 8¨ ) OKUME</t>
  </si>
  <si>
    <t>plancha Plywood 3/4    ( 4¨ x 8¨ )  BRASILEÑO 1 cara rojo</t>
  </si>
  <si>
    <t>plancha Plywood 3/4    ( 4¨ x 8¨ ) pino 1 cara rojo</t>
  </si>
  <si>
    <t xml:space="preserve"> BARNIZ PLASTICO CON BRILLO TROPICAL </t>
  </si>
  <si>
    <t xml:space="preserve"> BARNIZ CON BRILLO TROPICAL </t>
  </si>
  <si>
    <t xml:space="preserve"> BARNIZ MARINO CON BRILLO TROPICAL </t>
  </si>
  <si>
    <t xml:space="preserve"> BARNIZ CAOBA  TROPICAL </t>
  </si>
  <si>
    <t>plancha Plywood 3/8      ( 4¨ x 8¨ ) CEDRO</t>
  </si>
  <si>
    <t>plancha Plywood 1/2   ( 4¨ x 8¨ )    CEDRO</t>
  </si>
  <si>
    <t>plancha Plywood 5/8    ( 4¨ x 8¨ )   CEDRO</t>
  </si>
  <si>
    <t>plancha Plywood 1/2   ( 4¨ x 8¨ ) PINO</t>
  </si>
  <si>
    <t>Cemento de contacto universal</t>
  </si>
  <si>
    <t>Cal de santo domingo de 35 lbs</t>
  </si>
  <si>
    <t>Masilla  p / ventana 10 onzas CC-753-18 LANCO</t>
  </si>
  <si>
    <t>TUBO</t>
  </si>
  <si>
    <t>Masking tape 1 x 55 yarda</t>
  </si>
  <si>
    <t>Estopa blanca ( deperdicio hilo )</t>
  </si>
  <si>
    <t>Silicone Blanco RTV  10.3 onzas SS-887-18 LANCO</t>
  </si>
  <si>
    <t>Silicone  Transparente RTV  10.3 onzas SS-887-18 LANCO</t>
  </si>
  <si>
    <t>Oxido rojo</t>
  </si>
  <si>
    <t>MANO DE OBRA DE REPARACION</t>
  </si>
  <si>
    <t>DESMONTE</t>
  </si>
  <si>
    <t>CORRECIONES</t>
  </si>
  <si>
    <t>LIMPIEZA</t>
  </si>
  <si>
    <t>SUBIDA DE ESCALONES DE GRANITO</t>
  </si>
  <si>
    <t>SUBIDA DE LADRILLO</t>
  </si>
  <si>
    <t>SUBIDA DE PIEDRA</t>
  </si>
  <si>
    <t>Confecciòn plafond de plywood 2"x2"</t>
  </si>
  <si>
    <t>CONFECCION</t>
  </si>
  <si>
    <t>SUBIDA DE PINTURA</t>
  </si>
  <si>
    <t>Alambre de puas C-16 (250.00 mts.) CORVI</t>
  </si>
  <si>
    <t xml:space="preserve">Alambre de puas C-13-16 (100.00 mts.) </t>
  </si>
  <si>
    <t>Alambre de puas C-14-16 (250.00 mts.) MOHO</t>
  </si>
  <si>
    <t>Ceramica importada para piso de ( 0.45 x 0.45 ) m</t>
  </si>
  <si>
    <t>Ceramica importada para piso de ( 0.33 x 0.33 ) m ESPAÑA</t>
  </si>
  <si>
    <t>SUBIDA DE  MADERA</t>
  </si>
  <si>
    <t>LIGADO Y VACIADO</t>
  </si>
  <si>
    <t>TRABAJOS EN PARQUEOS</t>
  </si>
  <si>
    <t>INSTALACIONES</t>
  </si>
  <si>
    <t>MONTURAS</t>
  </si>
  <si>
    <t>CONFECCIONES</t>
  </si>
  <si>
    <t>Confecciòn de puertas  forradas de zinc</t>
  </si>
  <si>
    <t>Remocion de impermeabilizante</t>
  </si>
  <si>
    <t>SEGUNDO NIVEL</t>
  </si>
  <si>
    <t xml:space="preserve">TERCER NIVEL   </t>
  </si>
  <si>
    <t xml:space="preserve"> CUARTO NIVEL </t>
  </si>
  <si>
    <t>QUINTO NIVEL</t>
  </si>
  <si>
    <t>SEXTO NIVEL</t>
  </si>
  <si>
    <t>plancha Plywood 1/2  de pino 2 cara</t>
  </si>
  <si>
    <t>Tanque de hierro  para agua de 55 galones</t>
  </si>
  <si>
    <t>Madera de pino americano  cepillado       1x 4x 12</t>
  </si>
  <si>
    <t>Madera de pino americano cepillado    1x 8x 12</t>
  </si>
  <si>
    <t>Madera de pino americano cepillado    2x 4x 12</t>
  </si>
  <si>
    <t>Madera de pinoamericano  cepillado   2x 12x 12</t>
  </si>
  <si>
    <t>dia</t>
  </si>
  <si>
    <t>Madera para meseta(tablon para andamios  de  2" x 4" x 12' )</t>
  </si>
  <si>
    <t>Colocación bloques calados</t>
  </si>
  <si>
    <t>Colocación de  vibrazos en pisos para parques y terrazas</t>
  </si>
  <si>
    <t>Colocación losetas ladrillo o cemento para pisos exagonales, ferias y otros no especificados</t>
  </si>
  <si>
    <t>Piedra fina y brillado en granito</t>
  </si>
  <si>
    <t>Escalones revestidos ceramica criolla  incl. huella , contrahuella y vuelo</t>
  </si>
  <si>
    <t>Colocación ceramica para revest. Criolla 0.30 x 0.30  y 0.40 X 0.40</t>
  </si>
  <si>
    <t>Colocación ceramica para revest. Importada  0.30 x 0.30 y 0.40 X 0.40</t>
  </si>
  <si>
    <t>Colocación losetas de mármol  criollo en pared</t>
  </si>
  <si>
    <t>Colocación losetas de mármol   importado  en pared</t>
  </si>
  <si>
    <t>Confecciòn de tijerilla con clavos  por / P2 de madera utilizada</t>
  </si>
  <si>
    <t>Confecciòn de tijerilla con tornillos por / P2 de madera utilizada</t>
  </si>
  <si>
    <t>Inst. de plancha de zinc con enlate</t>
  </si>
  <si>
    <t>Confecciòn de puertas  con clavos</t>
  </si>
  <si>
    <t>Confecciòn de puertas  en plumilla</t>
  </si>
  <si>
    <t>Confecciòn de puertas biseladas  con  clavos</t>
  </si>
  <si>
    <t xml:space="preserve">Montura de puertas de pino </t>
  </si>
  <si>
    <t>Montura de puertas apanelada  tipo corriente</t>
  </si>
  <si>
    <t>Montura de puertas plegadizas con molduras  o  cubrefalta</t>
  </si>
  <si>
    <t>Montura de puertas  en  plumilla , con cancamo</t>
  </si>
  <si>
    <t xml:space="preserve">Montura de puertas de plywood </t>
  </si>
  <si>
    <t>Montura de  Cerradura  corriente</t>
  </si>
  <si>
    <t>Montura de  Cerradura   especial ( precio alzado  entre un 35% @  50% )</t>
  </si>
  <si>
    <t>precio del llavin</t>
  </si>
  <si>
    <t>Montura de puerta de caoba  o  similar</t>
  </si>
  <si>
    <t>Montura de marcos de madera corriente ( pino  y maderas  similares )</t>
  </si>
  <si>
    <t>Forro de closets en madera preciosa (un 30% del costo de los materiales )</t>
  </si>
  <si>
    <t>Division de plywood  ( un solo lado )</t>
  </si>
  <si>
    <t>Division de plywood  ( ambos  lados  )</t>
  </si>
  <si>
    <t>Division de plywood  decorativo ( ambos  lados / una  cara  )(un 30% del costo de los materiales )</t>
  </si>
  <si>
    <t>Forro de paredes en madera preciosa,con altos y bajos relieves  (un 30% del costo de los materiales )</t>
  </si>
  <si>
    <t>Los precios establecidos para la confeccion y montura  de  puertas  son para  puertas de medidas de ( 0.90 x 2.10 ) ; si el  tamaño  de estas es diferente ,se pagara en proporcio con el area de las puertas citadas. Esta nota se hace extensiva  a la montura  de  ventanas de madera  y puertas  francesas.</t>
  </si>
  <si>
    <t xml:space="preserve">1era. Mano pintura de agua  ( incluye masilla  , lija y piedra )   </t>
  </si>
  <si>
    <t xml:space="preserve">2da. Mano pintura de agua  ( incluye masilla  , lija y piedra )   </t>
  </si>
  <si>
    <t xml:space="preserve">Pintura  en corniza    </t>
  </si>
  <si>
    <t xml:space="preserve">Pintura  en  volutas  en ventanas y muros  </t>
  </si>
  <si>
    <t>SUBIDA DE  IMPERMEABILIZANTE ( POR  CUBETA )</t>
  </si>
  <si>
    <t xml:space="preserve">Ligado y vaciado zapata  a  mano </t>
  </si>
  <si>
    <t xml:space="preserve">Ligado y vaciado columnas, vigas, losas y etc.  a  mano </t>
  </si>
  <si>
    <t>Ligado y vaciado zapata  con  ligadora</t>
  </si>
  <si>
    <t>Ligado y vaciado columnas, vigas, losas y etc.  con  ligadora</t>
  </si>
  <si>
    <t>Demolición  de aceras con compresor ( CARRETERA )</t>
  </si>
  <si>
    <t>Demolición  de contenes con compresor   ( CARRETERA )</t>
  </si>
  <si>
    <t>Demolición  de Badenes con compresor   ( CARRETERA )</t>
  </si>
  <si>
    <t>Demolición  de Carpeta con compresor   ( CARRETERA )</t>
  </si>
  <si>
    <t>Desmonte   de puertas</t>
  </si>
  <si>
    <t>Desmonte de  puerta de hierro.</t>
  </si>
  <si>
    <t>Desmonte de  puerta corrediza.</t>
  </si>
  <si>
    <t>Desmonte de  verjas de hierro</t>
  </si>
  <si>
    <t xml:space="preserve">Desmonte de panderetas a  dos caras </t>
  </si>
  <si>
    <t>Desmonte de panderetas a  una  cara</t>
  </si>
  <si>
    <t>Montura de transon de pino y caoba  ( Igual  a las puertas )</t>
  </si>
  <si>
    <t>TRABAJOS  EN PIEDRA</t>
  </si>
  <si>
    <t xml:space="preserve"> Colocación piedra caliza aserrada</t>
  </si>
  <si>
    <t>Colocación piedra de roca, tipo encache con e=0.20 a e=0.30, en revestimiento  con fines decorativos</t>
  </si>
  <si>
    <t>Colocación de piedra de roca o cantos rodados en muros de mamposteria  con fines decorativo</t>
  </si>
  <si>
    <t xml:space="preserve">Labores  de  confeccion de escaleras  </t>
  </si>
  <si>
    <t>Escalones  de  marmol  ( incl.  Huella  y  contra-huella  )                         ( 1.00mt2= $6,115.98 )</t>
  </si>
  <si>
    <t xml:space="preserve"> PIEDRAS  PARA  REVESTIMIENTOS</t>
  </si>
  <si>
    <t>TEJAS , ZINC  Y  DEMAS</t>
  </si>
  <si>
    <t>Pegatop  gris  50 LBS</t>
  </si>
  <si>
    <t>GRANITOS, MARMOL, CERAMICAS, PORCELANATO, LADRILLOS, LOSETA , ESCALONES  Y  OTROS</t>
  </si>
  <si>
    <t>LISTADO DE MANO DE OBRA</t>
  </si>
  <si>
    <t>SUBIDA   ARENA GRUESA Y DE PAÑETE</t>
  </si>
  <si>
    <t>Corte chazos  0.20 mt ( mosaico,ceramica y porcelanato )</t>
  </si>
  <si>
    <t>Corte chazos  0.25 mt  ( mosaico,ceramica y porcelanato )</t>
  </si>
  <si>
    <t>Corte chazos  0.30 mt y 0.33 mt  ( mosaico,ceramica y porcelanato )</t>
  </si>
  <si>
    <t>Corte chazos  0.40 mt  y 0.45 mt  ( mosaico,ceramica y porcelanato )</t>
  </si>
  <si>
    <t>Corte chazos  0.50 mt  a  0.60 mt mt  ( mosaico,ceramica y porcelanato )</t>
  </si>
  <si>
    <t>Corte zocalo  ( Ver  arriba  segun el formato de la pieza )</t>
  </si>
  <si>
    <t>Corte de ladrillo  2" x 2" x 8"</t>
  </si>
  <si>
    <t>Piso de hormigón estampado  ( mano de obra )</t>
  </si>
  <si>
    <t>Mezcla  ANTILLANA  ( para  poner ceramica  )</t>
  </si>
  <si>
    <t>Mezcla ANTILLANA  ( para  poner  bloques )</t>
  </si>
  <si>
    <t xml:space="preserve">Mezcla ANTILLANA  ( para pañete  ) </t>
  </si>
  <si>
    <t xml:space="preserve">Mezcla ANTILLANA  ( para pisos  ) </t>
  </si>
  <si>
    <t xml:space="preserve">Caliche  </t>
  </si>
  <si>
    <t>Granzote de mina  para  relleno</t>
  </si>
  <si>
    <t>Suministro de granzote</t>
  </si>
  <si>
    <t>Transporte de 0-5   km.</t>
  </si>
  <si>
    <t>Transporte de 5-10   km.</t>
  </si>
  <si>
    <t>Transporte de 10-20   km.</t>
  </si>
  <si>
    <t>km</t>
  </si>
  <si>
    <t>Mayor  de  20  km.</t>
  </si>
  <si>
    <t>Granzote  de  mina</t>
  </si>
  <si>
    <t>Bloques de 0.20 m con  ø 3/8 a 0.60 m y cámaras llenas  D.N.P.</t>
  </si>
  <si>
    <t>Bloques de 0.20 m con  f 3/8 a 0.20 m   S.N.P.</t>
  </si>
  <si>
    <t>Bloques de 0.20 m con  ø 3/8 a 0.60 m y cámaras llenas  S.N.P.</t>
  </si>
  <si>
    <t>Bloques de 0.15 m con  f 3/8 a 0.60 m  S.N.P.</t>
  </si>
  <si>
    <t>Bloques de 0.10 m con  f  3/8" a 0.80 m  S.N.P.</t>
  </si>
  <si>
    <t>Bloques de 0.10 m con  ø  3/8" a 0.80 m  D.N.P.</t>
  </si>
  <si>
    <t xml:space="preserve">Bloques de 0.10 m con  f  3/8" a 0.80 m  </t>
  </si>
  <si>
    <t>Acero f 3/8</t>
  </si>
  <si>
    <t xml:space="preserve">Bloques de 0.10 m con  f  3/8" a 0.80 m </t>
  </si>
  <si>
    <t xml:space="preserve">Acero f  3/8 </t>
  </si>
  <si>
    <t>Acero f  3/8</t>
  </si>
  <si>
    <t>Alto  relieve</t>
  </si>
  <si>
    <t>Bajo  relieve</t>
  </si>
  <si>
    <t>Limpieza  y  desyerbe  de area de construccion a mano</t>
  </si>
  <si>
    <t>Corte de ladrillo  2"  x  4" x 8"</t>
  </si>
  <si>
    <t>Madera de pino Americano  bruto     1x 4x 12</t>
  </si>
  <si>
    <t>Madera de pino American  bruto  1x 6x 12</t>
  </si>
  <si>
    <t>Madera de pino Americano  bruto  1x 8x 12</t>
  </si>
  <si>
    <t>Madera de pino Americano   bruto   1x 10x 12</t>
  </si>
  <si>
    <t>Madera de pino American    bruto 1x 12x 12</t>
  </si>
  <si>
    <t>SUBIDA DE ZOCALO  PARA ESCALONES</t>
  </si>
  <si>
    <t>SUBIDA DE  ZOCALOS  PARA  PISOS</t>
  </si>
  <si>
    <t>Aplicación de imper. techo plano (incl. Limpieza y sellado de grieta)          1ra mano</t>
  </si>
  <si>
    <t>Aplicación de imper. techo plano  2da  mano</t>
  </si>
  <si>
    <t>Mano de obra 1ra. Mano (incl. Limpieza y sellado de grieta)</t>
  </si>
  <si>
    <t>Subida de tejas para un 2do. Nivel</t>
  </si>
  <si>
    <t>Listelos</t>
  </si>
  <si>
    <t>ojo</t>
  </si>
  <si>
    <t>Montura puerta de pino</t>
  </si>
  <si>
    <t xml:space="preserve">Instalación puerta </t>
  </si>
  <si>
    <t xml:space="preserve">Montura puerta de pino </t>
  </si>
  <si>
    <t xml:space="preserve">Montura puerta </t>
  </si>
  <si>
    <t xml:space="preserve">Colocación de transon </t>
  </si>
  <si>
    <t>Molde para columnas  cuadradas de ( 0.40x0.40 )</t>
  </si>
  <si>
    <t>Molde  para  viga  de  carga  de      ( 0.40x0.50 )</t>
  </si>
  <si>
    <t>Molde  para  viga  de  carga   de    ( 0.40x0.55 )</t>
  </si>
  <si>
    <t>Madera de pino americano (Bruta)</t>
  </si>
  <si>
    <t>Pisos cerámica importada( 0.30x0.30) en adelante    incl. base y nivel</t>
  </si>
  <si>
    <t>Pisos  ceramica  importada  ( 0.30x0.30)  en  adelante   incl.  Base  y  nivel (en plumilla )</t>
  </si>
  <si>
    <t>Bajo relieve y  alto  relieve incluyendo cantos</t>
  </si>
  <si>
    <t>Acido  muriatico</t>
  </si>
  <si>
    <t>Masilla para Sheet-Rock (65 Lbs )</t>
  </si>
  <si>
    <t>Cubo</t>
  </si>
  <si>
    <t>Zinc C-34</t>
  </si>
  <si>
    <t>Hormigón Industrial 450 kg/cm2</t>
  </si>
  <si>
    <t>Hormigón Industrial 500 kg/cm2</t>
  </si>
  <si>
    <t>ACEROS  Y   MALLAS ELECTROSOLDADAS</t>
  </si>
  <si>
    <t>plancha Plywood de pino 1 cara  3/4"  Brasil</t>
  </si>
  <si>
    <t xml:space="preserve">Sealler  </t>
  </si>
  <si>
    <t xml:space="preserve">Laca  </t>
  </si>
  <si>
    <t>Impermeabilizante  Acrilico  ( cubeta )</t>
  </si>
  <si>
    <t xml:space="preserve">Impermeabilizante  Acrilico </t>
  </si>
  <si>
    <t>galon</t>
  </si>
  <si>
    <t>Removedor de pintura ( rinde 5.00 m2 /  galon )</t>
  </si>
  <si>
    <r>
      <t xml:space="preserve">Charancha en edificio para replanteo </t>
    </r>
    <r>
      <rPr>
        <b/>
        <sz val="12"/>
        <rFont val="Times New Roman"/>
        <family val="1"/>
      </rPr>
      <t xml:space="preserve"> ( A TODO COSTO )</t>
    </r>
  </si>
  <si>
    <r>
      <t xml:space="preserve">Charancha en edificio para replanteo  </t>
    </r>
    <r>
      <rPr>
        <b/>
        <sz val="12"/>
        <rFont val="Times New Roman"/>
        <family val="1"/>
      </rPr>
      <t>( A TODO COSTO )</t>
    </r>
  </si>
  <si>
    <t xml:space="preserve">DESMONTE/CONFECCION Y COLOCACION  DE ANDAMIOS </t>
  </si>
  <si>
    <t xml:space="preserve">MANO DE OBRA  EN PISO </t>
  </si>
  <si>
    <t xml:space="preserve"> MANO DE OBRA PINTURA</t>
  </si>
  <si>
    <t>Contenes (1.00  m3 / 10.00  ml )</t>
  </si>
  <si>
    <t>Cemento de terminacion</t>
  </si>
  <si>
    <t>Colocación bloques de 4“X8"X16"</t>
  </si>
  <si>
    <t>Colocación bloques de 6“X8"X16"</t>
  </si>
  <si>
    <t>Colocación bloques de 6“X8"X18"</t>
  </si>
  <si>
    <t>Colocación bloques de 8“X8"X16"</t>
  </si>
  <si>
    <t>Colocación bloques de 12“X8"X16"</t>
  </si>
  <si>
    <t xml:space="preserve">Colocación bloque  irregular </t>
  </si>
  <si>
    <t>Colocación bloque  ornamental de barro o cemento</t>
  </si>
  <si>
    <t xml:space="preserve">Vigas pos-tensadas y porticos en columnas </t>
  </si>
  <si>
    <t>Por violinar juntas de bloques horizontales y verticales una cara con una regla adicional c/u</t>
  </si>
  <si>
    <t xml:space="preserve"> Pañete rateado horizontal y vertical a punta llana</t>
  </si>
  <si>
    <t>Repello  maestreado en muro</t>
  </si>
  <si>
    <t>Repello  maestreado en techo</t>
  </si>
  <si>
    <t>Piso de cemento  pulido ( fino solo )</t>
  </si>
  <si>
    <t>Colocación piso ceramica criolla (0.20 x 0.20) m incl. base y nivel</t>
  </si>
  <si>
    <t>Colocación piso ceramica importada (0.20 x 0.20) m incl. base y nivel</t>
  </si>
  <si>
    <t>Montura  de escalones   incl. huella , contrahuella y vuelo</t>
  </si>
  <si>
    <t>Colocación zocalos corrientes  para escaleras</t>
  </si>
  <si>
    <t xml:space="preserve">Colocación piedra de roca o cantos rodados tipo  encache en revestimiento de terraplenes , cunetas y  canales de riego  y  e=0.20 a e=0.30  </t>
  </si>
  <si>
    <t>Pintura oxido rojo (dos manos)</t>
  </si>
  <si>
    <t>Pintura oxido rojo</t>
  </si>
  <si>
    <t>Escalones  de  marmol  ( incl.  Huella  y  contra-huella  )                         ( 1.00mt2= $6,115.98 ) ( 1 ml de escalones  = 0.475 m2 de escalones , por tanto 1 m2 de escalones = 2.10 ml de escalones )</t>
  </si>
  <si>
    <t>Malla electrosaldada  2.5 x 2.5  ( 0.15 x 0.15) m, 3.58 QQ ( C/R  2.50*40)MTS</t>
  </si>
  <si>
    <t>Malla electrosaldada  2.5 x 2.5  ( 0.15 x 0.15 ) m, 3.58 QQ ( C/R  2.50*40)MTS</t>
  </si>
  <si>
    <t>Malla electrosaldada  2.3 x 2.3  ( 0.10 x 0.10 ) m, 4.89 QQ ( C/R  2.50*40)MTS</t>
  </si>
  <si>
    <t>Malla electrosaldada  2.3 x 2.3  ( 0.20 x 0.20 ) m, 2.45 QQ ( C/R  2.50*40)MTS</t>
  </si>
  <si>
    <t>Malla electrosaldada  2.3 x 2.3  ( 0.15 x 0.15 ) m, 3.26 QQ ( C/R  2.50*40)MTS</t>
  </si>
  <si>
    <t>Malla electrosaldada  2.7 x 2.7  ( 0.10 x 0.10 ) m, 5.89 QQ ( C/R  2.40*40)MTS</t>
  </si>
  <si>
    <t>Malla electrosaldada  2.9 x 2.9  ( 0.10 x 0.10 ) m, 6.12 QQ ( C/R  2.40*40)MTS</t>
  </si>
  <si>
    <t>Pintura económica tropical</t>
  </si>
  <si>
    <t xml:space="preserve">Bloques de 0.15 m con  f 3/8 a 0.60 m </t>
  </si>
  <si>
    <t>Mano de obra con pistola</t>
  </si>
  <si>
    <t>Barniz en puertas</t>
  </si>
  <si>
    <t>Hormigón 120 kg/cm2</t>
  </si>
  <si>
    <t>Pintura  de laca</t>
  </si>
  <si>
    <t>Barniz</t>
  </si>
  <si>
    <t>Sealer</t>
  </si>
  <si>
    <t>Thiner</t>
  </si>
  <si>
    <t>Colocación bloque  ornamental de 5“X25"X20"</t>
  </si>
  <si>
    <t xml:space="preserve">Mano de obra acero en zapatas </t>
  </si>
  <si>
    <t>Mano de obra acero en columnas redondas con 6 varillas de 1/2¨ 0 3/4¨</t>
  </si>
  <si>
    <t>Pañete pulido con color</t>
  </si>
  <si>
    <t>Pañete en techo maestreado a nivel 2.0 cms minimo</t>
  </si>
  <si>
    <t>Repello  sin maestrear</t>
  </si>
  <si>
    <t>Pañete  en HI- Rib. 3 capas</t>
  </si>
  <si>
    <t>Colocación piso cerámica nacional  (0.30 x 0.30) hasta ( 0.40 x 0.40 )incl. base y nivel</t>
  </si>
  <si>
    <t>Colocación piso de marmol fab. nacional   incl. base y nivel</t>
  </si>
  <si>
    <t>Colocación ceramica  criolla para revestimiento 0.20 x 0.20 m</t>
  </si>
  <si>
    <t>Colocación ceramica  importadapara revestimiento 0.20 x 0.20 m</t>
  </si>
  <si>
    <t>TNC</t>
  </si>
  <si>
    <t>TC</t>
  </si>
  <si>
    <t>AY</t>
  </si>
  <si>
    <t>AT</t>
  </si>
  <si>
    <t>AS</t>
  </si>
  <si>
    <t>AP</t>
  </si>
  <si>
    <t>SALARIO HORA- HOMBRE</t>
  </si>
  <si>
    <t>Hormigón 210 kg/cm2 industrial</t>
  </si>
  <si>
    <t>Ligado y vaciado en zapata indust.</t>
  </si>
  <si>
    <t>Acero</t>
  </si>
  <si>
    <t>Ligado y vaciado  industrial</t>
  </si>
  <si>
    <t>Molde para viga de 0.15x0.20</t>
  </si>
  <si>
    <t xml:space="preserve">Acero </t>
  </si>
  <si>
    <t>Hormigón 210 kg/cm2  industrial</t>
  </si>
  <si>
    <t>Ligado y vaciado industrial</t>
  </si>
  <si>
    <t>Molde para col. 0.15x0.30</t>
  </si>
  <si>
    <t>Viga de amarre en verjas interiores</t>
  </si>
  <si>
    <t>Viga de amarre en verjas exteriores</t>
  </si>
  <si>
    <t>Columnas de amarre en verjas exteriores</t>
  </si>
  <si>
    <t>Columnas de amarre en verjas interiores</t>
  </si>
  <si>
    <t>Molde para col. 0.20x0.30</t>
  </si>
  <si>
    <t>MALLA CICLONICA 6'</t>
  </si>
  <si>
    <t>Abrazadera de 2 1/2"</t>
  </si>
  <si>
    <t>Sum. E Instalacion Alambre de Trinchera</t>
  </si>
  <si>
    <t>Alambre galvanizado #14</t>
  </si>
  <si>
    <t>Barra tensora de 6'</t>
  </si>
  <si>
    <t>Copa Final 1 1/2"</t>
  </si>
  <si>
    <t>Corte y soldadura de abrazaderas</t>
  </si>
  <si>
    <t>Hoja de segueta</t>
  </si>
  <si>
    <t>Malla ciclónica 6 pies, cal. 9, (rollo de 50 pies)</t>
  </si>
  <si>
    <t>Reata de amarre (zabaleta doble sin mano de obra)</t>
  </si>
  <si>
    <t>m</t>
  </si>
  <si>
    <t>Palometa 1 1/2" doble, en aluminio fundido</t>
  </si>
  <si>
    <t>Terminal de 1 1/4" + abrazadera de 1 1/2"</t>
  </si>
  <si>
    <t>Tubo HG ligero de 2" x 20'</t>
  </si>
  <si>
    <t>Tubo HG ligero de 1 1/4" x 20'</t>
  </si>
  <si>
    <t>Mano obra Instalación</t>
  </si>
  <si>
    <t>COSTO/ML --&gt;</t>
  </si>
  <si>
    <t>TOTAL ---&gt;</t>
  </si>
  <si>
    <t>Hormigón de replantillo</t>
  </si>
  <si>
    <t>COSTO/M2 --&gt;</t>
  </si>
  <si>
    <t>Area --&gt;</t>
  </si>
  <si>
    <t>Perfil 1 1/2" x 1 1/2"  X 1.2 de 20´  HN</t>
  </si>
  <si>
    <t xml:space="preserve">Soldadura 1/8"  universal tipo industrial </t>
  </si>
  <si>
    <t>Cepillo alambre, discos pulir y de corte</t>
  </si>
  <si>
    <t xml:space="preserve">Bisagras cáncamo , fuertes No 18 </t>
  </si>
  <si>
    <t>Orejas para candados redondeadas  de  11/4"x1 1/2" con  orif. 1/2"</t>
  </si>
  <si>
    <t xml:space="preserve">Pinturas oxido rojo 2  manos a caras </t>
  </si>
  <si>
    <t>Mano de Obra Herreria</t>
  </si>
  <si>
    <t>pie2</t>
  </si>
  <si>
    <t>COSTO/UND --&gt;</t>
  </si>
  <si>
    <t>Barra red. de 3/4" x 20"</t>
  </si>
  <si>
    <t xml:space="preserve">Perfil 2 "X 1" X 3/16 de 20´ H N </t>
  </si>
  <si>
    <t>Paneles fijos en Barrotes de Ø ¾ ¨</t>
  </si>
  <si>
    <t xml:space="preserve">Perfil 2 "X 2" X 1.2 de 20´ H N </t>
  </si>
  <si>
    <t>Tola 4x7 x 1/2"</t>
  </si>
  <si>
    <t>und</t>
  </si>
  <si>
    <t xml:space="preserve">Puertas en hierro y tola </t>
  </si>
  <si>
    <t>Puertas de Barrotes de Ø ¾ ¨</t>
  </si>
  <si>
    <t>Malla Hid Read 3/8"</t>
  </si>
  <si>
    <t>Malla de Piñonate 3/8"</t>
  </si>
  <si>
    <t>Preparación terreno</t>
  </si>
  <si>
    <t>C/Malla D2.3X D2.3 de 0.15 x 0.15</t>
  </si>
  <si>
    <t>Mano de obra acero Malla</t>
  </si>
  <si>
    <t xml:space="preserve">Hormigon 210 k/cm2. </t>
  </si>
  <si>
    <t>Mortero 1:4 + 3% desp.</t>
  </si>
  <si>
    <t>Regla (1 de 1"x4"x2.62' / 10 usos)</t>
  </si>
  <si>
    <t>Elaboración, Pulido con helicopter</t>
  </si>
  <si>
    <t>COSTO/M2 ---&gt;</t>
  </si>
  <si>
    <t>Sum.  Y Colocación de Curado para Concreto</t>
  </si>
  <si>
    <t>Limpieza del area</t>
  </si>
  <si>
    <t>Sum Curador (Adhesivo Latex)</t>
  </si>
  <si>
    <t>cubo</t>
  </si>
  <si>
    <t>Aplicación Curado</t>
  </si>
  <si>
    <t>Herramientas &amp; Seguridad  (3%)</t>
  </si>
  <si>
    <t>%</t>
  </si>
  <si>
    <t>CORTE DE CONCRETO CON SIERRA ELECTRICA</t>
  </si>
  <si>
    <t>Equipo: Maquina cortadora</t>
  </si>
  <si>
    <t>ML</t>
  </si>
  <si>
    <t>Combustible:gasolina</t>
  </si>
  <si>
    <t>Lubricante:Aceite 10/40</t>
  </si>
  <si>
    <t xml:space="preserve">    ML</t>
  </si>
  <si>
    <t>Disco Punta Diamante</t>
  </si>
  <si>
    <t>Operador equipo</t>
  </si>
  <si>
    <t>Dieta</t>
  </si>
  <si>
    <r>
      <t xml:space="preserve">Costo/Ml   </t>
    </r>
    <r>
      <rPr>
        <sz val="10"/>
        <rFont val="Wingdings"/>
        <charset val="2"/>
      </rPr>
      <t>à</t>
    </r>
  </si>
  <si>
    <t>Sellado de Juntas</t>
  </si>
  <si>
    <t>Limpieza de Junta (Incluye Pulidora)</t>
  </si>
  <si>
    <t xml:space="preserve">Sum. De Backer Rod </t>
  </si>
  <si>
    <t>Sum. De Uretano (Vulkem 45 SSL GRAY 30 oz)</t>
  </si>
  <si>
    <t xml:space="preserve">Aplicación </t>
  </si>
  <si>
    <t>Herramientas &amp; Seguridad  (2%)</t>
  </si>
  <si>
    <t>Sum. Y Colocación Grama Enana (Incluye Tierra negra e=0.20 m)</t>
  </si>
  <si>
    <t>Sum. Tierra Negra</t>
  </si>
  <si>
    <t>Acarreo Interno Tierra Negra con Minicargador</t>
  </si>
  <si>
    <t>Regado de Tierra Negra</t>
  </si>
  <si>
    <t>Sum. Grama enana</t>
  </si>
  <si>
    <t>Sembrado de Grama</t>
  </si>
  <si>
    <r>
      <t xml:space="preserve">Costo/M2   </t>
    </r>
    <r>
      <rPr>
        <sz val="10"/>
        <rFont val="Wingdings"/>
        <charset val="2"/>
      </rPr>
      <t>à</t>
    </r>
  </si>
  <si>
    <t>Sum. Y Colocación Tierra Negra (e=0.20 m)</t>
  </si>
  <si>
    <t>Acarreo Interno Tierra Negra</t>
  </si>
  <si>
    <r>
      <t xml:space="preserve">Costo/M3   </t>
    </r>
    <r>
      <rPr>
        <sz val="10"/>
        <rFont val="Wingdings"/>
        <charset val="2"/>
      </rPr>
      <t>à</t>
    </r>
  </si>
  <si>
    <t>Piso de Hormigon 240 k/cm2 Pulido con Elicoptero y Fibra FORTAFERRO (Incluye Acero para Dovela y Madera para guardera)</t>
  </si>
  <si>
    <t>Hormigon 220 k/cm2.  Con Fibra FORTAFERRO</t>
  </si>
  <si>
    <t>Suministro Acero Liso 1/2" x 20' (0.22 ud/m2)</t>
  </si>
  <si>
    <t>Regla Para Guardera (1 de 1"x6"x14)=(1.5p2/m2)</t>
  </si>
  <si>
    <t>Clavos</t>
  </si>
  <si>
    <t>Lbs</t>
  </si>
  <si>
    <t>M.O Acero</t>
  </si>
  <si>
    <t>M.O. Carpinteria</t>
  </si>
  <si>
    <t>Grasa pesada</t>
  </si>
  <si>
    <t>Desperdicios</t>
  </si>
  <si>
    <t>Elaboración, vaciado y frotado Con Elicoptero</t>
  </si>
  <si>
    <t>Material de Base  Compactado Pavimento, Espesor = 0.25 mt.</t>
  </si>
  <si>
    <t>Sum. Material de Base</t>
  </si>
  <si>
    <t>Regado y Compactado</t>
  </si>
  <si>
    <t xml:space="preserve">Aceras y hormigón Industrial </t>
  </si>
  <si>
    <t>Mortero 1:4 + 5% desp.</t>
  </si>
  <si>
    <t>pt</t>
  </si>
  <si>
    <t>Elaboración, vaciado, violinado y pulido</t>
  </si>
  <si>
    <t>Elaboración, vaciado y frotado</t>
  </si>
  <si>
    <t>Cantos laterales</t>
  </si>
  <si>
    <t>COLOCACION JUNTA POLIETILENEO DE 2" ENTRE COLUMNAS C1 (0.20X0.30)</t>
  </si>
  <si>
    <t>Area Bobedilla Polietileneo--&gt;</t>
  </si>
  <si>
    <t>Sum Junta Polietileno (3.00 x 0.30 x 0.05)</t>
  </si>
  <si>
    <t>Col. Junta Polietileno (3.00 x 0.30 x 0.05)</t>
  </si>
  <si>
    <t xml:space="preserve">Sum. Alambre #18 </t>
  </si>
  <si>
    <t>Colocacion Alambre</t>
  </si>
  <si>
    <t>Herramientas y Miscelaneos</t>
  </si>
  <si>
    <t>Piso de hormigón armado en cancha e=10 cms. (con malla elect.)</t>
  </si>
  <si>
    <t>Chapapote (con malla elect.)</t>
  </si>
  <si>
    <t>Excavación con equipo</t>
  </si>
  <si>
    <t>M3</t>
  </si>
  <si>
    <t>Rend =</t>
  </si>
  <si>
    <t>Alquiler Retroexcavadora</t>
  </si>
  <si>
    <t>Hr</t>
  </si>
  <si>
    <t>Operador</t>
  </si>
  <si>
    <t>Ayudante operador</t>
  </si>
  <si>
    <t>Combustible</t>
  </si>
  <si>
    <t>Gls</t>
  </si>
  <si>
    <t>Lubricantes</t>
  </si>
  <si>
    <t>Comb</t>
  </si>
  <si>
    <t>Sub-Total --&gt;</t>
  </si>
  <si>
    <t>Relleno reposicion Compactado</t>
  </si>
  <si>
    <t>m2 ventanas =</t>
  </si>
  <si>
    <t>ml malla con trinchera =</t>
  </si>
  <si>
    <t>ml malla con puas =</t>
  </si>
  <si>
    <t>Torta debajo de gabinete (0.60x.10) pulido y fregadero</t>
  </si>
  <si>
    <t>Limpieza y Replanteo</t>
  </si>
  <si>
    <t>p.a</t>
  </si>
  <si>
    <t>Cantos en General</t>
  </si>
  <si>
    <t>Encofrado</t>
  </si>
  <si>
    <t>Mt²</t>
  </si>
  <si>
    <t>ml (ancho 0.6)=</t>
  </si>
  <si>
    <t>m2 (alto 0.10)=</t>
  </si>
  <si>
    <t>Tendederos</t>
  </si>
  <si>
    <t>Suministro Tubo 3/4" HG</t>
  </si>
  <si>
    <t>Suministro Tubo 1" HG</t>
  </si>
  <si>
    <t>Suministro Cancamos 1/2"</t>
  </si>
  <si>
    <t>Sum. Hormigon Simple</t>
  </si>
  <si>
    <t>Colocado de H.S.</t>
  </si>
  <si>
    <t>Suministro Tuercas</t>
  </si>
  <si>
    <t>Soldadura Todo Costo</t>
  </si>
  <si>
    <t>Pintura Mantenimiento</t>
  </si>
  <si>
    <r>
      <t xml:space="preserve">Costo/UND   </t>
    </r>
    <r>
      <rPr>
        <sz val="10"/>
        <rFont val="Wingdings"/>
        <charset val="2"/>
      </rPr>
      <t>à</t>
    </r>
  </si>
  <si>
    <t>Columnas de cancha</t>
  </si>
  <si>
    <t>Hormigón 210 kg/cm2 a mano</t>
  </si>
  <si>
    <t>Molde para col. 0.50x0.30</t>
  </si>
  <si>
    <t>C/Malla D2.5X D2.5 de 0.15 x 0.15</t>
  </si>
  <si>
    <t xml:space="preserve">Herramientas &amp; Seguridad  </t>
  </si>
  <si>
    <t>ALAMBRE DE TRINCHERA SOBRE MUROS</t>
  </si>
  <si>
    <t>Suministro Alambre</t>
  </si>
  <si>
    <t>Suministro Palometa y Accesorios</t>
  </si>
  <si>
    <t>Suministro e instalación de alambre #10</t>
  </si>
  <si>
    <t>Mano de obra Instalación Trinchera</t>
  </si>
  <si>
    <t>Señalización en cancha</t>
  </si>
  <si>
    <t>Sum. Pintura Cancha</t>
  </si>
  <si>
    <t>Desperdicios y retoques.</t>
  </si>
  <si>
    <t>Zapata de muro en cacheo</t>
  </si>
  <si>
    <t>Zapata de columna en cacheo</t>
  </si>
  <si>
    <t>Columnas C1 cacheo</t>
  </si>
  <si>
    <t>Columnas C2 cacheo</t>
  </si>
  <si>
    <t>Columnas C3 cacheo</t>
  </si>
  <si>
    <t>Molde para col. 0.30x0.30</t>
  </si>
  <si>
    <t>Molde para col. 0.15x0.40</t>
  </si>
  <si>
    <t>Viga V1 cacheo</t>
  </si>
  <si>
    <t>Viga V2 cacheo</t>
  </si>
  <si>
    <t>Viga VA cacheo</t>
  </si>
  <si>
    <t>Viga VA1 cacheo</t>
  </si>
  <si>
    <t>Dintel DC cacheo</t>
  </si>
  <si>
    <t>Dintel D cacheo</t>
  </si>
  <si>
    <t>Molde para viga de 0.15x0.60</t>
  </si>
  <si>
    <t>Molde para viga de 0.15x0.40</t>
  </si>
  <si>
    <t>Ligado y vaciado  a mano</t>
  </si>
  <si>
    <t>Hormigon Industrial 210 Kg/cm2</t>
  </si>
  <si>
    <t xml:space="preserve">Aceras </t>
  </si>
  <si>
    <t>Hormigon140 Kg/cm2</t>
  </si>
  <si>
    <t>Mortero 1:3 + 5% desp.</t>
  </si>
  <si>
    <t xml:space="preserve">Contenes </t>
  </si>
  <si>
    <t>Hormigon 180 Kg/cm2</t>
  </si>
  <si>
    <t>Astas de Banderas</t>
  </si>
  <si>
    <r>
      <t xml:space="preserve">Costo/Und.   </t>
    </r>
    <r>
      <rPr>
        <sz val="10"/>
        <rFont val="Wingdings"/>
        <charset val="2"/>
      </rPr>
      <t>à</t>
    </r>
  </si>
  <si>
    <t>Base para Asta</t>
  </si>
  <si>
    <t>Tubo HG de 3 x 20'</t>
  </si>
  <si>
    <t>uds</t>
  </si>
  <si>
    <t>Tubo HG de 2 x 20"</t>
  </si>
  <si>
    <t>Copa Terminal HG 1 1/2</t>
  </si>
  <si>
    <t>Pintura Piezas y Soga</t>
  </si>
  <si>
    <t xml:space="preserve">Mano de obra herrreria </t>
  </si>
  <si>
    <t>Paragomas pintados amarillo trafico</t>
  </si>
  <si>
    <t>Sum. Paragomas</t>
  </si>
  <si>
    <t>UNID</t>
  </si>
  <si>
    <t>Anclaje (Varillas 1/2" x 5')</t>
  </si>
  <si>
    <t>QQ</t>
  </si>
  <si>
    <t>Uso de Herramientas</t>
  </si>
  <si>
    <t>Pintura Amarillo Trafico</t>
  </si>
  <si>
    <t>Viga V8 Multiuso</t>
  </si>
  <si>
    <t>Viga V9 Multiuso</t>
  </si>
  <si>
    <t>Viga V10 Multiuso</t>
  </si>
  <si>
    <t>Viga V11 Multiuso</t>
  </si>
  <si>
    <t>Viga V12 Multiuso</t>
  </si>
  <si>
    <t>Viga V13 Multiuso</t>
  </si>
  <si>
    <t>Viga V14 Multiuso</t>
  </si>
  <si>
    <t>Viga V15 Celdas 1er N</t>
  </si>
  <si>
    <t>Viga V16 Celdas  1er N</t>
  </si>
  <si>
    <t>Viga V17 Celdas  1er N</t>
  </si>
  <si>
    <t>Viga V18 Celdas  1er N</t>
  </si>
  <si>
    <t>Viga V19 Celdas  1er N</t>
  </si>
  <si>
    <t>Viga V20 Celdas  1er N</t>
  </si>
  <si>
    <t>Viga V21 Celdas  1er N</t>
  </si>
  <si>
    <t>Viga V22 Celdas  1er N</t>
  </si>
  <si>
    <t>Viga V23 Celdas  1er N</t>
  </si>
  <si>
    <t>Molde para viga de 0.30x0.46</t>
  </si>
  <si>
    <t>Molde para viga de 0.30x0.55</t>
  </si>
  <si>
    <t>Molde para viga de 0.30x0.40</t>
  </si>
  <si>
    <t>Hormigón 210 kg/cm2 Industrial</t>
  </si>
  <si>
    <t>Ligado y vaciado  Industrial</t>
  </si>
  <si>
    <t>Molde para col. 0.40x0.50</t>
  </si>
  <si>
    <t>Molde para col. 0.60x0.80</t>
  </si>
  <si>
    <t>Viga V15 Celdas 2do N</t>
  </si>
  <si>
    <t>Viga V15 Celdas 3er N</t>
  </si>
  <si>
    <t>Viga V15 Celdas 4to N</t>
  </si>
  <si>
    <t>Viga V16 Celdas  2do N</t>
  </si>
  <si>
    <t>Viga V16 Celdas  3er N</t>
  </si>
  <si>
    <t>Viga V16 Celdas  4to N</t>
  </si>
  <si>
    <t>Viga V17 Celdas  2do N</t>
  </si>
  <si>
    <t>Viga V17 Celdas  3er N</t>
  </si>
  <si>
    <t>Viga V17 Celdas  4to N</t>
  </si>
  <si>
    <t>Viga V18 Celdas  2do N</t>
  </si>
  <si>
    <t>Viga V18 Celdas  3er N</t>
  </si>
  <si>
    <t>Viga V18 Celdas  4to N</t>
  </si>
  <si>
    <t>Viga V18 Celdas  5to N</t>
  </si>
  <si>
    <t>Viga V19 Celdas  2do N</t>
  </si>
  <si>
    <t>Viga V19 Celdas  3er N</t>
  </si>
  <si>
    <t>Viga V19 Celdas  4to N</t>
  </si>
  <si>
    <t>Viga V19 Celdas  5to N</t>
  </si>
  <si>
    <t>Viga V20 Celdas  2do N</t>
  </si>
  <si>
    <t>Viga V20 Celdas  3er N</t>
  </si>
  <si>
    <t>Viga V20 Celdas  4to N</t>
  </si>
  <si>
    <t>Viga V21 Celdas  2do N</t>
  </si>
  <si>
    <t>Viga V21 Celdas  3er N</t>
  </si>
  <si>
    <t>Viga V21 Celdas  4to N</t>
  </si>
  <si>
    <t>Viga V21 Celdas  5to N</t>
  </si>
  <si>
    <t>Viga V22 Celdas  2do N</t>
  </si>
  <si>
    <t>Viga V22 Celdas  3er N</t>
  </si>
  <si>
    <t>Viga V22 Celdas  4to N</t>
  </si>
  <si>
    <t>Viga V22 Celdas  5to N</t>
  </si>
  <si>
    <t>Viga V23 Celdas  2do N</t>
  </si>
  <si>
    <t>Viga V23 Celdas  3er N</t>
  </si>
  <si>
    <t>Viga V23 Celdas  4to N</t>
  </si>
  <si>
    <t>Columnas C4 4to N celdas</t>
  </si>
  <si>
    <t>Columnas C4 5to N celdas</t>
  </si>
  <si>
    <t>Pintura imprimador master paint</t>
  </si>
  <si>
    <t>Pintura acrilica prep excello pastel</t>
  </si>
  <si>
    <t>Económica en techo (2 mano)</t>
  </si>
  <si>
    <t>Acrilica en muros exteriores y exteriores(dos manos)</t>
  </si>
  <si>
    <t>Pintua Amarillo Trafico</t>
  </si>
  <si>
    <t>Aplicación (dos manos).</t>
  </si>
  <si>
    <t>Viga V1 Administrativo</t>
  </si>
  <si>
    <t>Viga V2 Administrativo</t>
  </si>
  <si>
    <t>Viga V3 Administrativo</t>
  </si>
  <si>
    <t>Viga V4 Administrativo</t>
  </si>
  <si>
    <t>Viga V5 Administrativo</t>
  </si>
  <si>
    <t>Viga V6 Administrativo</t>
  </si>
  <si>
    <t>Viga V7 Administrativo</t>
  </si>
  <si>
    <t>Columnas C1 Administrativo</t>
  </si>
  <si>
    <t>M1 Administrativo</t>
  </si>
  <si>
    <t>Molde para col. E=0.30mt</t>
  </si>
  <si>
    <t>M2 Administrativo</t>
  </si>
  <si>
    <t>Viga Vdv Administrativo</t>
  </si>
  <si>
    <t>Platea Administrativo</t>
  </si>
  <si>
    <t>Ligado y vaciado indust.</t>
  </si>
  <si>
    <t>Viga a nivel de piso Administrativo</t>
  </si>
  <si>
    <t>Bloques de 0.15 m con  f 3/8 a 0.60 m  D.N.P. con serpentina a 0.80mt</t>
  </si>
  <si>
    <t>Losa escalera 5to nivel</t>
  </si>
  <si>
    <t>Viga amarre multiuso y celdas 2do N</t>
  </si>
  <si>
    <t>Viga amarre multiuso y celdas3er N</t>
  </si>
  <si>
    <t>Viga amarre multiuso y celdas 4to N</t>
  </si>
  <si>
    <t>M1 multiuso y celda 1er N</t>
  </si>
  <si>
    <t>M2 multiuso y celda 1er N</t>
  </si>
  <si>
    <t>M3 multiuso y celda 1er N</t>
  </si>
  <si>
    <t>M4 multiuso y celda 1er N</t>
  </si>
  <si>
    <t>M5 multiuso y celda 1er N</t>
  </si>
  <si>
    <t>M6 multiuso y celda 1er N</t>
  </si>
  <si>
    <t>M7 multiuso y celda 1er N</t>
  </si>
  <si>
    <t>M8 multiuso y celda 1er N</t>
  </si>
  <si>
    <t>M9 multiuso y celda 1er N</t>
  </si>
  <si>
    <t>M10 multiuso y celda 1er N</t>
  </si>
  <si>
    <t>M11 multiuso y celda 1er N</t>
  </si>
  <si>
    <t>M12 multiuso y celda 1er N</t>
  </si>
  <si>
    <t>Molde para col. E=0.40mt</t>
  </si>
  <si>
    <t>Losa de fondo planta tratamiento</t>
  </si>
  <si>
    <t>Losa de perforada planta tratamiento</t>
  </si>
  <si>
    <t>Muro planta tratamiento</t>
  </si>
  <si>
    <t>Molde E=0.20mt</t>
  </si>
  <si>
    <t>Bote</t>
  </si>
  <si>
    <t>Losa de fondo</t>
  </si>
  <si>
    <t>fraguache</t>
  </si>
  <si>
    <t>Zabaleta</t>
  </si>
  <si>
    <t>Fino</t>
  </si>
  <si>
    <t>Tapa de hormigon</t>
  </si>
  <si>
    <t>Losa de fondo de septico 1</t>
  </si>
  <si>
    <t>Bloques de 6 a 0.80Dnp</t>
  </si>
  <si>
    <t>Pañete pulido</t>
  </si>
  <si>
    <t>septico tipo 1 (1x1x1)</t>
  </si>
  <si>
    <t>septico tipo 2 (1.20x1.20x1.15)</t>
  </si>
  <si>
    <t>septico tipo 3 (1.40x1.40x1.75)</t>
  </si>
  <si>
    <t>Losa fondo caja de distribucion planta tratamiento</t>
  </si>
  <si>
    <t>Tapa caja de distribucion planta tratamiento</t>
  </si>
  <si>
    <t>Muro de distribucion planta tratamiento</t>
  </si>
  <si>
    <t>Tuberia SDR 41 –  6”</t>
  </si>
  <si>
    <t>Tubo 6”</t>
  </si>
  <si>
    <t>Excavación</t>
  </si>
  <si>
    <t>Colchon de arena</t>
  </si>
  <si>
    <t>Cemento PVC tangit</t>
  </si>
  <si>
    <t>Instalacion</t>
  </si>
  <si>
    <t>Relleno de reposicion</t>
  </si>
  <si>
    <t>Piezas especiales</t>
  </si>
  <si>
    <t>Tuberia SDR 41 –  8”</t>
  </si>
  <si>
    <t>Tuberia SDR 41 –  4”</t>
  </si>
  <si>
    <t>Tuberia SDR 41 –  3”</t>
  </si>
  <si>
    <t>Tubo 8”</t>
  </si>
  <si>
    <t>Tubo 3”</t>
  </si>
  <si>
    <t>Molde E=0.25mt</t>
  </si>
  <si>
    <t>Columnas pedestal</t>
  </si>
  <si>
    <t>Molde para col. 0.25x0.25</t>
  </si>
  <si>
    <t>Impermeabilizante techo plano (sellador urethanizer lanco)</t>
  </si>
  <si>
    <t>Subida de sellador lanco</t>
  </si>
  <si>
    <t>Zapata de muros 0.15 m</t>
  </si>
  <si>
    <t>Viga amarre techo</t>
  </si>
  <si>
    <t>Viga amarre piso</t>
  </si>
  <si>
    <t xml:space="preserve">Losa </t>
  </si>
  <si>
    <t>Viga junta expansion</t>
  </si>
  <si>
    <t xml:space="preserve">ANALISIS DE COSTOS </t>
  </si>
  <si>
    <t>Tubo HG de 1 x 20'</t>
  </si>
  <si>
    <t>Copa Terminal HG 1</t>
  </si>
  <si>
    <t>C/Malla 0.20 x 0.20</t>
  </si>
  <si>
    <t>Hormigon 180 k/cm2. incluye vaciado</t>
  </si>
  <si>
    <t>118/.96</t>
  </si>
  <si>
    <t>Impermeabilizante sellador ultra  LYNCO (5 galones)</t>
  </si>
  <si>
    <t>Hormigón Industrial 100 kg/cm2 concredom</t>
  </si>
  <si>
    <t>Derretido de cemento grís 12 lbs</t>
  </si>
  <si>
    <t>Hormigón Industrial 180 kg/cm2 cemex</t>
  </si>
  <si>
    <t>Hormigón Industrial 210 kg/cm2 cemex</t>
  </si>
  <si>
    <t>Hormigón Industrial 240 kg/cm2 cemex</t>
  </si>
  <si>
    <t>Hormigón Industrial 250 kg/cm2 cemex</t>
  </si>
  <si>
    <t>Mezcla industrial 120 kg/cm2 para fino</t>
  </si>
  <si>
    <t>Malla ciclonica 4 ft, cal 9, rollo de 40ml</t>
  </si>
  <si>
    <t>Malla ciclonica 6 ft. cal 9, rollo de 40ml</t>
  </si>
  <si>
    <t>Malla ciclonica 8 ft. cal 9, rollo de 40ml</t>
  </si>
  <si>
    <t>Alambre trinchera , rollo de 40ml</t>
  </si>
  <si>
    <t>Impermeabilizante  Acrilico siliconizer, cubeta</t>
  </si>
  <si>
    <t>Impermeabilizante  Acrilico urethanizer, cubeta</t>
  </si>
  <si>
    <t>Zinc  acanalado C-29</t>
  </si>
  <si>
    <t>Pintura  semi-gloss tropical superior</t>
  </si>
  <si>
    <t>Pintura acrílica tropical superior</t>
  </si>
  <si>
    <t>Pintura mantenimiento  tropical superior</t>
  </si>
  <si>
    <t>Pintura  Acrilica Tropical  ( 5 gls )</t>
  </si>
  <si>
    <t>Pintura  Semigloss Tropical  ( 5 gls )</t>
  </si>
  <si>
    <t>BRIGADAS DE TRABAJO</t>
  </si>
  <si>
    <t>BRIGADA DE APOYO BASICA:</t>
  </si>
  <si>
    <t>Capataz</t>
  </si>
  <si>
    <t>hr</t>
  </si>
  <si>
    <t>Peones (4 Hombres)</t>
  </si>
  <si>
    <t>TOTAL/DIA</t>
  </si>
  <si>
    <t>TOTAL/HR</t>
  </si>
  <si>
    <t>Rendimiento de excavación en Caliche.</t>
  </si>
  <si>
    <t xml:space="preserve">m3/dia </t>
  </si>
  <si>
    <t>TOTAL/M3.</t>
  </si>
  <si>
    <t>BRIGADA DE ENVARILLADO:</t>
  </si>
  <si>
    <t>Maestro de Varillas</t>
  </si>
  <si>
    <t>Varillero de 2da.</t>
  </si>
  <si>
    <t>Ayudantes de varllero</t>
  </si>
  <si>
    <t>ACERO</t>
  </si>
  <si>
    <t>REND./HORA</t>
  </si>
  <si>
    <t>UNIDAD</t>
  </si>
  <si>
    <t>PRECIO/UNIDAD</t>
  </si>
  <si>
    <t>Precio  pagado a Ajust.</t>
  </si>
  <si>
    <t>Acero en general</t>
  </si>
  <si>
    <t>maestro</t>
  </si>
  <si>
    <t>1era</t>
  </si>
  <si>
    <t>(Zapatas, Vigas de amarre y Columnas de amarre,etc.)</t>
  </si>
  <si>
    <t>de 2da</t>
  </si>
  <si>
    <t>Dinteles</t>
  </si>
  <si>
    <t>ayudante</t>
  </si>
  <si>
    <t>Parilla Zapata de Muros</t>
  </si>
  <si>
    <t>no calificado</t>
  </si>
  <si>
    <t>Acero malla</t>
  </si>
  <si>
    <t>un rollo deacero malla cubre 96 m2</t>
  </si>
  <si>
    <t>Envarillado de escalera (tramo de 2)</t>
  </si>
  <si>
    <t>Acero losa entrepisos</t>
  </si>
  <si>
    <t>Manejo de acero interno</t>
  </si>
  <si>
    <t>BRIGADA DE CARPINTERIA:</t>
  </si>
  <si>
    <t>Carpintero de 1ra.</t>
  </si>
  <si>
    <t>Carpintero de 2da.</t>
  </si>
  <si>
    <t>Ayudantes de Carpintero</t>
  </si>
  <si>
    <t>TOTAL/DIA:</t>
  </si>
  <si>
    <t>TOTAL/HR:</t>
  </si>
  <si>
    <t>ANDAMIOS CARLOS MARTE</t>
  </si>
  <si>
    <t>Andamios para vigas</t>
  </si>
  <si>
    <t>Andamios para columnas</t>
  </si>
  <si>
    <t>Andamios para muros</t>
  </si>
  <si>
    <t>Andamios exteriores</t>
  </si>
  <si>
    <t>Andamios interiores</t>
  </si>
  <si>
    <t>ANDAMIOS DOMINICANOS (ANDAMIOS METALICOS)</t>
  </si>
  <si>
    <t>Rendimiento brigada :</t>
  </si>
  <si>
    <t>vigas</t>
  </si>
  <si>
    <t>M2/HR</t>
  </si>
  <si>
    <t>muros</t>
  </si>
  <si>
    <t>losas</t>
  </si>
  <si>
    <t>columnas</t>
  </si>
  <si>
    <t>columnas circulares</t>
  </si>
  <si>
    <t>Rampas de Escalera</t>
  </si>
  <si>
    <t>COSTO-PT /ELEMENTO:</t>
  </si>
  <si>
    <t>ENCOF.</t>
  </si>
  <si>
    <t>DESENC.</t>
  </si>
  <si>
    <t>MANT.</t>
  </si>
  <si>
    <t>Rampas de escaleras</t>
  </si>
  <si>
    <t>BRIGADA DE TOPOGRAFIA:</t>
  </si>
  <si>
    <t>Analisis:</t>
  </si>
  <si>
    <t>mes</t>
  </si>
  <si>
    <t>PARTIDA</t>
  </si>
  <si>
    <t>CANT.</t>
  </si>
  <si>
    <t>PU/MES</t>
  </si>
  <si>
    <t>VALOR</t>
  </si>
  <si>
    <t>TOPOGRAFO</t>
  </si>
  <si>
    <t>NIVELADOR</t>
  </si>
  <si>
    <t>PORTAMIRA</t>
  </si>
  <si>
    <t>CADENERO</t>
  </si>
  <si>
    <t>PEONES</t>
  </si>
  <si>
    <t>MATERIALES</t>
  </si>
  <si>
    <t>TRANSP.(CHOF. Y VEH.)</t>
  </si>
  <si>
    <t>COSTO BRIGADA MENSUAL</t>
  </si>
  <si>
    <t>BRIGADA DE ALBAÑILERIA:</t>
  </si>
  <si>
    <t>`</t>
  </si>
  <si>
    <t>Dia</t>
  </si>
  <si>
    <t>Albañil de Primera</t>
  </si>
  <si>
    <t>Albañil de segunda</t>
  </si>
  <si>
    <t>Ayudantes de Albañil</t>
  </si>
  <si>
    <t>Peones</t>
  </si>
  <si>
    <t>TOTAL/HORA:</t>
  </si>
  <si>
    <t>INGENIERIA</t>
  </si>
  <si>
    <t>DIRECTOR DE PROYECTO (Incluyendo Dieta)</t>
  </si>
  <si>
    <t>INGENIEROS RESIDENTES (Incluyendo Dieta)</t>
  </si>
  <si>
    <t>ADMINISTRATIVO</t>
  </si>
  <si>
    <t>SECRETARIA</t>
  </si>
  <si>
    <t>CONSERJE</t>
  </si>
  <si>
    <t>CHOFER</t>
  </si>
  <si>
    <t>CAPATAZ</t>
  </si>
  <si>
    <t>COSTO INGENIERIA MENSUAL</t>
  </si>
  <si>
    <t>COSTO MANO DE OBRA ALBAÑILERIA:</t>
  </si>
  <si>
    <t>Acera Frotada (incl.Horm.)</t>
  </si>
  <si>
    <t>Aplicacion Marmolina frotada</t>
  </si>
  <si>
    <t>Badenes</t>
  </si>
  <si>
    <t xml:space="preserve">Violines </t>
  </si>
  <si>
    <t>Careteo</t>
  </si>
  <si>
    <t>Repello</t>
  </si>
  <si>
    <t>Ceramica Import. piso 30x30</t>
  </si>
  <si>
    <t>Colocacion de Marmol</t>
  </si>
  <si>
    <t>Ceramica Local 15a20 pared</t>
  </si>
  <si>
    <t>Ceramica Local 20&gt; piso</t>
  </si>
  <si>
    <t>Colocacion Bloques de 0.10</t>
  </si>
  <si>
    <t>Colocacion Bloques de 0.15</t>
  </si>
  <si>
    <t xml:space="preserve">Colocacion Bloques de 0.20 </t>
  </si>
  <si>
    <t xml:space="preserve">Colocacion de Tejas </t>
  </si>
  <si>
    <t>Confeccion lavadero pulido</t>
  </si>
  <si>
    <t>Confeccion Registro</t>
  </si>
  <si>
    <t>Confeccion Trampa de grasa</t>
  </si>
  <si>
    <t>Confeccion vertedero 60x60 HS</t>
  </si>
  <si>
    <t>Escalones Cemento Pulido</t>
  </si>
  <si>
    <t>Escalones de ladrillos</t>
  </si>
  <si>
    <t>Escalones Granito H.y Ch.</t>
  </si>
  <si>
    <t>Escalones Hormigon Frotado</t>
  </si>
  <si>
    <t>Escalones Revest.ladrillos</t>
  </si>
  <si>
    <t>Estrias 1"x1"</t>
  </si>
  <si>
    <t>Fino inclinado liso</t>
  </si>
  <si>
    <t>Fino techo plano</t>
  </si>
  <si>
    <t>Fino tipo Bermuda s/cantos</t>
  </si>
  <si>
    <t>Gotero Colgante</t>
  </si>
  <si>
    <t>Gotero de Ranura</t>
  </si>
  <si>
    <t>Ladrillo limpio pared</t>
  </si>
  <si>
    <t>Ladrillos Coloniales</t>
  </si>
  <si>
    <t>Losetas de ladrillo piso</t>
  </si>
  <si>
    <t>Marmol Ext. pared</t>
  </si>
  <si>
    <t>Marmol Ext. piso</t>
  </si>
  <si>
    <t>Marmol local pared</t>
  </si>
  <si>
    <t>Marmol  piso</t>
  </si>
  <si>
    <t>Marmolina frotada</t>
  </si>
  <si>
    <t>Montura accesorios baños</t>
  </si>
  <si>
    <t>Montura Escalones granito</t>
  </si>
  <si>
    <t>Mosaicos de cemento 20x20</t>
  </si>
  <si>
    <t>Mosaicos de ganito 30 x 30</t>
  </si>
  <si>
    <t>Mosaicos de gravilla 40 x 40</t>
  </si>
  <si>
    <t>Natilla en pared</t>
  </si>
  <si>
    <t>Pañete en muros-1er. nivel</t>
  </si>
  <si>
    <t>Pañete en muros-2do. nivel</t>
  </si>
  <si>
    <t>Pañete Frotado</t>
  </si>
  <si>
    <t>Pañete en Techos y Vigas</t>
  </si>
  <si>
    <t>Pañete Pulido a color</t>
  </si>
  <si>
    <t>Pañete pulido s/color</t>
  </si>
  <si>
    <t>Piso de Piedra Laja</t>
  </si>
  <si>
    <t>Piso fino frotado</t>
  </si>
  <si>
    <t>Piso fino pulido</t>
  </si>
  <si>
    <t>Piso Hormigon frotado 0.10</t>
  </si>
  <si>
    <t>Quicios</t>
  </si>
  <si>
    <t>Remetidos 2" x 2"</t>
  </si>
  <si>
    <t>Repello Maestreado muros</t>
  </si>
  <si>
    <t>Repello s/maestrear</t>
  </si>
  <si>
    <t>Resane en bloques</t>
  </si>
  <si>
    <t>Rustico con escoba o compresor</t>
  </si>
  <si>
    <t>Zabaletas de Techo</t>
  </si>
  <si>
    <t>Zocalos de Ceramica</t>
  </si>
  <si>
    <t>Zocalos de escalones granito</t>
  </si>
  <si>
    <t>Zocalos de Marmol</t>
  </si>
  <si>
    <t>Colocacion de Bloques calados</t>
  </si>
  <si>
    <t>Colocacion Piedra Coralina</t>
  </si>
  <si>
    <t>Colocacion Adoquines</t>
  </si>
  <si>
    <t>Confeccion de Molduras</t>
  </si>
  <si>
    <t>M O de Madera en Techos</t>
  </si>
  <si>
    <t>Colocacion de Laminas en Techos</t>
  </si>
  <si>
    <t>Colocacion de Placas de Neupreno</t>
  </si>
  <si>
    <t>Colocacion De Caballetes de Ceramica</t>
  </si>
  <si>
    <t>Colocacion De Listelo</t>
  </si>
  <si>
    <t>Colocacion de Ladrillos</t>
  </si>
  <si>
    <t>subida de bloques</t>
  </si>
  <si>
    <t>manejo de bloques interno</t>
  </si>
  <si>
    <t>Subida fda. De cemento</t>
  </si>
  <si>
    <t>fda/m2</t>
  </si>
  <si>
    <t>M D O ACERA</t>
  </si>
  <si>
    <t>BRIGADA SUBIDA MATERIALES</t>
  </si>
  <si>
    <t>horas</t>
  </si>
  <si>
    <t>peones</t>
  </si>
  <si>
    <t>Rendimiento en subida materiales 2do. Nivel</t>
  </si>
  <si>
    <t xml:space="preserve">Bloques de 20x20x40 </t>
  </si>
  <si>
    <t>Uds/dia</t>
  </si>
  <si>
    <t>RD$/uds</t>
  </si>
  <si>
    <t>Hormigon 1:3:5(140 a mano)</t>
  </si>
  <si>
    <t>m3/dia</t>
  </si>
  <si>
    <t>RD$/m3</t>
  </si>
  <si>
    <t>Mortero 1:3</t>
  </si>
  <si>
    <t>Acero 3/8 @ 0.80</t>
  </si>
  <si>
    <t>qq/dia</t>
  </si>
  <si>
    <t>RD$/qq</t>
  </si>
  <si>
    <t>Plywood</t>
  </si>
  <si>
    <t>planchas</t>
  </si>
  <si>
    <t>RD$/Plancha</t>
  </si>
  <si>
    <t>Madera</t>
  </si>
  <si>
    <t>RD$/p2</t>
  </si>
  <si>
    <t>Ceramica 20x20 piso</t>
  </si>
  <si>
    <t>RD$/m2</t>
  </si>
  <si>
    <t>Lechada Enco</t>
  </si>
  <si>
    <t>RD$/lbs</t>
  </si>
  <si>
    <t>Mortero Enco para pisos</t>
  </si>
  <si>
    <t>Zocalo de Ceramica</t>
  </si>
  <si>
    <t>RD$/ml</t>
  </si>
  <si>
    <t>ANALISIS ANDAMIOS DE OBRA:</t>
  </si>
  <si>
    <t>En Plafones:</t>
  </si>
  <si>
    <t>pch</t>
  </si>
  <si>
    <t>Brigada de apoyo</t>
  </si>
  <si>
    <t>Madera Bruta</t>
  </si>
  <si>
    <t>TOTAL/M2:</t>
  </si>
  <si>
    <t>En Muros Exteriores:</t>
  </si>
  <si>
    <t>Alquiler de Andamios Metalicos para pañete Ext.</t>
  </si>
  <si>
    <t>En Muros Interiores:</t>
  </si>
  <si>
    <t>Alquiler de Andamios Metalicos para pañete Int.</t>
  </si>
  <si>
    <t>En Muros Interiores en 2do.Nivel</t>
  </si>
  <si>
    <t>Subida Materiales</t>
  </si>
  <si>
    <t>EXCAVACION A MANO EN TIERRA</t>
  </si>
  <si>
    <t>M3N</t>
  </si>
  <si>
    <t>EXCAVACION A MANO EN CALICHE</t>
  </si>
  <si>
    <t>EXCAVACION A MANO EN ROCA</t>
  </si>
  <si>
    <t xml:space="preserve">BRIGADA DE APLICACION PINTURA </t>
  </si>
  <si>
    <t>Horas</t>
  </si>
  <si>
    <t>Maestro de pintura</t>
  </si>
  <si>
    <t>Ayudantes</t>
  </si>
  <si>
    <t>Rendimiento Diario Acrilica:m2(2 manos)</t>
  </si>
  <si>
    <t>tarifa 31/10/2013</t>
  </si>
  <si>
    <t>Rendimiento Diario Acrilica:m2(3 manos)</t>
  </si>
  <si>
    <t>Rendimiento Diario Aceite: m2(2 manos)</t>
  </si>
  <si>
    <t>Rendimiento Diario Epoxicas:m2(2 manos)</t>
  </si>
  <si>
    <t>Rendimiento Diario Sellador:m2(2 manos)</t>
  </si>
  <si>
    <t>Aplicacion sistema resistente a quimicos</t>
  </si>
  <si>
    <t>MEZCLADO Y VACIADO DE CONCRETO CON LIGADORA:</t>
  </si>
  <si>
    <t>Ligadora Mipsa 1 fda T.Costo</t>
  </si>
  <si>
    <t>Palas</t>
  </si>
  <si>
    <t>Carretillas</t>
  </si>
  <si>
    <t>Madera Puentes</t>
  </si>
  <si>
    <t>hrs</t>
  </si>
  <si>
    <t>Brigada basica</t>
  </si>
  <si>
    <t>Aguatero</t>
  </si>
  <si>
    <t>TOTAL GENERAL:</t>
  </si>
  <si>
    <t>TOTAL/M3:</t>
  </si>
  <si>
    <t>Aplicacion de Sellador de techos</t>
  </si>
  <si>
    <t xml:space="preserve">ANALISIS REPLANTEO </t>
  </si>
  <si>
    <t>Madera  (4 usos)</t>
  </si>
  <si>
    <t>Clavos de 2"</t>
  </si>
  <si>
    <t>Carpintero</t>
  </si>
  <si>
    <t>Brigada topografica</t>
  </si>
  <si>
    <t>Dias</t>
  </si>
  <si>
    <t>Obreros (2/dia)</t>
  </si>
  <si>
    <t>Hilo</t>
  </si>
  <si>
    <t>TOTAL/M2.:</t>
  </si>
  <si>
    <t>BRIGADA ERECCION SHELTER</t>
  </si>
  <si>
    <t>albañil de primera</t>
  </si>
  <si>
    <t>albañil de segunda</t>
  </si>
  <si>
    <t>ayudante de albañileria</t>
  </si>
  <si>
    <t>PU</t>
  </si>
  <si>
    <t>COSTO OPERACION DE PLANTA Y VACIADO</t>
  </si>
  <si>
    <t>Analisis Para 1 Dia</t>
  </si>
  <si>
    <t>Operador de Pala</t>
  </si>
  <si>
    <t>Hora</t>
  </si>
  <si>
    <t>Operador de Planta de Hormigon</t>
  </si>
  <si>
    <t>Ayudante de Planta</t>
  </si>
  <si>
    <t>Operador de bicicleta</t>
  </si>
  <si>
    <t>Vaciador de Termos</t>
  </si>
  <si>
    <t>Bombero</t>
  </si>
  <si>
    <t>Ayudante Bombero</t>
  </si>
  <si>
    <t>Chofer (Ligadora)</t>
  </si>
  <si>
    <t>COSTO TOTAL POR DIA</t>
  </si>
  <si>
    <t>COSTO TOTAL POR MES</t>
  </si>
  <si>
    <t>TIEMPO ESTIMADO PARA VACIADO</t>
  </si>
  <si>
    <t>Meses</t>
  </si>
  <si>
    <t>Insentivos:</t>
  </si>
  <si>
    <t xml:space="preserve">Viajes </t>
  </si>
  <si>
    <t>Uds</t>
  </si>
  <si>
    <t>Sub-Total Insentivos</t>
  </si>
  <si>
    <t>Combustibles y Lubricantes:</t>
  </si>
  <si>
    <t>Pala</t>
  </si>
  <si>
    <t>Gsl</t>
  </si>
  <si>
    <t>Camiones</t>
  </si>
  <si>
    <t>Planta Electrica</t>
  </si>
  <si>
    <t>Sub-Combustibles y Lubricantes:</t>
  </si>
  <si>
    <t>Total General Operacion y Vaciado</t>
  </si>
  <si>
    <t>VOLUMEN TOTAL ESTIMADO PARA EL PROYECTO</t>
  </si>
  <si>
    <t>COSTO POR M3</t>
  </si>
  <si>
    <t>ENCOFRADOS A TODO COSTO (CARLOS MARTE)</t>
  </si>
  <si>
    <t>PROMEDIO PARA TODOS LOS NIVELES</t>
  </si>
  <si>
    <t>Columnas cilindricas</t>
  </si>
  <si>
    <t>ML de Columnas</t>
  </si>
  <si>
    <t>Columnas 4 Tapas 0.40 x 0.70</t>
  </si>
  <si>
    <t>costo Andamios Columnas</t>
  </si>
  <si>
    <t>Columnas 4 Tapas 0.40 x 0.40</t>
  </si>
  <si>
    <r>
      <t xml:space="preserve">Columnas </t>
    </r>
    <r>
      <rPr>
        <sz val="12"/>
        <rFont val="Calibri"/>
        <family val="2"/>
      </rPr>
      <t>≤</t>
    </r>
    <r>
      <rPr>
        <sz val="11.5"/>
        <rFont val="Arial"/>
        <family val="2"/>
      </rPr>
      <t xml:space="preserve"> 0.30 de cara, por cara</t>
    </r>
  </si>
  <si>
    <t>2CARAS</t>
  </si>
  <si>
    <r>
      <t xml:space="preserve">Columnas </t>
    </r>
    <r>
      <rPr>
        <sz val="12"/>
        <rFont val="Calibri"/>
        <family val="2"/>
      </rPr>
      <t>≥</t>
    </r>
    <r>
      <rPr>
        <sz val="11.5"/>
        <rFont val="Arial"/>
        <family val="2"/>
      </rPr>
      <t xml:space="preserve"> 0.30 de cara, por cada .10 mts de ancho hasta 0.80. apartir de 0.80 se considera muro</t>
    </r>
  </si>
  <si>
    <t>Muros en columnas</t>
  </si>
  <si>
    <t>M2/cara</t>
  </si>
  <si>
    <t xml:space="preserve">Muros </t>
  </si>
  <si>
    <t xml:space="preserve">Vigas Cargas 0.20 X 0.40 </t>
  </si>
  <si>
    <t xml:space="preserve">Vigas Cargas 0.25 X 0.40 </t>
  </si>
  <si>
    <r>
      <t xml:space="preserve">Vigas Sobre Muros </t>
    </r>
    <r>
      <rPr>
        <sz val="12"/>
        <rFont val="Calibri"/>
        <family val="2"/>
      </rPr>
      <t>≤</t>
    </r>
    <r>
      <rPr>
        <sz val="12"/>
        <rFont val="Arial"/>
        <family val="2"/>
      </rPr>
      <t xml:space="preserve"> 0.30</t>
    </r>
  </si>
  <si>
    <r>
      <t xml:space="preserve">Vigas Sobre Muros </t>
    </r>
    <r>
      <rPr>
        <sz val="12"/>
        <rFont val="Calibri"/>
        <family val="2"/>
      </rPr>
      <t>≥</t>
    </r>
    <r>
      <rPr>
        <sz val="12"/>
        <rFont val="Arial"/>
        <family val="2"/>
      </rPr>
      <t xml:space="preserve"> 0.30 </t>
    </r>
    <r>
      <rPr>
        <sz val="12"/>
        <rFont val="Calibri"/>
        <family val="2"/>
      </rPr>
      <t>≤</t>
    </r>
    <r>
      <rPr>
        <sz val="12"/>
        <rFont val="Arial"/>
        <family val="2"/>
      </rPr>
      <t xml:space="preserve"> 0.50</t>
    </r>
  </si>
  <si>
    <t>Viga de Amarre Patinillo ( 0,15 x 0,32)</t>
  </si>
  <si>
    <r>
      <t xml:space="preserve">Viga de Amarre </t>
    </r>
    <r>
      <rPr>
        <sz val="12"/>
        <rFont val="Calibri"/>
        <family val="2"/>
      </rPr>
      <t>≤</t>
    </r>
    <r>
      <rPr>
        <sz val="11.5"/>
        <rFont val="Arial"/>
        <family val="2"/>
      </rPr>
      <t xml:space="preserve"> 0.30 MTS</t>
    </r>
  </si>
  <si>
    <t>Dintel 0.20*0.30</t>
  </si>
  <si>
    <r>
      <t xml:space="preserve">Losas Planas </t>
    </r>
    <r>
      <rPr>
        <sz val="12"/>
        <rFont val="Calibri"/>
        <family val="2"/>
      </rPr>
      <t>≤ 2.60 mts de altura</t>
    </r>
  </si>
  <si>
    <r>
      <t>Losas Planas hasta 3.00</t>
    </r>
    <r>
      <rPr>
        <sz val="12"/>
        <rFont val="Calibri"/>
        <family val="2"/>
      </rPr>
      <t xml:space="preserve"> mts de altura</t>
    </r>
  </si>
  <si>
    <r>
      <t xml:space="preserve">Losas Planas </t>
    </r>
    <r>
      <rPr>
        <sz val="12"/>
        <rFont val="Calibri"/>
        <family val="2"/>
      </rPr>
      <t>≥</t>
    </r>
    <r>
      <rPr>
        <sz val="12"/>
        <rFont val="Arial"/>
        <family val="2"/>
      </rPr>
      <t xml:space="preserve"> 3.00</t>
    </r>
    <r>
      <rPr>
        <sz val="12"/>
        <rFont val="Calibri"/>
        <family val="2"/>
      </rPr>
      <t xml:space="preserve"> mts de altura hasta 3.50 mts</t>
    </r>
  </si>
  <si>
    <r>
      <t xml:space="preserve">Losas Planas </t>
    </r>
    <r>
      <rPr>
        <sz val="12"/>
        <rFont val="Calibri"/>
        <family val="2"/>
      </rPr>
      <t>≥</t>
    </r>
    <r>
      <rPr>
        <sz val="12"/>
        <rFont val="Arial"/>
        <family val="2"/>
      </rPr>
      <t xml:space="preserve"> 3.50</t>
    </r>
    <r>
      <rPr>
        <sz val="12"/>
        <rFont val="Calibri"/>
        <family val="2"/>
      </rPr>
      <t xml:space="preserve"> mts de altura hasta 4.00 mts</t>
    </r>
  </si>
  <si>
    <t>Losas Inclinadas en 1 dirección hasta 3.00 mts de altura</t>
  </si>
  <si>
    <t>Losas Inclinadas en 2 direcciones hasta 3.00 mts de altura</t>
  </si>
  <si>
    <t>Vuelos Planos  ≤ 2.60 mts de altura</t>
  </si>
  <si>
    <t>Vuelos Planos  hasta 3.00 mts de altura</t>
  </si>
  <si>
    <t>Vuelos inclinados en 2 direcciones   hasta 3.00 mts de altura</t>
  </si>
  <si>
    <t>Escaleras ( 2 Rampas Ancho 1.40 mts)</t>
  </si>
  <si>
    <t>Viga Riostras</t>
  </si>
  <si>
    <t>Guarderas en zapatas</t>
  </si>
  <si>
    <t>Guarderas</t>
  </si>
  <si>
    <t>Guarderas en platea</t>
  </si>
  <si>
    <t>SALARIO MÍNIMO NACIONAL PARA LOS TRABAJADORES DEL SECTOR DE LA CONSTRUCCIÓN Y SUS AFINES.</t>
  </si>
  <si>
    <t>CLAVE</t>
  </si>
  <si>
    <t>DESCRIPCIÓN</t>
  </si>
  <si>
    <t>SALARIO</t>
  </si>
  <si>
    <t>T.N.C.</t>
  </si>
  <si>
    <t>Trabajador No Calificado</t>
  </si>
  <si>
    <t>T.C</t>
  </si>
  <si>
    <t>Trabajador Calificado</t>
  </si>
  <si>
    <t>AY.</t>
  </si>
  <si>
    <t>Ayudante</t>
  </si>
  <si>
    <t>OP. 3ra.</t>
  </si>
  <si>
    <t>Operario de Tercera Categoría</t>
  </si>
  <si>
    <t>OP 2da.</t>
  </si>
  <si>
    <t>Operario de Segunda Categoría</t>
  </si>
  <si>
    <t>OP. 1ra.</t>
  </si>
  <si>
    <t>Operario de Primera Categoría</t>
  </si>
  <si>
    <t>Ma.</t>
  </si>
  <si>
    <t>Maestro de cada una de las áreas</t>
  </si>
  <si>
    <t>TARIFAS DE SALARIO MINIMO PARA LOS TRABAJOS DE CARPINTERIA A DESTAJO EN EL AREA DE LA CONSTRUCCION</t>
  </si>
  <si>
    <t>CODIGO</t>
  </si>
  <si>
    <t>DETALLE</t>
  </si>
  <si>
    <t>PRECIO RD$</t>
  </si>
  <si>
    <t>ENCOFRADOS</t>
  </si>
  <si>
    <t>MOLDES PARA COLUMNAS</t>
  </si>
  <si>
    <t>MO-001</t>
  </si>
  <si>
    <t>Columnas 2 tapas con retalle hasta 0.10 mts.</t>
  </si>
  <si>
    <t>M.L.</t>
  </si>
  <si>
    <t>218.67</t>
  </si>
  <si>
    <t>MO-002</t>
  </si>
  <si>
    <t>Columnas 2 tapas con retalle de más de 0.10 mts. hasta 0.20 mts.</t>
  </si>
  <si>
    <t>245.18</t>
  </si>
  <si>
    <t>MO-003</t>
  </si>
  <si>
    <t>Columnas 2 tapas con retalle de más de 0.20 mts. hasta 0.30 mts.</t>
  </si>
  <si>
    <t>273.90</t>
  </si>
  <si>
    <t>MO-004</t>
  </si>
  <si>
    <t>Columnas tapa y tapa de hasta 0.30 mts. de ancho</t>
  </si>
  <si>
    <t>136.95</t>
  </si>
  <si>
    <t>MO-005</t>
  </si>
  <si>
    <t>Columnas tapa y tapa de hasta 0.30 mts. hasta 0.40 mts. de ancho</t>
  </si>
  <si>
    <t>165.66</t>
  </si>
  <si>
    <t>MO-006</t>
  </si>
  <si>
    <t>Columnas tapa y tapa de hasta 0.40 mts. hasta 0.50 mts. de ancho</t>
  </si>
  <si>
    <t>189.96</t>
  </si>
  <si>
    <t>CONFECCION DE MOLDES PARA COLUMNAS</t>
  </si>
  <si>
    <t>CUADRADAS O RECTANGULARES</t>
  </si>
  <si>
    <t>MO-007</t>
  </si>
  <si>
    <t>De 0.20 x 0.20 mts. hasta 0.30 x 0.30 mts.</t>
  </si>
  <si>
    <t>MO-008</t>
  </si>
  <si>
    <t>De más de 0.30 x 0.30 mts. Hasta 0.40 x 0.40 mts.</t>
  </si>
  <si>
    <t>189.54</t>
  </si>
  <si>
    <t>MO-009</t>
  </si>
  <si>
    <t>De más de 0.40 x 0.40 mts. Hasta 0.50 x 0.50 mts.</t>
  </si>
  <si>
    <t>MO-010</t>
  </si>
  <si>
    <t>De más de 0.50 x 0.50 mts. Hasta 0.60 x 0.60 mts.</t>
  </si>
  <si>
    <t>MO-011</t>
  </si>
  <si>
    <t>De más de 0.60 x 0.60 mts. Hasta 0.70 x 0.70 mts.</t>
  </si>
  <si>
    <t>326.91</t>
  </si>
  <si>
    <t>MO-012</t>
  </si>
  <si>
    <t>De más de 0.70 x 0.70 mts. Hasta 0.80 x 0.80 mts.</t>
  </si>
  <si>
    <t>382.13</t>
  </si>
  <si>
    <t>MO-013</t>
  </si>
  <si>
    <t>De más de 0.80 x 0.80 mts. Hasta 1.00 x 1.00 mts.</t>
  </si>
  <si>
    <t>435.14</t>
  </si>
  <si>
    <t>INSTALACION DE MOLDES PARA COLUMNAS</t>
  </si>
  <si>
    <t xml:space="preserve"> CUADRADAS O RECTANGULARES</t>
  </si>
  <si>
    <t>MO-014</t>
  </si>
  <si>
    <t>MO-015</t>
  </si>
  <si>
    <t>MO-016</t>
  </si>
  <si>
    <t>MO-017</t>
  </si>
  <si>
    <t>MO-018</t>
  </si>
  <si>
    <t>492.57</t>
  </si>
  <si>
    <t>MO-019</t>
  </si>
  <si>
    <t>543.37</t>
  </si>
  <si>
    <t>MO-020</t>
  </si>
  <si>
    <t>653.81</t>
  </si>
  <si>
    <t>CONFECCION E INSTALACION DE MOLDES PARA COLUMNAS</t>
  </si>
  <si>
    <t xml:space="preserve"> CONICAS O REDONDAS</t>
  </si>
  <si>
    <t>MO-021</t>
  </si>
  <si>
    <t>Confección de moldes para columnas cónicas de hasta 0.50 mts.</t>
  </si>
  <si>
    <t>600.80</t>
  </si>
  <si>
    <t>MO-022</t>
  </si>
  <si>
    <t>Instalación de moldes para columnas cónicas de hasta 0.50 mts.</t>
  </si>
  <si>
    <t>MO-023</t>
  </si>
  <si>
    <t>Confección de moldes para columnas redondas de hasta 0.50 mts.</t>
  </si>
  <si>
    <t>464.23</t>
  </si>
  <si>
    <t>MO-024</t>
  </si>
  <si>
    <t>Instalación de moldes para columnas redondas de hasta 0.50 mts.</t>
  </si>
  <si>
    <t>§  Por cada 0.10 mts. de diámetro que exceda de 0.50 mts., se incrementarán los precios en un 20%.</t>
  </si>
  <si>
    <t>CONFECCION E INSTALACION DE MOLDES PARA MUROS</t>
  </si>
  <si>
    <t>Confección de moldes para muros de hormigón armado, ambas caras lisas. Cada cara…</t>
  </si>
  <si>
    <t>198.80</t>
  </si>
  <si>
    <t>MO-025</t>
  </si>
  <si>
    <t>Instalación de moldes para muros de hormigón armado. Cada cara…</t>
  </si>
  <si>
    <t>249.60</t>
  </si>
  <si>
    <t>§  Cuando sean moldes prefabricados múltiples, transportados mecánicamente, se pagará RD$20.00 M2, por cada cara instalada.</t>
  </si>
  <si>
    <t>CONFECCION E INSTALACION DE MOLDES PARA VIGAS Y DINTELES</t>
  </si>
  <si>
    <t>MO-026</t>
  </si>
  <si>
    <t>Confección e instalación de moldes para vigas de zapata hasta 0.40 mts. x 0.40 mts.</t>
  </si>
  <si>
    <t>MO-027</t>
  </si>
  <si>
    <t>Confección e instalación de moldes para vigas de zapata de más de 0.40 mts. X 0.40 mts. hasta 0.50 mts.  x 0.50 mts.</t>
  </si>
  <si>
    <t>MO-028</t>
  </si>
  <si>
    <t>Confección e instalación de moldes para vigas de zapata de más de 0.50 mts. X 0.50 mts. hasta 0.60 mts. x 0.60 mts.</t>
  </si>
  <si>
    <t>MO-029</t>
  </si>
  <si>
    <t>Confección e instalación de moldes para vigas de zapata de amarre de 0.15 mts. ó 0.20 mts. de ancho por 0.20 mts. de altura.</t>
  </si>
  <si>
    <t>MO-030</t>
  </si>
  <si>
    <t>Confección e instalación de moldes para vigas de amarre de 0.15 mts. ó 0.20 mts. de ancho por 0.30 mts. de altura.</t>
  </si>
  <si>
    <t>MO-031</t>
  </si>
  <si>
    <t>Confección e instalación de moldes para vigas de amarre de 0.15 mts. ó 0.20 mts. de ancho por 0.40 mts. de altura.</t>
  </si>
  <si>
    <t>MO-032</t>
  </si>
  <si>
    <t>Confección e instalación de moldes para vigas de  amarre de 0.15 mts. ó 0.20 mts. de ancho por 0.50 mts. de altura.</t>
  </si>
  <si>
    <t>MO-033</t>
  </si>
  <si>
    <t xml:space="preserve">Confección e instalación de moldes para vigas invertidas. Por cada 0.10 mts. de altura (ambas caras).  </t>
  </si>
  <si>
    <t>81.72</t>
  </si>
  <si>
    <t>MO-034</t>
  </si>
  <si>
    <t>Confección e instalación de moldes para vigas de carga. Por cada 0.10 mts. de fondo.</t>
  </si>
  <si>
    <t>39.75</t>
  </si>
  <si>
    <t>MO-035</t>
  </si>
  <si>
    <t>Confección e instalación de moldes para vigas de carga. Por cada 0.10 mts. de altura.</t>
  </si>
  <si>
    <t>57.43</t>
  </si>
  <si>
    <t>MO-036</t>
  </si>
  <si>
    <t xml:space="preserve">Confección e instalación de moldes para dinteles de hasta 2.00 mts. de largo y hasta 0.20 mts. de ancho. </t>
  </si>
  <si>
    <t>MO-037</t>
  </si>
  <si>
    <t xml:space="preserve">Confección e instalación de moldes para dinteles de hasta 2.00 mts. de largo y más de 0.20 mts.  y hasta 0.40 mts. de ancho. </t>
  </si>
  <si>
    <t>§  Los moldes de más de 2 metros de largo se pagarán como vigas.</t>
  </si>
  <si>
    <t>§  En las vigas de carga, cuando la longitud de apuntalamiento exceda de 3.60 mts., los precios se incrementarán en un 20% por cada metro o fracción de metro.</t>
  </si>
  <si>
    <t>HECHURA DE FALSOS PISOS</t>
  </si>
  <si>
    <t>MO-038</t>
  </si>
  <si>
    <t>De hasta 2.75 mts. de altura</t>
  </si>
  <si>
    <t>MO-039</t>
  </si>
  <si>
    <t>De más de 2.75 mts. hasta 3.00 mts. de altura</t>
  </si>
  <si>
    <t>MO-040</t>
  </si>
  <si>
    <t>De más de 3.00 mts. hasta 4.00 mts. de altura</t>
  </si>
  <si>
    <t>MO-041</t>
  </si>
  <si>
    <t>De más de 4.00 mts. hasta 5.00 mts. de altura</t>
  </si>
  <si>
    <t>MO-042</t>
  </si>
  <si>
    <t>De más de 5.00 mts. hasta 6.00 mts. de altura</t>
  </si>
  <si>
    <t>§  En los falsos pisos con formas especiales, el precio será convencional.</t>
  </si>
  <si>
    <t>OTROS</t>
  </si>
  <si>
    <t>MO-043</t>
  </si>
  <si>
    <t>Moldes para arcos de hasta 0.20 mts. de fondo y hasta 0.30 mts. de radio</t>
  </si>
  <si>
    <t>MO-044</t>
  </si>
  <si>
    <t>Moldes para otros arcos</t>
  </si>
  <si>
    <t>MO-045</t>
  </si>
  <si>
    <t xml:space="preserve">Moldes para voladizos independientes del falso piso,                 </t>
  </si>
  <si>
    <t>MO-046</t>
  </si>
  <si>
    <t>Hasta 0.50 mts. de ancho; por cada 0.10 mts.</t>
  </si>
  <si>
    <t>§  Cuando el vuelo sea continuación del falso piso, se pagará como parte de éste.</t>
  </si>
  <si>
    <t>§  El voladizo con ménsula se pagará aparte.</t>
  </si>
  <si>
    <t>MO-047</t>
  </si>
  <si>
    <t xml:space="preserve">Rampas lisas                                                                                       </t>
  </si>
  <si>
    <t>§  Los otros tipos  de rampas y escaleras de caracol se pagarán de común acuerdo.</t>
  </si>
  <si>
    <t>MO-048</t>
  </si>
  <si>
    <t>Antepechos de hasta 0.50 mts., por cada 0.10 mts. de altura</t>
  </si>
  <si>
    <t>MO-049</t>
  </si>
  <si>
    <t>Cornisas (precio alzado)</t>
  </si>
  <si>
    <t>DESENCOFRADOS</t>
  </si>
  <si>
    <t>MO-050</t>
  </si>
  <si>
    <t>En columnas (área de contacto entre el forro y el concreto)</t>
  </si>
  <si>
    <t>28.72</t>
  </si>
  <si>
    <t>MO-051</t>
  </si>
  <si>
    <t>En vigas, dinteles y arcos (área de contacto entre el forro y el concreto)</t>
  </si>
  <si>
    <t>33.14</t>
  </si>
  <si>
    <t>MO-052</t>
  </si>
  <si>
    <t xml:space="preserve">En falsos pisos, hasta 2.75 mts.                                                       </t>
  </si>
  <si>
    <t xml:space="preserve">35.33 </t>
  </si>
  <si>
    <t>§  De más de 2.75 mts., se pagarán RD$1.50, por cada metro cuadrado adicional.</t>
  </si>
  <si>
    <t>ESTRUCTURAS VARIAS</t>
  </si>
  <si>
    <t>MO-053</t>
  </si>
  <si>
    <t>Confección de tijerilla con clavos, por cada pie cuadrado de madera utilizada</t>
  </si>
  <si>
    <t>MO-054</t>
  </si>
  <si>
    <t>Confección de tijerilla con tornillos, por cada pie cuadrado de madera utilizada</t>
  </si>
  <si>
    <t>MO-055</t>
  </si>
  <si>
    <t>Instalación de tijerillas</t>
  </si>
  <si>
    <t>MO-056</t>
  </si>
  <si>
    <t>Instalación de planchas de zinc, sin enlatado</t>
  </si>
  <si>
    <t>Ud.</t>
  </si>
  <si>
    <t>44.18</t>
  </si>
  <si>
    <t>MO-057</t>
  </si>
  <si>
    <t>Instalación de planchas de zinc, con enlatado</t>
  </si>
  <si>
    <t>72.89</t>
  </si>
  <si>
    <t>MO-058</t>
  </si>
  <si>
    <t>Instalación de planchas de asbesto cemento de 3’ x 6’ con  enlatado</t>
  </si>
  <si>
    <t>MO-059</t>
  </si>
  <si>
    <t>Instalación de planchas de asbesto cemento de 3’ x 6’ sin  enlatado</t>
  </si>
  <si>
    <t>64.97</t>
  </si>
  <si>
    <t>MO-060</t>
  </si>
  <si>
    <t>Instalación de planchas de asbesto cemento de 3’ x 8’ con  enlatado</t>
  </si>
  <si>
    <t>92.77</t>
  </si>
  <si>
    <t>MO-061</t>
  </si>
  <si>
    <t>Instalación de planchas de asbesto cemento de 3’ x 8’ sin  enlatado</t>
  </si>
  <si>
    <t>MO-062</t>
  </si>
  <si>
    <t>Instalación de caballetes</t>
  </si>
  <si>
    <t>MO-063</t>
  </si>
  <si>
    <t>Instalación de planchas de sisal cemento de 3 x 2 con enlatado</t>
  </si>
  <si>
    <t>§  Las colocaciones de zinc y asbesto cemento indicadas anteriormente, es hasta 4 metros a partir de la altura del caballete; de más de 4 metros, se pagarán a base de precio convencional.</t>
  </si>
  <si>
    <t>TRABAJOS DE TERMINACION</t>
  </si>
  <si>
    <t>MO-064</t>
  </si>
  <si>
    <t>Montura de marcos de madera corriente (pino y maderas similares)</t>
  </si>
  <si>
    <t>64.04</t>
  </si>
  <si>
    <t>MO-065</t>
  </si>
  <si>
    <t>MO-066</t>
  </si>
  <si>
    <t>108.22</t>
  </si>
  <si>
    <t>MO-067</t>
  </si>
  <si>
    <t>Confección de puertas con clavos</t>
  </si>
  <si>
    <t>MO-068</t>
  </si>
  <si>
    <t>Confección de puertas en plumilla</t>
  </si>
  <si>
    <t>MO-069</t>
  </si>
  <si>
    <t>Confección de puertas forradas de zinc</t>
  </si>
  <si>
    <t>MO-070</t>
  </si>
  <si>
    <t>Confección de puertas biseladas con clavos</t>
  </si>
  <si>
    <t>MO-071</t>
  </si>
  <si>
    <t>Montura de puertas de pino</t>
  </si>
  <si>
    <t>MO-072</t>
  </si>
  <si>
    <t>Montura de puertas paneladas de tipo corriente</t>
  </si>
  <si>
    <t>680.32</t>
  </si>
  <si>
    <t>MO-073</t>
  </si>
  <si>
    <t>Montura de puertas de vaivén</t>
  </si>
  <si>
    <t>817.27</t>
  </si>
  <si>
    <t>MO-074</t>
  </si>
  <si>
    <t>Montura de puertas plegadizas de corredera</t>
  </si>
  <si>
    <t>MO-075</t>
  </si>
  <si>
    <t>Montura de puertas plegadizas con moldura o cubre falta</t>
  </si>
  <si>
    <t>1,088.95</t>
  </si>
  <si>
    <t>MO-076</t>
  </si>
  <si>
    <t>Montura de puertas en plumilla, con cáncamo</t>
  </si>
  <si>
    <t>MO-077</t>
  </si>
  <si>
    <t>Montura de puertas de playwood</t>
  </si>
  <si>
    <t>MO-078</t>
  </si>
  <si>
    <t>Montura de cerradura corriente</t>
  </si>
  <si>
    <t>406.42</t>
  </si>
  <si>
    <t>MO-079</t>
  </si>
  <si>
    <t>Montura de cerradura especial (precio alzado)</t>
  </si>
  <si>
    <t>§  Los precios establecidos son para puertas de medidas de 0.90 x 2.10 mts.; si el tamaño de éstas es diferente, se pagará en proporción con el área de las puertas citadas. Esta nota se hace extensiva a la montura de ventanas de madera y puertas francesas.</t>
  </si>
  <si>
    <t>MO-080</t>
  </si>
  <si>
    <t>Forro de closets en madera preciosa</t>
  </si>
  <si>
    <t>MO-081</t>
  </si>
  <si>
    <t>División de playwood (un solo lado)</t>
  </si>
  <si>
    <t>MO-082</t>
  </si>
  <si>
    <t>División de playwood (ambos lados)</t>
  </si>
  <si>
    <t>MO-083</t>
  </si>
  <si>
    <t>Playwood decorativo</t>
  </si>
  <si>
    <t>MO-084</t>
  </si>
  <si>
    <t>Cielo raso de playwood o cartón piedra</t>
  </si>
  <si>
    <t>MO-085</t>
  </si>
  <si>
    <t>Cielo raso de playwood en cuadros de 2’ x 2’</t>
  </si>
  <si>
    <t>MO-086</t>
  </si>
  <si>
    <t>Cielo raso de asbesto cemento en cuadros de 2’x2’</t>
  </si>
  <si>
    <t>298.19</t>
  </si>
  <si>
    <t>MO-087</t>
  </si>
  <si>
    <t>Cielo raso de cartón acústico, encostillado</t>
  </si>
  <si>
    <t>MO-088</t>
  </si>
  <si>
    <t>Forro de paredes en madera preciosa, con altos y bajos relieves.</t>
  </si>
  <si>
    <t>SALARIO MÍNIMO PARA LOS TRABAJADORES A DESTAJO DE ALBAÑILERÍA.</t>
  </si>
  <si>
    <t>RD$</t>
  </si>
  <si>
    <t>COMPOSICION  BRIGADA</t>
  </si>
  <si>
    <t>RENDIMIENTO</t>
  </si>
  <si>
    <t>MO-089</t>
  </si>
  <si>
    <t xml:space="preserve">Bloque de 4x8x16 pulgs  </t>
  </si>
  <si>
    <t>20.40</t>
  </si>
  <si>
    <t>Unid.</t>
  </si>
  <si>
    <t>1AS 1 AY 1TC</t>
  </si>
  <si>
    <t>125.00</t>
  </si>
  <si>
    <t>MO-090</t>
  </si>
  <si>
    <t xml:space="preserve">Bloque de 6x8x16 pulgs.  </t>
  </si>
  <si>
    <t>17.02</t>
  </si>
  <si>
    <t xml:space="preserve">1AS 1 AY 1TC </t>
  </si>
  <si>
    <t>150.00</t>
  </si>
  <si>
    <t>MO-091</t>
  </si>
  <si>
    <t xml:space="preserve"> Bloque de 6x8x18 pulgs.  </t>
  </si>
  <si>
    <t>18.85</t>
  </si>
  <si>
    <t>135.00</t>
  </si>
  <si>
    <t>MO-092</t>
  </si>
  <si>
    <t xml:space="preserve">Bloque de 8x8x16 pulgs.  </t>
  </si>
  <si>
    <t>MO-093</t>
  </si>
  <si>
    <t xml:space="preserve">Bloque de 12x8x16 pulgs.  </t>
  </si>
  <si>
    <t>34.98</t>
  </si>
  <si>
    <t>1AS 1AY 1TC 1TNC</t>
  </si>
  <si>
    <t>90.00</t>
  </si>
  <si>
    <t>MO-094</t>
  </si>
  <si>
    <t xml:space="preserve">Bloque ornamental de 5x25x20 pulgs. </t>
  </si>
  <si>
    <t>29.08</t>
  </si>
  <si>
    <t>Unid</t>
  </si>
  <si>
    <t>1AP 1 AY</t>
  </si>
  <si>
    <t>75.00</t>
  </si>
  <si>
    <t>MO-095</t>
  </si>
  <si>
    <t xml:space="preserve">Bloque irregular </t>
  </si>
  <si>
    <t>38.28</t>
  </si>
  <si>
    <t>57.00</t>
  </si>
  <si>
    <t>MO-096</t>
  </si>
  <si>
    <t>Bloque de cristal.</t>
  </si>
  <si>
    <t>103.44</t>
  </si>
  <si>
    <t>1AP 1TC</t>
  </si>
  <si>
    <t>20.00</t>
  </si>
  <si>
    <t>MO-097</t>
  </si>
  <si>
    <t>Block ornamental de barro o cemento.</t>
  </si>
  <si>
    <t>37.63</t>
  </si>
  <si>
    <t>55.00</t>
  </si>
  <si>
    <t>MO-098</t>
  </si>
  <si>
    <t>Por violinar juntas de blocks horizontales y verticales una cara, con una regla adicional c/u.</t>
  </si>
  <si>
    <t>2.25</t>
  </si>
  <si>
    <t>1AS 1TC</t>
  </si>
  <si>
    <t>785.00</t>
  </si>
  <si>
    <t>EMPAÑETE Y TERMINACION DE PAREDES Y PLAFONES</t>
  </si>
  <si>
    <t>MO-099</t>
  </si>
  <si>
    <t>Fraguache con escoba .</t>
  </si>
  <si>
    <t>20.50</t>
  </si>
  <si>
    <t>1AY 1TC</t>
  </si>
  <si>
    <t>69.00</t>
  </si>
  <si>
    <t>MO-100</t>
  </si>
  <si>
    <t>Carreteo con llana.</t>
  </si>
  <si>
    <t>32.48</t>
  </si>
  <si>
    <t>MO-101</t>
  </si>
  <si>
    <t>49.01</t>
  </si>
  <si>
    <t>52.00</t>
  </si>
  <si>
    <t>MO-102</t>
  </si>
  <si>
    <t xml:space="preserve">Resane frotado. </t>
  </si>
  <si>
    <t>30.77</t>
  </si>
  <si>
    <t>58.00</t>
  </si>
  <si>
    <t>MO-103</t>
  </si>
  <si>
    <t>Repello maestreado en paredes.</t>
  </si>
  <si>
    <t>81.17</t>
  </si>
  <si>
    <t>22.00</t>
  </si>
  <si>
    <t>MO-104</t>
  </si>
  <si>
    <t xml:space="preserve">Repello maestreado en techo de 2cms., mínimo espesor. </t>
  </si>
  <si>
    <t>136.36</t>
  </si>
  <si>
    <t>16.00</t>
  </si>
  <si>
    <t>MO-105</t>
  </si>
  <si>
    <t xml:space="preserve">Repello sin maestrear. </t>
  </si>
  <si>
    <t>38.82</t>
  </si>
  <si>
    <t>46.00</t>
  </si>
  <si>
    <t>MO-106</t>
  </si>
  <si>
    <t>Pañete rateado horizontal y vertical punta llana.</t>
  </si>
  <si>
    <t>60.69</t>
  </si>
  <si>
    <t>42.00</t>
  </si>
  <si>
    <t>MO-107</t>
  </si>
  <si>
    <t xml:space="preserve">Pañete en ladrillos. </t>
  </si>
  <si>
    <t>MO-108</t>
  </si>
  <si>
    <t xml:space="preserve">Pañete en interior, en paredes maestreada y a plomo. </t>
  </si>
  <si>
    <t>136.61</t>
  </si>
  <si>
    <t>1AP 1 AT 1AY 1TC</t>
  </si>
  <si>
    <t>28.00</t>
  </si>
  <si>
    <t>MO-109</t>
  </si>
  <si>
    <t>Pañete en exterior, maestreado y a plomo.</t>
  </si>
  <si>
    <t>173.87</t>
  </si>
  <si>
    <t>MO-110</t>
  </si>
  <si>
    <t>Pañete en techo y vigas.</t>
  </si>
  <si>
    <t>177.1</t>
  </si>
  <si>
    <t>1AS 1 AT 1AY 1TC</t>
  </si>
  <si>
    <t>MO-111</t>
  </si>
  <si>
    <t>Pañete en columna aisladas desde 0.20 en adelante.</t>
  </si>
  <si>
    <t>255.06</t>
  </si>
  <si>
    <t>15.00</t>
  </si>
  <si>
    <t>MO-112</t>
  </si>
  <si>
    <t xml:space="preserve">Pañete en techo, maestreado a nivel 2cms mínimo . </t>
  </si>
  <si>
    <t>195.41</t>
  </si>
  <si>
    <t>1AP 1 AY 1TC</t>
  </si>
  <si>
    <t>14.50</t>
  </si>
  <si>
    <t>MO-113</t>
  </si>
  <si>
    <t xml:space="preserve">Pañete pulido a color. </t>
  </si>
  <si>
    <t>166.67</t>
  </si>
  <si>
    <t>17.00</t>
  </si>
  <si>
    <t>MO-114</t>
  </si>
  <si>
    <t>Pañete pulido sin color.</t>
  </si>
  <si>
    <t>149.19</t>
  </si>
  <si>
    <t xml:space="preserve">1AP 1 AY 1TC </t>
  </si>
  <si>
    <t>19.00</t>
  </si>
  <si>
    <t>MO-115</t>
  </si>
  <si>
    <t xml:space="preserve"> Pañete rasgado. </t>
  </si>
  <si>
    <t>236.16</t>
  </si>
  <si>
    <t>12.00</t>
  </si>
  <si>
    <t>MO-116</t>
  </si>
  <si>
    <t xml:space="preserve">Pañete en HI – Rib. 3 capas. </t>
  </si>
  <si>
    <t>283.37</t>
  </si>
  <si>
    <t>10.00</t>
  </si>
  <si>
    <t>MO-117</t>
  </si>
  <si>
    <t xml:space="preserve">Natilla. </t>
  </si>
  <si>
    <t>78.79</t>
  </si>
  <si>
    <t>26.00</t>
  </si>
  <si>
    <t>MO-118</t>
  </si>
  <si>
    <t xml:space="preserve">Marmolina con piedras. </t>
  </si>
  <si>
    <t>354.23</t>
  </si>
  <si>
    <t>8.00</t>
  </si>
  <si>
    <t>MO-119</t>
  </si>
  <si>
    <t>Marmolina frotada.</t>
  </si>
  <si>
    <t>MO-120</t>
  </si>
  <si>
    <t>Perrilla .</t>
  </si>
  <si>
    <t>MO-121</t>
  </si>
  <si>
    <t>Terminación de ½ pto. Arcos hasta 40cms. De ancho incluyendo 2 caras, fondo y cantos</t>
  </si>
  <si>
    <t>944.66</t>
  </si>
  <si>
    <t>3.00</t>
  </si>
  <si>
    <t>MO-122</t>
  </si>
  <si>
    <t xml:space="preserve">Cantos en vigas, columnas, antepechos y mochetas </t>
  </si>
  <si>
    <t>59.50</t>
  </si>
  <si>
    <t>30.00</t>
  </si>
  <si>
    <t>MO-123</t>
  </si>
  <si>
    <t xml:space="preserve">Estrías. </t>
  </si>
  <si>
    <t>111.63</t>
  </si>
  <si>
    <t>M.L</t>
  </si>
  <si>
    <t>MO-124</t>
  </si>
  <si>
    <t>Goteros colgantes.</t>
  </si>
  <si>
    <t>137.31</t>
  </si>
  <si>
    <t>13.00</t>
  </si>
  <si>
    <t>MO-125</t>
  </si>
  <si>
    <t xml:space="preserve">Goteros en ranura. </t>
  </si>
  <si>
    <t>119.04</t>
  </si>
  <si>
    <t>MO-126</t>
  </si>
  <si>
    <t>Capitel de 20 a 30 cms.</t>
  </si>
  <si>
    <t>P.A</t>
  </si>
  <si>
    <t>MO-127</t>
  </si>
  <si>
    <t>Cornisas hasta 12cms. En cemento.</t>
  </si>
  <si>
    <t>314.89</t>
  </si>
  <si>
    <t xml:space="preserve">1AP 1AY 1TC </t>
  </si>
  <si>
    <t>9.00</t>
  </si>
  <si>
    <t>MO-128</t>
  </si>
  <si>
    <t>Rústico con escoba,  plana o llana sin incluir repello.</t>
  </si>
  <si>
    <t>MO-129</t>
  </si>
  <si>
    <t xml:space="preserve">Lágrimas en cemento </t>
  </si>
  <si>
    <t>258.61</t>
  </si>
  <si>
    <t>MO-130</t>
  </si>
  <si>
    <t>Vuelo aislado de 0.80 mts. hasta 2 m.l.</t>
  </si>
  <si>
    <t>251.48</t>
  </si>
  <si>
    <t>7.10</t>
  </si>
  <si>
    <t>MO-131</t>
  </si>
  <si>
    <t xml:space="preserve">Bajo relieve incluyendo cantos. </t>
  </si>
  <si>
    <t>238.05</t>
  </si>
  <si>
    <t>7.50</t>
  </si>
  <si>
    <t>MO-132</t>
  </si>
  <si>
    <t>Rústico en decoraciones</t>
  </si>
  <si>
    <t>TERMINACION DE TECHOS E IMPERMEABILIZACION</t>
  </si>
  <si>
    <t>MO-133</t>
  </si>
  <si>
    <t xml:space="preserve">Zabaleta en techos </t>
  </si>
  <si>
    <t>63.32</t>
  </si>
  <si>
    <t>1AS 1AY</t>
  </si>
  <si>
    <t>MO-134</t>
  </si>
  <si>
    <t xml:space="preserve">Zabaleta en pisos </t>
  </si>
  <si>
    <t>42.17</t>
  </si>
  <si>
    <t>45.00</t>
  </si>
  <si>
    <t>MO-135</t>
  </si>
  <si>
    <t>Fino en techo horizontal sin incluir subida de materiales</t>
  </si>
  <si>
    <t>118.69</t>
  </si>
  <si>
    <t>MO-136</t>
  </si>
  <si>
    <t xml:space="preserve">Fino en techo inclinado sin incluir subida de materiales </t>
  </si>
  <si>
    <t>73.03</t>
  </si>
  <si>
    <t xml:space="preserve">1AS 1AY </t>
  </si>
  <si>
    <t>MO-137</t>
  </si>
  <si>
    <t xml:space="preserve">Fino  en techo bermuda incl. cantos, sin incluir subida de materiales </t>
  </si>
  <si>
    <t>295.83</t>
  </si>
  <si>
    <t>1AP 1AT 1AY 1TC</t>
  </si>
  <si>
    <t>MO-138</t>
  </si>
  <si>
    <t>Capa atérmica (paja de arroz, desp., de cerámica de barro, aliven, etc.) sin fino y sin subida de materiales.</t>
  </si>
  <si>
    <t>82.75</t>
  </si>
  <si>
    <t>25.00</t>
  </si>
  <si>
    <t>CONSTRUCCION DE PISOS Y COLOCACION DE ZOCALOS:</t>
  </si>
  <si>
    <t>MO-139</t>
  </si>
  <si>
    <t>Piso rejoneado sin pulir.</t>
  </si>
  <si>
    <t>112.33</t>
  </si>
  <si>
    <t>MO-140</t>
  </si>
  <si>
    <t xml:space="preserve">Piso rejoneado y pulido. </t>
  </si>
  <si>
    <t>131.09</t>
  </si>
  <si>
    <t xml:space="preserve">1AS 1AY 1TC 1TNC  </t>
  </si>
  <si>
    <t>24.00</t>
  </si>
  <si>
    <t>MO-141</t>
  </si>
  <si>
    <t xml:space="preserve">Piso rejoneado, pulido y marcado a hilo, incluyendo color </t>
  </si>
  <si>
    <t>174.73</t>
  </si>
  <si>
    <t xml:space="preserve">1AS 1AY 1TC 1TNC </t>
  </si>
  <si>
    <t>18.00</t>
  </si>
  <si>
    <t>MO-142</t>
  </si>
  <si>
    <t>Piso de hormigón frotado con espesor de 10cms.</t>
  </si>
  <si>
    <t>MO-143</t>
  </si>
  <si>
    <t>Piso de hormigón frotado y marcado a violín, con espesor de 10 cms.</t>
  </si>
  <si>
    <t>MO-144</t>
  </si>
  <si>
    <t>Piso de hormigón pulido marcado a violín, con espesor de 0.10 mts.</t>
  </si>
  <si>
    <t>185.04</t>
  </si>
  <si>
    <t>MO-145</t>
  </si>
  <si>
    <t xml:space="preserve">Piso de cemento pulido (fino solo) </t>
  </si>
  <si>
    <t xml:space="preserve">1AS 1TC </t>
  </si>
  <si>
    <t>MO-146</t>
  </si>
  <si>
    <t>Piso de losetas de mármol de fabricación nacional incluyendo base y nivel.</t>
  </si>
  <si>
    <t>495.91</t>
  </si>
  <si>
    <t>1AP 1AY</t>
  </si>
  <si>
    <t>4.40</t>
  </si>
  <si>
    <t>MO-147</t>
  </si>
  <si>
    <t>Piso de losetas de mármol importado incluyendo base y nivel.</t>
  </si>
  <si>
    <t>574.25</t>
  </si>
  <si>
    <t xml:space="preserve">1AP 1AY </t>
  </si>
  <si>
    <t>3.80</t>
  </si>
  <si>
    <t>MO-148</t>
  </si>
  <si>
    <t>Piso de mosaicos en cartabón.</t>
  </si>
  <si>
    <t>257.59</t>
  </si>
  <si>
    <t>1AP 1AY 1TC</t>
  </si>
  <si>
    <t>11.00</t>
  </si>
  <si>
    <t>MO-149</t>
  </si>
  <si>
    <t xml:space="preserve">Piso de mosaicos en plumilla </t>
  </si>
  <si>
    <t>MO-150</t>
  </si>
  <si>
    <t xml:space="preserve">Piso de mosaicos 20x20 cms. y 25x25 cms. tipo corriente. </t>
  </si>
  <si>
    <t>188.88</t>
  </si>
  <si>
    <t>MO-151</t>
  </si>
  <si>
    <t>Piso de mosaicos de granito de 25x25 cms.</t>
  </si>
  <si>
    <t>202.38</t>
  </si>
  <si>
    <t>14.00</t>
  </si>
  <si>
    <t>MO-152</t>
  </si>
  <si>
    <t>Piso de mosaicos de granito de 30x30 cms.</t>
  </si>
  <si>
    <t>217.97</t>
  </si>
  <si>
    <t>MO-153</t>
  </si>
  <si>
    <t>Piso de mosaicos de granito 33x33cms.</t>
  </si>
  <si>
    <t>201.61</t>
  </si>
  <si>
    <t>MO-154</t>
  </si>
  <si>
    <t>Piso de mosaicos de granito de 40x40cms.</t>
  </si>
  <si>
    <t>MO-155</t>
  </si>
  <si>
    <t>Piso de mosaicos de granito 50x50cms.</t>
  </si>
  <si>
    <t>269.88</t>
  </si>
  <si>
    <t>10.50</t>
  </si>
  <si>
    <t>MO-156</t>
  </si>
  <si>
    <t>Piso de mosaicos de granito en plumilla o cartabón.</t>
  </si>
  <si>
    <t>MO-157</t>
  </si>
  <si>
    <t>Piso de mosaico de gravilla de 20x20cms.</t>
  </si>
  <si>
    <t>MO-158</t>
  </si>
  <si>
    <t>Piso de mosaicos de gravilla de 25x25cms.</t>
  </si>
  <si>
    <t>MO-159</t>
  </si>
  <si>
    <t>Piso de mosaicos de gravilla de 30x30cms.</t>
  </si>
  <si>
    <t>MO-160</t>
  </si>
  <si>
    <t>Piso de mosaicos de gravilla de 40x40cms.</t>
  </si>
  <si>
    <t>217.94</t>
  </si>
  <si>
    <t>MO-161</t>
  </si>
  <si>
    <t>Piso de mosaicos de gravilla de 50x50cms.</t>
  </si>
  <si>
    <t>MO-162</t>
  </si>
  <si>
    <t>Piso de losetas de cerámica de fabricación nacional de 15x15 hasta 20x20cms, sin incluir base y nivel.</t>
  </si>
  <si>
    <t>344.75</t>
  </si>
  <si>
    <t xml:space="preserve">1AP 1TC  </t>
  </si>
  <si>
    <t>6.00</t>
  </si>
  <si>
    <t>MO-163</t>
  </si>
  <si>
    <t>Piso de losetas de cerámica de fabricación nacional de 15x15 hasta 20x20cms., incluyendo base y nivel.</t>
  </si>
  <si>
    <t>413.74</t>
  </si>
  <si>
    <t>5.00</t>
  </si>
  <si>
    <t>MO-164</t>
  </si>
  <si>
    <t>Piso de losetas de cerámica importada de 15x15 hasta 20x20cms., sin incluir base y nivel.</t>
  </si>
  <si>
    <t>362.99</t>
  </si>
  <si>
    <t>5.70</t>
  </si>
  <si>
    <t>MO-165</t>
  </si>
  <si>
    <t>Piso de losetas de cerámica importada de 15x15 hasta 20x20cms., incluyendo base y nivel.</t>
  </si>
  <si>
    <t>435.51</t>
  </si>
  <si>
    <t>4.75</t>
  </si>
  <si>
    <t>MO-166</t>
  </si>
  <si>
    <t>Piso de losetas de cerámicas de fabricación nacional de 30x30 hasta 40x40 cms. Sin incluir base y nivel</t>
  </si>
  <si>
    <t>394.02</t>
  </si>
  <si>
    <t>5.25</t>
  </si>
  <si>
    <t>MO-167</t>
  </si>
  <si>
    <t xml:space="preserve"> Piso de losetas de cerámica de fabricación nacional 30x30 hasta 40x40cms. incluyendo base y nivel.</t>
  </si>
  <si>
    <t>481.09</t>
  </si>
  <si>
    <t>4.30</t>
  </si>
  <si>
    <t>MO-168</t>
  </si>
  <si>
    <t>Piso de losetas de cerámica importada de 30x30 hasta 40x40cms., sin incluir base y nivel.</t>
  </si>
  <si>
    <t>449.73</t>
  </si>
  <si>
    <t>4.60</t>
  </si>
  <si>
    <t>MO-169</t>
  </si>
  <si>
    <t>Piso de losetas de cerámica importada de 30x30 hasta 40x40cms., incluyendo base y nivel.</t>
  </si>
  <si>
    <t>517.16</t>
  </si>
  <si>
    <t xml:space="preserve">1AP 1TC </t>
  </si>
  <si>
    <t>4.00</t>
  </si>
  <si>
    <t>MO-170</t>
  </si>
  <si>
    <t>Colocación de vibrazos en pisos para parques y terrazas.</t>
  </si>
  <si>
    <t>226.71</t>
  </si>
  <si>
    <t>12.50</t>
  </si>
  <si>
    <t>MO-171</t>
  </si>
  <si>
    <t>Colocación de torcho de 20x20 y 25x25 cms.</t>
  </si>
  <si>
    <t xml:space="preserve">M2 </t>
  </si>
  <si>
    <t>1AP 1TC 1TC</t>
  </si>
  <si>
    <t>MO-172</t>
  </si>
  <si>
    <t>Colocación de zócalos corrientes.</t>
  </si>
  <si>
    <t>72.61</t>
  </si>
  <si>
    <t>MO-173</t>
  </si>
  <si>
    <t>Colocación de zócalos corrientes para escaleras.</t>
  </si>
  <si>
    <t>121.69</t>
  </si>
  <si>
    <t xml:space="preserve">M.L. </t>
  </si>
  <si>
    <t>MO-174</t>
  </si>
  <si>
    <t>Colocación de zócalos de granito para pisos.</t>
  </si>
  <si>
    <t>94.04</t>
  </si>
  <si>
    <t>MO-175</t>
  </si>
  <si>
    <t>Colocación de zócalos de granito para escaleras.</t>
  </si>
  <si>
    <t>159.14</t>
  </si>
  <si>
    <t>MO-176</t>
  </si>
  <si>
    <t xml:space="preserve">Colocación de losetas de ladrillo o cemento para pisos hexagonales, ferias y otros no especificados. </t>
  </si>
  <si>
    <t>304.22</t>
  </si>
  <si>
    <t>M2.</t>
  </si>
  <si>
    <t>6.80</t>
  </si>
  <si>
    <t>MO-177</t>
  </si>
  <si>
    <t>Colocación de losetas de ladrillo de 12.5x25cms.</t>
  </si>
  <si>
    <t>235.11</t>
  </si>
  <si>
    <t>8.80</t>
  </si>
  <si>
    <t>MO-178</t>
  </si>
  <si>
    <t>Colocación de losetas de ladrillo en terrazas de 15x15 y 20x20 cms.</t>
  </si>
  <si>
    <t>MO-179</t>
  </si>
  <si>
    <t>Terminación de aceras de entradas en decoraciones.</t>
  </si>
  <si>
    <t>P. A.</t>
  </si>
  <si>
    <t>MO-180</t>
  </si>
  <si>
    <t>Quicio y entre puertas.</t>
  </si>
  <si>
    <t>156.15</t>
  </si>
  <si>
    <t>13.25</t>
  </si>
  <si>
    <t>ESCALONES</t>
  </si>
  <si>
    <t>MO-181</t>
  </si>
  <si>
    <t>Confección de escalones revestidos de mezcla</t>
  </si>
  <si>
    <t>223.17</t>
  </si>
  <si>
    <t>MO-182</t>
  </si>
  <si>
    <t>Terminación de escalones  de cemento</t>
  </si>
  <si>
    <t>132.20</t>
  </si>
  <si>
    <t>13.50</t>
  </si>
  <si>
    <t>MO-183</t>
  </si>
  <si>
    <t>Montura de escalones en escaleras huella y contrahuella.</t>
  </si>
  <si>
    <t>258.54</t>
  </si>
  <si>
    <t>MO-184</t>
  </si>
  <si>
    <t>Revestimiento de escalones en mosaico.</t>
  </si>
  <si>
    <t>217.76</t>
  </si>
  <si>
    <t>9.50</t>
  </si>
  <si>
    <t>MO-185</t>
  </si>
  <si>
    <t>Montura de escalones en accesos de granitos.</t>
  </si>
  <si>
    <t>295.75</t>
  </si>
  <si>
    <t>7.00</t>
  </si>
  <si>
    <t>MO-186</t>
  </si>
  <si>
    <t>Escalones revestidos de cerámica de fabricación nacional incluyendo huella, contrahuella y vuelo.</t>
  </si>
  <si>
    <t>422.19</t>
  </si>
  <si>
    <t>4.90</t>
  </si>
  <si>
    <t>MO-187</t>
  </si>
  <si>
    <t>Escalones revestidos de cerámica importada incluyendo huella, contrahuella y vuelo.</t>
  </si>
  <si>
    <t>MO-188</t>
  </si>
  <si>
    <t>Confección de escalones y revestimiento de ladrillo.</t>
  </si>
  <si>
    <t>530.46</t>
  </si>
  <si>
    <t>3.90</t>
  </si>
  <si>
    <t>MO-189</t>
  </si>
  <si>
    <t>Revestimiento de escalones en ladrillos.</t>
  </si>
  <si>
    <t>REVESTIMIENTO DE PAREDES DE BAÑO</t>
  </si>
  <si>
    <t>MO-190</t>
  </si>
  <si>
    <t xml:space="preserve">Colocación de losetas de cemento para baños de 12.5x25 cms. </t>
  </si>
  <si>
    <t>MO-191</t>
  </si>
  <si>
    <t>Colocación de azulejos 15x15cms., con junta trabada.</t>
  </si>
  <si>
    <t>MO-192</t>
  </si>
  <si>
    <t xml:space="preserve">Colocación de azulejos10x10cms., en plumilla. </t>
  </si>
  <si>
    <t>827.47</t>
  </si>
  <si>
    <t>2.50</t>
  </si>
  <si>
    <t>MO-193</t>
  </si>
  <si>
    <t>Colocación de azulejos 10 x10cms., con junta corrida.</t>
  </si>
  <si>
    <t>689.57</t>
  </si>
  <si>
    <t>MO-194</t>
  </si>
  <si>
    <t>Colocación de azulejos en combinación</t>
  </si>
  <si>
    <t>481.06</t>
  </si>
  <si>
    <t>MO-195</t>
  </si>
  <si>
    <t>Colocación de azulejos 15x15cms, con junta corrida</t>
  </si>
  <si>
    <t>MO-196</t>
  </si>
  <si>
    <t>Bañera revestida con azulejos altura 30cms.,  hasta 1.50 mts.</t>
  </si>
  <si>
    <t>2,758.29</t>
  </si>
  <si>
    <t>0.75</t>
  </si>
  <si>
    <t>MO-197</t>
  </si>
  <si>
    <t>Bañera revestida con azulejos altura 30cms., desde 1.50mts. hasta 1.80mts. de largo.</t>
  </si>
  <si>
    <t>3,182.60</t>
  </si>
  <si>
    <t>1 AP 1TC</t>
  </si>
  <si>
    <t>0.65</t>
  </si>
  <si>
    <t>MO-198</t>
  </si>
  <si>
    <t>Bañera empotrada revestida con cerámica de fabricación nacional.</t>
  </si>
  <si>
    <t>MO-199</t>
  </si>
  <si>
    <t>Bañera empotrada revestida con cerámica importada.</t>
  </si>
  <si>
    <t>MO-200</t>
  </si>
  <si>
    <t>Bañera cónica.</t>
  </si>
  <si>
    <t>MO-201</t>
  </si>
  <si>
    <t xml:space="preserve">Mochetas de azulejos </t>
  </si>
  <si>
    <t>MO-202</t>
  </si>
  <si>
    <t>Mochetas de cerámica de fabricación nacional.</t>
  </si>
  <si>
    <t>295.54</t>
  </si>
  <si>
    <t>MO-203</t>
  </si>
  <si>
    <t>Mochetas de cerámica importada</t>
  </si>
  <si>
    <t>318.22</t>
  </si>
  <si>
    <t>6.50</t>
  </si>
  <si>
    <t>MO-204</t>
  </si>
  <si>
    <t>Colocación en paredes de losetas de cerámica de fabricación nacional, de 15x15 hasta 20x20cms.</t>
  </si>
  <si>
    <t>MO-205</t>
  </si>
  <si>
    <t xml:space="preserve">Colocación en paredes de losetas de cerámica importada, de 15x15 hasta 20x20cms. </t>
  </si>
  <si>
    <t>MO-206</t>
  </si>
  <si>
    <t>Colocación en paredes de losetas de cerámica de fabricación nacional, de 30x30 hasta 40x40 cms.</t>
  </si>
  <si>
    <t>MO-207</t>
  </si>
  <si>
    <t>Colocación  en paredes de losetas de cerámica importada, de 30x30 hasta 40x40cms.</t>
  </si>
  <si>
    <t>591.1</t>
  </si>
  <si>
    <t xml:space="preserve">1 AP 1TC </t>
  </si>
  <si>
    <t>3.50</t>
  </si>
  <si>
    <t>MO-208</t>
  </si>
  <si>
    <t>Hechura de base para baño.</t>
  </si>
  <si>
    <t>MO-209</t>
  </si>
  <si>
    <t>Hechura de meseta de baño revestida en azulejos o cerámica.</t>
  </si>
  <si>
    <t>899.46</t>
  </si>
  <si>
    <t>2.30</t>
  </si>
  <si>
    <t>MO-210</t>
  </si>
  <si>
    <t>Colocación de losetas  para revestir muros de 8x20cms.</t>
  </si>
  <si>
    <t>MO-211</t>
  </si>
  <si>
    <t>Colocación de losetas para revestir muros de 5x20cms.</t>
  </si>
  <si>
    <t>MO-212</t>
  </si>
  <si>
    <t>Colocación de losetas ornamentales en paredes.</t>
  </si>
  <si>
    <t>MO-213</t>
  </si>
  <si>
    <t>Colocación de fachaicos</t>
  </si>
  <si>
    <t>396.74</t>
  </si>
  <si>
    <t>4.50</t>
  </si>
  <si>
    <t>INSTALACION ACCESORIOS DE BAÑO</t>
  </si>
  <si>
    <t>MO-214</t>
  </si>
  <si>
    <t>Montura de botiquín corriente sin empotrar.</t>
  </si>
  <si>
    <t>229.85</t>
  </si>
  <si>
    <t>MO-215</t>
  </si>
  <si>
    <t xml:space="preserve"> Montura de Botiquín corriente empotrado.</t>
  </si>
  <si>
    <t>MO-216</t>
  </si>
  <si>
    <t xml:space="preserve"> Montura de botiquín de lujo sin empotrar.</t>
  </si>
  <si>
    <t>1,379.08</t>
  </si>
  <si>
    <t>1.50</t>
  </si>
  <si>
    <t>MO-217</t>
  </si>
  <si>
    <t>Montura de botiquín de lujo empotrado.</t>
  </si>
  <si>
    <t>2,068.71</t>
  </si>
  <si>
    <t>1.00</t>
  </si>
  <si>
    <t>MO-218</t>
  </si>
  <si>
    <t xml:space="preserve"> Montura de accesorios empotrados.</t>
  </si>
  <si>
    <t>294.91</t>
  </si>
  <si>
    <t>MO-219</t>
  </si>
  <si>
    <t>Montura de accesorios  atornillados.</t>
  </si>
  <si>
    <t>206.87</t>
  </si>
  <si>
    <t>MO-220</t>
  </si>
  <si>
    <t>Montura de papeleras porta servilletas.</t>
  </si>
  <si>
    <t>206.86</t>
  </si>
  <si>
    <t>MO-221</t>
  </si>
  <si>
    <t>Montura de repisa para baños  corrientes.</t>
  </si>
  <si>
    <t>TRABAJOS EN LADRILLOS</t>
  </si>
  <si>
    <t>MO-222</t>
  </si>
  <si>
    <t>Colocación de ladrillos limpios a una cara.</t>
  </si>
  <si>
    <t>10,371.77</t>
  </si>
  <si>
    <t>Mill.</t>
  </si>
  <si>
    <t>0.20</t>
  </si>
  <si>
    <t>MO-223</t>
  </si>
  <si>
    <t xml:space="preserve">Colocación de ladrillos refractarios de 5x10x25cms. </t>
  </si>
  <si>
    <t>10,881.86</t>
  </si>
  <si>
    <t>0.19</t>
  </si>
  <si>
    <t>MO-224</t>
  </si>
  <si>
    <t>Colocación de ladrillos limpios a dos caras.</t>
  </si>
  <si>
    <t>13,148.92</t>
  </si>
  <si>
    <t>0.157</t>
  </si>
  <si>
    <t>MO-225</t>
  </si>
  <si>
    <t>Colocación de ladrillos para pañetar en muros.</t>
  </si>
  <si>
    <t>7,254.58</t>
  </si>
  <si>
    <t>0.285</t>
  </si>
  <si>
    <t>MO-226</t>
  </si>
  <si>
    <t>Colocación de ladrillos de otro tipo no especificado.</t>
  </si>
  <si>
    <t>9,861.69</t>
  </si>
  <si>
    <t>0.21</t>
  </si>
  <si>
    <t>MO-227</t>
  </si>
  <si>
    <t>Confección de arcos de ladrillos.</t>
  </si>
  <si>
    <t>TRABAJOS EN PIEDRA</t>
  </si>
  <si>
    <t>MO-228</t>
  </si>
  <si>
    <t>Colocación de piedra caliza aserrada.</t>
  </si>
  <si>
    <t>795.13</t>
  </si>
  <si>
    <t>MO-229</t>
  </si>
  <si>
    <t xml:space="preserve"> Colocación de piedra caliza labrada.</t>
  </si>
  <si>
    <t>MO-230</t>
  </si>
  <si>
    <t>Colocación de piedras blancas, tipo San Cristóbal, Cambita, Azulada, La Cumbre “callao”, de río, etc.</t>
  </si>
  <si>
    <t>592.41</t>
  </si>
  <si>
    <t>MO-231</t>
  </si>
  <si>
    <t>Colocación de piedra de roca o cantos rodados, tipo encache de 0.20 a 0.30M espesor en revestimiento de terraplenes, con fines decorativos.</t>
  </si>
  <si>
    <t>537.33</t>
  </si>
  <si>
    <t>3.85</t>
  </si>
  <si>
    <t>MO-232</t>
  </si>
  <si>
    <t>Colocación de piedra de roca o cantos rodados, tipo encache de 0.20 a 0.30M espesor en revestimiento de terraplenes, canales y cunetas.</t>
  </si>
  <si>
    <t>202.91</t>
  </si>
  <si>
    <t>MO-233</t>
  </si>
  <si>
    <t>Colocación de piedra de roca o cantos rodados en muro de mampostería con fines decorativos.</t>
  </si>
  <si>
    <t>2,177.54</t>
  </si>
  <si>
    <t>0.95</t>
  </si>
  <si>
    <t>MO-234</t>
  </si>
  <si>
    <t>Colocación de piedra de roca o cantos rodados en muro de mampostería.</t>
  </si>
  <si>
    <t>759.72</t>
  </si>
  <si>
    <t>2.35</t>
  </si>
  <si>
    <t>TRABAJOS EN MARMOL</t>
  </si>
  <si>
    <t>MO-235</t>
  </si>
  <si>
    <t>Colocación de mármol picado</t>
  </si>
  <si>
    <t>1,591.30</t>
  </si>
  <si>
    <t>1.30</t>
  </si>
  <si>
    <t>MO-236</t>
  </si>
  <si>
    <t>Colocación de mármol de fabricación nacional en escaleras.</t>
  </si>
  <si>
    <t>MO-237</t>
  </si>
  <si>
    <t>Colocación de mármol importado en escaleras.</t>
  </si>
  <si>
    <t>636.51</t>
  </si>
  <si>
    <t>3.25</t>
  </si>
  <si>
    <t>MO-238</t>
  </si>
  <si>
    <t>Colocación de mármol fachaico en una sola pieza.</t>
  </si>
  <si>
    <t>MO-239</t>
  </si>
  <si>
    <t>Colocación de mármol de fabricación nacional, en revestimiento de paredes.</t>
  </si>
  <si>
    <t>MO-240</t>
  </si>
  <si>
    <t>Colocación de mármol importado en revestimiento de paredes.</t>
  </si>
  <si>
    <t>2.15</t>
  </si>
  <si>
    <t>MO-241</t>
  </si>
  <si>
    <t>Colocación de mármol en pedazos.</t>
  </si>
  <si>
    <t>MO-242</t>
  </si>
  <si>
    <t xml:space="preserve">Colocación de mármol travertinos en tiritas. </t>
  </si>
  <si>
    <t>1,034.34</t>
  </si>
  <si>
    <t>2.00</t>
  </si>
  <si>
    <t>TRABAJOS EN YESO</t>
  </si>
  <si>
    <t>MO-243</t>
  </si>
  <si>
    <t>Confección de cornisas, plafond, rosetas, planchas, recuadros, lágrimas, etc.</t>
  </si>
  <si>
    <t>P. A</t>
  </si>
  <si>
    <t>CONTENES, ACERAS, BADENES Y COLECTORES</t>
  </si>
  <si>
    <t>MO-244</t>
  </si>
  <si>
    <t>Construcción de base para contenes (telford con mezcla)</t>
  </si>
  <si>
    <t>493.90</t>
  </si>
  <si>
    <t>1AS 1TNC</t>
  </si>
  <si>
    <t>MO-245</t>
  </si>
  <si>
    <t>Construcción de contenes  55x30x15 cms.</t>
  </si>
  <si>
    <t>174.04</t>
  </si>
  <si>
    <t>1AP 1AY 1TC 1TNC</t>
  </si>
  <si>
    <t>19.70</t>
  </si>
  <si>
    <t>MO-246</t>
  </si>
  <si>
    <t>Construcción de contenes con bordillo de 40 cms. de alto por 20 cms. de ancho.</t>
  </si>
  <si>
    <t>263.79</t>
  </si>
  <si>
    <t>MO-247</t>
  </si>
  <si>
    <t>Construcción de contenes con bordillo de 30x8x10cms.</t>
  </si>
  <si>
    <t>155.86</t>
  </si>
  <si>
    <t>MO-248</t>
  </si>
  <si>
    <t xml:space="preserve">Construcción de bordillos. </t>
  </si>
  <si>
    <t>107.17</t>
  </si>
  <si>
    <t>32.00</t>
  </si>
  <si>
    <t>MO-249</t>
  </si>
  <si>
    <t>Construcción de acera frotada y violinada incl. Colocación de hormigón de 10cms.</t>
  </si>
  <si>
    <t>1,672.65</t>
  </si>
  <si>
    <t>2.05</t>
  </si>
  <si>
    <t>MO-250</t>
  </si>
  <si>
    <t>Construcción de badenes ciclópeos de 10 a 20 cms. de concreto, frotado y pulido en el centro.</t>
  </si>
  <si>
    <t>1,371.58</t>
  </si>
  <si>
    <t>MO-251</t>
  </si>
  <si>
    <t>Construcción de badenes de hormigón de 20 cms. de espesor en adelante, frotado y pulido al centro.</t>
  </si>
  <si>
    <t>MO-252</t>
  </si>
  <si>
    <t>Construcción de zapatas y pisos de colector de concreto envarillado y frotado .</t>
  </si>
  <si>
    <t>MO-253</t>
  </si>
  <si>
    <t>Confección de losa de colector o pozo séptico, encofrado y envarillado, y vaciado, incluyendo colocación de tapa, hasta 2 M2.</t>
  </si>
  <si>
    <t>1,574.35</t>
  </si>
  <si>
    <t>1.80</t>
  </si>
  <si>
    <t>MO-254</t>
  </si>
  <si>
    <t>Confección de losa de colector o pozo séptico, encofrado y envarillado, y vaciado, incluyendo colocación de tapa, de más de 2 metros cuadrados (precio proporcional al anterior)</t>
  </si>
  <si>
    <t>MO-255</t>
  </si>
  <si>
    <t>Confección de tragante de hasta 50 cms. de longitud.</t>
  </si>
  <si>
    <t>644.09</t>
  </si>
  <si>
    <t xml:space="preserve">Unid </t>
  </si>
  <si>
    <t>MO-256</t>
  </si>
  <si>
    <t>Confección de anillo filtrante.</t>
  </si>
  <si>
    <t>944.</t>
  </si>
  <si>
    <t>LAVADEROS Y DESAGUES</t>
  </si>
  <si>
    <t>MO-257</t>
  </si>
  <si>
    <t>Construcción de lavaderos de 1 y 2 bocas, con azulejos arriba.</t>
  </si>
  <si>
    <t>MO-258</t>
  </si>
  <si>
    <t>Construcción e instalación de lavadero pulido de hasta 0.60 x 1.50 mts.</t>
  </si>
  <si>
    <t>3,173.90</t>
  </si>
  <si>
    <t>1AP 1AT 1AY</t>
  </si>
  <si>
    <t>MO-259</t>
  </si>
  <si>
    <t>Construcción de lavaderos pulido de más de 1.50mts., adicional por recipiente .</t>
  </si>
  <si>
    <t>1,586.94</t>
  </si>
  <si>
    <t>MO-260</t>
  </si>
  <si>
    <t>Confección de vertedero de 60x60 cms., pulido.</t>
  </si>
  <si>
    <t>1,190.20</t>
  </si>
  <si>
    <t>MO-261</t>
  </si>
  <si>
    <t>Confección de vertedero de 60x60 cms., con azulejos.</t>
  </si>
  <si>
    <t>2,663.80</t>
  </si>
  <si>
    <t>1AP 1TC 1TNC</t>
  </si>
  <si>
    <t>MO-262</t>
  </si>
  <si>
    <t>Confección registros, hasta 60x60 cms. (medida interior).</t>
  </si>
  <si>
    <t>MO-263</t>
  </si>
  <si>
    <t xml:space="preserve">Confección de registros de más de 60x60cms. </t>
  </si>
  <si>
    <t>1,428.25</t>
  </si>
  <si>
    <t>1.25</t>
  </si>
  <si>
    <t>MO-264</t>
  </si>
  <si>
    <t>Confección de trampa de grasa.</t>
  </si>
  <si>
    <t>2,380.41</t>
  </si>
  <si>
    <t>1AS 1TC 1TNC</t>
  </si>
  <si>
    <t>MO-265</t>
  </si>
  <si>
    <t>Confección de desagüe de 20x20 cms., descubierto.</t>
  </si>
  <si>
    <t>178.53</t>
  </si>
  <si>
    <t>MO-266</t>
  </si>
  <si>
    <t>Confección de desagüe de 20x20cms., cubierto.</t>
  </si>
  <si>
    <t>297.55</t>
  </si>
  <si>
    <t>MO-267</t>
  </si>
  <si>
    <t>Montura brissoleil de 0.05x0.40x2 mts.</t>
  </si>
  <si>
    <t>793.47</t>
  </si>
  <si>
    <t>MO-268</t>
  </si>
  <si>
    <t>Acuñe de marcos.</t>
  </si>
  <si>
    <t>187.93</t>
  </si>
  <si>
    <t>MO-269</t>
  </si>
  <si>
    <t>Colocación de tejas.</t>
  </si>
  <si>
    <t>MO-270</t>
  </si>
  <si>
    <t>Colocación caballete de tejas .</t>
  </si>
  <si>
    <t>283.39</t>
  </si>
  <si>
    <t>MO-271</t>
  </si>
  <si>
    <t>Llenado de huecos de bloques, bastones a 0.80 M</t>
  </si>
  <si>
    <t>1.53</t>
  </si>
  <si>
    <t>1,175.00</t>
  </si>
  <si>
    <t>MO-272</t>
  </si>
  <si>
    <t>Llenado de huecos de bloques, bastones a 0.60 M</t>
  </si>
  <si>
    <t>MO-273</t>
  </si>
  <si>
    <t xml:space="preserve">Llenado de huecos de bloques, bastones a 0.40 M. </t>
  </si>
  <si>
    <t>3.09</t>
  </si>
  <si>
    <t>585.00</t>
  </si>
  <si>
    <t>MO-274</t>
  </si>
  <si>
    <t>Llenado de huecos de bloques, Bastones a 0.20 M</t>
  </si>
  <si>
    <t>5.67</t>
  </si>
  <si>
    <t>315.00</t>
  </si>
  <si>
    <t>MO-275</t>
  </si>
  <si>
    <t>Corte y amarre de varillas en bloques, Bastones a 0.80 M.</t>
  </si>
  <si>
    <t>0.74</t>
  </si>
  <si>
    <t>2,350.00</t>
  </si>
  <si>
    <t>MO-276</t>
  </si>
  <si>
    <t>Corte y amarre de varillas en bloques, bastones a 0.60 M.</t>
  </si>
  <si>
    <t>1.13</t>
  </si>
  <si>
    <t>1,565.00</t>
  </si>
  <si>
    <t>MO-277</t>
  </si>
  <si>
    <t xml:space="preserve"> Corte y amarre de varillas en bloques, bastones a 0.40 M.</t>
  </si>
  <si>
    <t>MO-278</t>
  </si>
  <si>
    <t>Corte y amarre de varillas en bloques, Bastones a 0.20 M.</t>
  </si>
  <si>
    <t>SALARIO MÍNIMO NACIONAL PARA LOS VARILLEROS A DESTAJO</t>
  </si>
  <si>
    <t>Armadura en:</t>
  </si>
  <si>
    <t>Precio (RD$)</t>
  </si>
  <si>
    <t>MO-279</t>
  </si>
  <si>
    <t xml:space="preserve">Varilla trabajada   </t>
  </si>
  <si>
    <t>323.63</t>
  </si>
  <si>
    <t>Quintal.</t>
  </si>
  <si>
    <t>MO-280</t>
  </si>
  <si>
    <t>Vigas Pos tensadas y Pórticos en Columnas</t>
  </si>
  <si>
    <t>514.03</t>
  </si>
  <si>
    <t>MO-281</t>
  </si>
  <si>
    <t xml:space="preserve">Columnas de 3/8” ó 1/2”, no mayor de 6 varillas de ½”  </t>
  </si>
  <si>
    <t>107.87</t>
  </si>
  <si>
    <t>Metro.</t>
  </si>
  <si>
    <t>MO-282</t>
  </si>
  <si>
    <t xml:space="preserve">Dinteles y Vigas de Amarre con altura máxima no mayor de 40 x 20cm (Varillas de ½” ó  3/8”)   </t>
  </si>
  <si>
    <t>MO-283</t>
  </si>
  <si>
    <t xml:space="preserve">Parrilla de zapata de muros     </t>
  </si>
  <si>
    <t>MO-284</t>
  </si>
  <si>
    <t xml:space="preserve">Columnas redondas con 6 varillas de ½” o ¾”   </t>
  </si>
  <si>
    <t>161.66</t>
  </si>
  <si>
    <t>MO-285</t>
  </si>
  <si>
    <t xml:space="preserve">Labores de Mallas Electro soldadas        </t>
  </si>
  <si>
    <t>486.50</t>
  </si>
  <si>
    <t>MO-286</t>
  </si>
  <si>
    <t xml:space="preserve">Labores de Varillas de ¼” en piso o losa.      </t>
  </si>
  <si>
    <t>MO-287</t>
  </si>
  <si>
    <t xml:space="preserve">Labores de Varillas de alta resistencia.      </t>
  </si>
  <si>
    <t>MO-288</t>
  </si>
  <si>
    <t xml:space="preserve">Labores de confección de escaleras corrientes    </t>
  </si>
  <si>
    <t>2,836.49</t>
  </si>
  <si>
    <t>Tramo.</t>
  </si>
  <si>
    <t xml:space="preserve">Salario Mínimo Nacional para los Plomeros a destajo del área de la Construcción. </t>
  </si>
  <si>
    <t>VALOR EN RD$</t>
  </si>
  <si>
    <t>MONTURA DE APARATOS (EXCLUSIVAMENTE)</t>
  </si>
  <si>
    <t>MO-289</t>
  </si>
  <si>
    <t>Inodoros corrientes de dos cuerpos</t>
  </si>
  <si>
    <t>C/U</t>
  </si>
  <si>
    <t>1,060.95</t>
  </si>
  <si>
    <t>MO-290</t>
  </si>
  <si>
    <t>Inodoros especiales de dos cuerpos</t>
  </si>
  <si>
    <t>1,456.92</t>
  </si>
  <si>
    <t>MO-291</t>
  </si>
  <si>
    <t>Inodoros especiales de un cuerpo o pieza</t>
  </si>
  <si>
    <t>2,388.73</t>
  </si>
  <si>
    <t>MO-292</t>
  </si>
  <si>
    <t xml:space="preserve">Inodoros de fusómetro  o automáticos </t>
  </si>
  <si>
    <t>1,751.75</t>
  </si>
  <si>
    <t>MO-293</t>
  </si>
  <si>
    <t>Inodoros de pared</t>
  </si>
  <si>
    <t>MO-294</t>
  </si>
  <si>
    <t>Inodoros súper de lujo</t>
  </si>
  <si>
    <t>MO-295</t>
  </si>
  <si>
    <t>Lavamanos corrientes sin patas</t>
  </si>
  <si>
    <t>MO-296</t>
  </si>
  <si>
    <t>Lavamanos especiales sin patas</t>
  </si>
  <si>
    <t>MO-297</t>
  </si>
  <si>
    <t>Lavamanos especiales con patas</t>
  </si>
  <si>
    <t>1,857.20</t>
  </si>
  <si>
    <t>MO-298</t>
  </si>
  <si>
    <t>Lavamanos de salón (lava cabeza)</t>
  </si>
  <si>
    <t>MO-299</t>
  </si>
  <si>
    <t>Lavamanos de muebles o empotrado</t>
  </si>
  <si>
    <t>MO-300</t>
  </si>
  <si>
    <t>Lavamanos clínico (unidad conjunto)</t>
  </si>
  <si>
    <t>7,953.86</t>
  </si>
  <si>
    <t>MO-301</t>
  </si>
  <si>
    <t>Lavamanos de pedestal súper de lujo</t>
  </si>
  <si>
    <t>MO-302</t>
  </si>
  <si>
    <t>Bidet corriente</t>
  </si>
  <si>
    <t>1,590.35</t>
  </si>
  <si>
    <t>MO-303</t>
  </si>
  <si>
    <t>Bidet con mezcladora especial</t>
  </si>
  <si>
    <t>MO-304</t>
  </si>
  <si>
    <t>Bañeras plásticas y vidriadas</t>
  </si>
  <si>
    <t>MO-305</t>
  </si>
  <si>
    <t>Baño de hierro corriente</t>
  </si>
  <si>
    <t>2,121.89</t>
  </si>
  <si>
    <t>MO-306</t>
  </si>
  <si>
    <t>Baño de hierro especial</t>
  </si>
  <si>
    <t>2,918.13</t>
  </si>
  <si>
    <t>MO-307</t>
  </si>
  <si>
    <t>Llaves empotradas para ducha</t>
  </si>
  <si>
    <t>529.39</t>
  </si>
  <si>
    <t>MO-308</t>
  </si>
  <si>
    <t>Monturas de mezcladoras de baños</t>
  </si>
  <si>
    <t>927.52</t>
  </si>
  <si>
    <t>MO-309</t>
  </si>
  <si>
    <t>Duchas tipo teléfono</t>
  </si>
  <si>
    <t>MO-310</t>
  </si>
  <si>
    <t>Fregaderos corrientes</t>
  </si>
  <si>
    <t>1,590.00</t>
  </si>
  <si>
    <t>MO-311</t>
  </si>
  <si>
    <t>Fregaderos especiales de una cámara</t>
  </si>
  <si>
    <t>MO-312</t>
  </si>
  <si>
    <t>Fregaderos especiales de dos cámaras</t>
  </si>
  <si>
    <t>MO-313</t>
  </si>
  <si>
    <t>Lavaderos sencillos sin vertedero (terminación)</t>
  </si>
  <si>
    <t>MO-314</t>
  </si>
  <si>
    <t>Lavaderos sencillos con vertedero (terminación)</t>
  </si>
  <si>
    <t>MO-315</t>
  </si>
  <si>
    <t>Lavaderos dobles sin vertedero (terminación)</t>
  </si>
  <si>
    <t>1,194.38</t>
  </si>
  <si>
    <t>MO-316</t>
  </si>
  <si>
    <t>Lavaderos dobles con vertedero (terminación)</t>
  </si>
  <si>
    <t>MO-317</t>
  </si>
  <si>
    <t>Lavadoras automáticas domésticas</t>
  </si>
  <si>
    <t>MO-318</t>
  </si>
  <si>
    <t>Lavadoras automáticas industriales o comerciales, (precio alzado o convencional)</t>
  </si>
  <si>
    <t>MO-319</t>
  </si>
  <si>
    <t>Lavaplatos automáticos domésticos</t>
  </si>
  <si>
    <t>MO-320</t>
  </si>
  <si>
    <t>Lavaplatos automáticos industriales (precio alzado)</t>
  </si>
  <si>
    <t>MO-321</t>
  </si>
  <si>
    <t>Trituradora de huesos doméstica</t>
  </si>
  <si>
    <t>MO-322</t>
  </si>
  <si>
    <t>Trituradora de huesos industriales o comerciales, (precio alzado o convencional)</t>
  </si>
  <si>
    <t>MO-323</t>
  </si>
  <si>
    <t>Vertederos de hierro</t>
  </si>
  <si>
    <t>MO-324</t>
  </si>
  <si>
    <t>Vertederos de cemento (terminación)</t>
  </si>
  <si>
    <t>266.85</t>
  </si>
  <si>
    <t>MO-325</t>
  </si>
  <si>
    <t>Orinales sencillos</t>
  </si>
  <si>
    <t>1,327.80</t>
  </si>
  <si>
    <t>MO-326</t>
  </si>
  <si>
    <t>Orinales de cemento (terminación)</t>
  </si>
  <si>
    <t>663.37</t>
  </si>
  <si>
    <t>MO-327</t>
  </si>
  <si>
    <t xml:space="preserve">Orinales de media falda </t>
  </si>
  <si>
    <t>MO-328</t>
  </si>
  <si>
    <t>Orinales de falda</t>
  </si>
  <si>
    <t>MONTURA DE CALENTADORES DE AGUA (EXCLUSIVA)</t>
  </si>
  <si>
    <t>MO-329</t>
  </si>
  <si>
    <t>Calentador domiciliario con tubería hasta ¾” y capacidad hasta de 12 gls.</t>
  </si>
  <si>
    <t>MO-330</t>
  </si>
  <si>
    <t>Calentador domiciliario con tubería de ¾” o más y  capacidad mayor de 12 gls.</t>
  </si>
  <si>
    <t>MO-331</t>
  </si>
  <si>
    <t>Calentadores industriales o comerciales (precio alzado o convencional)</t>
  </si>
  <si>
    <t>MO-332</t>
  </si>
  <si>
    <t>Calentadores de gas</t>
  </si>
  <si>
    <t>MO-333</t>
  </si>
  <si>
    <t>Nevera de pie (de beber agua) (precio alzado o convencional)</t>
  </si>
  <si>
    <t>MO-334</t>
  </si>
  <si>
    <t>Bebederos de animales (precio alzado o convencional)</t>
  </si>
  <si>
    <t>DESAGUE DE APARATOS SANITARIOS</t>
  </si>
  <si>
    <t>MO-335</t>
  </si>
  <si>
    <t>Desagüe de aparatos de 2”</t>
  </si>
  <si>
    <t>MO-336</t>
  </si>
  <si>
    <t>Desagüe de aparatos de 4”</t>
  </si>
  <si>
    <t>MO-337</t>
  </si>
  <si>
    <t>Desagüe de inodoros de pared</t>
  </si>
  <si>
    <t>MO-338</t>
  </si>
  <si>
    <t>Desagüe de piso de dos, inclusive parrilla</t>
  </si>
  <si>
    <t>MO-339</t>
  </si>
  <si>
    <t>Desagüe de piso de cuatro, inclusive parrilla</t>
  </si>
  <si>
    <t>MO-340</t>
  </si>
  <si>
    <t>Instalación trampa de grasa doble cámara</t>
  </si>
  <si>
    <t>3,711.84</t>
  </si>
  <si>
    <t>MO-341</t>
  </si>
  <si>
    <t>Instalación trampa de grasa sencilla</t>
  </si>
  <si>
    <t>VENTILACION POR PLANTAS</t>
  </si>
  <si>
    <t>MO-342</t>
  </si>
  <si>
    <t>Instalación ventilación de 2”</t>
  </si>
  <si>
    <t>MO-343</t>
  </si>
  <si>
    <t>Instalación ventilación de 3”</t>
  </si>
  <si>
    <t>MO-344</t>
  </si>
  <si>
    <t>Instalación ventilación de 4”</t>
  </si>
  <si>
    <t>MO-345</t>
  </si>
  <si>
    <t>Instalación ventilación de 5” o más</t>
  </si>
  <si>
    <t>COLUMNAS BAJANTES POR PLANTA</t>
  </si>
  <si>
    <t>MO-346</t>
  </si>
  <si>
    <t xml:space="preserve">Columna bajante de 1 ½” </t>
  </si>
  <si>
    <t>796.24</t>
  </si>
  <si>
    <t>MO-347</t>
  </si>
  <si>
    <t>Columna bajante de 2"</t>
  </si>
  <si>
    <t>MO-348</t>
  </si>
  <si>
    <t>Columna bajante de 3”</t>
  </si>
  <si>
    <t>MO-349</t>
  </si>
  <si>
    <t>Columna bajante de 4”</t>
  </si>
  <si>
    <t>MO-350</t>
  </si>
  <si>
    <t>Columna bajante de más de 4”</t>
  </si>
  <si>
    <t>DESAGUE PLUVIAL POR PLANTA</t>
  </si>
  <si>
    <t>MO-351</t>
  </si>
  <si>
    <t>Instalación de desagüe pluvial de 2”</t>
  </si>
  <si>
    <t>MO-352</t>
  </si>
  <si>
    <t>Instalación de desagüe pluvial de 3”</t>
  </si>
  <si>
    <t>MO-353</t>
  </si>
  <si>
    <t>Instalación de desagüe pluvial de 4”</t>
  </si>
  <si>
    <t>MO-354</t>
  </si>
  <si>
    <t>Instalación de desagüe pluvial de más de 4”</t>
  </si>
  <si>
    <t>MO-355</t>
  </si>
  <si>
    <t>Instalación de cámara y registro de limpieza</t>
  </si>
  <si>
    <t>Instalación de séptico y filtrante considerado unidad de conjunto</t>
  </si>
  <si>
    <t>MO-356</t>
  </si>
  <si>
    <t>Instalación de sépticos y filtrantes de 4”</t>
  </si>
  <si>
    <t>4,771.03</t>
  </si>
  <si>
    <t>MO-357</t>
  </si>
  <si>
    <t>Instalación de sépticos y filtrantes de 5”</t>
  </si>
  <si>
    <t>MO-358</t>
  </si>
  <si>
    <t>Instalación de sépticos y filtrantes de 6”</t>
  </si>
  <si>
    <t>5,302.57</t>
  </si>
  <si>
    <t>MO-359</t>
  </si>
  <si>
    <t>Instalación de sépticos y filtrantes de 8”</t>
  </si>
  <si>
    <t>5,831.97</t>
  </si>
  <si>
    <t>ARRASTRE DOMICILIARIO</t>
  </si>
  <si>
    <t>PAGO POR METRO LINEAL A PARTIR DEL CUARTO DE BAÑO</t>
  </si>
  <si>
    <t>MO-360</t>
  </si>
  <si>
    <t>Tuberías de 2”</t>
  </si>
  <si>
    <t>58.11</t>
  </si>
  <si>
    <t>MO-361</t>
  </si>
  <si>
    <t>Tuberías de 4”</t>
  </si>
  <si>
    <t>71.02</t>
  </si>
  <si>
    <t>MO-362</t>
  </si>
  <si>
    <t>Tuberías de 5”</t>
  </si>
  <si>
    <t>118.37</t>
  </si>
  <si>
    <t>MO-363</t>
  </si>
  <si>
    <t>Tuberías de 6”</t>
  </si>
  <si>
    <t>148.49</t>
  </si>
  <si>
    <t>ABASTECIMIENTO DE AGUA POTABLE INSTALACION Y PAGO POR SALIDAS DE AGUA EN APARATOS SANITARIOS</t>
  </si>
  <si>
    <t>MO-364</t>
  </si>
  <si>
    <t>Salida de agua fría</t>
  </si>
  <si>
    <t>MO-365</t>
  </si>
  <si>
    <t xml:space="preserve">Salida de agua caliente </t>
  </si>
  <si>
    <t>MO-366</t>
  </si>
  <si>
    <t>Salida de agua fría a orinal de falda</t>
  </si>
  <si>
    <t>MO-367</t>
  </si>
  <si>
    <t>Salida de agua fría a baño de ducha</t>
  </si>
  <si>
    <t>MO-368</t>
  </si>
  <si>
    <t>Salida de agua fría a inodoro corriente</t>
  </si>
  <si>
    <t>MO-369</t>
  </si>
  <si>
    <t>Salida de agua fría a inodoro fusiómetro</t>
  </si>
  <si>
    <t>MO-370</t>
  </si>
  <si>
    <t>Salida de agua fría y caliente de calentadores domésticos</t>
  </si>
  <si>
    <t>MO-371</t>
  </si>
  <si>
    <t>Salida de agua fría  a calentadores industriales</t>
  </si>
  <si>
    <t>MO-372</t>
  </si>
  <si>
    <t>Instalación de filtros de agua domiciliarias</t>
  </si>
  <si>
    <t>MO-373</t>
  </si>
  <si>
    <t>Instalación de filtros de agua industriales y comerciales (precio alzado y convencional)</t>
  </si>
  <si>
    <t>INSTALACION DE CISTERNAS</t>
  </si>
  <si>
    <t>MO-374</t>
  </si>
  <si>
    <t>Instalación de cisternas, montura de bombas de agua en cisternas con diámetro de ¾” a 1”</t>
  </si>
  <si>
    <t>10,297.35</t>
  </si>
  <si>
    <t>MO-375</t>
  </si>
  <si>
    <t>Instalación de cisternas, montura de bombas de agua en cisternas con diámetro de 1 ¼ en adelante (precio alzado y convencional)</t>
  </si>
  <si>
    <t>TUBERIAS DE AGUA POTABLE POR METRO LINEAL, DOMICILIARIA</t>
  </si>
  <si>
    <t>MO-376</t>
  </si>
  <si>
    <t xml:space="preserve">Tubería galvanizada de media pulgada </t>
  </si>
  <si>
    <t>34.44</t>
  </si>
  <si>
    <t>MO-377</t>
  </si>
  <si>
    <t>Tubería galvanizada de ¾”</t>
  </si>
  <si>
    <t>38.73</t>
  </si>
  <si>
    <t>MO-378</t>
  </si>
  <si>
    <t>Tubería galvanizada de1”</t>
  </si>
  <si>
    <t>47.34</t>
  </si>
  <si>
    <t>MO-379</t>
  </si>
  <si>
    <t>Tubería galvanizada de 1 ¼” en adelante (precio convencional)</t>
  </si>
  <si>
    <t>TUBERIA DE AGUA DE COBRE</t>
  </si>
  <si>
    <t>MO-380</t>
  </si>
  <si>
    <t>Tuberías soldadas o roscadas de cobre de ½”</t>
  </si>
  <si>
    <t>Columna</t>
  </si>
  <si>
    <t>MO-381</t>
  </si>
  <si>
    <t>Tuberías soldadas o roscadas de cobre de ¾”</t>
  </si>
  <si>
    <t>MO-382</t>
  </si>
  <si>
    <t>Tuberías soldadas o roscadas de cobre de 1”</t>
  </si>
  <si>
    <t>MO-383</t>
  </si>
  <si>
    <t xml:space="preserve">Tuberías soldadas o roscadas de cobre de 1 ¼” o más </t>
  </si>
  <si>
    <t>SALIDAS EN TUBERIAS DE AGUA DE COBRE</t>
  </si>
  <si>
    <t>MO-384</t>
  </si>
  <si>
    <t>Salida de tubería soldadas o roscadas de cobre de ½”</t>
  </si>
  <si>
    <t>MO-385</t>
  </si>
  <si>
    <t>Salida de tubería soldadas o roscadas de cobre de ¾”</t>
  </si>
  <si>
    <t>MO-386</t>
  </si>
  <si>
    <t>Salida de tubería soldadas o roscadas de cobre de 1”</t>
  </si>
  <si>
    <t>MO-387</t>
  </si>
  <si>
    <t xml:space="preserve">Salida de tubería soldada o roscada de cobre de 1 ¼” o más </t>
  </si>
  <si>
    <t>CONEXION O EMPALME A TUBERIA EXISTENTE DE AGUA POTABLE</t>
  </si>
  <si>
    <t>MO-388</t>
  </si>
  <si>
    <t>En tuberías de ½” ó ¾”</t>
  </si>
  <si>
    <t>MO-389</t>
  </si>
  <si>
    <t>En tuberías de 1”</t>
  </si>
  <si>
    <t>MO-390</t>
  </si>
  <si>
    <t>En tuberías de 1” a 1 ½”</t>
  </si>
  <si>
    <t>MO-391</t>
  </si>
  <si>
    <t>En tuberías de 1½” a 2”</t>
  </si>
  <si>
    <t>MO-392</t>
  </si>
  <si>
    <t xml:space="preserve">En tuberías de 2 ½” o más </t>
  </si>
  <si>
    <t>CONEXION O EMPALME A TUBERIA EXISTENTE DE ARRASTRE</t>
  </si>
  <si>
    <t>MO-393</t>
  </si>
  <si>
    <t>En tubería de 2”</t>
  </si>
  <si>
    <t>MO-394</t>
  </si>
  <si>
    <t>En tubería de 3”</t>
  </si>
  <si>
    <t>MO-395</t>
  </si>
  <si>
    <t>En tubería de 4”</t>
  </si>
  <si>
    <t>MO-396</t>
  </si>
  <si>
    <t>En tubería de 6”</t>
  </si>
  <si>
    <t>1,590.34</t>
  </si>
  <si>
    <t>INSTALACION DE LLAVES PASO DOMICILIARIAS</t>
  </si>
  <si>
    <t>MO-397</t>
  </si>
  <si>
    <t>Instalación llave a chorro de jardín ½” y ¾” incluyendo línea de 3.00 M. Distancia máxima.</t>
  </si>
  <si>
    <t>MO-398</t>
  </si>
  <si>
    <t>Instalación llave paso (control) de ½” en tubería PVC o H.G.</t>
  </si>
  <si>
    <t>MO-399</t>
  </si>
  <si>
    <t>Instalación llave paso (control) de ¾” en tubería PVC o H.G.</t>
  </si>
  <si>
    <t>MO-400</t>
  </si>
  <si>
    <t>Instalación llave paso (control) de 1” en tubería PVC o H.G.</t>
  </si>
  <si>
    <t>MO-401</t>
  </si>
  <si>
    <t>Instalación llave paso (control) de ½” en tubería de Cobre</t>
  </si>
  <si>
    <t>MO-402</t>
  </si>
  <si>
    <t>Instalación llave paso (control) de ¾” en tubería de Cobre</t>
  </si>
  <si>
    <t>MO-403</t>
  </si>
  <si>
    <t>Instalación llave paso (control) de 1” en tubería de Cobre</t>
  </si>
  <si>
    <t>2,020.44</t>
  </si>
  <si>
    <t>MO-404</t>
  </si>
  <si>
    <t>Instalación llave paso (control) de 1½” en tubería de Cobre</t>
  </si>
  <si>
    <t>MO-405</t>
  </si>
  <si>
    <t>Instalación llave paso (control) mayor de 1½” en tubería de Cobre</t>
  </si>
  <si>
    <t>VALOR ELEVADO DE INSTALACION SANITARIA DE EDIFICIO DE MAS DE UNA PLANTA</t>
  </si>
  <si>
    <t>MO-406</t>
  </si>
  <si>
    <t>Valor elevado, segunda planta</t>
  </si>
  <si>
    <t>MO-407</t>
  </si>
  <si>
    <t>Valor elevado, tercera planta</t>
  </si>
  <si>
    <t>MO-408</t>
  </si>
  <si>
    <t>Valor elevado, desde la cuarta planta a la sexta planta</t>
  </si>
  <si>
    <t>MO-409</t>
  </si>
  <si>
    <t>Valor elevado, desde la séptima planta a la décima planta</t>
  </si>
  <si>
    <t>MO-410</t>
  </si>
  <si>
    <t xml:space="preserve">Valor elevado, desde la décima primera (11va.) planta en adelante </t>
  </si>
  <si>
    <t>INSTALACIONES DE TUBERIAS</t>
  </si>
  <si>
    <t>TUBERIA PLASTICA (PVC)</t>
  </si>
  <si>
    <t>MO-411</t>
  </si>
  <si>
    <t>De ½” y ¾”</t>
  </si>
  <si>
    <t>7.85</t>
  </si>
  <si>
    <t>MO-412</t>
  </si>
  <si>
    <t>De 1”</t>
  </si>
  <si>
    <t>15.71</t>
  </si>
  <si>
    <t>MO-413</t>
  </si>
  <si>
    <t xml:space="preserve">De 1 ¼” a 1 ½” </t>
  </si>
  <si>
    <t>19.64</t>
  </si>
  <si>
    <t>MO-414</t>
  </si>
  <si>
    <t>De 2”</t>
  </si>
  <si>
    <t>MO-415</t>
  </si>
  <si>
    <t>De 3”</t>
  </si>
  <si>
    <t>27.98</t>
  </si>
  <si>
    <t>MO-416</t>
  </si>
  <si>
    <t>De 4”</t>
  </si>
  <si>
    <t>32.27</t>
  </si>
  <si>
    <t>MO-417</t>
  </si>
  <si>
    <t>De 6”</t>
  </si>
  <si>
    <t>39.30</t>
  </si>
  <si>
    <t>MO-418</t>
  </si>
  <si>
    <t>De 8”</t>
  </si>
  <si>
    <t>43.04</t>
  </si>
  <si>
    <t>MO-419</t>
  </si>
  <si>
    <t>De 10”</t>
  </si>
  <si>
    <t>51.65</t>
  </si>
  <si>
    <t>MO-420</t>
  </si>
  <si>
    <t>De 12”</t>
  </si>
  <si>
    <t>55.95</t>
  </si>
  <si>
    <t>TUBERIA DE ASBESTO CEMENTO</t>
  </si>
  <si>
    <t>MO-421</t>
  </si>
  <si>
    <t>MO-422</t>
  </si>
  <si>
    <t>MO-423</t>
  </si>
  <si>
    <t>MO-424</t>
  </si>
  <si>
    <t>MO-425</t>
  </si>
  <si>
    <t>MO-426</t>
  </si>
  <si>
    <t>De 16”</t>
  </si>
  <si>
    <t>MO-427</t>
  </si>
  <si>
    <t>De 20”</t>
  </si>
  <si>
    <t>148.50</t>
  </si>
  <si>
    <t>·  Los tubos en 3” a 8” de diámetro, serán bajados por el plomero. De más de 8” correrán por cuenta del patrono o empleador.</t>
  </si>
  <si>
    <t>TUBERIA DE HIERRO FUNDIDO O DE ACERO</t>
  </si>
  <si>
    <t>MO-428</t>
  </si>
  <si>
    <t>MO-429</t>
  </si>
  <si>
    <t>MO-430</t>
  </si>
  <si>
    <t>90.38</t>
  </si>
  <si>
    <t>MO-431</t>
  </si>
  <si>
    <t>101.14</t>
  </si>
  <si>
    <t>MO-432</t>
  </si>
  <si>
    <t>137.72</t>
  </si>
  <si>
    <t>MO-433</t>
  </si>
  <si>
    <t>213.05</t>
  </si>
  <si>
    <t>·         De 16” en adelante será de mutuo acuerdo.</t>
  </si>
  <si>
    <t xml:space="preserve"> Los tubos en 3” y 4” de diámetro, serán bajados al fondo de la zanja por el plomero. En diámetros mayores, correrán por cuenta del patrono o empleador.</t>
  </si>
  <si>
    <t>TUBERIA GALVANIZADA</t>
  </si>
  <si>
    <t>MO-434</t>
  </si>
  <si>
    <t>MO-435</t>
  </si>
  <si>
    <t xml:space="preserve">De 1” a 1 ½” </t>
  </si>
  <si>
    <t>MO-436</t>
  </si>
  <si>
    <t>MO-437</t>
  </si>
  <si>
    <t xml:space="preserve">De 2” a 2 ½” </t>
  </si>
  <si>
    <t>MO-438</t>
  </si>
  <si>
    <t>MO-439</t>
  </si>
  <si>
    <t>MO-440</t>
  </si>
  <si>
    <t>MO-441</t>
  </si>
  <si>
    <t xml:space="preserve"> De 12” en adelante el precio unitario será de mutuo acuerdo.</t>
  </si>
  <si>
    <t xml:space="preserve"> Hasta 6” de diámetro los tubos serán bajados al fondo de la zanja por el plomero. En diámetros mayores, correrán por cuenta del patrono o empleador.</t>
  </si>
  <si>
    <t>TUBERIA EN ALCANTARILLADO SANITARIO Y PLUVIAL, PARA ZANJAS DE MENOS DE 3.00 MTS. DE PROFUNDIDAD</t>
  </si>
  <si>
    <t>MO-442</t>
  </si>
  <si>
    <t>De 6"</t>
  </si>
  <si>
    <t>MO-443</t>
  </si>
  <si>
    <t xml:space="preserve">De 8" </t>
  </si>
  <si>
    <t>MO-444</t>
  </si>
  <si>
    <t xml:space="preserve">De 12" </t>
  </si>
  <si>
    <t>MO-445</t>
  </si>
  <si>
    <t xml:space="preserve">De 15" </t>
  </si>
  <si>
    <t>133.44</t>
  </si>
  <si>
    <t>MO-446</t>
  </si>
  <si>
    <t>De 21"</t>
  </si>
  <si>
    <t>247.48</t>
  </si>
  <si>
    <t>MO-447</t>
  </si>
  <si>
    <t>De 24"</t>
  </si>
  <si>
    <t>348.64</t>
  </si>
  <si>
    <t>MO-448</t>
  </si>
  <si>
    <t>De 30"</t>
  </si>
  <si>
    <t>503.57</t>
  </si>
  <si>
    <t>MO-449</t>
  </si>
  <si>
    <t xml:space="preserve">De 36" </t>
  </si>
  <si>
    <t>585.34</t>
  </si>
  <si>
    <t>PARA ZANJAS DE 3.00 MTS. DE PROFUNDIDAD EN ADELANTE</t>
  </si>
  <si>
    <t>MO-450</t>
  </si>
  <si>
    <t>MO-451</t>
  </si>
  <si>
    <t>MO-452</t>
  </si>
  <si>
    <t>MO-453</t>
  </si>
  <si>
    <t>161.40</t>
  </si>
  <si>
    <t>MO-454</t>
  </si>
  <si>
    <t>290.53</t>
  </si>
  <si>
    <t>MO-455</t>
  </si>
  <si>
    <t>451.92</t>
  </si>
  <si>
    <t>MO-456</t>
  </si>
  <si>
    <t>MO-457</t>
  </si>
  <si>
    <t>742.45</t>
  </si>
  <si>
    <t>Bajar los tubos al fondo de las zanjas y colocar el asiento de arena, corre por cuenta del plomero, hasta 8”.</t>
  </si>
  <si>
    <t>INSTALACION DE VALVULAS DE COMPUERTA</t>
  </si>
  <si>
    <t>ROSCA RD$</t>
  </si>
  <si>
    <t>PLATILLO RD$</t>
  </si>
  <si>
    <t>CAMPANA RD$</t>
  </si>
  <si>
    <t>MO-458</t>
  </si>
  <si>
    <t>238.88</t>
  </si>
  <si>
    <t>348.63</t>
  </si>
  <si>
    <t>MO-459</t>
  </si>
  <si>
    <t>MO-460</t>
  </si>
  <si>
    <t>637.00</t>
  </si>
  <si>
    <t>MO-461</t>
  </si>
  <si>
    <t>509.97</t>
  </si>
  <si>
    <t>1,166.40</t>
  </si>
  <si>
    <t>MO-462</t>
  </si>
  <si>
    <t>MO-463</t>
  </si>
  <si>
    <t>-</t>
  </si>
  <si>
    <t>2,042.26</t>
  </si>
  <si>
    <t>MO-464</t>
  </si>
  <si>
    <t>MO-465</t>
  </si>
  <si>
    <t>2,119.74</t>
  </si>
  <si>
    <t>3,712.23</t>
  </si>
  <si>
    <t>MO-466</t>
  </si>
  <si>
    <t>·         Instalación de válvulas de aire (Incluyendo clamps y accesorios)                     869.63 C/U</t>
  </si>
  <si>
    <t xml:space="preserve">     </t>
  </si>
  <si>
    <t>INSTALACIÓN DE PIEZAS ESPECIALES POR DIÁMETRO POR CADA BOCA</t>
  </si>
  <si>
    <t>P.V.C. RD$</t>
  </si>
  <si>
    <t>GIBAULT RD$</t>
  </si>
  <si>
    <t>MO-467</t>
  </si>
  <si>
    <t xml:space="preserve">De 1” </t>
  </si>
  <si>
    <t>19.38</t>
  </si>
  <si>
    <t>MO-468</t>
  </si>
  <si>
    <t>De 1 ¼”</t>
  </si>
  <si>
    <t>MO-469</t>
  </si>
  <si>
    <t>De 1 ½”</t>
  </si>
  <si>
    <t>MO-470</t>
  </si>
  <si>
    <t>MO-471</t>
  </si>
  <si>
    <t>MO-472</t>
  </si>
  <si>
    <t>MO-473</t>
  </si>
  <si>
    <t>176.47</t>
  </si>
  <si>
    <t>MO-474</t>
  </si>
  <si>
    <t>184.77</t>
  </si>
  <si>
    <t>MO-475</t>
  </si>
  <si>
    <t>MO-476</t>
  </si>
  <si>
    <t>MO-477</t>
  </si>
  <si>
    <t>348.67</t>
  </si>
  <si>
    <t>523.52</t>
  </si>
  <si>
    <t>MO-478</t>
  </si>
  <si>
    <t>INSTALACION DE MEDIDORES DE AGUA (CONTADORES)</t>
  </si>
  <si>
    <t>VALOR RD$</t>
  </si>
  <si>
    <t>MO-479</t>
  </si>
  <si>
    <t>De ¾”</t>
  </si>
  <si>
    <t>d.</t>
  </si>
  <si>
    <t>MO-480</t>
  </si>
  <si>
    <t>MO-481</t>
  </si>
  <si>
    <t>MO-482</t>
  </si>
  <si>
    <t>714.48</t>
  </si>
  <si>
    <t>MO-483</t>
  </si>
  <si>
    <t>MO-484</t>
  </si>
  <si>
    <t>INSTALACION DE MANGAS O NIPLES</t>
  </si>
  <si>
    <t>MO-485</t>
  </si>
  <si>
    <t>MO-486</t>
  </si>
  <si>
    <t>MO-487</t>
  </si>
  <si>
    <t>MO-488</t>
  </si>
  <si>
    <t>MO-489</t>
  </si>
  <si>
    <t>Mayores de 10” serán de común acuerdo.</t>
  </si>
  <si>
    <t>INSTALACION DE CAJAS DE VALVULAS</t>
  </si>
  <si>
    <t>MO-490</t>
  </si>
  <si>
    <t xml:space="preserve">Telescópicas </t>
  </si>
  <si>
    <t>MO-491</t>
  </si>
  <si>
    <t>Sencillas</t>
  </si>
  <si>
    <t>INSTALACION DE ACOMETIDAS URBANAS</t>
  </si>
  <si>
    <t>(incluyen la llave de chorro)</t>
  </si>
  <si>
    <t>MO-492</t>
  </si>
  <si>
    <t>En ½”  y  ¾” hasta 8.00 mts. de largo de hierro galvanizado.</t>
  </si>
  <si>
    <t>MO-493</t>
  </si>
  <si>
    <t>En ½”  y  ¾” HG hasta de 12 mts.</t>
  </si>
  <si>
    <t>MO-494</t>
  </si>
  <si>
    <t>En ½” y ¾” en PVC y extremos de H.G. hasta 12.00 mts. de largo</t>
  </si>
  <si>
    <t>MO-495</t>
  </si>
  <si>
    <t>INSTALACION DE HIDRANTES</t>
  </si>
  <si>
    <t>4,508.47</t>
  </si>
  <si>
    <t>MO-496</t>
  </si>
  <si>
    <t>INSTALACION DE TINACOS</t>
  </si>
  <si>
    <t>TARIFAS DE SALARIO MÍNIMO PARA LOS TRABAJOS DE ELECTRICIDAD A DESTAJO EN EL ÁREA DE LA CONSTRUCCIÓN</t>
  </si>
  <si>
    <t>SALIDAS EN TUBERIAS</t>
  </si>
  <si>
    <t>SALIDA EN TUBERIA OCULTA</t>
  </si>
  <si>
    <t>MO-497</t>
  </si>
  <si>
    <t>Por cada salida en tubería de ½”</t>
  </si>
  <si>
    <t>589.66</t>
  </si>
  <si>
    <t>MO-498</t>
  </si>
  <si>
    <t xml:space="preserve"> Por cada ¼” superior a ½”, hasta 1”, un 30% adicional del precio  por salida</t>
  </si>
  <si>
    <t>MO-499</t>
  </si>
  <si>
    <t xml:space="preserve"> Por cada switch adicional o de combinación, un 50% adicional al precio por salida</t>
  </si>
  <si>
    <t>294.81</t>
  </si>
  <si>
    <t>MO-500</t>
  </si>
  <si>
    <t>Salida interruptor doble</t>
  </si>
  <si>
    <t>714.47</t>
  </si>
  <si>
    <t>MO-501</t>
  </si>
  <si>
    <t>Salida interruptor triple</t>
  </si>
  <si>
    <t>MO-502</t>
  </si>
  <si>
    <t xml:space="preserve">Salida interruptor tres vías   </t>
  </si>
  <si>
    <t>MO-503</t>
  </si>
  <si>
    <t>Salida interruptor cuatro vías</t>
  </si>
  <si>
    <t>875.86</t>
  </si>
  <si>
    <t>SALIDAS DE TIMBRES, TELÉFONOS Y TELECABLES</t>
  </si>
  <si>
    <t>MO-504</t>
  </si>
  <si>
    <t>Cuando se utilice tubería independiente de la luz en  ½”</t>
  </si>
  <si>
    <t>MO-505</t>
  </si>
  <si>
    <t>En tubería independiente, por cada ¼” superior a ½”  hasta 1”, un 30% adicional al precio por salida</t>
  </si>
  <si>
    <t>215.20</t>
  </si>
  <si>
    <t>MO-506</t>
  </si>
  <si>
    <t>En los timbres de puertas de110v., cuando se utilice la misma tubería de los conductores de luz</t>
  </si>
  <si>
    <t xml:space="preserve">SALIDAS EN TUBERIA EXTERIOR VISIBLE </t>
  </si>
  <si>
    <t>Las salidas en tubería exterior visible (tipo industrial) de ½”, serán cobradas con un sobrecargo de RD$123.47 en la mano de obra; y de RD$176.39 en los casos en que las salidas lleven los registros llamados “Letras”; y de acuerdo a los mínimos establecidos en los renglones “SALIDA DE TUBERIA OCULTA” Y “SALIDAS DE TIMBRES, TELÉFONOS Y TELECABLES”.</t>
  </si>
  <si>
    <t>SALIDAS DENOMINADAS WATERPROOF, WEATHERPROOF Y      EXPLOTIONPROOF</t>
  </si>
  <si>
    <t>Las salidas denominadas waterproof, weatherproof y explotionproof, serán cobradas en todos los casos a un precio convencional, superior a los mínimos establecidos en esta tarifa.</t>
  </si>
  <si>
    <t>salidas en tubería de las residencias tipo económico, similares a las de los tipos “A”, “B”, “C” y “D”, construidas en serie</t>
  </si>
  <si>
    <t>SALIDAS TIPO ECONÓMICO EN TUBERIA</t>
  </si>
  <si>
    <t>MO-507</t>
  </si>
  <si>
    <t xml:space="preserve">Similares a las de las casas tipos “A” y “B” en tubería de ½” </t>
  </si>
  <si>
    <t>MO-508</t>
  </si>
  <si>
    <t xml:space="preserve">Similares a las de las casas tipos “C” y “D” en tubería de ½” </t>
  </si>
  <si>
    <t>392.09</t>
  </si>
  <si>
    <t xml:space="preserve">En las casas de tipo económico que incluyan salida de registro, timbre, teléfono, aire acondicionado, etc., se cobrarán dichas salidas según lo establecido en los renglones “SALIDA DE TUBERIA OCULTA”, “SALIDAS DE TIMBRES, TELÉFONOS Y TELECABLES”, “SALIDAS EN TUBERIA EXTERIOR VISIBLE”, Y “SALIDAS DENOMINADAS WATERPROOF, WEATHERPROOF Y EXPLOTIONPROOF”, de la presente tarifa.  </t>
  </si>
  <si>
    <t>Las casas en serie serán consideradas como tales, cuando se construyan en cantidad no menor de tres simultáneamente.</t>
  </si>
  <si>
    <t>Salidas en instalaciones sin tubería</t>
  </si>
  <si>
    <t>Salidas en instalaciones sin tuberías, hechas exteriormente utilizando taquillas, bolillos, grapas y otras clases de aisladores para luces, switches, toma-corrientes, switches machetes, tomas, etc.</t>
  </si>
  <si>
    <t>MO-509</t>
  </si>
  <si>
    <t xml:space="preserve">Por cada salida sin tubería exteriormente visible                                                        </t>
  </si>
  <si>
    <t xml:space="preserve"> 266.85</t>
  </si>
  <si>
    <t>MO-510</t>
  </si>
  <si>
    <t xml:space="preserve">Por cada salida sin tubería oculta en plafones, cielos rasos, etc.                                 </t>
  </si>
  <si>
    <t xml:space="preserve"> 392.09 </t>
  </si>
  <si>
    <t>switcH DE SEGURIDAD</t>
  </si>
  <si>
    <t>MO-511</t>
  </si>
  <si>
    <t>Por cada switch de seguridad instalado en los paneles, se cobrará un mínimo de RD$137.72 por cada 10 amperes nominales de switch.</t>
  </si>
  <si>
    <t>CONEXIÓN DE ARTEFACTOS</t>
  </si>
  <si>
    <t>MO-512</t>
  </si>
  <si>
    <t>Por conectar un regulador de intensidad (switch dimmer) Conexión de timbres campanas y cuadros de timbres:</t>
  </si>
  <si>
    <t>423.95</t>
  </si>
  <si>
    <t>MO-513</t>
  </si>
  <si>
    <t>Por cada timbre de cuatro notas o más</t>
  </si>
  <si>
    <t>MO-514</t>
  </si>
  <si>
    <t xml:space="preserve"> Por cada número de los cuadros de timbres</t>
  </si>
  <si>
    <t>MO-515</t>
  </si>
  <si>
    <t>Por conectar un moledor de desperdicios a su salida de 110v.</t>
  </si>
  <si>
    <t>MO-516</t>
  </si>
  <si>
    <t>Por conectar un extractor de aire con salida de 110v.</t>
  </si>
  <si>
    <t>Por conectar un calentador de agua a su salida cuando no está provista de un plot y un cordón:</t>
  </si>
  <si>
    <t>MO-517</t>
  </si>
  <si>
    <t>Por cada calentador de 110v.</t>
  </si>
  <si>
    <t>529.38</t>
  </si>
  <si>
    <t>MO-518</t>
  </si>
  <si>
    <t>Por cada calentador de 220v.</t>
  </si>
  <si>
    <t>796.23</t>
  </si>
  <si>
    <t>MO-519</t>
  </si>
  <si>
    <t>Por conectar cada estufa eléctrica a su salida de 220v.</t>
  </si>
  <si>
    <t>MO-520</t>
  </si>
  <si>
    <t>Por montar cada aparato de aire acondicionado hasta 2 H. P., sin incluir los materiales y cuando haya corriente a mano.</t>
  </si>
  <si>
    <t>MO-521</t>
  </si>
  <si>
    <t>Cuando la corriente se encuentra muy distante, se cobrará la instalación eléctrica aparte.</t>
  </si>
  <si>
    <t>MO-522</t>
  </si>
  <si>
    <t>Cuando haya que hacer reformas en la construcción, se cobrará el costo de éstas aparte.</t>
  </si>
  <si>
    <t>MO-523</t>
  </si>
  <si>
    <t>Instalación de cada breaker</t>
  </si>
  <si>
    <t xml:space="preserve">                                Salario Mínimo para los Pintores a destajo</t>
  </si>
  <si>
    <t>PINTURA DE AGUA, MASILLA, LIJA Y PIEDRA</t>
  </si>
  <si>
    <t>Primera Mano</t>
  </si>
  <si>
    <t>Por Mt.2</t>
  </si>
  <si>
    <t>32.56</t>
  </si>
  <si>
    <t>MO-524</t>
  </si>
  <si>
    <t>Segunda Mano</t>
  </si>
  <si>
    <t>21.70</t>
  </si>
  <si>
    <t>PINTURA DE ACEITE</t>
  </si>
  <si>
    <t>MO-525</t>
  </si>
  <si>
    <t>34.74</t>
  </si>
  <si>
    <t>MO-526</t>
  </si>
  <si>
    <t>BARNICES</t>
  </si>
  <si>
    <t>MO-527</t>
  </si>
  <si>
    <t>MO-528</t>
  </si>
  <si>
    <t>PINTURAS IMPERMEABILIZANTES</t>
  </si>
  <si>
    <t>MO-529</t>
  </si>
  <si>
    <t>Primera Mano, incluyendo limpieza y sellado de grietas</t>
  </si>
  <si>
    <t>36.90</t>
  </si>
  <si>
    <t>MO-530</t>
  </si>
  <si>
    <t>CAL Y CARBURO</t>
  </si>
  <si>
    <t>MO-531</t>
  </si>
  <si>
    <t>19.55</t>
  </si>
  <si>
    <t>MO-532</t>
  </si>
  <si>
    <t>13.02</t>
  </si>
  <si>
    <t>OXIDO DE ZINC</t>
  </si>
  <si>
    <t>MO-533</t>
  </si>
  <si>
    <t>26.05</t>
  </si>
  <si>
    <t>MO-534</t>
  </si>
  <si>
    <t>MO-535</t>
  </si>
  <si>
    <t>Rapilla Total y/o Parcial</t>
  </si>
  <si>
    <t>43.41</t>
  </si>
  <si>
    <t>CORNISAS</t>
  </si>
  <si>
    <t>MO-536</t>
  </si>
  <si>
    <t>Trabajo de Pintura en Cornisa</t>
  </si>
  <si>
    <t>Por M.L.</t>
  </si>
  <si>
    <t>43.42</t>
  </si>
  <si>
    <t>VOLUTAS</t>
  </si>
  <si>
    <t>MO-537</t>
  </si>
  <si>
    <t>Volutas en ventanas y en muros</t>
  </si>
  <si>
    <t>Por M. L.</t>
  </si>
  <si>
    <t>36.91</t>
  </si>
  <si>
    <t>PINTURA DE RUSTICO</t>
  </si>
  <si>
    <t>MO-538</t>
  </si>
  <si>
    <t>54.26</t>
  </si>
  <si>
    <t>MO-539</t>
  </si>
  <si>
    <t>45.60</t>
  </si>
  <si>
    <t>OPERADORES DE MAQUINAS PESADAS EN TRABAJOS DE LA CONSTRUCCION</t>
  </si>
  <si>
    <t>SALARIO POR HORA</t>
  </si>
  <si>
    <t>OMP-001</t>
  </si>
  <si>
    <t>DE 000 A 100 H.P. HASTA CAT-D4E O SIMILARES</t>
  </si>
  <si>
    <t>OMP-002</t>
  </si>
  <si>
    <t>DE 101 A 155 H.P. HASTA CAT-D65A O SIMILARES</t>
  </si>
  <si>
    <t>OMP-003</t>
  </si>
  <si>
    <t>DE 156 A 200 H.P. HASTA CAT-D7G O SIMILARES</t>
  </si>
  <si>
    <t>OMP-004</t>
  </si>
  <si>
    <t>DE 201 A 300 H.P. HASTA CAT-D8K O SIMILARES</t>
  </si>
  <si>
    <t>OMP-005</t>
  </si>
  <si>
    <t>DE 301 A 460 H.P. HASTA CAT-D9L O SIMILARES</t>
  </si>
  <si>
    <t>CARGADORES FRONTALES</t>
  </si>
  <si>
    <t>OMP-006</t>
  </si>
  <si>
    <t>DE 000 A 115 H.P. HASTA CAT-W70 O SIMILARES</t>
  </si>
  <si>
    <t>OMP-007</t>
  </si>
  <si>
    <t>DE 106 A 155 H.P. HASTA CAT-950B O SIMILARES</t>
  </si>
  <si>
    <t>OMP-008</t>
  </si>
  <si>
    <t>DE 156 A 200 H.P. HASTA CAT-966B O SIMILARES</t>
  </si>
  <si>
    <t>OMP-009</t>
  </si>
  <si>
    <t>DE 201 A 375 H.P. HASTA CAT-988B O SIMILARES</t>
  </si>
  <si>
    <t>MOTONIVELADORAS</t>
  </si>
  <si>
    <t>OMP-010</t>
  </si>
  <si>
    <t>DE 000 A 115 H.P. HASTA CAT-120G O SIMILARES</t>
  </si>
  <si>
    <t>OMP-011</t>
  </si>
  <si>
    <t>DE 116 A 125 H.P. HASTA CAT-12E O SIMILARES</t>
  </si>
  <si>
    <t>OMP-012</t>
  </si>
  <si>
    <t>DE 126 A 275 H.P. HASTA CAT-12G O SIMILARES</t>
  </si>
  <si>
    <t>OMP-013</t>
  </si>
  <si>
    <t>DE 276 A 375 H.P. HASTA CAT-16G O SIMILARES</t>
  </si>
  <si>
    <t>RODILLO Y COMPACTADORES</t>
  </si>
  <si>
    <t>OMP-014</t>
  </si>
  <si>
    <t>PATA DE CABRA AUTOPROPULSADO CAT-825 C MOTOR 310 H.P. O SIMILAR</t>
  </si>
  <si>
    <t>OMP-015</t>
  </si>
  <si>
    <t>PATA DE CABRA AUTOPROPULSADOS CAT-815 MOTOR 200 H.P. O SIMILAR</t>
  </si>
  <si>
    <t>OMP-017</t>
  </si>
  <si>
    <t>PATA DE CABRA AUTOPROPULSADOS CAT-DW20A MOTOR 300 H.P. O SIMILAR</t>
  </si>
  <si>
    <t>120.18</t>
  </si>
  <si>
    <t>OMP-019</t>
  </si>
  <si>
    <t>VIBRADORES D YNAPA CA-25 MOTOR 125 H.P. O SIMILAR</t>
  </si>
  <si>
    <t>113.93</t>
  </si>
  <si>
    <t>OMP-021</t>
  </si>
  <si>
    <t>ESTATICO HASTA BUFALO K-45 MOTOR 150 H.P. O SIMILAR</t>
  </si>
  <si>
    <t>107.70</t>
  </si>
  <si>
    <t>MOTOTRAILLA TORNAPOLLS</t>
  </si>
  <si>
    <t>OMP-023</t>
  </si>
  <si>
    <t>DE 000 A 100 HASTA OTROS MODELOS</t>
  </si>
  <si>
    <t>OMP-024</t>
  </si>
  <si>
    <t>DE 151 A 300 H.P. HASTA CAT-621 O SIMILARES</t>
  </si>
  <si>
    <t>OMP-025</t>
  </si>
  <si>
    <t>DE 301 A 450 H.P. HASTA CAT-631D O SIMILARES</t>
  </si>
  <si>
    <t>RETROEXCAVADORAS (GRUAS METALICAS)</t>
  </si>
  <si>
    <t>OMP-026</t>
  </si>
  <si>
    <t>DE 000 A 100 H.P. HASTA OTROS MODELOS O SIMILARES</t>
  </si>
  <si>
    <t>OMP-027</t>
  </si>
  <si>
    <t>DE 101 A 150 H.P. HASTA CAT-225 O SIMILARES</t>
  </si>
  <si>
    <t>OMP-028</t>
  </si>
  <si>
    <t>DE 151 A 215 H.P. HASTA CAT-235 O SIMILARES</t>
  </si>
  <si>
    <t>OMP-029</t>
  </si>
  <si>
    <t>SALARIO BASICO PARA LOS OPERADORES          RD$  23,412.00</t>
  </si>
  <si>
    <t>OMP-030</t>
  </si>
  <si>
    <t>SALARIO BASICO PARA LOS AYUDANTES               RD$ 11,667.24</t>
  </si>
  <si>
    <t>analisis PGR</t>
  </si>
  <si>
    <t>CASETA MAT. 12'x16', P/200 F. CEMENTO:</t>
  </si>
  <si>
    <t>Area de caseta</t>
  </si>
  <si>
    <t>Parales pino bruto amer. (14 de 2"x4"x12')</t>
  </si>
  <si>
    <t>Durmientes pino bruto amer. (7 de 2"x4"x8')</t>
  </si>
  <si>
    <t>Cargaderas pino bruto amer. (5 de 2"x4"x14')</t>
  </si>
  <si>
    <t>Enlates pino bruto amer. (5 de 2"x4"x18')</t>
  </si>
  <si>
    <t>Puerta pino bruto amer. (4 de 1"x4"x8')</t>
  </si>
  <si>
    <t>Total pino bruto amer. (4 usos + 25% desp.)</t>
  </si>
  <si>
    <t>Plywood 4'x8'x¾", 2 caras, 6 usos (13 unid.)</t>
  </si>
  <si>
    <t>Puerta en Plywood 4'x8'x¾", 2 caras, 6 usos (1 unid.)</t>
  </si>
  <si>
    <t>Zinc acanalado 3'x7', cal. 26, 4 usos</t>
  </si>
  <si>
    <t>Clavos corrientes (5 lb. / 100 pie madera).</t>
  </si>
  <si>
    <t>Clavos de zinc + 5% desp. (.133 lb. / plancha)</t>
  </si>
  <si>
    <t>Bisagras 3 ½" x 3 ½"</t>
  </si>
  <si>
    <t>pares</t>
  </si>
  <si>
    <t>Pestillo</t>
  </si>
  <si>
    <t>Portacandado</t>
  </si>
  <si>
    <t>Candado</t>
  </si>
  <si>
    <t>Salida luces</t>
  </si>
  <si>
    <t>Salida interruptor sencillo</t>
  </si>
  <si>
    <t>Salida tomacorrientes 110 v.</t>
  </si>
  <si>
    <t>Replanteo y excavación 14 hoyos de .2x.2x.3 m.</t>
  </si>
  <si>
    <t>Carpintero 2da., montar y desmontar</t>
  </si>
  <si>
    <t>días</t>
  </si>
  <si>
    <t>Ayudante carpintero, montar y desmontar</t>
  </si>
  <si>
    <t>riel y cubre falta</t>
  </si>
  <si>
    <t>Puertas de Barrotes de Ø ¾ ¨ yMalla Hid Read 3/8"</t>
  </si>
  <si>
    <t>barrotes fijos</t>
  </si>
  <si>
    <t>m2=</t>
  </si>
  <si>
    <t>barrotes fijos y tola</t>
  </si>
  <si>
    <t>MALLA CICLONICA 6' con trinchera</t>
  </si>
  <si>
    <t>Horm. 1:2:4 en columnas de amarre (.15 x .20 x .80 m.)</t>
  </si>
  <si>
    <t>Descripción</t>
  </si>
  <si>
    <t xml:space="preserve">Cantidad </t>
  </si>
  <si>
    <t>Relleno compactado</t>
  </si>
  <si>
    <t>Ml</t>
  </si>
  <si>
    <t xml:space="preserve">SUB-TOTAL GENERAL </t>
  </si>
  <si>
    <t>Indirectos:</t>
  </si>
  <si>
    <t>Dirección Técnica (10%)</t>
  </si>
  <si>
    <t xml:space="preserve">TOTAL GENERAL </t>
  </si>
  <si>
    <t xml:space="preserve">       PREPARADO POR:</t>
  </si>
  <si>
    <t xml:space="preserve">  REVISADO POR:</t>
  </si>
  <si>
    <t>APROBADO POR:</t>
  </si>
  <si>
    <t>Ancho</t>
  </si>
  <si>
    <t>stotal</t>
  </si>
  <si>
    <t>cant</t>
  </si>
  <si>
    <t>Profundidad</t>
  </si>
  <si>
    <t>Grama enana</t>
  </si>
  <si>
    <t>Areas</t>
  </si>
  <si>
    <t>Verjas</t>
  </si>
  <si>
    <t>Longitudes</t>
  </si>
  <si>
    <t>cols. Simples</t>
  </si>
  <si>
    <t>cols. Comp</t>
  </si>
  <si>
    <t>totales cols</t>
  </si>
  <si>
    <t>exteriores</t>
  </si>
  <si>
    <t>interiores</t>
  </si>
  <si>
    <t>Verja exterior</t>
  </si>
  <si>
    <t>Longitud=</t>
  </si>
  <si>
    <t>Largo</t>
  </si>
  <si>
    <t>Cant</t>
  </si>
  <si>
    <t>muro</t>
  </si>
  <si>
    <t>Zapata simple</t>
  </si>
  <si>
    <t>Zapata comb.</t>
  </si>
  <si>
    <t>Relleno reposicion</t>
  </si>
  <si>
    <t>Vols.</t>
  </si>
  <si>
    <t>factor esp.</t>
  </si>
  <si>
    <t>excav.</t>
  </si>
  <si>
    <t>Hormigones</t>
  </si>
  <si>
    <t>Hormigon de nivelacion</t>
  </si>
  <si>
    <t>Zmuro</t>
  </si>
  <si>
    <t>Zsimple</t>
  </si>
  <si>
    <t>Zcomb.</t>
  </si>
  <si>
    <t>Zapata</t>
  </si>
  <si>
    <t>Altura</t>
  </si>
  <si>
    <t>Cant.</t>
  </si>
  <si>
    <t>Viga de amarre</t>
  </si>
  <si>
    <t>Fraguache y pañete</t>
  </si>
  <si>
    <t>Longitud</t>
  </si>
  <si>
    <t>Violinado muros</t>
  </si>
  <si>
    <t>M2 muro</t>
  </si>
  <si>
    <t>Violinado colum.</t>
  </si>
  <si>
    <t>Long.</t>
  </si>
  <si>
    <t>Malla y trinchera</t>
  </si>
  <si>
    <t>Pintura</t>
  </si>
  <si>
    <t>Exterior</t>
  </si>
  <si>
    <t>Verja nueva</t>
  </si>
  <si>
    <t>Verja de malla</t>
  </si>
  <si>
    <t>Muro de 6 BNP</t>
  </si>
  <si>
    <t>Muro de 6 SNP</t>
  </si>
  <si>
    <t>cols</t>
  </si>
  <si>
    <t>L1</t>
  </si>
  <si>
    <t>L2</t>
  </si>
  <si>
    <t>espesor</t>
  </si>
  <si>
    <t>Zapata escalera</t>
  </si>
  <si>
    <t>Hormigon de limpieza</t>
  </si>
  <si>
    <t>1erN</t>
  </si>
  <si>
    <t>h</t>
  </si>
  <si>
    <t>C1</t>
  </si>
  <si>
    <t>2do</t>
  </si>
  <si>
    <t>1er N</t>
  </si>
  <si>
    <t>V1</t>
  </si>
  <si>
    <t>area</t>
  </si>
  <si>
    <t>Alojamiento</t>
  </si>
  <si>
    <t>la vega</t>
  </si>
  <si>
    <t>Maxima</t>
  </si>
  <si>
    <t>Torre vigilancia</t>
  </si>
  <si>
    <t>$/m2</t>
  </si>
  <si>
    <t>presupuesto</t>
  </si>
  <si>
    <t>Movimiento tierra</t>
  </si>
  <si>
    <t>hormigon 1er N</t>
  </si>
  <si>
    <t>hormigon 2do N</t>
  </si>
  <si>
    <t>hormigon 3er N</t>
  </si>
  <si>
    <t>hormigon 4to N</t>
  </si>
  <si>
    <t>hormigon 5to N</t>
  </si>
  <si>
    <t>bloques 1er N</t>
  </si>
  <si>
    <t>bloques 2do N</t>
  </si>
  <si>
    <t>bloques 3er N</t>
  </si>
  <si>
    <t>bloques 4to N</t>
  </si>
  <si>
    <t>bloques 5to N</t>
  </si>
  <si>
    <t>terminacion superf. 1erN</t>
  </si>
  <si>
    <t>terminacion superf. 2doN</t>
  </si>
  <si>
    <t>terminacion superf. 3erN</t>
  </si>
  <si>
    <t>terminacion superf. 4toN</t>
  </si>
  <si>
    <t>terminacion superf. 5toN</t>
  </si>
  <si>
    <t>terminacion piso 1erN</t>
  </si>
  <si>
    <t>terminacion piso 2doN</t>
  </si>
  <si>
    <t>terminacionpiso 3erN</t>
  </si>
  <si>
    <t>terminacion piso  4toN</t>
  </si>
  <si>
    <t>terminacion revest 1erN</t>
  </si>
  <si>
    <t>terminacion revest 2doN</t>
  </si>
  <si>
    <t>terminacion revest 3erN</t>
  </si>
  <si>
    <t>terminacion revest  4toN</t>
  </si>
  <si>
    <t>terminacion escalera 1erN</t>
  </si>
  <si>
    <t>terminacion  escalera 2doN</t>
  </si>
  <si>
    <t>terminacion escalera 3erN</t>
  </si>
  <si>
    <t>terminacion  escalera  4toN</t>
  </si>
  <si>
    <t>hierros  1er N</t>
  </si>
  <si>
    <t>hierros  2do N</t>
  </si>
  <si>
    <t>hierros  3er N</t>
  </si>
  <si>
    <t>hierros  4to N</t>
  </si>
  <si>
    <t>hierros  5to N</t>
  </si>
  <si>
    <t>ventana  1er N</t>
  </si>
  <si>
    <t>ventana  2do N</t>
  </si>
  <si>
    <t>ventana  3er N</t>
  </si>
  <si>
    <t>ventana  4to N</t>
  </si>
  <si>
    <t>puerta  1er N</t>
  </si>
  <si>
    <t>puerta  2do N</t>
  </si>
  <si>
    <t>puerta  3er N</t>
  </si>
  <si>
    <t>puerta  4to N</t>
  </si>
  <si>
    <t>pintura 1erN</t>
  </si>
  <si>
    <t>pintura 2doN</t>
  </si>
  <si>
    <t>pintura 3erN</t>
  </si>
  <si>
    <t>pintura  4toN</t>
  </si>
  <si>
    <t>sanitaria</t>
  </si>
  <si>
    <t>electrica</t>
  </si>
  <si>
    <t>Terminacion techo</t>
  </si>
  <si>
    <t>Muro sheetrock 2 caras</t>
  </si>
  <si>
    <t>Muro durock 2 caras</t>
  </si>
  <si>
    <t>Muro denglass 2 caras</t>
  </si>
  <si>
    <t>Fasia sheetrock</t>
  </si>
  <si>
    <t>Tope de granito natural</t>
  </si>
  <si>
    <t>escalon (huella y contrahuella) granito natural</t>
  </si>
  <si>
    <t>UVG</t>
  </si>
  <si>
    <t>CA</t>
  </si>
  <si>
    <t>3er techo</t>
  </si>
  <si>
    <t>D1</t>
  </si>
  <si>
    <t>D2</t>
  </si>
  <si>
    <t>V2</t>
  </si>
  <si>
    <t>V3</t>
  </si>
  <si>
    <t>V4</t>
  </si>
  <si>
    <t>2do N</t>
  </si>
  <si>
    <t>3roN</t>
  </si>
  <si>
    <t>V6</t>
  </si>
  <si>
    <t>V7</t>
  </si>
  <si>
    <t>Z1-1 muro</t>
  </si>
  <si>
    <t>Z2-2 muro</t>
  </si>
  <si>
    <t>Z3-3 muro</t>
  </si>
  <si>
    <t xml:space="preserve">ZC1 </t>
  </si>
  <si>
    <t>Bloques de 0.15 m con  f 3/8 a 0.40 m  S.N.P. con serpentina cada 3 lineas, M2</t>
  </si>
  <si>
    <t>Bloques de 0.15 m con  f 3/8 a 0.60 m  S.N.P. con serpentina cada 3 lineas</t>
  </si>
  <si>
    <t xml:space="preserve">Bloques de 0.15 m con  f 3/8 a 0.60 m con serpentina cada 3 lineas </t>
  </si>
  <si>
    <t>C/Malla D2.7xD2.7, 0.15 x 0.15</t>
  </si>
  <si>
    <t>Piso de porcelanato</t>
  </si>
  <si>
    <t>porcelanato</t>
  </si>
  <si>
    <t>Zócalos de porcelanato</t>
  </si>
  <si>
    <t>C. U.                       RD$</t>
  </si>
  <si>
    <t>Valor                  RD$</t>
  </si>
  <si>
    <t>Sub - Total                   RD$</t>
  </si>
  <si>
    <t>Viga BNP</t>
  </si>
  <si>
    <t>Rampa escalera</t>
  </si>
  <si>
    <t>losa e=0.12mt</t>
  </si>
  <si>
    <t>losa e=0.15mt</t>
  </si>
  <si>
    <t>losa e=0.16mt</t>
  </si>
  <si>
    <t>losa e=0.13mt</t>
  </si>
  <si>
    <t>losa piso e=0.18</t>
  </si>
  <si>
    <t>bote</t>
  </si>
  <si>
    <t>relleno</t>
  </si>
  <si>
    <t>Zapata Z3-3</t>
  </si>
  <si>
    <t>Zapata de escalera</t>
  </si>
  <si>
    <t>Losa e=0.12 2doN</t>
  </si>
  <si>
    <t>Losa e=0.13 2doN</t>
  </si>
  <si>
    <t>Losa e=0.15 2doN</t>
  </si>
  <si>
    <t>Losa e=0.16 2doN</t>
  </si>
  <si>
    <t>Molde para viga de 0.25x0.50</t>
  </si>
  <si>
    <t>Viga V3 =v4</t>
  </si>
  <si>
    <t>Dintel D2</t>
  </si>
  <si>
    <t xml:space="preserve">Columnas C1 2do N </t>
  </si>
  <si>
    <t xml:space="preserve">Columnas CA 2do N </t>
  </si>
  <si>
    <t xml:space="preserve">Columnas C1 3er N </t>
  </si>
  <si>
    <t>Molde para col. 0.65x0.60</t>
  </si>
  <si>
    <t>Viga V3=v4 2doN</t>
  </si>
  <si>
    <t>Viga V6 2do N</t>
  </si>
  <si>
    <t>Viga V1 1er N</t>
  </si>
  <si>
    <t>Análisis: 1 m3.</t>
  </si>
  <si>
    <t>Acero grado 60</t>
  </si>
  <si>
    <t>Servicio de Vaciado</t>
  </si>
  <si>
    <t>Herramientas y Equipos</t>
  </si>
  <si>
    <t>ANALISIS RAMPAS DE ESCALERAS</t>
  </si>
  <si>
    <t>total/m3</t>
  </si>
  <si>
    <t>Viga amarre verja exterior</t>
  </si>
  <si>
    <t>Molde para viga de 0.15x0.30</t>
  </si>
  <si>
    <t>Columnas CA verja exterior</t>
  </si>
  <si>
    <t>fino industrial</t>
  </si>
  <si>
    <t>Impermeabilizante techo plano (acril techo power)</t>
  </si>
  <si>
    <t>Sellador sika, rinde 16m2x cubeta</t>
  </si>
  <si>
    <t xml:space="preserve">Bloques de 0.15 m con  f 3/8 a 0.60 m con serpentina cada 3 lineas  </t>
  </si>
  <si>
    <t xml:space="preserve">MATERIAL </t>
  </si>
  <si>
    <t>LISTADO DE MATERIALES Y MANO DE OBRA (octubre 2020)</t>
  </si>
  <si>
    <t>Volumetria  VERJAS</t>
  </si>
  <si>
    <t>ACERA</t>
  </si>
  <si>
    <t>PORTONES TOLA</t>
  </si>
  <si>
    <t>PUERTAS MALLA</t>
  </si>
  <si>
    <t>2 UDS</t>
  </si>
  <si>
    <t>VIGAS</t>
  </si>
  <si>
    <t>COLS</t>
  </si>
  <si>
    <t xml:space="preserve">Relleno de reposición </t>
  </si>
  <si>
    <t>Foam</t>
  </si>
  <si>
    <t>foam</t>
  </si>
  <si>
    <t>4 UDS</t>
  </si>
  <si>
    <t>CAMPAMENTO</t>
  </si>
  <si>
    <t>ALQUILER FURGON OFICINA DE 20'</t>
  </si>
  <si>
    <t>MES</t>
  </si>
  <si>
    <t>ALQUILER FURGON CASETA DE MATERIALES DE 40 '</t>
  </si>
  <si>
    <t>ALQUILER FURGON CASETA DE MATERIALES DE 20 '</t>
  </si>
  <si>
    <t>ALQUILER BANO PORTATIL - 5 UD</t>
  </si>
  <si>
    <t>MESXUD</t>
  </si>
  <si>
    <t>COSTO TOTAL</t>
  </si>
  <si>
    <t>REPLANTEO - EQUIPO DE TOPOGRAFIA</t>
  </si>
  <si>
    <t>ESTACION TOTAL - 1 UD</t>
  </si>
  <si>
    <t>LIBRETAS, HILO, CAL</t>
  </si>
  <si>
    <t>TOPGRAFO - NIVELADOR - 1 UD</t>
  </si>
  <si>
    <t>PORTAPRISMA - 1 UD</t>
  </si>
  <si>
    <t>MURO DE BLOCKS DE 6" - 3/8" A 60 + SERP CADA 3 LINEAS</t>
  </si>
  <si>
    <t>M O R T E R O S</t>
  </si>
  <si>
    <t>bloques de 6"</t>
  </si>
  <si>
    <t>MORTERO 1:3, P/COLOCAR BLOQUES:</t>
  </si>
  <si>
    <t>mortero 1:3</t>
  </si>
  <si>
    <t>Arena gruesa lavada + 2% desp.</t>
  </si>
  <si>
    <t>Acero refuerzo 3/8 A 60cm</t>
  </si>
  <si>
    <t>Agua.</t>
  </si>
  <si>
    <t>hormigon en camaras</t>
  </si>
  <si>
    <t>Cemento gris.</t>
  </si>
  <si>
    <t>ANDAMIOS</t>
  </si>
  <si>
    <t>Mano de obra mezclado (un peón).</t>
  </si>
  <si>
    <t>día</t>
  </si>
  <si>
    <t>corte y amarre de varilla</t>
  </si>
  <si>
    <t>colocacion bloques</t>
  </si>
  <si>
    <t>MEZCLA DE EMPAÑETE:</t>
  </si>
  <si>
    <t>Arena fina + 2% desp.</t>
  </si>
  <si>
    <t>COSTO/M3</t>
  </si>
  <si>
    <t>Cal hidratada (50 lbs.).</t>
  </si>
  <si>
    <t>MURO DE BLOCKS DE 4"</t>
  </si>
  <si>
    <t>MORTERO 1:4 PARA EMPAÑETE:</t>
  </si>
  <si>
    <t>bloques de 4"</t>
  </si>
  <si>
    <t>Mezcla de empañete + 3% desp.</t>
  </si>
  <si>
    <t>Acero refuerzo 3/8 A 80cm</t>
  </si>
  <si>
    <t>MORTERO 1:2 IMPERMEABLE P/PULIDO:</t>
  </si>
  <si>
    <t>FRAGUACHE</t>
  </si>
  <si>
    <t>Mortero 1:3 Cemento y Arena Gruesa</t>
  </si>
  <si>
    <t>MEZCLA CAL Y ARENA, P/MORTERO COLOC. PISO:</t>
  </si>
  <si>
    <t>MO Fraguache con Escoba</t>
  </si>
  <si>
    <t>Herramientas Menores</t>
  </si>
  <si>
    <t>MORTERO 1:10, COLOCAR PISOS:</t>
  </si>
  <si>
    <t>PANETE GENERAL</t>
  </si>
  <si>
    <t>Mezcla cal y arena para pisos + 20% desp.</t>
  </si>
  <si>
    <t>Mortero 1:4 p/empañete + 30% desp., 2 cm. esp.</t>
  </si>
  <si>
    <t>Regla (1 de 1"x4"x10' / 100 usos).</t>
  </si>
  <si>
    <t>Andamios Internos</t>
  </si>
  <si>
    <t>Conf. andamios.</t>
  </si>
  <si>
    <t>Mano de obra.</t>
  </si>
  <si>
    <t>CANTOS</t>
  </si>
  <si>
    <t>Mortero 1:4 p/empañete + 30% desp.</t>
  </si>
  <si>
    <t>Reglas (2 de 1"x4"x3.28' / 10 usos).</t>
  </si>
  <si>
    <t>FINO DE TECHO</t>
  </si>
  <si>
    <t>hormigon industrial 180 kg/cm2 6 CM + 5% DESP</t>
  </si>
  <si>
    <t>ZABALETA</t>
  </si>
  <si>
    <t>MORTERO PULIDO PARA FINO</t>
  </si>
  <si>
    <t>MURO DE BLOCKS DE 6" - 3/8" A 60 BNP</t>
  </si>
  <si>
    <t>VIOLINADO DE 15 CM</t>
  </si>
  <si>
    <t>bloques de 8"</t>
  </si>
  <si>
    <t>MURO DE BLOCKS DE 8" - 3/8" A 60 SNP</t>
  </si>
  <si>
    <t>MURO DE BLOCKS DE 8" TEXTURIZADOS AGUAYO</t>
  </si>
  <si>
    <t>bloques TEXTURIZADOS</t>
  </si>
  <si>
    <t>MURO VIOLINADO</t>
  </si>
  <si>
    <t>bloques DE 8"</t>
  </si>
  <si>
    <t>LIMPIEZA CONTINUA Y FINAL</t>
  </si>
  <si>
    <t>Botes de escombros - 16 viajes al mes</t>
  </si>
  <si>
    <t>viajes de 6 m3</t>
  </si>
  <si>
    <t>Acarreo de Escombros con Equipo</t>
  </si>
  <si>
    <t>Limpieza Final Edificaciones</t>
  </si>
  <si>
    <t>HORMIGON DE NIVELACION de 0.05</t>
  </si>
  <si>
    <t>Hormigón  140 Kg/cm2</t>
  </si>
  <si>
    <t xml:space="preserve">Mano de Obra Vaciado </t>
  </si>
  <si>
    <t>alojamiento</t>
  </si>
  <si>
    <t>HORMIGON 210</t>
  </si>
  <si>
    <t>Mano Obra Acero</t>
  </si>
  <si>
    <t>ZAPATA Z4</t>
  </si>
  <si>
    <t>ZAPATA escalera</t>
  </si>
  <si>
    <t>zapata muro de bloques de 6"</t>
  </si>
  <si>
    <t>HORMIGON 280</t>
  </si>
  <si>
    <t>Clavos Corrientes</t>
  </si>
  <si>
    <t>Clavos de Acero</t>
  </si>
  <si>
    <t>Encofrado y Desencodrado a TC</t>
  </si>
  <si>
    <t>Encofrado y Desencodrado a TC HASTA 3 M</t>
  </si>
  <si>
    <t>COSTO/ML</t>
  </si>
  <si>
    <t>Encofrado madera a todo costo</t>
  </si>
  <si>
    <t>hasta 3 mt de altura</t>
  </si>
  <si>
    <t>TORTA DE HORMIGON CON FIBRA</t>
  </si>
  <si>
    <t>HORMIGON 180</t>
  </si>
  <si>
    <t>FIBRA</t>
  </si>
  <si>
    <t>PISO DE CEMENTO PULIDO, ESP 0.05 CON HELICOPTERO</t>
  </si>
  <si>
    <t>MANO DE OBRA FROTADO</t>
  </si>
  <si>
    <t>HORMIGON 180 + 5% DESP</t>
  </si>
  <si>
    <t>BONDING AGENT</t>
  </si>
  <si>
    <t>GL</t>
  </si>
  <si>
    <t xml:space="preserve">MANO DE OBRA PULIDO CON HELICOPTERO </t>
  </si>
  <si>
    <t>PINTURA ECONOMICA</t>
  </si>
  <si>
    <t>PINTURA ACRILICA SUP</t>
  </si>
  <si>
    <t>BASE</t>
  </si>
  <si>
    <t>Pintura Acrilica - Colores Carta Base</t>
  </si>
  <si>
    <t>PINTURA SEMIGLOS</t>
  </si>
  <si>
    <t>PINTURA EPOXICA</t>
  </si>
  <si>
    <t>Pintura SEMIGLOS</t>
  </si>
  <si>
    <t>Pintura EPOXICA</t>
  </si>
  <si>
    <t>RAMPA DE HORMIGON ESTRIADO</t>
  </si>
  <si>
    <t>LOSAS PLANAS 0.15M.</t>
  </si>
  <si>
    <t>MANO DE OBRA RAYADO</t>
  </si>
  <si>
    <t>CARPETA DE HORMIGON HIDRAULICO CON FIBRAS E=14 CM</t>
  </si>
  <si>
    <t>MANO DE OBRA PULIDO CON HELICOPTERO</t>
  </si>
  <si>
    <t>PISO DE HORMIGON FROTADO DE 10 CM</t>
  </si>
  <si>
    <t>MALLA ELECT</t>
  </si>
  <si>
    <t>COLOCACION MALLA</t>
  </si>
  <si>
    <t>TORTA DE HORMIGON CON BARRERA DE VAPOR</t>
  </si>
  <si>
    <t>REFLEXION</t>
  </si>
  <si>
    <t>BARRERA DE VAPOR</t>
  </si>
  <si>
    <t xml:space="preserve">MALLA ELECT </t>
  </si>
  <si>
    <t>MDO MALLA ELEC</t>
  </si>
  <si>
    <t>BANCO DE HORMIGON</t>
  </si>
  <si>
    <t>LOSA DE HORMIGON DE 0.08</t>
  </si>
  <si>
    <t>FROTADO LOSA</t>
  </si>
  <si>
    <t>MURO DE BLOCKS DE 6"</t>
  </si>
  <si>
    <t>PANETE MURO</t>
  </si>
  <si>
    <t>CANTOS MUROS</t>
  </si>
  <si>
    <t>ZAPATA ZC1</t>
  </si>
  <si>
    <t>ZAPATA ZC2</t>
  </si>
  <si>
    <t>PRELIMINARES:</t>
  </si>
  <si>
    <t xml:space="preserve">Excavación de Fundaciones  </t>
  </si>
  <si>
    <t xml:space="preserve">Bote producto de corte de capa vegetal, excavación </t>
  </si>
  <si>
    <t xml:space="preserve">M3 </t>
  </si>
  <si>
    <t xml:space="preserve">Dintel D1 (15x40), Hormigón 210 kg/cm2  industrial </t>
  </si>
  <si>
    <t xml:space="preserve">Dintel D2 (15x40), Hormigón 210 kg/cm2  industrial </t>
  </si>
  <si>
    <t>Pañete liso interior sobre muro</t>
  </si>
  <si>
    <t>Pañete liso exterior sobre muro</t>
  </si>
  <si>
    <t>Pañete sobre superficie de hormigón</t>
  </si>
  <si>
    <t>Acrílica económica como base</t>
  </si>
  <si>
    <t>Mantenimiento en hierro</t>
  </si>
  <si>
    <t>Losa e=0.12 1erN</t>
  </si>
  <si>
    <t>Viga V2 1er N</t>
  </si>
  <si>
    <t>Viga V3 1er N</t>
  </si>
  <si>
    <t>Viga V4 1er N</t>
  </si>
  <si>
    <t>Viga V5 1er N</t>
  </si>
  <si>
    <t>Viga V6 1er N</t>
  </si>
  <si>
    <t>Viga V7 1er N</t>
  </si>
  <si>
    <t>Viga V8 1er N</t>
  </si>
  <si>
    <t>Viga V9 1er N</t>
  </si>
  <si>
    <t>Viga V10 1er N</t>
  </si>
  <si>
    <t>Viga V11 1er N</t>
  </si>
  <si>
    <t>Viga V12 1er N</t>
  </si>
  <si>
    <t>Viga V14 1er N</t>
  </si>
  <si>
    <t>Viga V15 1er N</t>
  </si>
  <si>
    <t>Viga V16 1er N</t>
  </si>
  <si>
    <t>Viga V17 1er N</t>
  </si>
  <si>
    <t>Viga V18 1er N</t>
  </si>
  <si>
    <t>Viga V19 1er N</t>
  </si>
  <si>
    <t>Viga V20 1er N</t>
  </si>
  <si>
    <t>Hormigón 240 kg/cm2 industrial</t>
  </si>
  <si>
    <t>Molde para viga de 0.30x0.38</t>
  </si>
  <si>
    <t>Hormigón 240 kg/cm2 Industrial</t>
  </si>
  <si>
    <t>Molde para col. 0.50x0.50</t>
  </si>
  <si>
    <t>Desencofrado</t>
  </si>
  <si>
    <t>Losa / Desencofrado  e=0.12</t>
  </si>
  <si>
    <t>Chapapote e=0.08mt</t>
  </si>
  <si>
    <t>Hormigón 180 kg/cm2 industrial</t>
  </si>
  <si>
    <t>1 rollo</t>
  </si>
  <si>
    <t>Dintel D1</t>
  </si>
  <si>
    <t>Mochetas</t>
  </si>
  <si>
    <t>MOCHETAS</t>
  </si>
  <si>
    <t xml:space="preserve">Mortero 1:4 p/empañete </t>
  </si>
  <si>
    <t>COSTO/ML ---&gt;</t>
  </si>
  <si>
    <t>Mocheta</t>
  </si>
  <si>
    <t>De cerámica Importada de (0.20 x 0.30 ) mts. blanca  1er. Nivel</t>
  </si>
  <si>
    <t>Acrilica en muros techo(dos manos)</t>
  </si>
  <si>
    <t>Mezcla 1:3 para un 2do. Nivel indust</t>
  </si>
  <si>
    <t xml:space="preserve">Rampa de escalera (H= 0.15mt), Hormigón 210 kg/cm2  industrial </t>
  </si>
  <si>
    <t>Zapata ZC3</t>
  </si>
  <si>
    <t>Zapata ZC4</t>
  </si>
  <si>
    <t>Zapata ZC5</t>
  </si>
  <si>
    <t>Zapata muro 0.15</t>
  </si>
  <si>
    <t>Zapata muro 0.10</t>
  </si>
  <si>
    <t>Columnas C3  1erN</t>
  </si>
  <si>
    <t>Columnas C4  1erN</t>
  </si>
  <si>
    <t>Columnas C2 1erN no existe</t>
  </si>
  <si>
    <t>Molde para viga de 0.30x0.48</t>
  </si>
  <si>
    <t>Viga escalera</t>
  </si>
  <si>
    <t>Molde para viga de 0.15x0.35</t>
  </si>
  <si>
    <t>Losa e=0.13 1erN</t>
  </si>
  <si>
    <t>Losa / Desencofrado  e=0.13</t>
  </si>
  <si>
    <t>Losa e=0.14 1erN</t>
  </si>
  <si>
    <t>Losa e=0.15 1erN</t>
  </si>
  <si>
    <t xml:space="preserve">Columnas C2 2doN </t>
  </si>
  <si>
    <t>Columnas C3  2doN</t>
  </si>
  <si>
    <t>Viga V13 2do N</t>
  </si>
  <si>
    <t>Mezcla 1:3 para un 3er. Nivel indust</t>
  </si>
  <si>
    <t xml:space="preserve">Zapata muro seccion1-1, Hormigón 210 kg/cm2  industrial </t>
  </si>
  <si>
    <t xml:space="preserve">Zapata muro seccion2-2, Hormigón 210 kg/cm2  industrial </t>
  </si>
  <si>
    <t>Zapata muro de 8</t>
  </si>
  <si>
    <t>Zapata muro de 6</t>
  </si>
  <si>
    <t>Columnas CA 1er N</t>
  </si>
  <si>
    <t>Molde para viga de 0.20x0.36</t>
  </si>
  <si>
    <t>Losa / Desencofrado  e=0.14</t>
  </si>
  <si>
    <t>Acero f 3/8" serpentina @0.60m</t>
  </si>
  <si>
    <t>Hormigon 240 Kg/cm2</t>
  </si>
  <si>
    <t>Encofrado de Escalera 2 rampas</t>
  </si>
  <si>
    <t>Hormigón 210 kg/cm2 indust</t>
  </si>
  <si>
    <t>VUELO DE 0.40</t>
  </si>
  <si>
    <t>VUELO DE 0.80</t>
  </si>
  <si>
    <t>VUELO DE 1.50</t>
  </si>
  <si>
    <t xml:space="preserve">Zapata muro seccion 3-3, Hormigón 210 kg/cm2  industrial </t>
  </si>
  <si>
    <t xml:space="preserve">Zapata ZC1 E=0.50m, Hormigón 210 kg/cm2  industrial </t>
  </si>
  <si>
    <t xml:space="preserve">Zapata ZC2 de MHA1 E=0.50m, Hormigón 210 kg/cm2 industrial </t>
  </si>
  <si>
    <t xml:space="preserve">Columna CA (20X30) Hormigón 210 kg/cm2  industrial </t>
  </si>
  <si>
    <t xml:space="preserve">Columna CA (20X20) Hormigón 210 kg/cm2  industrial </t>
  </si>
  <si>
    <t xml:space="preserve">Columna CA (30X15) Hormigón 210 kg/cm2  industrial </t>
  </si>
  <si>
    <t xml:space="preserve">Columna C1 (40X40) Hormigón 210 kg/cm2  industrial </t>
  </si>
  <si>
    <t xml:space="preserve">Zapata escalera E=0.35m, Hormigón 210 kg/cm2  industrial </t>
  </si>
  <si>
    <t xml:space="preserve">Viga V1 (20x35), Hormigón 210 kg/cm2  industrial </t>
  </si>
  <si>
    <t xml:space="preserve">Viga V2 (30x30), Hormigón 210 kg/cm2  industrial </t>
  </si>
  <si>
    <t xml:space="preserve">Viga V3 (30x38), Hormigón 210 kg/cm2  industrial </t>
  </si>
  <si>
    <t xml:space="preserve">Viga V4 (30x40), Hormigón 210 kg/cm2  industrial </t>
  </si>
  <si>
    <t xml:space="preserve">Viga V5 (30x40), Hormigón 210 kg/cm2  industrial </t>
  </si>
  <si>
    <t xml:space="preserve">Viga V6 (30x40), Hormigón 210 kg/cm2  industrial </t>
  </si>
  <si>
    <t xml:space="preserve">Viga V7 (30x40), Hormigón 210 kg/cm2  industrial </t>
  </si>
  <si>
    <t xml:space="preserve">Viga V8 (30x35), Hormigón 210 kg/cm2  industrial </t>
  </si>
  <si>
    <t xml:space="preserve">Viga V9 (30x40), Hormigón 210 kg/cm2  industrial </t>
  </si>
  <si>
    <t xml:space="preserve">Viga V10 (30x40), Hormigón 210 kg/cm2  industrial </t>
  </si>
  <si>
    <t xml:space="preserve">Viga de amarre de muros (20x30), Hormigón 210 kg/cm2  industrial </t>
  </si>
  <si>
    <t xml:space="preserve">Viga de amarre de muros (15x30), Hormigón 210 kg/cm2  industrial </t>
  </si>
  <si>
    <t xml:space="preserve">Dintel D2 (20x40), Hormigón 210 kg/cm2  industrial </t>
  </si>
  <si>
    <t xml:space="preserve">Dintel D1 (20x40), Hormigón 210 kg/cm2  industrial </t>
  </si>
  <si>
    <t>Viga amarre bajo nivel de piso (20x20), Hormigón 210 kg/cm2  a mano</t>
  </si>
  <si>
    <t>Viga de escalera (20x35), Hormigón 210 kg/cm2 industrial</t>
  </si>
  <si>
    <t>Losa maciza, Hormigón 210 kg/cm2  industrial e= 0.12mt</t>
  </si>
  <si>
    <t>Losa maciza, Hormigón 210 kg/cm2  industrial e= 0.15mt</t>
  </si>
  <si>
    <t>Louvers en ventanas</t>
  </si>
  <si>
    <t>Escalones de entrada</t>
  </si>
  <si>
    <t xml:space="preserve">Viga Riostra (30x50), Hormigón 210 kg/cm2  industrial </t>
  </si>
  <si>
    <t>Bancos de hormigon</t>
  </si>
  <si>
    <t xml:space="preserve">Muro HA MH1, e=0.30mt , Hormigón 210 kg/cm2  industrial </t>
  </si>
  <si>
    <t>Losa Aligerada, Hormigón 210 kg/cm2  industrial e= 0.20mt, con malla electrosolada D2.5x2.5x100x100</t>
  </si>
  <si>
    <t>Blocks calados</t>
  </si>
  <si>
    <t>MEMORIA DE CALCULOS PARA VOLUMETRIA DE EDIFICIO ALOJAMIENTO HOMBRES ANAMUYA</t>
  </si>
  <si>
    <t>PRIMER NIVEL Y ZAPATA</t>
  </si>
  <si>
    <t>BNP</t>
  </si>
  <si>
    <t>%Esponjamiento</t>
  </si>
  <si>
    <t>RESUMEN POR NIVEL/ 1er nivel</t>
  </si>
  <si>
    <t>MURO</t>
  </si>
  <si>
    <t xml:space="preserve">LARGO MURO </t>
  </si>
  <si>
    <t>ANCHO MURO</t>
  </si>
  <si>
    <t>ALTURA MURO B.N.P.</t>
  </si>
  <si>
    <t>AREA MUROS B.N.P.</t>
  </si>
  <si>
    <t>LARGO ZAPATA MURO</t>
  </si>
  <si>
    <t>ANCHO ZAPATA MURO</t>
  </si>
  <si>
    <t>ALTURA ZAPATA MURO</t>
  </si>
  <si>
    <t>VOLUMEN HORMIGON ZAPATA MURO</t>
  </si>
  <si>
    <t>ALTURA EXCAVACION</t>
  </si>
  <si>
    <t>VOLUMEN BLOQUES B.N.P.M3</t>
  </si>
  <si>
    <t xml:space="preserve">VOLUMEN EXCAVACION </t>
  </si>
  <si>
    <t>RELLENO DE REPOSICION</t>
  </si>
  <si>
    <t>VOLUMEN DE BOTE  E=1.35</t>
  </si>
  <si>
    <t>Replanteo</t>
  </si>
  <si>
    <t>ZAPATA MURO Y COL SECCION 1-1´</t>
  </si>
  <si>
    <t>Fumigacion áreas de Construcción</t>
  </si>
  <si>
    <t>ZAPATA MURO Y COL SECCION 2-2´</t>
  </si>
  <si>
    <t>ZAPATA MURO Y COL SECCION 3-3´</t>
  </si>
  <si>
    <t>Viga de amarre 0.20 x 0.20m</t>
  </si>
  <si>
    <t xml:space="preserve">Blocks en Escalera </t>
  </si>
  <si>
    <t xml:space="preserve">Hormigon de nivelacion, </t>
  </si>
  <si>
    <t>ZAPATA DE COLUMNAS y MHA</t>
  </si>
  <si>
    <t>TIPO</t>
  </si>
  <si>
    <t>LARGO ZAPATA</t>
  </si>
  <si>
    <t>ANCHO ZAPATA</t>
  </si>
  <si>
    <t>ALTURA ZAPATA</t>
  </si>
  <si>
    <t>VOLUMEN HORMIGON ZAPATA</t>
  </si>
  <si>
    <t>VOLUMEN EXCAVACION</t>
  </si>
  <si>
    <t>ALTURA PICHON DE COL/MURO HA</t>
  </si>
  <si>
    <t xml:space="preserve">VOLUMEN HORMIGON Pichon de Columna/MURO HA </t>
  </si>
  <si>
    <t xml:space="preserve">COEF. ESP. </t>
  </si>
  <si>
    <t>ZAP MHA ZC2</t>
  </si>
  <si>
    <t>Dintel D1 0.20x 0.40 Hormigón 210kg/cm2</t>
  </si>
  <si>
    <t>ZC1</t>
  </si>
  <si>
    <t>Dintel D1 0.15x 0.40 Hormigón 210kg/cm2</t>
  </si>
  <si>
    <t>VRIOSTRA</t>
  </si>
  <si>
    <t>Dintel D2 0.20 x 0.40 Hormigón 210kg/cm2</t>
  </si>
  <si>
    <t>TOTAL ZAPATAS DE COLUMNAS</t>
  </si>
  <si>
    <t>Dintel D2 0.15 x 0.40 Hormigón 210kg/cm2</t>
  </si>
  <si>
    <t>Para viga riostra se considero un ancho de excavacion de 0.30mt</t>
  </si>
  <si>
    <t>HORMIGON NIVELACION</t>
  </si>
  <si>
    <t>ZAPATA DE ESCALERA</t>
  </si>
  <si>
    <t>VOLUMEN HORMIGON Pichon de Escalera</t>
  </si>
  <si>
    <t>ZAP Escalera</t>
  </si>
  <si>
    <t>M2 DE VENTANAS PRIMER NIVEL</t>
  </si>
  <si>
    <t>PROTECCION  EN PRIMER NIVEL</t>
  </si>
  <si>
    <t>AREA</t>
  </si>
  <si>
    <t>MOCHETA</t>
  </si>
  <si>
    <t xml:space="preserve">CANTOS Interiores </t>
  </si>
  <si>
    <t>LARGO</t>
  </si>
  <si>
    <t>ALTURA</t>
  </si>
  <si>
    <t>Paneles Fijos de barrotes HIERRO 3/4  Ventanas</t>
  </si>
  <si>
    <t>LOUVERS</t>
  </si>
  <si>
    <t>Fraguache de Muros</t>
  </si>
  <si>
    <t>NIVEL</t>
  </si>
  <si>
    <t>AREA (M2)</t>
  </si>
  <si>
    <t>PINTURA EXT.</t>
  </si>
  <si>
    <t>PUERTA</t>
  </si>
  <si>
    <t>1ER</t>
  </si>
  <si>
    <t>PUERTAS 3.00 X 2.40</t>
  </si>
  <si>
    <t>PUERTAS 3.20 X 2.40</t>
  </si>
  <si>
    <t>PUERTAS 2.00 X 2.40</t>
  </si>
  <si>
    <t>PUERTAS 1.00 X 2.40</t>
  </si>
  <si>
    <t>PUERTAS 1.70 X 2.40</t>
  </si>
  <si>
    <t>Torta piso E=0.08m</t>
  </si>
  <si>
    <t>PUERTAS 1.00 X 2.10</t>
  </si>
  <si>
    <t>Area de Piso</t>
  </si>
  <si>
    <t>PUERTAS 0.80 X 2.10</t>
  </si>
  <si>
    <t>Revestimiento (pintura epoxica) en pared (solo perimetro</t>
  </si>
  <si>
    <t xml:space="preserve">PRIMER NIVEL </t>
  </si>
  <si>
    <t>Zabaleta en piso ducha discapacitado</t>
  </si>
  <si>
    <t>Escalones de Escalera Cemento Gris</t>
  </si>
  <si>
    <t>MURO MAMPOSTERTIA  6'' S.N.P.  HASTA NIVEL INFERIOR DE VIGA 1ER NIVEL</t>
  </si>
  <si>
    <t>Descanso de de Cemento Gris</t>
  </si>
  <si>
    <t xml:space="preserve">LARGO </t>
  </si>
  <si>
    <t>AREA MUROS</t>
  </si>
  <si>
    <t>AREA HUECOS</t>
  </si>
  <si>
    <t>AREA MUROS MENOS HUECOS</t>
  </si>
  <si>
    <t>PAÑETE INTERIOR (M2)</t>
  </si>
  <si>
    <t>PAÑETE EXTERIOR (M2)</t>
  </si>
  <si>
    <t>PINTURA INT.</t>
  </si>
  <si>
    <t>MECHONES DE PUERTAS</t>
  </si>
  <si>
    <t>M20</t>
  </si>
  <si>
    <t>M21A</t>
  </si>
  <si>
    <t>M21B</t>
  </si>
  <si>
    <t>M22</t>
  </si>
  <si>
    <t>M23</t>
  </si>
  <si>
    <t>M24</t>
  </si>
  <si>
    <t>M25</t>
  </si>
  <si>
    <t>M26</t>
  </si>
  <si>
    <t>Pintura exterior</t>
  </si>
  <si>
    <t>M27</t>
  </si>
  <si>
    <t>Pintura Interior</t>
  </si>
  <si>
    <t>M16A  block debajo de calado</t>
  </si>
  <si>
    <t>Pintura Techo</t>
  </si>
  <si>
    <t>M18  BLOCK debajo de CALADO</t>
  </si>
  <si>
    <t>Pintura Acrilica Econimica Base</t>
  </si>
  <si>
    <t>MURO JARDINERIA FRONTAL</t>
  </si>
  <si>
    <t>Mantenimeinto de Hierro</t>
  </si>
  <si>
    <t>JARDINERIA</t>
  </si>
  <si>
    <t>RAMPA</t>
  </si>
  <si>
    <t>TOTAL BLOQUES 6'' S.N.P.</t>
  </si>
  <si>
    <t>EXCAVACION</t>
  </si>
  <si>
    <t>TOTALES</t>
  </si>
  <si>
    <t>MENOS DINTELES</t>
  </si>
  <si>
    <t>RELLENO COMPACTADO</t>
  </si>
  <si>
    <t>ZAPATA DE BLOCKS</t>
  </si>
  <si>
    <t>M2 DE BLOCKS 4¨´</t>
  </si>
  <si>
    <t>M2 DE PINTURA</t>
  </si>
  <si>
    <t>BARANDA DOBLE</t>
  </si>
  <si>
    <t>PANETE DE BORDILLO</t>
  </si>
  <si>
    <t>MURO MAMPOSTERTIA  8'' S.N.P.  HASTA NIVEL INFERIOR DE VIGA 1ER NIVEL</t>
  </si>
  <si>
    <t>PISO HORMIGON</t>
  </si>
  <si>
    <t>Plafon en baños y duchas</t>
  </si>
  <si>
    <t>M1</t>
  </si>
  <si>
    <t>bancos de hormigon}</t>
  </si>
  <si>
    <t>Tope de granito en cuarto de control</t>
  </si>
  <si>
    <t>M4</t>
  </si>
  <si>
    <t>M5</t>
  </si>
  <si>
    <t>M6</t>
  </si>
  <si>
    <t>M7</t>
  </si>
  <si>
    <t>M8</t>
  </si>
  <si>
    <t>M9A</t>
  </si>
  <si>
    <t>M9B</t>
  </si>
  <si>
    <t>M10</t>
  </si>
  <si>
    <t>M11A</t>
  </si>
  <si>
    <t>M11B</t>
  </si>
  <si>
    <t>M13</t>
  </si>
  <si>
    <t>M14</t>
  </si>
  <si>
    <t>M15</t>
  </si>
  <si>
    <t>M17</t>
  </si>
  <si>
    <t>M19</t>
  </si>
  <si>
    <t>TOTAL BLOQUES 8'' S.N.P.</t>
  </si>
  <si>
    <t>PAÑETE EXTERIIOR MUROS</t>
  </si>
  <si>
    <t>PAÑETE INTERIOR MUROS</t>
  </si>
  <si>
    <t>FRAGUACHE DE MUROS</t>
  </si>
  <si>
    <t>BLOCKS CALADOS</t>
  </si>
  <si>
    <t>M16A  block calado</t>
  </si>
  <si>
    <t>M18  BLOCK CALADO</t>
  </si>
  <si>
    <t>TOTAL BLOCK CALADO</t>
  </si>
  <si>
    <t>AREA DE TECHO POR NIVEL</t>
  </si>
  <si>
    <t>AREA DE PISOS POR AMBIENTES EN PRIMER NIVEL</t>
  </si>
  <si>
    <t>CARETEO</t>
  </si>
  <si>
    <t>PANETE</t>
  </si>
  <si>
    <t>ZOCALOS (ML)</t>
  </si>
  <si>
    <t>CELDA</t>
  </si>
  <si>
    <t>DUCHAS DE CELDAS</t>
  </si>
  <si>
    <t>AREA DE VUELOS POR NIVEL</t>
  </si>
  <si>
    <t>PASILLO CELDAS Y PATIO Y CENTRAL</t>
  </si>
  <si>
    <t>ATENCION INTEGRAL</t>
  </si>
  <si>
    <t>CONTROL Y BAÑO</t>
  </si>
  <si>
    <t>ENTRADA</t>
  </si>
  <si>
    <t>PATIO</t>
  </si>
  <si>
    <t>PATINILLOS</t>
  </si>
  <si>
    <t xml:space="preserve">MOCHETAS EN PUERTAS Y VENTANAS </t>
  </si>
  <si>
    <t>AREA ESCALERA GATO</t>
  </si>
  <si>
    <t>AMBIENTE</t>
  </si>
  <si>
    <t>VOL</t>
  </si>
  <si>
    <t>DESCRPCION</t>
  </si>
  <si>
    <t>CANT</t>
  </si>
  <si>
    <t>MUROS</t>
  </si>
  <si>
    <t>PUERTAS</t>
  </si>
  <si>
    <t>VENTANAS</t>
  </si>
  <si>
    <t>AREA DE TECHO</t>
  </si>
  <si>
    <t>AREA DE VUELOS</t>
  </si>
  <si>
    <t>TOTAL TECHO</t>
  </si>
  <si>
    <t>TOTAL DE VUELOS</t>
  </si>
  <si>
    <t xml:space="preserve">TOTAL DE PISOS </t>
  </si>
  <si>
    <t>TOPE DE GRANITO EN CUARTO CONTROL 1ER N</t>
  </si>
  <si>
    <t>ESPESOR</t>
  </si>
  <si>
    <t>VOLUMEN</t>
  </si>
  <si>
    <t>PISO</t>
  </si>
  <si>
    <t xml:space="preserve">PERIMETRO DE DUCHA DE CELDAS </t>
  </si>
  <si>
    <t>PLAFON EN BANOS CELDAS 1ER N</t>
  </si>
  <si>
    <t>DINTELES 1ER NIVEL</t>
  </si>
  <si>
    <t>AREA PANETE EXT</t>
  </si>
  <si>
    <t>AREA PANETE INT</t>
  </si>
  <si>
    <t>AREA CARETEO</t>
  </si>
  <si>
    <t>PINTURA Interior</t>
  </si>
  <si>
    <t>Pintura Exterrior</t>
  </si>
  <si>
    <t>ZABALETA PISO DUCHA DISCAPACITADO 1ER N</t>
  </si>
  <si>
    <t>VIGAS PRIMER NIVEL</t>
  </si>
  <si>
    <t>PANETE INTERIOR</t>
  </si>
  <si>
    <t>PANETE EXTERIOR</t>
  </si>
  <si>
    <t>PINTURA EXT</t>
  </si>
  <si>
    <t>PINTURA INTERIOR</t>
  </si>
  <si>
    <t>POLIURETANO EN JUNTA 1ER N</t>
  </si>
  <si>
    <t>VIGA</t>
  </si>
  <si>
    <t>COLUMNA Y MURO HA</t>
  </si>
  <si>
    <t>COLUMNAS PRIMER NIVEL</t>
  </si>
  <si>
    <t xml:space="preserve">ALTURA DE CANTOS </t>
  </si>
  <si>
    <t>TOTAL DE CANTOS</t>
  </si>
  <si>
    <t>BANCOS DE HORMIGON</t>
  </si>
  <si>
    <t>MUROS DE HORMIGON PRIMER NIVEL</t>
  </si>
  <si>
    <t>PANETE EXT.</t>
  </si>
  <si>
    <t>PANETE INT.</t>
  </si>
  <si>
    <t xml:space="preserve">VUELOS </t>
  </si>
  <si>
    <t>AREA DE PINTURA 1ER N</t>
  </si>
  <si>
    <t>VIOLINADO EXTERIOR</t>
  </si>
  <si>
    <t>DESCANSO CEMENTO GRIS</t>
  </si>
  <si>
    <t>EXTERIOR</t>
  </si>
  <si>
    <t>INTERIOR</t>
  </si>
  <si>
    <t>ESCALONES ENTRADA CEMENTO GRIS</t>
  </si>
  <si>
    <t>ESCALONES ESCALERA  CEMENTO GRIS</t>
  </si>
  <si>
    <t>TECHO</t>
  </si>
  <si>
    <t xml:space="preserve">SEGUNDO NIVEL </t>
  </si>
  <si>
    <t>MURO MAMPOSTERTIA  8'' S.N.P.  HASTA NIVEL INFERIOR DE VIGA 2ER NIVEL</t>
  </si>
  <si>
    <t>RESUMEN 2D0 NIVEL</t>
  </si>
  <si>
    <t>FRAGUACHE MURO</t>
  </si>
  <si>
    <t>VOLUMEN HORMIGON RECAMARA S.N.P</t>
  </si>
  <si>
    <t>M8A</t>
  </si>
  <si>
    <t>M8B</t>
  </si>
  <si>
    <t>M9</t>
  </si>
  <si>
    <t>M10A</t>
  </si>
  <si>
    <t>M10B</t>
  </si>
  <si>
    <t>M11</t>
  </si>
  <si>
    <t>M12</t>
  </si>
  <si>
    <t>M15A</t>
  </si>
  <si>
    <t>M15B</t>
  </si>
  <si>
    <t>M16</t>
  </si>
  <si>
    <t>M18</t>
  </si>
  <si>
    <t>MURO MAMPOSTERTIA  6'' S.N.P.  HASTA NIVEL INFERIOR DE VIGA 2ER NIVEL</t>
  </si>
  <si>
    <t>M21</t>
  </si>
  <si>
    <t>M22A</t>
  </si>
  <si>
    <t>M22B</t>
  </si>
  <si>
    <t>M28</t>
  </si>
  <si>
    <t>M29 HASTA BLOCK CALADO</t>
  </si>
  <si>
    <t>MECHONES PUERTAS</t>
  </si>
  <si>
    <t>MURO VERTEDERO</t>
  </si>
  <si>
    <t>Bloques calados</t>
  </si>
  <si>
    <t>Violin 0.15mt en Superficie Exterior</t>
  </si>
  <si>
    <t>M29 BLOCK CALADO</t>
  </si>
  <si>
    <t>Revestimiento en Pintura epoxica falta altura</t>
  </si>
  <si>
    <t>M30 BLOCK CALADO</t>
  </si>
  <si>
    <t>Zabaleta en celda discapacitado</t>
  </si>
  <si>
    <t>M31 BLOCK CALADO</t>
  </si>
  <si>
    <t>Escalones de Cemento Gris</t>
  </si>
  <si>
    <t>TORTA DE HORMIGON EN PISO e=0.10mt 2DO NIVEL</t>
  </si>
  <si>
    <t>Plafon en duchas en control</t>
  </si>
  <si>
    <t>2DO</t>
  </si>
  <si>
    <t>TOTAL N 2</t>
  </si>
  <si>
    <t>AREA DE PISOS POR AMBIENTES EN SEGUNDO NIVEL 2DO NIVEL</t>
  </si>
  <si>
    <t>AREA DUCHAS</t>
  </si>
  <si>
    <t>Proteccion de Hierro</t>
  </si>
  <si>
    <t>PASILLO CELDAS</t>
  </si>
  <si>
    <t>PUERTAS 3.74X2.40</t>
  </si>
  <si>
    <t>PASILLO CENTRAL</t>
  </si>
  <si>
    <t>PUERTAS 3.00X2.40</t>
  </si>
  <si>
    <t>PUERTAS 1.00X2.40</t>
  </si>
  <si>
    <t>CONTROL</t>
  </si>
  <si>
    <t>PUERTAS 1.70X2.40</t>
  </si>
  <si>
    <t>TOTAL NIVEL 2</t>
  </si>
  <si>
    <t>CELDAS Y BAÑOS</t>
  </si>
  <si>
    <t xml:space="preserve">PUERTAS 1.00X2.10 </t>
  </si>
  <si>
    <t>PUERTAS 1.00X2.10 multilock</t>
  </si>
  <si>
    <t>PUERTAS 0.80X2.10</t>
  </si>
  <si>
    <t>M2 DE PUERTAS SEGUNDO NIVEL</t>
  </si>
  <si>
    <t>TOTAL DE PISOS BANOS</t>
  </si>
  <si>
    <t>VENTANAS CORREDIZA con policarbonato 1.40M X 1.45</t>
  </si>
  <si>
    <t>TOTAL DE PISOS N 2</t>
  </si>
  <si>
    <t>VENTANAS CORREDIZA con policarbonato 0.60M X 0.6</t>
  </si>
  <si>
    <t>POLICARBONATO 1.80M X 1.20 (5.904x3.936)</t>
  </si>
  <si>
    <t>PLAFON EN BANO CONTROL 2DO N</t>
  </si>
  <si>
    <t>POLIURETANO EN JUNTA 2DO N</t>
  </si>
  <si>
    <t>PUERTAS 1.00X2.10</t>
  </si>
  <si>
    <t>AREAS DE REVEST. Y PISO BANO CONTROL 2DO NIVEL</t>
  </si>
  <si>
    <t>ESCALONES CEMENTO GRIS</t>
  </si>
  <si>
    <t>Poliuretano en juntas</t>
  </si>
  <si>
    <t>Tiope de granito en control</t>
  </si>
  <si>
    <t>AREAS DE BLOQUES EN VENTANAS SEGUNDO NIVEL</t>
  </si>
  <si>
    <t>DINTELES 2DO NIVEL</t>
  </si>
  <si>
    <t>BLOQUE</t>
  </si>
  <si>
    <t>A TOTAL</t>
  </si>
  <si>
    <t>VIGAS 2DO NIVEL</t>
  </si>
  <si>
    <t>TOPE DE GRANITO EN CUARTO CONTROL 2DO N</t>
  </si>
  <si>
    <t>TOTAL POR NIVEL</t>
  </si>
  <si>
    <t>PINTURA EPOXICA Y ZABALETA</t>
  </si>
  <si>
    <t>PROTECCION  EN SEGUNDO NIVEL</t>
  </si>
  <si>
    <t>COLUMNAS 2DO NIVEL</t>
  </si>
  <si>
    <t>PINTURA EPOXICa EN DUCHA</t>
  </si>
  <si>
    <t>ZABALETA EN DUCHAS</t>
  </si>
  <si>
    <t>TECHO EN HIERRO EN PATIO</t>
  </si>
  <si>
    <t>AREA DE PINTURA 2DO NIVEL</t>
  </si>
  <si>
    <t>MUROS DE HORMIGON SEGUNDO NIVEL</t>
  </si>
  <si>
    <t>RESUMEN 3er NIVEL</t>
  </si>
  <si>
    <t xml:space="preserve">TERCER NIVEL </t>
  </si>
  <si>
    <t>MURO MAMPOSTERTIA  8'' S.N.P.  HASTA NIVEL INFERIOR DE VIGA 3ER NIVEL</t>
  </si>
  <si>
    <t>MURO MAMPOSTERTIA  6'' S.N.P.  HASTA NIVEL INFERIOR DE VIGA 3ER NIVEL</t>
  </si>
  <si>
    <t>POLIURETANO EN JUNTA 3er N</t>
  </si>
  <si>
    <t>TORTA DE HORMIGON EN PISO e=0.10mt 3ER NIVEL</t>
  </si>
  <si>
    <t>Plafon en control</t>
  </si>
  <si>
    <t>AREA DE PISOS POR AMBIENTES EN SEGUNDO NIVEL 3ER NIVEL</t>
  </si>
  <si>
    <t>TOTAL DE PISOS N 3</t>
  </si>
  <si>
    <t>PLAFON EN BANO CONTROL 3er N</t>
  </si>
  <si>
    <t>AREAS DE REVEST. Y PISO BANO CONTROL 3ER NIVEL</t>
  </si>
  <si>
    <t>DINTELES 3R NIVEL</t>
  </si>
  <si>
    <t>VIGAS 3ER NIVEL</t>
  </si>
  <si>
    <t>TOPE DE GRANITO EN CUARTO CONTROL 3ER N</t>
  </si>
  <si>
    <t>PROTECCION  EN 3ER  NIVEL</t>
  </si>
  <si>
    <t>COLUMNAS 3ER NIVEL</t>
  </si>
  <si>
    <t>3ER</t>
  </si>
  <si>
    <t>AREA DE PINTURA 3ER NIVEL</t>
  </si>
  <si>
    <t>MUROS DE HORMIGON 3ER NIVEL</t>
  </si>
  <si>
    <t>RESUMEN 4to NIVEL</t>
  </si>
  <si>
    <t>CUARTO NIVEL Y TECHO</t>
  </si>
  <si>
    <t xml:space="preserve">MURO MAMPOSTERTIA  8'' S.N.P.  HASTA NIVEL INFERIOR DE VIGA </t>
  </si>
  <si>
    <t xml:space="preserve">MURO MAMPOSTERTIA  6'' S.N.P.  HASTA NIVEL INFERIOR DE VIGA </t>
  </si>
  <si>
    <t>MUROS EN PATINILLO</t>
  </si>
  <si>
    <t>block calado en ventana area de lavanderia</t>
  </si>
  <si>
    <t>AREA DE PISO</t>
  </si>
  <si>
    <t>DINTELES 4TO NIVEL</t>
  </si>
  <si>
    <t>MUROS DE HORMIGON 4TO NIVEL</t>
  </si>
  <si>
    <t>VIGAS 4TO NIVEL</t>
  </si>
  <si>
    <t>COLUMNAS 4TO NIVEL</t>
  </si>
  <si>
    <t xml:space="preserve">TECHO </t>
  </si>
  <si>
    <t xml:space="preserve">LOSAS DE TECHO </t>
  </si>
  <si>
    <t xml:space="preserve">AREA Techo (M2) </t>
  </si>
  <si>
    <t xml:space="preserve">PANETE Y CARETEO (M2) </t>
  </si>
  <si>
    <t>FINO TECHO (M2)</t>
  </si>
  <si>
    <t xml:space="preserve">BLOCKS ANTEPECHO (M2) </t>
  </si>
  <si>
    <t>PANETE ANTEPECHO</t>
  </si>
  <si>
    <t>PINTURA INT DE TECHO</t>
  </si>
  <si>
    <t>IMPERMEABILIZANTE</t>
  </si>
  <si>
    <t>PINTURA EXTR EN ANTEPECHO</t>
  </si>
  <si>
    <t>PINTURA EXT DE TECHO</t>
  </si>
  <si>
    <t>LOSA DE TECHO 3ER N INLC. PATINILLO</t>
  </si>
  <si>
    <t>LOSA  TECHO CAJA ESCALERA</t>
  </si>
  <si>
    <t>LOSA TECHO LAVANDERIA</t>
  </si>
  <si>
    <t>LOSA PATINILLO</t>
  </si>
  <si>
    <t>LOSA TECHO EN PATIO</t>
  </si>
  <si>
    <t>AREA DE PINTURA 5to NIVEL</t>
  </si>
  <si>
    <t xml:space="preserve">ACRILICA ECONOMICA </t>
  </si>
  <si>
    <t>Pintura Exterior</t>
  </si>
  <si>
    <t>area de techo en hierro</t>
  </si>
  <si>
    <t>Proteccion en Hierro en Escalera</t>
  </si>
  <si>
    <t>M2 DE VENTANAS TECHO</t>
  </si>
  <si>
    <t>VENTANAS  HIERRO 3/4'' 1.85 x 1.10mt</t>
  </si>
  <si>
    <t>M2 DE PUERTAS TECHO</t>
  </si>
  <si>
    <t>ACERO DE VIGA DE AMARRE BNP 0.20X  0.20</t>
  </si>
  <si>
    <t>ELEMENTO</t>
  </si>
  <si>
    <t>CANTIDAD DE VIGA</t>
  </si>
  <si>
    <t xml:space="preserve">ANCHO </t>
  </si>
  <si>
    <t xml:space="preserve">ALTURA </t>
  </si>
  <si>
    <t>CANT. BARRAS LONG.</t>
  </si>
  <si>
    <t>LONG.  REAL</t>
  </si>
  <si>
    <t>PESO DE BARRAS (Lb/Mt)</t>
  </si>
  <si>
    <t>qq 3/8</t>
  </si>
  <si>
    <t>VOL.  HORMIGON</t>
  </si>
  <si>
    <t>VARILLAØ</t>
  </si>
  <si>
    <t xml:space="preserve">ESTRIBOS DE ZAPATA </t>
  </si>
  <si>
    <t>ESPAC. DE CANGREJOS</t>
  </si>
  <si>
    <t>CANT. DE ESTRIBOS</t>
  </si>
  <si>
    <t>LONG. REAL DE CANGREJOS</t>
  </si>
  <si>
    <t>ESTRIBOS</t>
  </si>
  <si>
    <t xml:space="preserve">TOTAL </t>
  </si>
  <si>
    <t>VOLUMEN TOTAL VIGA AMARRE BNP 0.20 x 0.20m</t>
  </si>
  <si>
    <t>ACERO DE ZAPATA SECCION 1-1</t>
  </si>
  <si>
    <t>qq 1/2</t>
  </si>
  <si>
    <t>ZAP MURO</t>
  </si>
  <si>
    <t>VOLUMEN TOTAL ZAP MURO SECCION 1-1</t>
  </si>
  <si>
    <t>ACERO DE ZAPATA SECCION 2-2</t>
  </si>
  <si>
    <t>VOLUMEN TOTAL ZAP MURO SECCION 2-2</t>
  </si>
  <si>
    <t>ACERO DE ZAPATA SECCION 3-3</t>
  </si>
  <si>
    <t>PESO TOTAL</t>
  </si>
  <si>
    <t>AREA DE TRIANGULO</t>
  </si>
  <si>
    <t>VOLUMEN TOTAL ZAP MURO SECCION 3-3</t>
  </si>
  <si>
    <t>QQ/M3</t>
  </si>
  <si>
    <t>VOLUMEN TOTAL VIGA AMARRE 0.15 X 0.30M</t>
  </si>
  <si>
    <t>qq 3/4</t>
  </si>
  <si>
    <t>VOLUMEN TOTAL VIGA AMARRE 0.20 X 0.30M</t>
  </si>
  <si>
    <t>ACERO DE DINTEL D1 0.15 X 0.40</t>
  </si>
  <si>
    <t>qq 1/2 Y 3/8</t>
  </si>
  <si>
    <t>VOLUMEN TOTAL DINTEL D1 0.40M X 0.15M</t>
  </si>
  <si>
    <t>ACERO DE DINTEL D1 0.20 X 0.40</t>
  </si>
  <si>
    <t>ACERO DE DINTEL D2 0.15 X 0.40</t>
  </si>
  <si>
    <t>ACERO DE DINTEL D2 0.20 X 0.40</t>
  </si>
  <si>
    <t>ACERO DE VIGA Escalera</t>
  </si>
  <si>
    <t>VOLUMEN TOTAL VIGA V1</t>
  </si>
  <si>
    <t>CANT.: 1</t>
  </si>
  <si>
    <t>Espesor (M)</t>
  </si>
  <si>
    <t>Tipo Ø</t>
  </si>
  <si>
    <t>Descripcion</t>
  </si>
  <si>
    <t>Espac. (Mt.)</t>
  </si>
  <si>
    <t>Long. (mt.)</t>
  </si>
  <si>
    <t>Longitud Para cantidad (mt.)</t>
  </si>
  <si>
    <t>ÁREA</t>
  </si>
  <si>
    <t>Cant. Total (Ud)</t>
  </si>
  <si>
    <t>Cant. Cruza  (Ud)</t>
  </si>
  <si>
    <t>Cant. Varilla Percha 3/8''</t>
  </si>
  <si>
    <t>Long. Real Cruza (Mt.)</t>
  </si>
  <si>
    <t>Peso (Lb/Mt.)</t>
  </si>
  <si>
    <t>Cuantia (qq/M3)</t>
  </si>
  <si>
    <t xml:space="preserve">Acero X-X Long. </t>
  </si>
  <si>
    <t>Acero Y-Y Long.</t>
  </si>
  <si>
    <t xml:space="preserve">CALCULO DE CANTIDAD DE SOLAPE </t>
  </si>
  <si>
    <t>Cant.  de Varillas de 20'</t>
  </si>
  <si>
    <t>Cant. De solapes</t>
  </si>
  <si>
    <t>CALCULO DE LONGITUD DE SOLAPE</t>
  </si>
  <si>
    <t xml:space="preserve"> Ø (m)</t>
  </si>
  <si>
    <t xml:space="preserve"> Ø </t>
  </si>
  <si>
    <t>1''</t>
  </si>
  <si>
    <t>REC. En Suelo</t>
  </si>
  <si>
    <t xml:space="preserve"> ZAPATA (ZC1) </t>
  </si>
  <si>
    <t xml:space="preserve"> Ø</t>
  </si>
  <si>
    <t>Long. Para el Analisis</t>
  </si>
  <si>
    <t>Cant. (Ud)</t>
  </si>
  <si>
    <t>Long. Real (Mt.)</t>
  </si>
  <si>
    <t>Long. Sup. Lx</t>
  </si>
  <si>
    <t>Long. Sup. Ly</t>
  </si>
  <si>
    <t>Long. Inf. Lx</t>
  </si>
  <si>
    <t>Long. Inf. Ly</t>
  </si>
  <si>
    <t xml:space="preserve">VOLUMEN HORMIGON </t>
  </si>
  <si>
    <t>VOLUMEN DE HORMIGON TOTAL EN ZAPATA COL.</t>
  </si>
  <si>
    <t>ESTAS CUANTIAS ESTAN TRABAJADAS EN PLANOS SUJETOS A CAMBIOS. FALTA INFORMACION POR CONFIRMAR DE PARTE DEL ESTRUCTURALISTA</t>
  </si>
  <si>
    <t>ASUMIENDO VARILLAS DE 20'</t>
  </si>
  <si>
    <t>CONSIDERNADO DESPERDICIO DE 7%</t>
  </si>
  <si>
    <t xml:space="preserve"> ZAPATA (ZC2) </t>
  </si>
  <si>
    <t>Long. Sup. Lx SENTIDO LARGO</t>
  </si>
  <si>
    <t>Long. Sup. Ly SENTIDO LARGO</t>
  </si>
  <si>
    <t>Long. Sup. Lx SENTIDO CORTO</t>
  </si>
  <si>
    <t>Long. Sup. Ly SENTIDO SENTIDO CORTO</t>
  </si>
  <si>
    <t>Long. Inf. Lx SENTIDO LARGO</t>
  </si>
  <si>
    <t>Long. Inf. Ly SENTIDO LARGO</t>
  </si>
  <si>
    <t>Long. Inf. Lx SENTIDO CORTO</t>
  </si>
  <si>
    <t>Long. Inf. Ly SENTIDO CORTO</t>
  </si>
  <si>
    <t>VIGA RIOSTRA</t>
  </si>
  <si>
    <t>Long. Sup. Lx LADO NORTE ARRIBA (AL)</t>
  </si>
  <si>
    <t>Long. Sup. LADO NORTE ABAJO (AL)</t>
  </si>
  <si>
    <t>ADICIONALES SUP L/4</t>
  </si>
  <si>
    <t>ADICIONALES SUP L/3</t>
  </si>
  <si>
    <t>ESTRIBOS EN VANO LADO NORTE</t>
  </si>
  <si>
    <t>ESTRIBOS EN NUDO LADO NORTE</t>
  </si>
  <si>
    <t>Long. Sup. Lx LADO SUE ARRIBA (AL)</t>
  </si>
  <si>
    <t>Long. Sup. LADO SUR ABAJO (AL)</t>
  </si>
  <si>
    <t>ESTRIBOS EN VANO LADO SUR</t>
  </si>
  <si>
    <t>ESTRIBOS EN NUDO LADO SUR</t>
  </si>
  <si>
    <t>Long. Sup. Lx LADO ESTE ARRIBA (AL)</t>
  </si>
  <si>
    <t>Long. Sup. LADO ESTE ABAJO (AL)</t>
  </si>
  <si>
    <t>ESTRIBOS EN VANO LADO ESTE</t>
  </si>
  <si>
    <t>ESTRIBOS EN NUDO LADO ESTE</t>
  </si>
  <si>
    <t>Long. Sup. Lx LADO OESTE ARRIBA (AL)</t>
  </si>
  <si>
    <t>Long. Sup. LADO OESTE ABAJO (AL)</t>
  </si>
  <si>
    <t>ESTRIBOS EN VANO LADO OESTE</t>
  </si>
  <si>
    <t>ESTRIBOS EN NUDO LADO OESTE</t>
  </si>
  <si>
    <t>REC. EN TIERRA</t>
  </si>
  <si>
    <t>REC. EN COL</t>
  </si>
  <si>
    <t>L/3</t>
  </si>
  <si>
    <t>MURO DE H.A. M1HA DESDE FUNDACION HASTA ENTREPISO 1</t>
  </si>
  <si>
    <t>Alma</t>
  </si>
  <si>
    <t>Estribo 1 en centro</t>
  </si>
  <si>
    <t>Estribo 2 en nudos</t>
  </si>
  <si>
    <t>Estribo 1 en nudo</t>
  </si>
  <si>
    <t>Estribo 2 en centro</t>
  </si>
  <si>
    <t>Longitudinales en cabezales</t>
  </si>
  <si>
    <t>transversal en x</t>
  </si>
  <si>
    <t>transversal en y</t>
  </si>
  <si>
    <t>VOL MURO HA/NIVEL</t>
  </si>
  <si>
    <t>MURO DE H.A. M1HA DESDE ENTREPISO 1 HASTA TECHO</t>
  </si>
  <si>
    <t>COLUMNA CA (0.20 X 0.30) HASTA ZAPATA 1ER N</t>
  </si>
  <si>
    <t>Estribo 1 en Conf.</t>
  </si>
  <si>
    <t>Estribo 2 en Conf.</t>
  </si>
  <si>
    <t>Estribo 1 en No Conf.</t>
  </si>
  <si>
    <t>Estribo 2 en No Conf.</t>
  </si>
  <si>
    <t>Longitudinal</t>
  </si>
  <si>
    <t>VOLUMEN DE HORMIGON</t>
  </si>
  <si>
    <t>VOLUMEN DE HORMIGON TOTAL EN COL.</t>
  </si>
  <si>
    <t>COLUMNA CA (0.20 X 0.30) ENTREPISO 2DO</t>
  </si>
  <si>
    <t>VOLUMEN DE HORMIGON TOTAL EN 2N</t>
  </si>
  <si>
    <t>VOLUMEN DE HORMIGON TOTAL EN 3N</t>
  </si>
  <si>
    <t>VOLUMEN DE HORMIGON TOTAL EN 4TO N</t>
  </si>
  <si>
    <t>COLUMNA CA (0.20 X 0.20)  HASTA ZAPATA 1ER N</t>
  </si>
  <si>
    <t>VOLUMEN DE HORMIGON TOTAL EN  COL.</t>
  </si>
  <si>
    <t>COLUMNA CA (0.20 X 0.20)  ENTREPISO 2DO N</t>
  </si>
  <si>
    <t>4 COL EN 4TON</t>
  </si>
  <si>
    <t>COLUMNA CA (0.30 X 0.15)  HASTA ZAPATA ENTREPISO 1EN</t>
  </si>
  <si>
    <t>COLUMNA CA (0.30 X 0.15)  ENTREPISO 2DO, 3ER N</t>
  </si>
  <si>
    <t>2 COL EN 4TON</t>
  </si>
  <si>
    <t>VOLUMEN DE HORMIGON TOTAL EN 2N Y 3N</t>
  </si>
  <si>
    <t>VOLUMEN DE HORMIGON TOTAL EN 4TO</t>
  </si>
  <si>
    <t>COLUMNA C1 HASTA ZAPATA ENTREPISO 1N</t>
  </si>
  <si>
    <t>Estribo 3 en Conf.</t>
  </si>
  <si>
    <t>Estribo 3 en No Conf.</t>
  </si>
  <si>
    <t>COLUMNA C2 ENTREPISO 2DO Y 3ER N</t>
  </si>
  <si>
    <t>VOLUMEN DE HORMIGON EN 2DO Y 3ER N</t>
  </si>
  <si>
    <t>VIGA V1 1ER, NIVEL</t>
  </si>
  <si>
    <t>Patín</t>
  </si>
  <si>
    <t>Long. (Mt.)</t>
  </si>
  <si>
    <t>Estribos nudos</t>
  </si>
  <si>
    <t>Estribos vanos</t>
  </si>
  <si>
    <t>Long Inf</t>
  </si>
  <si>
    <t>Adic.</t>
  </si>
  <si>
    <t>Long Sup</t>
  </si>
  <si>
    <t>TOTAL DE CUANTIA P/NIVEL VIGA V1 qq/M3)</t>
  </si>
  <si>
    <t>VOLUMEN DE HORMIGON P/NIVEL (M3)</t>
  </si>
  <si>
    <t>VIGA V2 1ER, 2DO Y 3ER NIVEL</t>
  </si>
  <si>
    <t>Adicionales en extremos</t>
  </si>
  <si>
    <t>TOTAL DE CUANTIA P/NIVEL VIGA V2 qq/M3)</t>
  </si>
  <si>
    <t>VIGA V3 1ER, 2DO Y 3ER NIVEL</t>
  </si>
  <si>
    <t>TOTAL DE CUANTIA P/NIVEL VIGA V3 qq/M3)</t>
  </si>
  <si>
    <t>VIGA V4 1ER  NIVEL</t>
  </si>
  <si>
    <t>Long Inf ADIC</t>
  </si>
  <si>
    <t>Adicionales en centro</t>
  </si>
  <si>
    <t>TOTAL DE CUANTIA P/NIVEL VIGA V4 qq/M3)</t>
  </si>
  <si>
    <t>VIGA V5  1ER NIVEL</t>
  </si>
  <si>
    <t>TOTAL DE CUANTIA P/NIVEL VIGA V5 qq/M3)</t>
  </si>
  <si>
    <t xml:space="preserve">Adicionales </t>
  </si>
  <si>
    <t>TOTAL DE CUANTIA P/NIVEL VIGA V6 qq/M3)</t>
  </si>
  <si>
    <t>TOTAL DE CUANTIA P/NIVEL VIGA V7 qq/M3)</t>
  </si>
  <si>
    <t>TOTAL DE CUANTIA P/NIVELVIGA V8 qq/M3)</t>
  </si>
  <si>
    <t>TOTAL DE CUANTIA P/NIVEL VIGA V9 qq/M3)</t>
  </si>
  <si>
    <t>VIGA V10  2DO Y 3ER NIVEL</t>
  </si>
  <si>
    <t>TOTAL DE CUANTIA P/NIVEL VIGA V10 qq/M3)</t>
  </si>
  <si>
    <t>ASUMIENDO VARILLAS DE 40'  TEMP.</t>
  </si>
  <si>
    <t>ASUMIENDO VARILLAS DE 20'  LONG.</t>
  </si>
  <si>
    <t>CANT. Perchas 3/8</t>
  </si>
  <si>
    <t>Ganchos 3/8=</t>
  </si>
  <si>
    <t>i PARA 12CM=</t>
  </si>
  <si>
    <t>i PARA 14CM=</t>
  </si>
  <si>
    <t>3/8'' x 40'</t>
  </si>
  <si>
    <t>CANT. De Varilla 3/8''</t>
  </si>
  <si>
    <t>Rec. Losa=</t>
  </si>
  <si>
    <t>CANT. SOLAPE 3/8''</t>
  </si>
  <si>
    <t>LOSA DE PATIO E=0.15M L1 1ER NIVEL</t>
  </si>
  <si>
    <t>CANT.: 2</t>
  </si>
  <si>
    <t>Cant. Queda (Ud)</t>
  </si>
  <si>
    <t>Long. Real Queda (Mt.)</t>
  </si>
  <si>
    <t>VOLUMEN DE HORMIGON LOSA E=0.15M</t>
  </si>
  <si>
    <t>VOLUMEN DE HORMIGON LOSA E=0.12M</t>
  </si>
  <si>
    <t>VOLUMEN DE HORMIGON LOSA E=0.20M</t>
  </si>
  <si>
    <t>L2 INCL TOPING 0.05M</t>
  </si>
  <si>
    <t>L3</t>
  </si>
  <si>
    <t>L4</t>
  </si>
  <si>
    <t>L5</t>
  </si>
  <si>
    <t>L10</t>
  </si>
  <si>
    <t>L6</t>
  </si>
  <si>
    <t>L14</t>
  </si>
  <si>
    <t>L7</t>
  </si>
  <si>
    <t>L16</t>
  </si>
  <si>
    <t>L8</t>
  </si>
  <si>
    <t>L18</t>
  </si>
  <si>
    <t>L9</t>
  </si>
  <si>
    <t>L20</t>
  </si>
  <si>
    <t>L11</t>
  </si>
  <si>
    <t>L25</t>
  </si>
  <si>
    <t>L12</t>
  </si>
  <si>
    <t>L13</t>
  </si>
  <si>
    <t>L15</t>
  </si>
  <si>
    <t>L17</t>
  </si>
  <si>
    <t>PESO DE ACERO TOTAL LOSA e=0.15</t>
  </si>
  <si>
    <t>L19</t>
  </si>
  <si>
    <t>PESO DE ACERO TOTAL LOSA e=0.12</t>
  </si>
  <si>
    <t>L21</t>
  </si>
  <si>
    <t>L22</t>
  </si>
  <si>
    <t>L23</t>
  </si>
  <si>
    <t>L24</t>
  </si>
  <si>
    <t>L26</t>
  </si>
  <si>
    <t>L32</t>
  </si>
  <si>
    <t>LOSA L17 1ER, 2DO Y 3ER N</t>
  </si>
  <si>
    <t>LOSA L16=L18  1ER, 2DO Y 3ER NIVEL</t>
  </si>
  <si>
    <t>L3=L27=L8=L32 VUELO 1ER NIVEL</t>
  </si>
  <si>
    <t>CANT.: 4</t>
  </si>
  <si>
    <t xml:space="preserve">Acero Y-Y Long. </t>
  </si>
  <si>
    <t>L4=L28=L7=L31 VUELO 1ER NIVEL</t>
  </si>
  <si>
    <t>LOSA L19=L9=L26=L15 1ER NIVEL</t>
  </si>
  <si>
    <t>Acero X-X Long.</t>
  </si>
  <si>
    <t>LOSA L20=L10=L25=L14</t>
  </si>
  <si>
    <t>LOSA L21=L24 1ER NIVEL</t>
  </si>
  <si>
    <t>LOSA L11=L13 1ER NIVEL</t>
  </si>
  <si>
    <t>LOSA L32 1ER NIVEL</t>
  </si>
  <si>
    <t>LOSA L22 1ER NIVEL</t>
  </si>
  <si>
    <t>LOSA L23 1ER NIVEL</t>
  </si>
  <si>
    <t>LOSA L20 2DO Y 3ER NIVEL</t>
  </si>
  <si>
    <t xml:space="preserve"> ESCALERA ZAPATA</t>
  </si>
  <si>
    <t>Acero Long. Zapata</t>
  </si>
  <si>
    <t>Acero Trans. Zapata</t>
  </si>
  <si>
    <t>RAMPA 1 ESCALERA  (INICIO y ENTREPISO)</t>
  </si>
  <si>
    <t>Trasnversal tramo 1</t>
  </si>
  <si>
    <t>Long. En rampa tramo 1</t>
  </si>
  <si>
    <t>Long. Corta  inf.</t>
  </si>
  <si>
    <t>RAMPA 2 ESCALERA (ENTREPISO)-ALOJAMIENTO</t>
  </si>
  <si>
    <t>Long.  Sup.</t>
  </si>
  <si>
    <t>Trasnversal tramo 2</t>
  </si>
  <si>
    <t>Long. En rampa tramo 2</t>
  </si>
  <si>
    <t>RAMPA 3 ESCALERA (ENTREPISO)-ALOJAMIENTO</t>
  </si>
  <si>
    <t>Trasnversal tramo 3</t>
  </si>
  <si>
    <t>Long. En rampa tramo 3</t>
  </si>
  <si>
    <t>ZAPATA ESCALERA</t>
  </si>
  <si>
    <t>TRAMO EN ZAP.</t>
  </si>
  <si>
    <t>ESCALERA 1ER N</t>
  </si>
  <si>
    <t>ESCALERA 2DO AL TECHO</t>
  </si>
  <si>
    <t>FUMIGACION</t>
  </si>
  <si>
    <t>vol hormigon 20 x 30</t>
  </si>
  <si>
    <t>vol hormigon 15 x 30</t>
  </si>
  <si>
    <t>ACERO DE VIGA AMARRE DE MUROS 0.15 x 0.30m A NIVEL DE PISO</t>
  </si>
  <si>
    <t>ACERO DE VIGA AMARRE DE MUROS 0.20 x 0.30m A NIVEL DE PISO</t>
  </si>
  <si>
    <t>TOTALES DE BLOQUES 8''  B.N.P. 3/8 " 0.6</t>
  </si>
  <si>
    <t xml:space="preserve">Bloques de 8" BNP Ø 3/8 @ 0.60 </t>
  </si>
  <si>
    <t>Bloques de 8" SNP Ø 3/8 @ 0.60 con 2 serentina cada 3 bloques</t>
  </si>
  <si>
    <t>Bloques de 8" SNP Ø 3/8 @ 0.60 MUROS PANDERETAS</t>
  </si>
  <si>
    <t xml:space="preserve">Bloques de 8" y SNPØ 3/8@ 0.60 con 2 serpentina cada 3 lineas </t>
  </si>
  <si>
    <t>Bloques de 6" SNP Ø 3/8 @ 0.60 con 2 serentina cada 3 bloques</t>
  </si>
  <si>
    <t xml:space="preserve">Bloques de 6" y SNPØ 3/8@ 0.60 con 2 serpentina cada 3 lineas </t>
  </si>
  <si>
    <t>2DO Y 3ER N</t>
  </si>
  <si>
    <t xml:space="preserve">Columna C2 (40X40) Hormigón 210 kg/cm2  industrial </t>
  </si>
  <si>
    <t>COLUMNA C1 ENTREPISO 2DO Y 3ER</t>
  </si>
  <si>
    <t>Blocks calados según diseño</t>
  </si>
  <si>
    <t>Techo en hierro en patio</t>
  </si>
  <si>
    <t>Malla ciclonicca</t>
  </si>
  <si>
    <t xml:space="preserve">Cantos </t>
  </si>
  <si>
    <t>Bloques en Antepecho</t>
  </si>
  <si>
    <t>Impermeabilizante</t>
  </si>
  <si>
    <t>Fino de techo</t>
  </si>
  <si>
    <t>Area de piso</t>
  </si>
  <si>
    <t>Fino de mezcla en Techo Plano</t>
  </si>
  <si>
    <t>Impermeabilizante, Lona Asfáltica Granulada en poliester 4 kilo, 2.8 mm, incluye Primer. Siete años de garantía.</t>
  </si>
  <si>
    <t>Bloques en vertedero</t>
  </si>
  <si>
    <t>TORTA DE HORMIGON EN PISO e=0.08mt 1ER NIVEL</t>
  </si>
  <si>
    <t>M17a</t>
  </si>
  <si>
    <t>M17B</t>
  </si>
  <si>
    <t>MUROS DE ANTEPECHO ACCESO EDIF</t>
  </si>
  <si>
    <t>M30</t>
  </si>
  <si>
    <t>M31</t>
  </si>
  <si>
    <t>PANETE EXT</t>
  </si>
  <si>
    <t>BLOQUES EN ANTEPECHO ACCESO EDIF</t>
  </si>
  <si>
    <t>FINO</t>
  </si>
  <si>
    <t>BLOCKS CALADOS NIVEL 2</t>
  </si>
  <si>
    <t>BLOCKS CALADOS NIVEL 3</t>
  </si>
  <si>
    <t>BLOCKS CALADOS NIVEL 4</t>
  </si>
  <si>
    <t>Blocks calados en patinillos</t>
  </si>
  <si>
    <t>PUERTAS 2.00X1.80</t>
  </si>
  <si>
    <t>Puertas en malla</t>
  </si>
  <si>
    <t>Puerta caseta escalera</t>
  </si>
  <si>
    <t>PUERTAS 1.60X2.10</t>
  </si>
  <si>
    <t>Puertas EN HIERRO Acceso a lavanderia</t>
  </si>
  <si>
    <t>VENTANAS  HIERRO 3/4'' 2.40x 0.60mt (4UDS EN LAVANDERIA)</t>
  </si>
  <si>
    <t>VENTANAS  HIERRO 3/4'' 1.20 x 0.6mt (4UDS EN LAVANDERIA)</t>
  </si>
  <si>
    <t>BLOCKS CALADOS EN VENTANA ESCALERA</t>
  </si>
  <si>
    <t>MUROS DE VERTEDEROS</t>
  </si>
  <si>
    <t>BANO LONG</t>
  </si>
  <si>
    <t>CUARTO ELECTRICO</t>
  </si>
  <si>
    <t>Rampa</t>
  </si>
  <si>
    <t>ZAPATA MUROS SECCION 1-1</t>
  </si>
  <si>
    <t>ZAPATA MURO SECCION 2-2</t>
  </si>
  <si>
    <t>ZAPATA MURO SECCION 3-3</t>
  </si>
  <si>
    <t>CA 20X30 1ER NIVEL</t>
  </si>
  <si>
    <t>CA 20 X20 1ER NIVEL</t>
  </si>
  <si>
    <t>CA 30 X 15 1ER NIVEL</t>
  </si>
  <si>
    <t>Losa de caseta escalera e=0.12m</t>
  </si>
  <si>
    <t>Losa lavanderia e=0.15m</t>
  </si>
  <si>
    <t>Bloques de 8" BNP Ø 3/8 @ 0.20 con 2 serentina cada 3 bloques</t>
  </si>
  <si>
    <t>Bloques de 6" BNP Ø 3/8 @ 0.20 con 2 serentina cada 3 bloques</t>
  </si>
  <si>
    <t>TOTALES DE BLOQUES 8''  B.N.P. 3/8 " 0.2 CON 2 SERP. CADA 0.60</t>
  </si>
  <si>
    <t>TOTALES DE BLOQUES 6''  B.N.P. 3/8 " 0.2 CON 2 SERP. CADA 0.60</t>
  </si>
  <si>
    <t>DENGLASS EN DUCHAS</t>
  </si>
  <si>
    <t>POLICARBONATO 8.18mt X 1.20 (88.0168x 12.912)</t>
  </si>
  <si>
    <t>COLOCACION DE POLIURETANO EN JUNTA DE LOSA</t>
  </si>
  <si>
    <t xml:space="preserve">qq 1/2 </t>
  </si>
  <si>
    <t>MBNP EN VIGA RIOSTRA</t>
  </si>
  <si>
    <t>Viga amarre bajo nivel de piso (15x20), Hormigón 210 kg/cm2  a mano</t>
  </si>
  <si>
    <t>ACERO DE VIGA DE AMARRE BNP 0.15X  0.20</t>
  </si>
  <si>
    <t>VOLUMEN TOTAL VIGA AMARRE BNP 0.15 x 0.20m</t>
  </si>
  <si>
    <t>Viga de amarre 0.15 x 0.20m</t>
  </si>
  <si>
    <t>VIGA V6 1ER, 2DO Y 3ER Y TECHO NIVEL</t>
  </si>
  <si>
    <t xml:space="preserve"> VIGA V7 1ER, 2DO Y 3ER Y TECHO NIVEL</t>
  </si>
  <si>
    <t>PATIO EXTERIOR</t>
  </si>
  <si>
    <t>1N</t>
  </si>
  <si>
    <t>2N Y 3ERN</t>
  </si>
  <si>
    <t>PUERTAS 2.00 X 2.10</t>
  </si>
  <si>
    <t>PUERTA EN LOUVERS ACCESO A ESCALERA GATO</t>
  </si>
  <si>
    <t>PEURTAS</t>
  </si>
  <si>
    <t>PUERTAS EN BAÑOS CELDAS</t>
  </si>
  <si>
    <t>PUERTAS 0.80 X 1.80</t>
  </si>
  <si>
    <t>PUERTA EN ACCEO A INT</t>
  </si>
  <si>
    <t>PUERTAS 0.9 X 2.10</t>
  </si>
  <si>
    <t>PUERTAS 0.90 X 2.10</t>
  </si>
  <si>
    <t>PUERTA CUARTO ELECT</t>
  </si>
  <si>
    <t>PUERTA BAÑO CONTROL</t>
  </si>
  <si>
    <t>PUERTA CUARTO CONTORL</t>
  </si>
  <si>
    <t>PEURTAS EN HIERRO 1.00 X 2.10M EN ACCESO A PATINILLO (8UDS)UN PAÑO FIJO Y HOJA BATIENTE</t>
  </si>
  <si>
    <t>PEURTAS EN HIERRO 1.00 X 2.10M EN CELDAS (16UDS) UNA HOJA BATIENTE Y PAÑOS FIJOS</t>
  </si>
  <si>
    <t>Paneles Fijos de barrotes HIERRO 3/4  Ventanas BAÑOS CELDAS</t>
  </si>
  <si>
    <t>POLICARBOANTO EN CONTROL</t>
  </si>
  <si>
    <t>PUERTAS EN PASILLO EN HIERRO BATIENTE DOBLE Y PAÑO FIJO 2.75 X 2.10</t>
  </si>
  <si>
    <t>MURO DE BLOCKS DE 8" - 3/8" A 60 SNP 2 SERPENTINA CADA 0.60</t>
  </si>
  <si>
    <t>VENTANA EN ZONA ESCALERA 0.8 X 0.60</t>
  </si>
  <si>
    <t>VENTANA EN BAÑO CONTROL 0.8 X 0.60 EN HIERRO</t>
  </si>
  <si>
    <t>VENTANA EN ATENCION INT 1.20 X 1.00</t>
  </si>
  <si>
    <t>VIGA V1 20 X 35 1ER N</t>
  </si>
  <si>
    <t xml:space="preserve">VIGA V4 30 X 40 1ER </t>
  </si>
  <si>
    <t>VIGA V5 30 X 40 1ER N</t>
  </si>
  <si>
    <t>C1 40 X 40 1ER N</t>
  </si>
  <si>
    <t>M1 HA 1ER N</t>
  </si>
  <si>
    <t>Acero X-X Long. INF. Nervio</t>
  </si>
  <si>
    <t>Estribos X-X Nervio</t>
  </si>
  <si>
    <t>Acero Y-Y Long. INF. Nervio</t>
  </si>
  <si>
    <t>Estribos Y-Y Nervio</t>
  </si>
  <si>
    <t>Acero Y-Y Adic.</t>
  </si>
  <si>
    <t>Acero X-X Long. INF. Maz.</t>
  </si>
  <si>
    <t>Estribos X-X Maz.</t>
  </si>
  <si>
    <t>Acero Y-Y Long. INF. Maz.</t>
  </si>
  <si>
    <t>Estribos Y-Y Maz.</t>
  </si>
  <si>
    <t>LOSAS ALIGERADAS L1  1ER NIVEL</t>
  </si>
  <si>
    <t>Malla W2.5 10x10</t>
  </si>
  <si>
    <t xml:space="preserve">Acero en nervio y-y Long. </t>
  </si>
  <si>
    <t>Long. Real  (Mt.)</t>
  </si>
  <si>
    <t>L12 1ER NIVEL</t>
  </si>
  <si>
    <t>vuelo L1 EN LOSA ALIGERADA 1ER NIVEL</t>
  </si>
  <si>
    <t>L5=L29=L6=L30 VUELO 1ER NIVEL</t>
  </si>
  <si>
    <t>VUELOS  0.90M E=0.12M</t>
  </si>
  <si>
    <t>VUELOS 1.40M E=0.15M</t>
  </si>
  <si>
    <t xml:space="preserve">VUELOS 0.40M EN LOSA ALIGERADA E=0.12M </t>
  </si>
  <si>
    <t>VOL HORMIGON</t>
  </si>
  <si>
    <t xml:space="preserve">Vuelo a=0.90mt E=0.12m, Hormigón 210 kg/cm2  industrial </t>
  </si>
  <si>
    <t xml:space="preserve">Vuelo a=1.40mt  e=0.15m, Hormigón 210 kg/cm2  industrial </t>
  </si>
  <si>
    <t xml:space="preserve">Vuelo a=0.40mt e=0.12m, En acceso a Edificio, Hormigón 210 kg/cm2  industrial </t>
  </si>
  <si>
    <t>cuantia</t>
  </si>
  <si>
    <t xml:space="preserve">PESO DE ACERO TOTAL LOSA aligerada </t>
  </si>
  <si>
    <t xml:space="preserve">Louvers en fachada </t>
  </si>
  <si>
    <t>MANTENIMIENTO EN HIERRO</t>
  </si>
  <si>
    <t>1er nivel</t>
  </si>
  <si>
    <t>2do y 3er nivel</t>
  </si>
  <si>
    <t>LOSA DE PATIO E=0.15M L1 2DO Y 3ER NIVEL</t>
  </si>
  <si>
    <t>LOSAS PLANAS 0.15M. 1ER N</t>
  </si>
  <si>
    <t>LOSAS PLANAS 0.12M. 1ER N</t>
  </si>
  <si>
    <t>LOSA ALIGERADA e=0.20m 1ER N</t>
  </si>
  <si>
    <t>VUELO DE 1.40m 1ER N</t>
  </si>
  <si>
    <t>LOSA L9=L11  2DO Y 3ER NIVEL</t>
  </si>
  <si>
    <t>LOSA L10 2DO Y 3ER N</t>
  </si>
  <si>
    <t>LOSA L12=L2=L19=L8 2DO Y 3ER NIVEL</t>
  </si>
  <si>
    <t>LOSA L13=L3=L18=L7 2DO Y 3ER NIVEL</t>
  </si>
  <si>
    <t>LOSA L14=L17 1ER NIVEL 2DO Y 3ER NIVEL</t>
  </si>
  <si>
    <t>LOSA L4=L6 2DO Y 3ER NIVEL</t>
  </si>
  <si>
    <t>LOSA L15 2DO Y 3ER NIVEL</t>
  </si>
  <si>
    <t>LOSA L16 2DO Y 3ER  NIVEL</t>
  </si>
  <si>
    <t>L5 2DO Y 3ER NIVEL</t>
  </si>
  <si>
    <t>VIGA V9 3ER NIVEL</t>
  </si>
  <si>
    <t>VIGA V9 2DO NIVEL</t>
  </si>
  <si>
    <t>VIGA V8 3ER NIVEL</t>
  </si>
  <si>
    <t>VIGA V8 2DO  NIVEL</t>
  </si>
  <si>
    <t>PESO DE ACERO TOTAL LOSA  ALIGERADAe=0.20</t>
  </si>
  <si>
    <t>LOSA ALIGERADA e=0.20m 2DO N</t>
  </si>
  <si>
    <t>LOSA ALIGERADA e=0.20m 3ER N</t>
  </si>
  <si>
    <t>LOSA CAJA ESCALERA E=0.12 4TO NIVEL L2</t>
  </si>
  <si>
    <t>LOSA CAJA ESCALERA E=0.12 4TO NIVEL L1</t>
  </si>
  <si>
    <t>Long. Inf.</t>
  </si>
  <si>
    <t>Long. Corta  adic inf</t>
  </si>
  <si>
    <t>Long.  Sup. Central</t>
  </si>
  <si>
    <t>ANALISIS RAMPAS DE ESCALERAS 1er nivel</t>
  </si>
  <si>
    <t>Hormigon 210 Kg/cm2</t>
  </si>
  <si>
    <t>Ventana en hierro 3/4¨ @0.13m 1.20 X 1.00m en área  patinillo.</t>
  </si>
  <si>
    <t xml:space="preserve">Puerta en hierro 3/4¨ @0.13m 2.00 x 2.10m (1UD) en acceso a patio. Dos hojas batientes.  </t>
  </si>
  <si>
    <t>mantenimiento en hierro</t>
  </si>
  <si>
    <t>mantenimiento</t>
  </si>
  <si>
    <t>colocacion poliuretano</t>
  </si>
  <si>
    <t>M10 PANDERETA</t>
  </si>
  <si>
    <t>M12 NO CARGA PANDERETA</t>
  </si>
  <si>
    <t>M4 PANDERETA</t>
  </si>
  <si>
    <t>M12 PANDERETA</t>
  </si>
  <si>
    <t>M16 PANDERETEA</t>
  </si>
  <si>
    <t>M16 PANDERETA</t>
  </si>
  <si>
    <t>M3 PANDERETA</t>
  </si>
  <si>
    <t xml:space="preserve"> M3 PANDERETA</t>
  </si>
  <si>
    <t xml:space="preserve">Bloques de 8" SNPØ 3/8@ 0.60 </t>
  </si>
  <si>
    <t xml:space="preserve">Bloques de 6" SNPØ 3/8@ 0.60 </t>
  </si>
  <si>
    <t>CUANTIA ACERO TOTAL POR ML</t>
  </si>
  <si>
    <t>long real</t>
  </si>
  <si>
    <t>peso</t>
  </si>
  <si>
    <t>ZAPATA DE MUROS DE 6 EN RAMPA</t>
  </si>
  <si>
    <t>ACERO DE ZAPATA DE MUROS DE 6 EN RAMPA ESCALERA</t>
  </si>
  <si>
    <t>MURO DE BLOCKS DE 8" - 3/8" A 40 BNP</t>
  </si>
  <si>
    <t>CERAMICA EN Bano de control</t>
  </si>
  <si>
    <t>Ceramica en bano conteol</t>
  </si>
  <si>
    <t>Ceramica en piso de cuatrrt de control</t>
  </si>
  <si>
    <t>Piso de granito</t>
  </si>
  <si>
    <t>Zocalo de granito negro</t>
  </si>
  <si>
    <t>zocalo</t>
  </si>
  <si>
    <t>MURO DE BLOCKS DE 6" - 3/8" A 60 SNP</t>
  </si>
  <si>
    <t>Toping</t>
  </si>
  <si>
    <t>Malla electrosoldada D2.5 D2.5, 100*100</t>
  </si>
  <si>
    <t>Mano de obra de malla Electrosoldada</t>
  </si>
  <si>
    <t>Mano de obra adicionales</t>
  </si>
  <si>
    <t>Nervios</t>
  </si>
  <si>
    <t>Acero de 3/8"@ 0.50</t>
  </si>
  <si>
    <t>Macizos</t>
  </si>
  <si>
    <t>Acero de 8 de 3/8"</t>
  </si>
  <si>
    <t>Acero de 1/2"@ 0.50</t>
  </si>
  <si>
    <t>Bovedillas 25 %</t>
  </si>
  <si>
    <t>Uso de bomba</t>
  </si>
  <si>
    <t>TOTAL/M3</t>
  </si>
  <si>
    <t>TOTAL/M2</t>
  </si>
  <si>
    <t xml:space="preserve">AREA TOPING </t>
  </si>
  <si>
    <r>
      <t>VOLUMEN TOPING Y NERVIOS</t>
    </r>
    <r>
      <rPr>
        <b/>
        <sz val="8"/>
        <rFont val="Calibri"/>
        <family val="2"/>
      </rPr>
      <t>(INCLUYE MACIZOS)</t>
    </r>
  </si>
  <si>
    <t xml:space="preserve">Hormigón 210 kg/cm2 (0.15X0.30) </t>
  </si>
  <si>
    <t>Hormigón 210 kg/cm2, toping de 0.05 mts +5% desp</t>
  </si>
  <si>
    <t xml:space="preserve">Hormigón 210 kg/cm2 (0.15X0.15) </t>
  </si>
  <si>
    <t>Acero 2 de 1/2"</t>
  </si>
  <si>
    <t>LOSA ALIGERADA- NERVIOS 1ER NIVEL</t>
  </si>
  <si>
    <t>LOSA ALIGERADA-ACERO ADICIONAL 1ER NIVEL</t>
  </si>
  <si>
    <t>MALLA ELECTROSOLDADA 2.5 X 2.5</t>
  </si>
  <si>
    <t>Acero adic</t>
  </si>
  <si>
    <t>qq/m3</t>
  </si>
  <si>
    <t>estribos</t>
  </si>
  <si>
    <t>nervios</t>
  </si>
  <si>
    <t>LOSA ALIGERADA NERVIOS 2DO NIVEL</t>
  </si>
  <si>
    <t>LOSA ALIGERADA ACERO ADICIONAL 2DO NIVEL</t>
  </si>
  <si>
    <t>CUANTIAS DE MALLA ELECTROSOLDADA</t>
  </si>
  <si>
    <t>LOSA ALIGERADA NERVIOS 3DO NIVEL</t>
  </si>
  <si>
    <t>LOSA ALIGERADA ACERO ADICIONAL 3DO NIVEL</t>
  </si>
  <si>
    <t>Acero ADIC</t>
  </si>
  <si>
    <t>Ceramica en bano control</t>
  </si>
  <si>
    <t>ESCALONES ESCALERA</t>
  </si>
  <si>
    <t>DESCANSO GRANITO FONDO BLANCO</t>
  </si>
  <si>
    <t>Zocalo de ceramica blanca en cuarto conrol</t>
  </si>
  <si>
    <t>Zocalo de ceramica blanca en cuarto control</t>
  </si>
  <si>
    <t>Alambre #18</t>
  </si>
  <si>
    <t>Molde para col. 0.40 x 0.40</t>
  </si>
  <si>
    <t>Molde para col. 0.20x0.20</t>
  </si>
  <si>
    <t>CA 20 X20 2DONIVEL</t>
  </si>
  <si>
    <t>CA 20 X20 3ER NIVEL</t>
  </si>
  <si>
    <t>CA 20 X20 4TO  NIVEL</t>
  </si>
  <si>
    <t>CA 20X30 2DO NIVEL</t>
  </si>
  <si>
    <t>CA 20X30 3ER NIVEL</t>
  </si>
  <si>
    <t>CA 20X30 4TO NIVEL</t>
  </si>
  <si>
    <t>M1 HA 2DO N</t>
  </si>
  <si>
    <t>M1 HA 3ER N</t>
  </si>
  <si>
    <t>M1 HA 4TO N</t>
  </si>
  <si>
    <t>CA 30 X 15 2DO NIVEL</t>
  </si>
  <si>
    <t>CA 30 X 15 3ER NIVEL</t>
  </si>
  <si>
    <t>CA 30 X 15 4TONIVEL</t>
  </si>
  <si>
    <t>C1 40 X 40 2DO N</t>
  </si>
  <si>
    <t>C1 40 X 40 3ERN</t>
  </si>
  <si>
    <t>C2 40 X 40 3ERN</t>
  </si>
  <si>
    <t>C2 40 X 40 2DO N</t>
  </si>
  <si>
    <t>VIGA V2 20 X 30 2DO N</t>
  </si>
  <si>
    <t>VIGA V2 20 X 30 3ER N</t>
  </si>
  <si>
    <t>VIGA V3 20 X 38 1ER N</t>
  </si>
  <si>
    <t>VIGA V3 20 X 38 3ER N</t>
  </si>
  <si>
    <t>VIGA V6 30 X 40 2DO N</t>
  </si>
  <si>
    <t>VIGA V6 30 X 40 3ER N</t>
  </si>
  <si>
    <t>VIGA V6 30 X 40 4TO N</t>
  </si>
  <si>
    <t>VIGA V7 30 X 40  1ER N</t>
  </si>
  <si>
    <t>VIGA V7 30 X 40  2DO N</t>
  </si>
  <si>
    <t>VIGA V7 30 X 40  3ER N</t>
  </si>
  <si>
    <t>VIGA V7 30 X 40  4TO N</t>
  </si>
  <si>
    <t xml:space="preserve">VIGA V8 20 X 35   2DO N </t>
  </si>
  <si>
    <t>VIGA V8 20 X 35  3ER N</t>
  </si>
  <si>
    <t>VIGA DE AMARRE MUROS 30 X 20 1ER N</t>
  </si>
  <si>
    <t>VIGA DE AMARRE MUROS 30 X 20 2DO N</t>
  </si>
  <si>
    <t>VIGA DE AMARRE MUROS 30 X 20 3ER N</t>
  </si>
  <si>
    <t>VIGA DE AMARRE MUROS 30 X 20 4TO N</t>
  </si>
  <si>
    <t>VIGA DE AMARRE MUROS 30 X 15 3ER</t>
  </si>
  <si>
    <t>VIGA DE AMARRE MUROS 30 X 15 1ER</t>
  </si>
  <si>
    <t>VIGA DE AMARRE MUROS 30 X 15 2DO N</t>
  </si>
  <si>
    <t>VIGA DE AMARRE MUROS 30 X 15 4TO N</t>
  </si>
  <si>
    <t>DINTEL D1 20 X40 1ER N</t>
  </si>
  <si>
    <t>DINTEL D1 20 X40 2DO N</t>
  </si>
  <si>
    <t>DINTEL D1 20 X40 3ER N</t>
  </si>
  <si>
    <t xml:space="preserve">DINTEL D1 15 X40 1ER </t>
  </si>
  <si>
    <t>DINTEL D1 15 X40 2DO N</t>
  </si>
  <si>
    <t>DINTEL D1 15 X40 3ER N</t>
  </si>
  <si>
    <t xml:space="preserve">DINTEL D2 20 X40 1ER </t>
  </si>
  <si>
    <t>DINTEL D2 20 X40 2DO N</t>
  </si>
  <si>
    <t>DINTEL D2 20 X40 3ER N</t>
  </si>
  <si>
    <t>DINTEL D2 15 X40 1ER N</t>
  </si>
  <si>
    <t>DINTEL D2 15 X40 2DO N</t>
  </si>
  <si>
    <t>DINTEL D2 15 X40 3ER N</t>
  </si>
  <si>
    <t>VIGA DE ESCALERA 20 X 35 1ER N</t>
  </si>
  <si>
    <t>VIGA DE ESCALERA 20 X 35 2DO N</t>
  </si>
  <si>
    <t>VIGA DE ESCALERA 20 X 35 3ER N</t>
  </si>
  <si>
    <t>VIGA V9 40 X 30   3ER N</t>
  </si>
  <si>
    <t>VIGA V9 40 X 30   2DO N</t>
  </si>
  <si>
    <t>VIGA V10 40 X 30   2DO N</t>
  </si>
  <si>
    <t>VIGA V10 40 X 30   3ER N</t>
  </si>
  <si>
    <t>VUELO DE 1.40m 3ER N</t>
  </si>
  <si>
    <t>LOSAS PLANAS 0.12M.  3ER N</t>
  </si>
  <si>
    <t>LOSAS PLANAS 0.12M. 2DO  N</t>
  </si>
  <si>
    <t>LOSAS PLANAS 0.15M. 2DO N</t>
  </si>
  <si>
    <t>LOSAS PLANAS 0.15M. 3ER N</t>
  </si>
  <si>
    <t>Losa / Desencofrado  e=0.15</t>
  </si>
  <si>
    <t>VUELO DE 0.40m 1ER N e=0.12M</t>
  </si>
  <si>
    <t>VUELO DE 1.40m 2DO N E=0.15M</t>
  </si>
  <si>
    <t>VUELO DE 0.90 1ER N E=0.12M</t>
  </si>
  <si>
    <t>Molde para viga de 0.40x0.20</t>
  </si>
  <si>
    <t>DINTEL D1 20 X40 4TO N</t>
  </si>
  <si>
    <t>Molde para viga de 0.40x0.15</t>
  </si>
  <si>
    <t>DINTEL D1 15 X40 4TO N</t>
  </si>
  <si>
    <t>DINTEL D2 20 X40 4TO N</t>
  </si>
  <si>
    <t>Molde para viga de 0.30x0.20</t>
  </si>
  <si>
    <t>Molde para viga de 0.30x0.15</t>
  </si>
  <si>
    <t>Molde para viga de 0.35 X 0.20</t>
  </si>
  <si>
    <t>Molde para viga de 0.38 X 0.20</t>
  </si>
  <si>
    <t>VIGA V3 20 X 38 2DO N</t>
  </si>
  <si>
    <t>Molde para viga de 0.30 X 0.20</t>
  </si>
  <si>
    <t>VIGA V2 20 X 30 1ER N</t>
  </si>
  <si>
    <t>Molde para viga de 0.30 X 0.40</t>
  </si>
  <si>
    <t>VIGA V6 30 X 40 1ER, N</t>
  </si>
  <si>
    <t>Molde para viga de 0.35 X 0.40</t>
  </si>
  <si>
    <t>Impermeabilizante techo plano (acril techo power) 1ER NIVEL</t>
  </si>
  <si>
    <t>Impermeabilizante techo plano (acril techo power) 4TO NIVEL</t>
  </si>
  <si>
    <t>Mezcla 1:3 para un 5to. Nivel IND</t>
  </si>
  <si>
    <t>Mezcla 1:3 para un 4to. Nivel IND</t>
  </si>
  <si>
    <t xml:space="preserve"> CARA DE MONJA EN VENTANAS PRIMER NIVEL</t>
  </si>
  <si>
    <t>BLOQUES DE VENTANAS</t>
  </si>
  <si>
    <t xml:space="preserve">AREA DE VUELO </t>
  </si>
  <si>
    <t xml:space="preserve">CANTOS EN CARA DE MONJA  </t>
  </si>
  <si>
    <t>PINTURA INCL. LA LOSA</t>
  </si>
  <si>
    <t>ML DE VUELO</t>
  </si>
  <si>
    <t>IMPERMEABILIZANTE DE LOSA (M2)</t>
  </si>
  <si>
    <t>ZABALETA EN LOSA</t>
  </si>
  <si>
    <t>FINO DE VUELO</t>
  </si>
  <si>
    <t>CM1</t>
  </si>
  <si>
    <t>CM2</t>
  </si>
  <si>
    <t>AREA DE BLOCKS DE 6" POR CARA MONJA  (M2)</t>
  </si>
  <si>
    <t>PANETE DE MUROS</t>
  </si>
  <si>
    <t>PANETE SOBRE HORMIGON</t>
  </si>
  <si>
    <t>CARETEO DE VUELO</t>
  </si>
  <si>
    <t>Pañete exterior sobre muros</t>
  </si>
  <si>
    <t xml:space="preserve">Pintura exterior </t>
  </si>
  <si>
    <t>Zabaleta en techos</t>
  </si>
  <si>
    <t>Careteo en superficie de hormigón</t>
  </si>
  <si>
    <t>Viga amarre bnp piso  20 x20</t>
  </si>
  <si>
    <t>Viga amarre piso bnp 15 x 20</t>
  </si>
  <si>
    <t xml:space="preserve">ANALISIS RAMPAS DE ESCALERAS 3do </t>
  </si>
  <si>
    <t>ANALISIS RAMPAS DE ESCALERAS 2er n</t>
  </si>
  <si>
    <t>Bloques de 0.15 m con  f 3/8 a 0.20 m  S.N.P. con 2 serpentina cada 3 lineas, M1</t>
  </si>
  <si>
    <t>Bloques de 0.20 m con  ø 3/8 a 0.60 m y cámaras llenas  D.N.P. CON 1 SERP. CADA 0.60M</t>
  </si>
  <si>
    <t>preguntar a indira</t>
  </si>
  <si>
    <t>Bloques de 0.15 m con  f 3/8 a 0.60 m y cámaras llenas D.N.P. CON SERP. CADA 3 LINEAS</t>
  </si>
  <si>
    <t>Bloques de 0.15 m con  f 3/8 a 0.60 m  D.N.P. CON 2 SERP. CADA 3 LINEAS</t>
  </si>
  <si>
    <t>Bloques de 0.20 m con  ø 3/8 a 0.60 m  D.N.P. CON 2 SERP. CADA 0.60M</t>
  </si>
  <si>
    <t>Bloques de 0.20 m con  f 3/8 a 0.60 m CON 2 SERPENTINA A 0.60</t>
  </si>
  <si>
    <t>Vuelos a=0.50m, hormigón industrial 210kg/cm2</t>
  </si>
  <si>
    <t>Vuelos a=0.50m</t>
  </si>
  <si>
    <t>VUELOS</t>
  </si>
  <si>
    <t>LOSA EN PATINILLO</t>
  </si>
  <si>
    <t>IMPERMEABLIZANTE</t>
  </si>
  <si>
    <t xml:space="preserve">Vuelos en ventanas a=0.50mt  e=0.15m, Hormigón 210 kg/cm2  industrial </t>
  </si>
  <si>
    <t>Losa patinillos y vuelos a=0.10m</t>
  </si>
  <si>
    <t xml:space="preserve"> CARA DE MONJA EN VENTANAS TERCER NIVEL</t>
  </si>
  <si>
    <t xml:space="preserve"> CARA DE MONJA EN VENTANAS SEGUNDO NIVEL</t>
  </si>
  <si>
    <t>TIERRA NEGRA</t>
  </si>
  <si>
    <t xml:space="preserve">GRAMA </t>
  </si>
  <si>
    <t xml:space="preserve">IMPERMEABILIZANTE </t>
  </si>
  <si>
    <t>vuelo 4to NIVEL</t>
  </si>
  <si>
    <t>CANT.: 8</t>
  </si>
  <si>
    <t>VOLUMEN DE HORMIGON LOSA E=0.10M</t>
  </si>
  <si>
    <t>LOSAS INCLINADA 0.10M TECHO</t>
  </si>
  <si>
    <t xml:space="preserve">VUELO DE 0.50 DEL 2DO </t>
  </si>
  <si>
    <t>VUELO DE 0.50 DEL 3ER</t>
  </si>
  <si>
    <t>VUELO DE 0.50 DEL 4TO</t>
  </si>
  <si>
    <t>VOLUMEN DE VUELOS</t>
  </si>
  <si>
    <t>LOSAS PLANAS 0.12M. TECHO Y VUELOS 0.50</t>
  </si>
  <si>
    <t>LOSAS PLANAS 0.15M. TECHO Y VUELOS A=0.50</t>
  </si>
  <si>
    <t>Losa / Desencofrado  e=0.10</t>
  </si>
  <si>
    <t>Bloques de 0.15 m con  f 3/8 a 0.60 m con 2 serpentina cada 3 lineas</t>
  </si>
  <si>
    <t>Bloques de 0.15 m con  f 3/8 a 0.60 m 2 con serpentina cada 3 lineas</t>
  </si>
  <si>
    <t>COLUMNA Columna de amarre HASTA ZAPATA ENTREPISO 1N</t>
  </si>
  <si>
    <t>1er n</t>
  </si>
  <si>
    <t>COLUMNA Columna de amarre SEGUNDO Y TERCER N</t>
  </si>
  <si>
    <t>|1|</t>
  </si>
  <si>
    <t xml:space="preserve"> ZAPATA COLUMNA AMARRE </t>
  </si>
  <si>
    <t>ZAPATA  COLUMNA AMARRE CA</t>
  </si>
  <si>
    <t>ZAPATAca</t>
  </si>
  <si>
    <t>MANTENIMENTO EN HIERROS</t>
  </si>
  <si>
    <t>VUELOS CARA DE MONJA TIPO 1</t>
  </si>
  <si>
    <t>VUELOS CARA DE MONJA TIPO 2</t>
  </si>
  <si>
    <t>VUELOS A=0.50 2DO AL TECHO</t>
  </si>
  <si>
    <t>total hormigon</t>
  </si>
  <si>
    <t>VUELOS CARA DE MONJA DE 0.50 DEL 1er</t>
  </si>
  <si>
    <t>VUELOS CARA DE MONJA DE 0.50 DEL 2DO</t>
  </si>
  <si>
    <t>VUELOS CARA DE MONJA DE 0.50 DEL 3er</t>
  </si>
  <si>
    <t>ACERO DE VIGA VDV 0.15X  0.40</t>
  </si>
  <si>
    <t>VIGA VDV</t>
  </si>
  <si>
    <t>VOL TOTAL VIGA VDV</t>
  </si>
  <si>
    <t>VIGA VDV CARA MONJA 20 X 40 1ER N</t>
  </si>
  <si>
    <t>Molde para viga de 0.2x0.4</t>
  </si>
  <si>
    <t>VIGA VDV CARA MONJA 20 X 40 2DO N</t>
  </si>
  <si>
    <t>VIGA VDV CARA MONJA 20 X 40 3ER N</t>
  </si>
  <si>
    <t xml:space="preserve">Viga Vdv (20x40), Hormigón 210 kg/cm2  industrial </t>
  </si>
  <si>
    <t>1ER N</t>
  </si>
  <si>
    <t>2DO Y 3ER</t>
  </si>
  <si>
    <t>TERMINACIONES EN VENTANAS TIPO CARA DE MONJA: 1ER NIVEL</t>
  </si>
  <si>
    <t>TERMINACIONES EN VENTANAS TIPO CARA DE MONJA: 2DO NIVEL</t>
  </si>
  <si>
    <t>ml/nivel</t>
  </si>
  <si>
    <t>INSTALACIONES ELECTRICAS:</t>
  </si>
  <si>
    <t>LIMPIEZA FINAL:</t>
  </si>
  <si>
    <t>MUROS:</t>
  </si>
  <si>
    <t>VARIOS:</t>
  </si>
  <si>
    <t>Desmonte y traslado de plafón existente y su estructura.</t>
  </si>
  <si>
    <t>Limpieza continua y final (incluye bote).</t>
  </si>
  <si>
    <t>Itbis de Honorarios -(Norma 07-07 de la DGII (1.8%)</t>
  </si>
  <si>
    <t>Desmantelamiento de sheetrock existente.</t>
  </si>
  <si>
    <t>Suministro e instalación de plafón fisurado (falso techo). Incluye cambio de estructura de aluminio de soporte.</t>
  </si>
  <si>
    <t>Desmonte y traslado de puerta existente de madera. (8 UDS)</t>
  </si>
  <si>
    <t>Mantenimiento en puerta de caoba.</t>
  </si>
  <si>
    <t>PL</t>
  </si>
  <si>
    <t xml:space="preserve">Zócalos de vinyl color negro. Incluye suministro de materiales e instalación. </t>
  </si>
  <si>
    <t>Desmonte y reubicación de extractor de cocina.</t>
  </si>
  <si>
    <t>INSTALACIONES SANITARIAS:</t>
  </si>
  <si>
    <t>Desmonte de fregadero simple existente.</t>
  </si>
  <si>
    <t>Suministro e instalación de fregadero simple de acero inoxidable. Incluye mezcladora y salidas de agua potable y drenaje.</t>
  </si>
  <si>
    <t>Instalación de tapón registro PVC 3" en piso.</t>
  </si>
  <si>
    <t>Limpieza de trampa de grasa existente.</t>
  </si>
  <si>
    <t xml:space="preserve">Suministro e instalación de rejilla de piso de acero de 2". </t>
  </si>
  <si>
    <t>Tubería de arrastre potable PVC SCH-40 3/4". Incluye piezas y accesorios, movimiento de tierra y colchón de arena.</t>
  </si>
  <si>
    <t>Tubería de arrastre sanitario PVC SDR-41 3". Incluye piezas y accesorios, movimiento de tierra y colchón de arena.</t>
  </si>
  <si>
    <t>Desmonte y traslado de lámparas, equipos e instalaciones eléctricas a remover</t>
  </si>
  <si>
    <t>Desmantelación, traslado y bote de cerámica de pared, meseta de cocina y gabinete de piso..</t>
  </si>
  <si>
    <t xml:space="preserve">Suministro e instalación de muros en sheetrock a dos caras H=2.90m. </t>
  </si>
  <si>
    <t xml:space="preserve">Suministro e instalación de muros en densglass a dos caras H=2.90m. </t>
  </si>
  <si>
    <t>PINTURA (2 MANOS):</t>
  </si>
  <si>
    <t xml:space="preserve">Semi-gloss superior en muros interiores y pasillos </t>
  </si>
  <si>
    <t>PORTAJE Y VENTANAS:</t>
  </si>
  <si>
    <t>Panel fijo de vidrio en recepción (1.40x1.0)mt</t>
  </si>
  <si>
    <t>Suministro e instalación de puerta batiente de aluminio y cristal 3/8'' moldura P40 comercial (0.85x2.10)m, PN1. Incluye laminado frost y llavín.</t>
  </si>
  <si>
    <t xml:space="preserve">Suministro e instalación de puerta batiente de aluminio y cristal 3/8'' moldura P40 comercial (0.95x2.10)m, PN2. Incluye laminado frost y llavín. </t>
  </si>
  <si>
    <t xml:space="preserve">Gabinete de pared en cocina. Suministro e instalación, pino americano tratado. Incluye tirantes. </t>
  </si>
  <si>
    <t xml:space="preserve">Gabinete de piso en cocina. Suministro e instalación, pino americano tratado. Incluye tirantes. </t>
  </si>
  <si>
    <t>REVESTIMIENTO EN PARED:</t>
  </si>
  <si>
    <t>Cerámica de pared en cocina sobre tope de granito</t>
  </si>
  <si>
    <t>Mantenimiento puerta en madera (1.0x2.10)m, P3</t>
  </si>
  <si>
    <t xml:space="preserve">Suministro e instalación de meseta de granito natural . Incluye su soporte </t>
  </si>
  <si>
    <t>Iluminación, Instalaciones y salidas eléctricas.</t>
  </si>
  <si>
    <t>Seguros y Fianzas (4.5%)</t>
  </si>
  <si>
    <t>Gastos Administrativos (3.0%)</t>
  </si>
  <si>
    <t>Imprevisto ( 10.00%)</t>
  </si>
  <si>
    <t>Codia- (decreto No. 319-88d/f 25 agosto-1988)(0.1%)</t>
  </si>
  <si>
    <t xml:space="preserve">Fondo de pensiones y jubilaciones obreros de la construcción (1%),ley 6/86 </t>
  </si>
  <si>
    <t>Transporte ( 2.75%)</t>
  </si>
  <si>
    <t xml:space="preserve">                                  DEPARTAMENTO DE INGENIERIA Y ARQUITECTURA</t>
  </si>
  <si>
    <t xml:space="preserve"> Fecha:</t>
  </si>
  <si>
    <t xml:space="preserve">REMOZAMIENTO DE LA OFICINA DE ABOGADOS DEL ESTADO, PROVINCIA SANTIAGO                                                                            </t>
  </si>
  <si>
    <t>LOCALIZACION : PROVINCIA SANTIAGO.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</si>
</sst>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quot;#,##0.00;\-&quot;$&quot;#,##0.00"/>
    <numFmt numFmtId="169" formatCode="_(* #,##0.000_);_(* \(#,##0.000\);_(* &quot;-&quot;??_);_(@_)"/>
    <numFmt numFmtId="170" formatCode="#,##0.000_);\(#,##0.000\)"/>
    <numFmt numFmtId="171" formatCode="0.000"/>
    <numFmt numFmtId="172" formatCode="#,##0.000"/>
    <numFmt numFmtId="173" formatCode="_([$€-2]* #,##0.00_);_([$€-2]* \(#,##0.00\);_([$€-2]* &quot;-&quot;??_)"/>
    <numFmt numFmtId="174" formatCode="#,##0.0000"/>
    <numFmt numFmtId="175" formatCode="dd/mm/yyyy;@"/>
    <numFmt numFmtId="176" formatCode="_(&quot;RD$&quot;* #,##0.00_);_(&quot;RD$&quot;* \(#,##0.00\);_(&quot;RD$&quot;* \-??_);_(@_)"/>
    <numFmt numFmtId="177" formatCode="0.00&quot; m²&quot;"/>
    <numFmt numFmtId="178" formatCode="0.00&quot; pie²&quot;"/>
    <numFmt numFmtId="179" formatCode="0.00&quot; m³/Hr&quot;"/>
    <numFmt numFmtId="180" formatCode="_(* #,##0.000_);_(* \(#,##0.000\);_(* \-??_);_(@_)"/>
    <numFmt numFmtId="181" formatCode="[$$-409]#,##0.00"/>
    <numFmt numFmtId="182" formatCode="[$$-2C0A]\ #,##0.00;[$$-2C0A]\ \-#,##0.00"/>
    <numFmt numFmtId="183" formatCode="0.0"/>
    <numFmt numFmtId="184" formatCode="#,##0.00\ ;&quot; (&quot;#,##0.00\);&quot; -&quot;#\ ;@\ "/>
    <numFmt numFmtId="185" formatCode="&quot;RD$&quot;#,##0.00"/>
    <numFmt numFmtId="186" formatCode="0.00&quot; mt&quot;"/>
    <numFmt numFmtId="187" formatCode="0.0%"/>
    <numFmt numFmtId="188" formatCode="_(* #,##0.00_);_(* \(#,##0.00\);_(* \-??_);_(@_)"/>
    <numFmt numFmtId="189" formatCode="_(* #,##0.0000_);_(* \(#,##0.0000\);_(* &quot;-&quot;??_);_(@_)"/>
    <numFmt numFmtId="190" formatCode="#\ ?/?&quot; ''&quot;"/>
    <numFmt numFmtId="191" formatCode="#\ ?/?&quot;''&quot;"/>
    <numFmt numFmtId="192" formatCode="0.0000"/>
    <numFmt numFmtId="193" formatCode="&quot;Lx: &quot;#,##0.00&quot; mts&quot;"/>
    <numFmt numFmtId="194" formatCode="&quot;Ly: &quot;#,##0.00&quot; mts&quot;"/>
    <numFmt numFmtId="195" formatCode="&quot;h: &quot;#,##0.00&quot; mts&quot;"/>
    <numFmt numFmtId="196" formatCode="&quot;e: &quot;0.00&quot; m (Limpieza)&quot;"/>
    <numFmt numFmtId="197" formatCode="&quot;Pf: &quot;#,##0.00&quot; mts (Desplante)&quot;"/>
    <numFmt numFmtId="198" formatCode="&quot;Cant.:  &quot;0"/>
    <numFmt numFmtId="199" formatCode="dd/mmm"/>
    <numFmt numFmtId="200" formatCode="&quot;B : &quot;#,##0.00&quot; mts&quot;"/>
    <numFmt numFmtId="201" formatCode="&quot;h : &quot;#,##0.00&quot; mts&quot;"/>
    <numFmt numFmtId="202" formatCode="&quot;L : &quot;#,##0.00&quot; mts&quot;"/>
    <numFmt numFmtId="203" formatCode="&quot;Vol: &quot;#,##0.00&quot; mt3&quot;"/>
    <numFmt numFmtId="204" formatCode="&quot;Peso: &quot;#,##0.00&quot; qq&quot;"/>
    <numFmt numFmtId="205" formatCode="&quot;H/6: &quot;#,##0.00&quot; mts&quot;"/>
    <numFmt numFmtId="206" formatCode="&quot;Ancho BNP: &quot;#,##0.00&quot; mts&quot;"/>
    <numFmt numFmtId="207" formatCode="&quot;Altura: &quot;#,##0.00&quot; mts&quot;"/>
    <numFmt numFmtId="208" formatCode="&quot;pf : &quot;#,##0.00&quot; mts&quot;"/>
    <numFmt numFmtId="209" formatCode="&quot;Ancho: &quot;#,##0.00&quot; mts&quot;"/>
    <numFmt numFmtId="210" formatCode="_-* #,##0.00\ &quot;Pts&quot;_-;\-* #,##0.00\ &quot;Pts&quot;_-;_-* &quot;-&quot;??\ &quot;Pts&quot;_-;_-@_-"/>
    <numFmt numFmtId="211" formatCode="0.00_)"/>
    <numFmt numFmtId="212" formatCode="_([$€]* #,##0.00_);_([$€]* \(#,##0.00\);_([$€]* &quot;-&quot;??_);_(@_)"/>
    <numFmt numFmtId="213" formatCode="_-* #,##0.00\ _p_t_a_-;\-* #,##0.00\ _p_t_a_-;_-* &quot;-&quot;??\ _p_t_a_-;_-@_-"/>
    <numFmt numFmtId="214" formatCode="0&quot;.-&quot;"/>
    <numFmt numFmtId="215" formatCode="#,##0.00&quot; pta &quot;;\-#,##0.00&quot; pta &quot;;&quot; -&quot;#&quot; pta &quot;;@\ "/>
    <numFmt numFmtId="216" formatCode="&quot;RD$&quot;#,##0.00;[Red]&quot;RD$&quot;#,##0.0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Times New Roman"/>
      <family val="1"/>
    </font>
    <font>
      <sz val="10"/>
      <name val="Times New Roman"/>
      <family val="1"/>
    </font>
    <font>
      <sz val="9"/>
      <name val="Times New Roman"/>
      <family val="1"/>
    </font>
    <font>
      <b/>
      <sz val="14"/>
      <name val="Times New Roman"/>
      <family val="1"/>
    </font>
    <font>
      <sz val="10"/>
      <color indexed="10"/>
      <name val="Times New Roman"/>
      <family val="1"/>
    </font>
    <font>
      <sz val="8"/>
      <name val="Arial"/>
      <family val="2"/>
    </font>
    <font>
      <b/>
      <sz val="10"/>
      <color indexed="43"/>
      <name val="Times New Roman"/>
      <family val="1"/>
    </font>
    <font>
      <b/>
      <i/>
      <sz val="10"/>
      <color indexed="43"/>
      <name val="Times New Roman"/>
      <family val="1"/>
    </font>
    <font>
      <b/>
      <sz val="10"/>
      <color indexed="13"/>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b/>
      <sz val="10"/>
      <color indexed="10"/>
      <name val="Times New Roman"/>
      <family val="1"/>
    </font>
    <font>
      <sz val="14"/>
      <name val="Times New Roman"/>
      <family val="1"/>
    </font>
    <font>
      <sz val="10"/>
      <name val="Arial"/>
      <family val="2"/>
    </font>
    <font>
      <sz val="11"/>
      <color indexed="17"/>
      <name val="Calibri"/>
      <family val="2"/>
    </font>
    <font>
      <b/>
      <sz val="11"/>
      <color indexed="53"/>
      <name val="Calibri"/>
      <family val="2"/>
    </font>
    <font>
      <b/>
      <sz val="11"/>
      <color indexed="9"/>
      <name val="Calibri"/>
      <family val="2"/>
    </font>
    <font>
      <sz val="11"/>
      <color indexed="53"/>
      <name val="Calibri"/>
      <family val="2"/>
    </font>
    <font>
      <b/>
      <sz val="11"/>
      <color indexed="62"/>
      <name val="Calibri"/>
      <family val="2"/>
    </font>
    <font>
      <b/>
      <sz val="11"/>
      <color indexed="8"/>
      <name val="Calibri"/>
      <family val="2"/>
    </font>
    <font>
      <sz val="11"/>
      <color indexed="9"/>
      <name val="Calibri"/>
      <family val="2"/>
    </font>
    <font>
      <sz val="11"/>
      <color indexed="8"/>
      <name val="Calibri"/>
      <family val="2"/>
    </font>
    <font>
      <sz val="11"/>
      <color indexed="62"/>
      <name val="Calibri"/>
      <family val="2"/>
    </font>
    <font>
      <sz val="11"/>
      <color indexed="16"/>
      <name val="Calibri"/>
      <family val="2"/>
    </font>
    <font>
      <sz val="11"/>
      <color indexed="60"/>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8"/>
      <name val="Times New Roman"/>
      <family val="1"/>
    </font>
    <font>
      <b/>
      <sz val="8"/>
      <name val="Times New Roman"/>
      <family val="1"/>
    </font>
    <font>
      <sz val="11"/>
      <name val="Times New Roman"/>
      <family val="1"/>
    </font>
    <font>
      <b/>
      <sz val="11"/>
      <name val="Times New Roman"/>
      <family val="1"/>
    </font>
    <font>
      <sz val="7"/>
      <name val="Times New Roman"/>
      <family val="1"/>
    </font>
    <font>
      <sz val="11"/>
      <color indexed="8"/>
      <name val="Calibri"/>
      <family val="2"/>
    </font>
    <font>
      <b/>
      <sz val="10"/>
      <color indexed="9"/>
      <name val="Times New Roman"/>
      <family val="1"/>
    </font>
    <font>
      <sz val="12"/>
      <color indexed="9"/>
      <name val="Times New Roman"/>
      <family val="1"/>
    </font>
    <font>
      <sz val="10"/>
      <name val="Arial"/>
      <family val="2"/>
    </font>
    <font>
      <sz val="11"/>
      <color indexed="8"/>
      <name val="Calibri"/>
      <family val="2"/>
    </font>
    <font>
      <sz val="10"/>
      <name val="Arial"/>
      <family val="2"/>
    </font>
    <font>
      <sz val="11"/>
      <color indexed="8"/>
      <name val="Calibri"/>
      <family val="2"/>
    </font>
    <font>
      <b/>
      <sz val="10"/>
      <color indexed="10"/>
      <name val="Times New Roman"/>
      <family val="1"/>
    </font>
    <font>
      <sz val="10"/>
      <color indexed="10"/>
      <name val="Times New Roman"/>
      <family val="1"/>
    </font>
    <font>
      <b/>
      <sz val="12"/>
      <color indexed="9"/>
      <name val="Times New Roman"/>
      <family val="1"/>
    </font>
    <font>
      <sz val="9"/>
      <color indexed="81"/>
      <name val="Tahoma"/>
      <family val="2"/>
    </font>
    <font>
      <b/>
      <sz val="9"/>
      <color indexed="81"/>
      <name val="Tahoma"/>
      <family val="2"/>
    </font>
    <font>
      <sz val="11"/>
      <color theme="1"/>
      <name val="Calibri"/>
      <family val="2"/>
      <scheme val="minor"/>
    </font>
    <font>
      <b/>
      <sz val="10"/>
      <color rgb="FFFF0000"/>
      <name val="Times New Roman"/>
      <family val="1"/>
    </font>
    <font>
      <sz val="10"/>
      <name val="Mangal"/>
      <family val="2"/>
    </font>
    <font>
      <sz val="10"/>
      <name val="MS Sans Serif"/>
      <family val="2"/>
    </font>
    <font>
      <sz val="10"/>
      <name val="Wingdings"/>
      <charset val="2"/>
    </font>
    <font>
      <b/>
      <sz val="10"/>
      <name val="Arial"/>
      <family val="2"/>
    </font>
    <font>
      <sz val="10"/>
      <name val="Courier"/>
      <family val="3"/>
    </font>
    <font>
      <sz val="12"/>
      <name val="Arial"/>
      <family val="2"/>
    </font>
    <font>
      <b/>
      <sz val="12"/>
      <name val="Arial"/>
      <family val="2"/>
    </font>
    <font>
      <b/>
      <u/>
      <sz val="12"/>
      <name val="Arial"/>
      <family val="2"/>
    </font>
    <font>
      <b/>
      <i/>
      <sz val="12"/>
      <name val="Arial"/>
      <family val="2"/>
    </font>
    <font>
      <b/>
      <sz val="10"/>
      <name val="Courier New"/>
      <family val="3"/>
    </font>
    <font>
      <b/>
      <sz val="14"/>
      <name val="Courier New"/>
      <family val="3"/>
    </font>
    <font>
      <sz val="12"/>
      <name val="Calibri"/>
      <family val="2"/>
    </font>
    <font>
      <sz val="11.5"/>
      <name val="Arial"/>
      <family val="2"/>
    </font>
    <font>
      <b/>
      <sz val="12"/>
      <color theme="1"/>
      <name val="Calibri"/>
      <family val="2"/>
      <scheme val="minor"/>
    </font>
    <font>
      <b/>
      <sz val="11"/>
      <color theme="1"/>
      <name val="Calibri"/>
      <family val="2"/>
      <scheme val="minor"/>
    </font>
    <font>
      <b/>
      <sz val="12"/>
      <color rgb="FF000000"/>
      <name val="Calibri"/>
      <family val="2"/>
      <scheme val="minor"/>
    </font>
    <font>
      <b/>
      <sz val="14"/>
      <color rgb="FF000000"/>
      <name val="Calibri"/>
      <family val="2"/>
      <scheme val="minor"/>
    </font>
    <font>
      <sz val="11"/>
      <name val="Arial"/>
      <family val="2"/>
    </font>
    <font>
      <b/>
      <sz val="18"/>
      <color indexed="8"/>
      <name val="Times New Roman"/>
      <family val="1"/>
    </font>
    <font>
      <sz val="12"/>
      <color indexed="8"/>
      <name val="Arial"/>
      <family val="2"/>
    </font>
    <font>
      <b/>
      <sz val="12"/>
      <color indexed="8"/>
      <name val="Bookman Old Style"/>
      <family val="1"/>
    </font>
    <font>
      <b/>
      <sz val="11"/>
      <name val="Arial"/>
      <family val="2"/>
    </font>
    <font>
      <sz val="9"/>
      <name val="Arial"/>
      <family val="2"/>
    </font>
    <font>
      <b/>
      <sz val="12"/>
      <color indexed="8"/>
      <name val="Arial"/>
      <family val="2"/>
    </font>
    <font>
      <b/>
      <sz val="8"/>
      <name val="Arial"/>
      <family val="2"/>
    </font>
    <font>
      <b/>
      <sz val="14"/>
      <color indexed="8"/>
      <name val="Arial"/>
      <family val="2"/>
    </font>
    <font>
      <b/>
      <u/>
      <sz val="10"/>
      <name val="Arial"/>
      <family val="2"/>
    </font>
    <font>
      <sz val="11"/>
      <name val="Calibri"/>
      <family val="2"/>
      <scheme val="minor"/>
    </font>
    <font>
      <b/>
      <sz val="18"/>
      <name val="Times New Roman"/>
      <family val="1"/>
    </font>
    <font>
      <b/>
      <sz val="11"/>
      <name val="Calibri"/>
      <family val="2"/>
    </font>
    <font>
      <b/>
      <sz val="20"/>
      <color indexed="8"/>
      <name val="Calibri"/>
      <family val="2"/>
      <scheme val="minor"/>
    </font>
    <font>
      <b/>
      <sz val="12"/>
      <color indexed="8"/>
      <name val="Calibri"/>
      <family val="2"/>
      <scheme val="minor"/>
    </font>
    <font>
      <sz val="10"/>
      <color rgb="FF000000"/>
      <name val="Times New Roman"/>
      <family val="1"/>
    </font>
    <font>
      <b/>
      <sz val="10"/>
      <name val="Segoe UI"/>
      <family val="2"/>
    </font>
    <font>
      <sz val="10"/>
      <color rgb="FF000000"/>
      <name val="Segoe UI"/>
      <family val="2"/>
    </font>
    <font>
      <b/>
      <sz val="8"/>
      <name val="Segoe UI"/>
      <family val="2"/>
    </font>
    <font>
      <sz val="8"/>
      <name val="Segoe UI"/>
      <family val="2"/>
    </font>
    <font>
      <sz val="7"/>
      <name val="Segoe UI"/>
      <family val="2"/>
    </font>
    <font>
      <sz val="10"/>
      <color theme="1"/>
      <name val="Segoe UI"/>
      <family val="2"/>
    </font>
    <font>
      <sz val="10"/>
      <name val="Segoe UI"/>
      <family val="2"/>
    </font>
    <font>
      <sz val="9"/>
      <color rgb="FF000000"/>
      <name val="Segoe UI"/>
      <family val="2"/>
    </font>
    <font>
      <sz val="12"/>
      <color theme="1"/>
      <name val="Calibri"/>
      <family val="2"/>
      <scheme val="minor"/>
    </font>
    <font>
      <sz val="10"/>
      <color theme="1"/>
      <name val="Arial"/>
      <family val="2"/>
    </font>
    <font>
      <b/>
      <sz val="18"/>
      <name val="Arial"/>
      <family val="2"/>
    </font>
    <font>
      <b/>
      <sz val="14"/>
      <name val="Arial"/>
      <family val="2"/>
    </font>
    <font>
      <sz val="14"/>
      <color rgb="FFFF0000"/>
      <name val="Arial"/>
      <family val="2"/>
    </font>
    <font>
      <sz val="14"/>
      <color theme="1"/>
      <name val="Arial"/>
      <family val="2"/>
    </font>
    <font>
      <b/>
      <sz val="14"/>
      <color theme="1"/>
      <name val="Arial"/>
      <family val="2"/>
    </font>
    <font>
      <b/>
      <sz val="11"/>
      <color theme="1"/>
      <name val="Arial"/>
      <family val="2"/>
    </font>
    <font>
      <sz val="12"/>
      <color theme="1"/>
      <name val="Arial"/>
      <family val="2"/>
    </font>
    <font>
      <sz val="11"/>
      <color theme="1"/>
      <name val="Arial"/>
      <family val="2"/>
    </font>
    <font>
      <sz val="12"/>
      <color rgb="FFFF0000"/>
      <name val="Arial"/>
      <family val="2"/>
    </font>
    <font>
      <b/>
      <sz val="12"/>
      <color theme="1"/>
      <name val="Arial"/>
      <family val="2"/>
    </font>
    <font>
      <b/>
      <sz val="14"/>
      <color rgb="FFFF0000"/>
      <name val="Arial"/>
      <family val="2"/>
    </font>
    <font>
      <sz val="12"/>
      <color rgb="FFFF0000"/>
      <name val="Calibri"/>
      <family val="2"/>
      <scheme val="minor"/>
    </font>
    <font>
      <sz val="11"/>
      <color rgb="FFFF0000"/>
      <name val="Calibri"/>
      <family val="2"/>
      <scheme val="minor"/>
    </font>
    <font>
      <b/>
      <sz val="16"/>
      <name val="Arial"/>
      <family val="2"/>
    </font>
    <font>
      <sz val="16"/>
      <name val="Arial"/>
      <family val="2"/>
    </font>
    <font>
      <b/>
      <sz val="10"/>
      <color rgb="FFFF0000"/>
      <name val="Arial"/>
      <family val="2"/>
    </font>
    <font>
      <b/>
      <sz val="10"/>
      <color theme="1"/>
      <name val="Arial"/>
      <family val="2"/>
    </font>
    <font>
      <sz val="12"/>
      <color theme="1"/>
      <name val="Antique Olive Roman"/>
      <family val="2"/>
    </font>
    <font>
      <b/>
      <sz val="12"/>
      <color theme="1"/>
      <name val="Antique Olive Roman"/>
    </font>
    <font>
      <b/>
      <sz val="16"/>
      <color theme="1"/>
      <name val="Arial"/>
      <family val="2"/>
    </font>
    <font>
      <b/>
      <sz val="12"/>
      <color rgb="FFFF0000"/>
      <name val="Arial"/>
      <family val="2"/>
    </font>
    <font>
      <b/>
      <sz val="11"/>
      <color rgb="FFFF0000"/>
      <name val="Arial"/>
      <family val="2"/>
    </font>
    <font>
      <sz val="11"/>
      <color rgb="FFFF0000"/>
      <name val="Arial"/>
      <family val="2"/>
    </font>
    <font>
      <b/>
      <sz val="16"/>
      <color theme="0"/>
      <name val="Arial"/>
      <family val="2"/>
    </font>
    <font>
      <sz val="11"/>
      <color indexed="8"/>
      <name val="Arial"/>
      <family val="2"/>
    </font>
    <font>
      <b/>
      <sz val="10"/>
      <color indexed="48"/>
      <name val="Arial"/>
      <family val="2"/>
    </font>
    <font>
      <b/>
      <sz val="10"/>
      <color indexed="8"/>
      <name val="Arial"/>
      <family val="2"/>
    </font>
    <font>
      <b/>
      <sz val="10"/>
      <color indexed="21"/>
      <name val="Arial"/>
      <family val="2"/>
    </font>
    <font>
      <sz val="10"/>
      <color indexed="8"/>
      <name val="Arial"/>
      <family val="2"/>
    </font>
    <font>
      <b/>
      <sz val="14"/>
      <color rgb="FFFF0000"/>
      <name val="Calibri"/>
      <family val="2"/>
      <scheme val="minor"/>
    </font>
    <font>
      <b/>
      <sz val="11"/>
      <color theme="8" tint="-0.249977111117893"/>
      <name val="Calibri"/>
      <family val="2"/>
      <scheme val="minor"/>
    </font>
    <font>
      <b/>
      <sz val="11"/>
      <color theme="5" tint="-0.499984740745262"/>
      <name val="Calibri"/>
      <family val="2"/>
      <scheme val="minor"/>
    </font>
    <font>
      <b/>
      <sz val="11"/>
      <color indexed="8"/>
      <name val="Arial"/>
      <family val="2"/>
    </font>
    <font>
      <b/>
      <sz val="12"/>
      <color theme="5" tint="-0.499984740745262"/>
      <name val="Calibri"/>
      <family val="2"/>
      <scheme val="minor"/>
    </font>
    <font>
      <b/>
      <sz val="10"/>
      <color indexed="9"/>
      <name val="Arial"/>
      <family val="2"/>
    </font>
    <font>
      <sz val="10"/>
      <color indexed="9"/>
      <name val="Arial"/>
      <family val="2"/>
    </font>
    <font>
      <b/>
      <sz val="14"/>
      <color theme="1"/>
      <name val="Calibri"/>
      <family val="2"/>
      <scheme val="minor"/>
    </font>
    <font>
      <sz val="10"/>
      <color rgb="FFFF0000"/>
      <name val="Segoe UI"/>
      <family val="2"/>
    </font>
    <font>
      <sz val="10"/>
      <name val="Arial"/>
      <family val="2"/>
    </font>
    <font>
      <b/>
      <sz val="11"/>
      <color indexed="52"/>
      <name val="Calibri"/>
      <family val="2"/>
    </font>
    <font>
      <sz val="11"/>
      <color indexed="52"/>
      <name val="Calibri"/>
      <family val="2"/>
    </font>
    <font>
      <b/>
      <sz val="11"/>
      <color indexed="56"/>
      <name val="Calibri"/>
      <family val="2"/>
    </font>
    <font>
      <i/>
      <sz val="11"/>
      <color indexed="23"/>
      <name val="Calibri"/>
      <family val="2"/>
    </font>
    <font>
      <sz val="11"/>
      <color indexed="20"/>
      <name val="Calibri"/>
      <family val="2"/>
    </font>
    <font>
      <sz val="10"/>
      <name val="Courier"/>
    </font>
    <font>
      <b/>
      <i/>
      <sz val="16"/>
      <name val="Helv"/>
    </font>
    <font>
      <b/>
      <sz val="18"/>
      <color indexed="56"/>
      <name val="Cambria"/>
      <family val="2"/>
    </font>
    <font>
      <b/>
      <sz val="13"/>
      <color indexed="56"/>
      <name val="Calibri"/>
      <family val="2"/>
    </font>
    <font>
      <b/>
      <sz val="11"/>
      <color theme="0"/>
      <name val="Calibri"/>
      <family val="2"/>
      <scheme val="minor"/>
    </font>
    <font>
      <b/>
      <sz val="16"/>
      <color theme="1"/>
      <name val="Calibri"/>
      <family val="2"/>
      <scheme val="minor"/>
    </font>
    <font>
      <b/>
      <sz val="10"/>
      <name val="Tahoma"/>
      <family val="2"/>
    </font>
    <font>
      <sz val="10"/>
      <name val="Tahoma"/>
      <family val="2"/>
    </font>
    <font>
      <sz val="6"/>
      <name val="Calibri"/>
      <family val="2"/>
    </font>
    <font>
      <b/>
      <sz val="8"/>
      <name val="Calibri"/>
      <family val="2"/>
    </font>
    <font>
      <sz val="10"/>
      <color rgb="FFFF0000"/>
      <name val="Times New Roman"/>
      <family val="1"/>
    </font>
    <font>
      <sz val="10"/>
      <name val="Arial"/>
      <family val="2"/>
    </font>
    <font>
      <b/>
      <sz val="10"/>
      <color rgb="FF000000"/>
      <name val="Segoe UI"/>
      <family val="2"/>
    </font>
    <font>
      <b/>
      <sz val="12"/>
      <color rgb="FF000000"/>
      <name val="Arial"/>
      <family val="2"/>
    </font>
  </fonts>
  <fills count="102">
    <fill>
      <patternFill patternType="none"/>
    </fill>
    <fill>
      <patternFill patternType="gray125"/>
    </fill>
    <fill>
      <patternFill patternType="solid">
        <fgColor indexed="42"/>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indexed="40"/>
      </patternFill>
    </fill>
    <fill>
      <patternFill patternType="solid">
        <fgColor indexed="15"/>
      </patternFill>
    </fill>
    <fill>
      <patternFill patternType="solid">
        <fgColor indexed="41"/>
      </patternFill>
    </fill>
    <fill>
      <patternFill patternType="solid">
        <fgColor indexed="13"/>
        <bgColor indexed="64"/>
      </patternFill>
    </fill>
    <fill>
      <patternFill patternType="solid">
        <fgColor indexed="51"/>
        <bgColor indexed="64"/>
      </patternFill>
    </fill>
    <fill>
      <patternFill patternType="solid">
        <fgColor indexed="49"/>
        <bgColor indexed="64"/>
      </patternFill>
    </fill>
    <fill>
      <patternFill patternType="solid">
        <fgColor indexed="10"/>
        <bgColor indexed="64"/>
      </patternFill>
    </fill>
    <fill>
      <patternFill patternType="solid">
        <fgColor indexed="40"/>
        <bgColor indexed="64"/>
      </patternFill>
    </fill>
    <fill>
      <patternFill patternType="solid">
        <fgColor indexed="18"/>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2"/>
        <bgColor indexed="64"/>
      </patternFill>
    </fill>
    <fill>
      <patternFill patternType="lightUp">
        <fgColor indexed="9"/>
        <bgColor theme="7" tint="0.39997558519241921"/>
      </patternFill>
    </fill>
    <fill>
      <patternFill patternType="solid">
        <fgColor indexed="47"/>
        <bgColor indexed="64"/>
      </patternFill>
    </fill>
    <fill>
      <patternFill patternType="solid">
        <fgColor rgb="FFFFC000"/>
        <bgColor indexed="64"/>
      </patternFill>
    </fill>
    <fill>
      <patternFill patternType="solid">
        <fgColor indexed="42"/>
        <bgColor indexed="64"/>
      </patternFill>
    </fill>
    <fill>
      <patternFill patternType="solid">
        <fgColor indexed="9"/>
        <bgColor indexed="26"/>
      </patternFill>
    </fill>
    <fill>
      <patternFill patternType="solid">
        <fgColor theme="0"/>
        <bgColor indexed="26"/>
      </patternFill>
    </fill>
    <fill>
      <patternFill patternType="solid">
        <fgColor theme="7" tint="0.79998168889431442"/>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8" tint="0.39997558519241921"/>
        <bgColor indexed="2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92D050"/>
        <bgColor indexed="26"/>
      </patternFill>
    </fill>
    <fill>
      <patternFill patternType="solid">
        <fgColor rgb="FF00B050"/>
        <bgColor indexed="26"/>
      </patternFill>
    </fill>
    <fill>
      <patternFill patternType="solid">
        <fgColor rgb="FF00B050"/>
        <bgColor indexed="64"/>
      </patternFill>
    </fill>
    <fill>
      <patternFill patternType="solid">
        <fgColor theme="1"/>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39997558519241921"/>
        <bgColor indexed="26"/>
      </patternFill>
    </fill>
    <fill>
      <patternFill patternType="solid">
        <fgColor theme="3" tint="0.39997558519241921"/>
        <bgColor indexed="64"/>
      </patternFill>
    </fill>
    <fill>
      <patternFill patternType="solid">
        <fgColor indexed="31"/>
        <bgColor indexed="41"/>
      </patternFill>
    </fill>
    <fill>
      <patternFill patternType="solid">
        <fgColor indexed="45"/>
        <bgColor indexed="50"/>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50"/>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26"/>
        <bgColor indexed="9"/>
      </patternFill>
    </fill>
    <fill>
      <patternFill patternType="solid">
        <fgColor indexed="22"/>
        <bgColor indexed="24"/>
      </patternFill>
    </fill>
    <fill>
      <patternFill patternType="solid">
        <fgColor indexed="55"/>
        <bgColor indexed="23"/>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4"/>
        <bgColor indexed="22"/>
      </patternFill>
    </fill>
    <fill>
      <patternFill patternType="solid">
        <fgColor indexed="50"/>
        <bgColor indexed="45"/>
      </patternFill>
    </fill>
    <fill>
      <patternFill patternType="solid">
        <fgColor indexed="41"/>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rgb="FFCCCC00"/>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theme="2" tint="-0.499984740745262"/>
        <bgColor indexed="64"/>
      </patternFill>
    </fill>
  </fills>
  <borders count="1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hair">
        <color indexed="64"/>
      </top>
      <bottom style="thick">
        <color indexed="64"/>
      </bottom>
      <diagonal/>
    </border>
    <border>
      <left style="thick">
        <color indexed="64"/>
      </left>
      <right style="thin">
        <color indexed="64"/>
      </right>
      <top style="hair">
        <color indexed="64"/>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thick">
        <color indexed="64"/>
      </top>
      <bottom style="hair">
        <color indexed="64"/>
      </bottom>
      <diagonal/>
    </border>
    <border>
      <left style="thick">
        <color indexed="64"/>
      </left>
      <right style="thin">
        <color indexed="64"/>
      </right>
      <top style="thick">
        <color indexed="64"/>
      </top>
      <bottom style="hair">
        <color indexed="64"/>
      </bottom>
      <diagonal/>
    </border>
    <border>
      <left style="medium">
        <color indexed="64"/>
      </left>
      <right style="thin">
        <color indexed="64"/>
      </right>
      <top style="medium">
        <color indexed="64"/>
      </top>
      <bottom style="medium">
        <color indexed="64"/>
      </bottom>
      <diagonal/>
    </border>
    <border>
      <left style="hair">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hair">
        <color indexed="64"/>
      </top>
      <bottom style="hair">
        <color indexed="64"/>
      </bottom>
      <diagonal/>
    </border>
    <border>
      <left style="thin">
        <color indexed="64"/>
      </left>
      <right/>
      <top style="medium">
        <color indexed="64"/>
      </top>
      <bottom style="medium">
        <color indexed="64"/>
      </bottom>
      <diagonal/>
    </border>
    <border>
      <left style="thick">
        <color indexed="64"/>
      </left>
      <right/>
      <top style="thick">
        <color indexed="64"/>
      </top>
      <bottom style="thin">
        <color indexed="64"/>
      </bottom>
      <diagonal/>
    </border>
    <border>
      <left style="thin">
        <color indexed="64"/>
      </left>
      <right style="thick">
        <color indexed="64"/>
      </right>
      <top style="thick">
        <color indexed="64"/>
      </top>
      <bottom style="hair">
        <color indexed="64"/>
      </bottom>
      <diagonal/>
    </border>
    <border>
      <left style="thin">
        <color indexed="64"/>
      </left>
      <right style="thick">
        <color indexed="64"/>
      </right>
      <top style="hair">
        <color indexed="64"/>
      </top>
      <bottom style="thick">
        <color indexed="64"/>
      </bottom>
      <diagonal/>
    </border>
    <border>
      <left style="double">
        <color indexed="63"/>
      </left>
      <right style="double">
        <color indexed="63"/>
      </right>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
      <left/>
      <right style="double">
        <color indexed="64"/>
      </right>
      <top/>
      <bottom/>
      <diagonal/>
    </border>
    <border>
      <left style="hair">
        <color indexed="8"/>
      </left>
      <right style="hair">
        <color indexed="8"/>
      </right>
      <top/>
      <bottom/>
      <diagonal/>
    </border>
    <border>
      <left style="double">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double">
        <color indexed="64"/>
      </right>
      <top/>
      <bottom style="hair">
        <color indexed="8"/>
      </bottom>
      <diagonal/>
    </border>
    <border>
      <left style="double">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double">
        <color indexed="64"/>
      </right>
      <top style="hair">
        <color indexed="8"/>
      </top>
      <bottom style="hair">
        <color indexed="8"/>
      </bottom>
      <diagonal/>
    </border>
    <border>
      <left style="double">
        <color indexed="64"/>
      </left>
      <right style="hair">
        <color indexed="8"/>
      </right>
      <top style="double">
        <color indexed="64"/>
      </top>
      <bottom style="double">
        <color indexed="64"/>
      </bottom>
      <diagonal/>
    </border>
    <border>
      <left style="hair">
        <color indexed="8"/>
      </left>
      <right style="hair">
        <color indexed="8"/>
      </right>
      <top style="double">
        <color indexed="64"/>
      </top>
      <bottom style="double">
        <color indexed="64"/>
      </bottom>
      <diagonal/>
    </border>
    <border>
      <left style="hair">
        <color indexed="8"/>
      </left>
      <right style="double">
        <color indexed="64"/>
      </right>
      <top style="double">
        <color indexed="64"/>
      </top>
      <bottom style="double">
        <color indexed="64"/>
      </bottom>
      <diagonal/>
    </border>
    <border>
      <left style="double">
        <color indexed="64"/>
      </left>
      <right style="hair">
        <color indexed="8"/>
      </right>
      <top style="double">
        <color indexed="8"/>
      </top>
      <bottom style="double">
        <color indexed="8"/>
      </bottom>
      <diagonal/>
    </border>
    <border>
      <left style="hair">
        <color indexed="8"/>
      </left>
      <right style="hair">
        <color indexed="8"/>
      </right>
      <top style="double">
        <color indexed="8"/>
      </top>
      <bottom style="double">
        <color indexed="8"/>
      </bottom>
      <diagonal/>
    </border>
    <border>
      <left style="hair">
        <color indexed="8"/>
      </left>
      <right style="double">
        <color indexed="64"/>
      </right>
      <top style="double">
        <color indexed="8"/>
      </top>
      <bottom style="double">
        <color indexed="8"/>
      </bottom>
      <diagonal/>
    </border>
    <border>
      <left style="double">
        <color indexed="64"/>
      </left>
      <right style="double">
        <color indexed="8"/>
      </right>
      <top/>
      <bottom/>
      <diagonal/>
    </border>
    <border>
      <left style="double">
        <color indexed="8"/>
      </left>
      <right style="double">
        <color indexed="8"/>
      </right>
      <top/>
      <bottom/>
      <diagonal/>
    </border>
    <border>
      <left style="double">
        <color indexed="8"/>
      </left>
      <right style="double">
        <color indexed="64"/>
      </right>
      <top/>
      <bottom/>
      <diagonal/>
    </border>
    <border>
      <left style="double">
        <color indexed="64"/>
      </left>
      <right/>
      <top/>
      <bottom style="double">
        <color indexed="8"/>
      </bottom>
      <diagonal/>
    </border>
    <border>
      <left/>
      <right/>
      <top/>
      <bottom style="double">
        <color indexed="8"/>
      </bottom>
      <diagonal/>
    </border>
    <border>
      <left/>
      <right style="double">
        <color indexed="64"/>
      </right>
      <top/>
      <bottom style="double">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hair">
        <color indexed="64"/>
      </left>
      <right style="hair">
        <color indexed="64"/>
      </right>
      <top/>
      <bottom style="hair">
        <color indexed="64"/>
      </bottom>
      <diagonal/>
    </border>
    <border>
      <left style="double">
        <color indexed="64"/>
      </left>
      <right style="hair">
        <color indexed="8"/>
      </right>
      <top style="hair">
        <color indexed="64"/>
      </top>
      <bottom style="double">
        <color indexed="8"/>
      </bottom>
      <diagonal/>
    </border>
    <border>
      <left style="hair">
        <color indexed="8"/>
      </left>
      <right style="hair">
        <color indexed="8"/>
      </right>
      <top style="hair">
        <color indexed="64"/>
      </top>
      <bottom style="double">
        <color indexed="8"/>
      </bottom>
      <diagonal/>
    </border>
    <border>
      <left style="hair">
        <color indexed="8"/>
      </left>
      <right style="double">
        <color indexed="64"/>
      </right>
      <top style="hair">
        <color indexed="64"/>
      </top>
      <bottom style="double">
        <color indexed="8"/>
      </bottom>
      <diagonal/>
    </border>
    <border>
      <left style="dotted">
        <color indexed="64"/>
      </left>
      <right style="dotted">
        <color indexed="64"/>
      </right>
      <top style="thin">
        <color indexed="64"/>
      </top>
      <bottom style="dotted">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style="thin">
        <color indexed="8"/>
      </right>
      <top/>
      <bottom style="thin">
        <color indexed="8"/>
      </bottom>
      <diagonal/>
    </border>
    <border>
      <left/>
      <right/>
      <top/>
      <bottom style="thin">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double">
        <color indexed="64"/>
      </left>
      <right style="hair">
        <color indexed="8"/>
      </right>
      <top/>
      <bottom/>
      <diagonal/>
    </border>
    <border>
      <left style="hair">
        <color indexed="8"/>
      </left>
      <right style="double">
        <color indexed="64"/>
      </right>
      <top/>
      <bottom/>
      <diagonal/>
    </border>
    <border>
      <left style="double">
        <color indexed="64"/>
      </left>
      <right style="hair">
        <color indexed="8"/>
      </right>
      <top style="double">
        <color indexed="8"/>
      </top>
      <bottom style="hair">
        <color indexed="64"/>
      </bottom>
      <diagonal/>
    </border>
    <border>
      <left style="hair">
        <color indexed="8"/>
      </left>
      <right style="hair">
        <color indexed="8"/>
      </right>
      <top style="double">
        <color indexed="8"/>
      </top>
      <bottom style="hair">
        <color indexed="64"/>
      </bottom>
      <diagonal/>
    </border>
    <border>
      <left style="hair">
        <color indexed="8"/>
      </left>
      <right style="double">
        <color indexed="64"/>
      </right>
      <top style="double">
        <color indexed="8"/>
      </top>
      <bottom style="hair">
        <color indexed="64"/>
      </bottom>
      <diagonal/>
    </border>
  </borders>
  <cellStyleXfs count="229">
    <xf numFmtId="0" fontId="0" fillId="0" borderId="0"/>
    <xf numFmtId="0" fontId="49" fillId="4" borderId="1" applyNumberFormat="0" applyAlignment="0" applyProtection="0"/>
    <xf numFmtId="167" fontId="33" fillId="0" borderId="0" applyFont="0" applyFill="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4"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5" fillId="13" borderId="0" applyNumberFormat="0" applyBorder="0" applyAlignment="0" applyProtection="0"/>
    <xf numFmtId="0" fontId="55" fillId="3"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5" fillId="10" borderId="0" applyNumberFormat="0" applyBorder="0" applyAlignment="0" applyProtection="0"/>
    <xf numFmtId="0" fontId="55"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5" fillId="16" borderId="0" applyNumberFormat="0" applyBorder="0" applyAlignment="0" applyProtection="0"/>
    <xf numFmtId="0" fontId="55" fillId="10"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54" fillId="18" borderId="0" applyNumberFormat="0" applyBorder="0" applyAlignment="0" applyProtection="0"/>
    <xf numFmtId="173" fontId="47" fillId="0" borderId="0" applyFont="0" applyFill="0" applyBorder="0" applyAlignment="0" applyProtection="0"/>
    <xf numFmtId="0" fontId="57" fillId="19" borderId="0" applyNumberFormat="0" applyBorder="0" applyAlignment="0" applyProtection="0"/>
    <xf numFmtId="167" fontId="31" fillId="0" borderId="0" applyFont="0" applyFill="0" applyBorder="0" applyAlignment="0" applyProtection="0"/>
    <xf numFmtId="165" fontId="69" fillId="0" borderId="0" applyFont="0" applyFill="0" applyBorder="0" applyAlignment="0" applyProtection="0"/>
    <xf numFmtId="0" fontId="31" fillId="0" borderId="0" applyFont="0" applyFill="0" applyBorder="0" applyAlignment="0" applyProtection="0"/>
    <xf numFmtId="165" fontId="33" fillId="0" borderId="0" applyFont="0" applyFill="0" applyBorder="0" applyAlignment="0" applyProtection="0"/>
    <xf numFmtId="167" fontId="30" fillId="0" borderId="0" applyFont="0" applyFill="0" applyBorder="0" applyAlignment="0" applyProtection="0"/>
    <xf numFmtId="167" fontId="33" fillId="0" borderId="0" applyFont="0" applyFill="0" applyBorder="0" applyAlignment="0" applyProtection="0"/>
    <xf numFmtId="167" fontId="31"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33" fillId="0" borderId="0" applyFont="0" applyFill="0" applyBorder="0" applyAlignment="0" applyProtection="0"/>
    <xf numFmtId="167" fontId="69" fillId="0" borderId="0" applyFont="0" applyFill="0" applyBorder="0" applyAlignment="0" applyProtection="0"/>
    <xf numFmtId="167" fontId="30" fillId="0" borderId="0" applyFont="0" applyFill="0" applyBorder="0" applyAlignment="0" applyProtection="0"/>
    <xf numFmtId="164"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72" fillId="0" borderId="0" applyFont="0" applyFill="0" applyBorder="0" applyAlignment="0" applyProtection="0"/>
    <xf numFmtId="0" fontId="31" fillId="0" borderId="0" applyFont="0" applyFill="0" applyBorder="0" applyAlignment="0" applyProtection="0"/>
    <xf numFmtId="0"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72" fillId="0" borderId="0" applyFont="0" applyFill="0" applyBorder="0" applyAlignment="0" applyProtection="0"/>
    <xf numFmtId="0" fontId="58" fillId="20" borderId="0" applyNumberFormat="0" applyBorder="0" applyAlignment="0" applyProtection="0"/>
    <xf numFmtId="0" fontId="47" fillId="0" borderId="0"/>
    <xf numFmtId="0" fontId="47" fillId="0" borderId="0"/>
    <xf numFmtId="0" fontId="31" fillId="0" borderId="0"/>
    <xf numFmtId="0" fontId="74" fillId="0" borderId="0"/>
    <xf numFmtId="0" fontId="31" fillId="0" borderId="0"/>
    <xf numFmtId="0" fontId="81" fillId="0" borderId="0"/>
    <xf numFmtId="0" fontId="33" fillId="0" borderId="0"/>
    <xf numFmtId="0" fontId="33" fillId="0" borderId="0"/>
    <xf numFmtId="0" fontId="47" fillId="0" borderId="0"/>
    <xf numFmtId="9" fontId="31" fillId="0" borderId="0" applyFont="0" applyFill="0" applyBorder="0" applyAlignment="0" applyProtection="0"/>
    <xf numFmtId="9" fontId="47" fillId="0" borderId="0" applyFont="0" applyFill="0" applyBorder="0" applyAlignment="0" applyProtection="0"/>
    <xf numFmtId="9" fontId="55" fillId="0" borderId="0" applyFont="0" applyFill="0" applyBorder="0" applyAlignment="0" applyProtection="0"/>
    <xf numFmtId="9" fontId="73" fillId="0" borderId="0" applyFont="0" applyFill="0" applyBorder="0" applyAlignment="0" applyProtection="0"/>
    <xf numFmtId="9" fontId="75" fillId="0" borderId="0" applyFont="0" applyFill="0" applyBorder="0" applyAlignment="0" applyProtection="0"/>
    <xf numFmtId="0" fontId="59" fillId="4" borderId="4" applyNumberFormat="0" applyAlignment="0" applyProtection="0"/>
    <xf numFmtId="0" fontId="62" fillId="0" borderId="6" applyNumberFormat="0" applyFill="0" applyAlignment="0" applyProtection="0"/>
    <xf numFmtId="0" fontId="52" fillId="0" borderId="7" applyNumberFormat="0" applyFill="0" applyAlignment="0" applyProtection="0"/>
    <xf numFmtId="0" fontId="63" fillId="0" borderId="0" applyNumberFormat="0" applyFill="0" applyBorder="0" applyAlignment="0" applyProtection="0"/>
    <xf numFmtId="0" fontId="53" fillId="0" borderId="8" applyNumberFormat="0" applyFill="0" applyAlignment="0" applyProtection="0"/>
    <xf numFmtId="0" fontId="31" fillId="0" borderId="0"/>
    <xf numFmtId="176" fontId="83" fillId="0" borderId="0" applyFill="0" applyBorder="0" applyAlignment="0" applyProtection="0"/>
    <xf numFmtId="0" fontId="84" fillId="0" borderId="0"/>
    <xf numFmtId="166" fontId="31" fillId="0" borderId="0" applyFont="0" applyFill="0" applyBorder="0" applyAlignment="0" applyProtection="0"/>
    <xf numFmtId="0" fontId="31" fillId="0" borderId="0"/>
    <xf numFmtId="0" fontId="87" fillId="0" borderId="0"/>
    <xf numFmtId="0" fontId="88" fillId="0" borderId="0"/>
    <xf numFmtId="167" fontId="31" fillId="0" borderId="0" applyFont="0" applyFill="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184" fontId="31" fillId="0" borderId="0" applyFill="0" applyBorder="0" applyAlignment="0" applyProtection="0"/>
    <xf numFmtId="166" fontId="29" fillId="0" borderId="0" applyFont="0" applyFill="0" applyBorder="0" applyAlignment="0" applyProtection="0"/>
    <xf numFmtId="0" fontId="28" fillId="0" borderId="0"/>
    <xf numFmtId="188" fontId="31" fillId="0" borderId="0" applyFill="0" applyBorder="0" applyAlignment="0" applyProtection="0"/>
    <xf numFmtId="0" fontId="23" fillId="0" borderId="0"/>
    <xf numFmtId="0" fontId="21" fillId="0" borderId="0"/>
    <xf numFmtId="167" fontId="115" fillId="0" borderId="0" applyFont="0" applyFill="0" applyBorder="0" applyAlignment="0" applyProtection="0"/>
    <xf numFmtId="0" fontId="115" fillId="0" borderId="0"/>
    <xf numFmtId="0" fontId="20" fillId="0" borderId="0"/>
    <xf numFmtId="184" fontId="31" fillId="0" borderId="0" applyFill="0" applyBorder="0" applyAlignment="0" applyProtection="0"/>
    <xf numFmtId="0" fontId="19" fillId="0" borderId="0"/>
    <xf numFmtId="0" fontId="31" fillId="0" borderId="0"/>
    <xf numFmtId="0" fontId="150" fillId="0" borderId="0"/>
    <xf numFmtId="0" fontId="30" fillId="67" borderId="0" applyNumberFormat="0" applyBorder="0" applyAlignment="0" applyProtection="0"/>
    <xf numFmtId="0" fontId="30" fillId="68" borderId="0" applyNumberFormat="0" applyBorder="0" applyAlignment="0" applyProtection="0"/>
    <xf numFmtId="0" fontId="30" fillId="69" borderId="0" applyNumberFormat="0" applyBorder="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0" fontId="30" fillId="69" borderId="0" applyNumberFormat="0" applyBorder="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0" fillId="70" borderId="0" applyNumberFormat="0" applyBorder="0" applyAlignment="0" applyProtection="0"/>
    <xf numFmtId="0" fontId="30" fillId="73" borderId="0" applyNumberFormat="0" applyBorder="0" applyAlignment="0" applyProtection="0"/>
    <xf numFmtId="0" fontId="30" fillId="76"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0" fillId="70" borderId="0" applyNumberFormat="0" applyBorder="0" applyAlignment="0" applyProtection="0"/>
    <xf numFmtId="0" fontId="30" fillId="73" borderId="0" applyNumberFormat="0" applyBorder="0" applyAlignment="0" applyProtection="0"/>
    <xf numFmtId="0" fontId="30" fillId="76" borderId="0" applyNumberFormat="0" applyBorder="0" applyAlignment="0" applyProtection="0"/>
    <xf numFmtId="0" fontId="54" fillId="77"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78" borderId="0" applyNumberFormat="0" applyBorder="0" applyAlignment="0" applyProtection="0"/>
    <xf numFmtId="0" fontId="54" fillId="79" borderId="0" applyNumberFormat="0" applyBorder="0" applyAlignment="0" applyProtection="0"/>
    <xf numFmtId="0" fontId="54" fillId="80" borderId="0" applyNumberFormat="0" applyBorder="0" applyAlignment="0" applyProtection="0"/>
    <xf numFmtId="0" fontId="54" fillId="77"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78" borderId="0" applyNumberFormat="0" applyBorder="0" applyAlignment="0" applyProtection="0"/>
    <xf numFmtId="0" fontId="54" fillId="79" borderId="0" applyNumberFormat="0" applyBorder="0" applyAlignment="0" applyProtection="0"/>
    <xf numFmtId="0" fontId="54" fillId="80"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54" fillId="73" borderId="0" applyNumberFormat="0" applyBorder="0" applyAlignment="0" applyProtection="0"/>
    <xf numFmtId="0" fontId="54" fillId="81" borderId="0" applyNumberFormat="0" applyBorder="0" applyAlignment="0" applyProtection="0"/>
    <xf numFmtId="0" fontId="30" fillId="82" borderId="0" applyNumberFormat="0" applyBorder="0" applyAlignment="0" applyProtection="0"/>
    <xf numFmtId="0" fontId="30" fillId="83"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0" fontId="30" fillId="82" borderId="0" applyNumberFormat="0" applyBorder="0" applyAlignment="0" applyProtection="0"/>
    <xf numFmtId="0" fontId="30" fillId="69" borderId="0" applyNumberFormat="0" applyBorder="0" applyAlignment="0" applyProtection="0"/>
    <xf numFmtId="0" fontId="54" fillId="83" borderId="0" applyNumberFormat="0" applyBorder="0" applyAlignment="0" applyProtection="0"/>
    <xf numFmtId="0" fontId="54" fillId="86" borderId="0" applyNumberFormat="0" applyBorder="0" applyAlignment="0" applyProtection="0"/>
    <xf numFmtId="0" fontId="30" fillId="67" borderId="0" applyNumberFormat="0" applyBorder="0" applyAlignment="0" applyProtection="0"/>
    <xf numFmtId="0" fontId="30" fillId="83" borderId="0" applyNumberFormat="0" applyBorder="0" applyAlignment="0" applyProtection="0"/>
    <xf numFmtId="0" fontId="54" fillId="83" borderId="0" applyNumberFormat="0" applyBorder="0" applyAlignment="0" applyProtection="0"/>
    <xf numFmtId="0" fontId="54" fillId="87" borderId="0" applyNumberFormat="0" applyBorder="0" applyAlignment="0" applyProtection="0"/>
    <xf numFmtId="0" fontId="30" fillId="71" borderId="0" applyNumberFormat="0" applyBorder="0" applyAlignment="0" applyProtection="0"/>
    <xf numFmtId="0" fontId="30" fillId="67" borderId="0" applyNumberFormat="0" applyBorder="0" applyAlignment="0" applyProtection="0"/>
    <xf numFmtId="0" fontId="54" fillId="73" borderId="0" applyNumberFormat="0" applyBorder="0" applyAlignment="0" applyProtection="0"/>
    <xf numFmtId="0" fontId="54" fillId="88" borderId="0" applyNumberFormat="0" applyBorder="0" applyAlignment="0" applyProtection="0"/>
    <xf numFmtId="0" fontId="30" fillId="82" borderId="0" applyNumberFormat="0" applyBorder="0" applyAlignment="0" applyProtection="0"/>
    <xf numFmtId="0" fontId="30" fillId="72" borderId="0" applyNumberFormat="0" applyBorder="0" applyAlignment="0" applyProtection="0"/>
    <xf numFmtId="0" fontId="54" fillId="72" borderId="0" applyNumberFormat="0" applyBorder="0" applyAlignment="0" applyProtection="0"/>
    <xf numFmtId="0" fontId="54" fillId="89" borderId="0" applyNumberFormat="0" applyBorder="0" applyAlignment="0" applyProtection="0"/>
    <xf numFmtId="0" fontId="165" fillId="83" borderId="119" applyNumberFormat="0" applyAlignment="0" applyProtection="0"/>
    <xf numFmtId="0" fontId="50" fillId="84" borderId="2" applyNumberFormat="0" applyAlignment="0" applyProtection="0"/>
    <xf numFmtId="0" fontId="166" fillId="0" borderId="3" applyNumberFormat="0" applyFill="0" applyAlignment="0" applyProtection="0"/>
    <xf numFmtId="0" fontId="50" fillId="84" borderId="2" applyNumberFormat="0" applyAlignment="0" applyProtection="0"/>
    <xf numFmtId="167" fontId="31" fillId="0" borderId="0" applyFont="0" applyFill="0" applyBorder="0" applyAlignment="0" applyProtection="0"/>
    <xf numFmtId="0" fontId="53" fillId="90" borderId="0" applyNumberFormat="0" applyBorder="0" applyAlignment="0" applyProtection="0"/>
    <xf numFmtId="0" fontId="53" fillId="91" borderId="0" applyNumberFormat="0" applyBorder="0" applyAlignment="0" applyProtection="0"/>
    <xf numFmtId="0" fontId="53" fillId="92" borderId="0" applyNumberFormat="0" applyBorder="0" applyAlignment="0" applyProtection="0"/>
    <xf numFmtId="0" fontId="167" fillId="0" borderId="0" applyNumberFormat="0" applyFill="0" applyBorder="0" applyAlignment="0" applyProtection="0"/>
    <xf numFmtId="0" fontId="54" fillId="93" borderId="0" applyNumberFormat="0" applyBorder="0" applyAlignment="0" applyProtection="0"/>
    <xf numFmtId="0" fontId="54" fillId="94" borderId="0" applyNumberFormat="0" applyBorder="0" applyAlignment="0" applyProtection="0"/>
    <xf numFmtId="0" fontId="54" fillId="95" borderId="0" applyNumberFormat="0" applyBorder="0" applyAlignment="0" applyProtection="0"/>
    <xf numFmtId="0" fontId="54" fillId="78" borderId="0" applyNumberFormat="0" applyBorder="0" applyAlignment="0" applyProtection="0"/>
    <xf numFmtId="0" fontId="54" fillId="79" borderId="0" applyNumberFormat="0" applyBorder="0" applyAlignment="0" applyProtection="0"/>
    <xf numFmtId="0" fontId="54" fillId="96" borderId="0" applyNumberFormat="0" applyBorder="0" applyAlignment="0" applyProtection="0"/>
    <xf numFmtId="0" fontId="56" fillId="72" borderId="119" applyNumberFormat="0" applyAlignment="0" applyProtection="0"/>
    <xf numFmtId="212" fontId="164" fillId="0" borderId="0" applyFont="0" applyFill="0" applyBorder="0" applyAlignment="0" applyProtection="0"/>
    <xf numFmtId="0" fontId="168" fillId="0" borderId="0" applyNumberFormat="0" applyFill="0" applyBorder="0" applyAlignment="0" applyProtection="0"/>
    <xf numFmtId="0" fontId="48" fillId="69" borderId="0" applyNumberFormat="0" applyBorder="0" applyAlignment="0" applyProtection="0"/>
    <xf numFmtId="0" fontId="61" fillId="0" borderId="5" applyNumberFormat="0" applyFill="0" applyAlignment="0" applyProtection="0"/>
    <xf numFmtId="0" fontId="52" fillId="0" borderId="0" applyNumberFormat="0" applyFill="0" applyBorder="0" applyAlignment="0" applyProtection="0"/>
    <xf numFmtId="0" fontId="169" fillId="68" borderId="0" applyNumberFormat="0" applyBorder="0" applyAlignment="0" applyProtection="0"/>
    <xf numFmtId="0" fontId="56" fillId="72" borderId="119" applyNumberFormat="0" applyAlignment="0" applyProtection="0"/>
    <xf numFmtId="0" fontId="51" fillId="0" borderId="3" applyNumberFormat="0" applyFill="0" applyAlignment="0" applyProtection="0"/>
    <xf numFmtId="188" fontId="31" fillId="0" borderId="0" applyFill="0" applyBorder="0" applyAlignment="0" applyProtection="0"/>
    <xf numFmtId="188" fontId="31" fillId="0" borderId="0" applyFill="0" applyBorder="0" applyAlignment="0" applyProtection="0"/>
    <xf numFmtId="167" fontId="31" fillId="0" borderId="0" applyFont="0" applyFill="0" applyBorder="0" applyAlignment="0" applyProtection="0"/>
    <xf numFmtId="210"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213" fontId="31" fillId="0" borderId="0" applyFill="0" applyBorder="0" applyAlignment="0" applyProtection="0"/>
    <xf numFmtId="213" fontId="31" fillId="0" borderId="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0" fillId="0" borderId="0" applyFont="0" applyFill="0" applyBorder="0" applyAlignment="0" applyProtection="0"/>
    <xf numFmtId="214" fontId="31" fillId="0" borderId="0" applyFill="0" applyBorder="0" applyAlignment="0" applyProtection="0"/>
    <xf numFmtId="43" fontId="31" fillId="0" borderId="0" applyFont="0" applyFill="0" applyBorder="0" applyAlignment="0" applyProtection="0"/>
    <xf numFmtId="167" fontId="30" fillId="0" borderId="0" applyFont="0" applyFill="0" applyBorder="0" applyAlignment="0" applyProtection="0"/>
    <xf numFmtId="176" fontId="31" fillId="0" borderId="0" applyFill="0" applyBorder="0" applyAlignment="0" applyProtection="0"/>
    <xf numFmtId="215" fontId="31" fillId="0" borderId="0" applyFill="0" applyBorder="0" applyAlignment="0" applyProtection="0"/>
    <xf numFmtId="176" fontId="31" fillId="0" borderId="0" applyFill="0" applyBorder="0" applyAlignment="0" applyProtection="0"/>
    <xf numFmtId="215" fontId="31" fillId="0" borderId="0" applyFill="0" applyBorder="0" applyAlignment="0" applyProtection="0"/>
    <xf numFmtId="0" fontId="58" fillId="97" borderId="0" applyNumberFormat="0" applyBorder="0" applyAlignment="0" applyProtection="0"/>
    <xf numFmtId="0" fontId="170" fillId="0" borderId="0"/>
    <xf numFmtId="211" fontId="171" fillId="0" borderId="0"/>
    <xf numFmtId="0" fontId="164" fillId="0" borderId="0"/>
    <xf numFmtId="0" fontId="30" fillId="0" borderId="0"/>
    <xf numFmtId="0" fontId="30" fillId="0" borderId="0"/>
    <xf numFmtId="0" fontId="30" fillId="0" borderId="0"/>
    <xf numFmtId="0" fontId="164" fillId="0" borderId="0"/>
    <xf numFmtId="0" fontId="30" fillId="0" borderId="0"/>
    <xf numFmtId="0" fontId="31" fillId="82" borderId="120" applyNumberFormat="0" applyAlignment="0" applyProtection="0"/>
    <xf numFmtId="0" fontId="31" fillId="82" borderId="120" applyNumberFormat="0" applyAlignment="0" applyProtection="0"/>
    <xf numFmtId="9" fontId="31" fillId="0" borderId="0" applyFill="0" applyBorder="0" applyAlignment="0" applyProtection="0"/>
    <xf numFmtId="9" fontId="31" fillId="0" borderId="0" applyFill="0" applyBorder="0" applyAlignment="0" applyProtection="0"/>
    <xf numFmtId="9" fontId="31" fillId="0" borderId="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64" fillId="0" borderId="0" applyFont="0" applyFill="0" applyBorder="0" applyAlignment="0" applyProtection="0"/>
    <xf numFmtId="0" fontId="59" fillId="83" borderId="121" applyNumberFormat="0" applyAlignment="0" applyProtection="0"/>
    <xf numFmtId="0" fontId="63" fillId="0" borderId="0" applyNumberFormat="0" applyFill="0" applyBorder="0" applyAlignment="0" applyProtection="0"/>
    <xf numFmtId="0" fontId="168"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6" applyNumberFormat="0" applyFill="0" applyAlignment="0" applyProtection="0"/>
    <xf numFmtId="0" fontId="167" fillId="0" borderId="122" applyNumberFormat="0" applyFill="0" applyAlignment="0" applyProtection="0"/>
    <xf numFmtId="0" fontId="53" fillId="0" borderId="123" applyNumberFormat="0" applyFill="0" applyAlignment="0" applyProtection="0"/>
    <xf numFmtId="0" fontId="60" fillId="0" borderId="0" applyNumberFormat="0" applyFill="0" applyBorder="0" applyAlignment="0" applyProtection="0"/>
    <xf numFmtId="166" fontId="181" fillId="0" borderId="0" applyFont="0" applyFill="0" applyBorder="0" applyAlignment="0" applyProtection="0"/>
  </cellStyleXfs>
  <cellXfs count="1961">
    <xf numFmtId="0" fontId="0" fillId="0" borderId="0" xfId="0"/>
    <xf numFmtId="0" fontId="32" fillId="0" borderId="0" xfId="0" applyFont="1"/>
    <xf numFmtId="0" fontId="32" fillId="0" borderId="0" xfId="0" applyFont="1" applyAlignment="1">
      <alignment horizontal="center"/>
    </xf>
    <xf numFmtId="167" fontId="32" fillId="0" borderId="0" xfId="32" applyFont="1"/>
    <xf numFmtId="0" fontId="33" fillId="0" borderId="0" xfId="0" applyFont="1"/>
    <xf numFmtId="170" fontId="33" fillId="0" borderId="0" xfId="32" applyNumberFormat="1" applyFont="1" applyFill="1" applyAlignment="1">
      <alignment horizontal="left" indent="1"/>
    </xf>
    <xf numFmtId="0" fontId="33" fillId="0" borderId="0" xfId="0" applyFont="1" applyAlignment="1">
      <alignment horizontal="center"/>
    </xf>
    <xf numFmtId="167" fontId="33" fillId="0" borderId="0" xfId="32" applyFont="1"/>
    <xf numFmtId="170" fontId="33" fillId="0" borderId="0" xfId="32" applyNumberFormat="1" applyFont="1"/>
    <xf numFmtId="0" fontId="34" fillId="0" borderId="0" xfId="0" applyFont="1"/>
    <xf numFmtId="0" fontId="32" fillId="0" borderId="0" xfId="0" applyFont="1" applyAlignment="1">
      <alignment horizontal="left"/>
    </xf>
    <xf numFmtId="170" fontId="32" fillId="0" borderId="0" xfId="32" applyNumberFormat="1" applyFont="1" applyAlignment="1">
      <alignment horizontal="center"/>
    </xf>
    <xf numFmtId="0" fontId="33" fillId="0" borderId="0" xfId="0" applyFont="1" applyFill="1"/>
    <xf numFmtId="0" fontId="32" fillId="0" borderId="0" xfId="0" applyFont="1" applyFill="1"/>
    <xf numFmtId="167" fontId="33" fillId="0" borderId="0" xfId="32" applyFont="1" applyFill="1"/>
    <xf numFmtId="0" fontId="33" fillId="0" borderId="0" xfId="0" applyFont="1" applyBorder="1"/>
    <xf numFmtId="167" fontId="33" fillId="0" borderId="0" xfId="32" applyFont="1" applyBorder="1"/>
    <xf numFmtId="0" fontId="32" fillId="0" borderId="0" xfId="0" applyFont="1" applyBorder="1"/>
    <xf numFmtId="169" fontId="33" fillId="0" borderId="0" xfId="32" applyNumberFormat="1" applyFont="1"/>
    <xf numFmtId="4" fontId="33" fillId="0" borderId="0" xfId="0" applyNumberFormat="1" applyFont="1"/>
    <xf numFmtId="0" fontId="33" fillId="0" borderId="0" xfId="0" applyFont="1" applyFill="1" applyBorder="1"/>
    <xf numFmtId="4" fontId="33" fillId="0" borderId="0" xfId="0" applyNumberFormat="1" applyFont="1" applyBorder="1"/>
    <xf numFmtId="4" fontId="33" fillId="0" borderId="0" xfId="0" applyNumberFormat="1" applyFont="1" applyFill="1" applyBorder="1"/>
    <xf numFmtId="0" fontId="32" fillId="2" borderId="0" xfId="0" applyFont="1" applyFill="1" applyAlignment="1">
      <alignment horizontal="center"/>
    </xf>
    <xf numFmtId="0" fontId="33" fillId="0" borderId="0" xfId="0" applyFont="1" applyFill="1" applyAlignment="1">
      <alignment horizontal="center"/>
    </xf>
    <xf numFmtId="4" fontId="33" fillId="0" borderId="0" xfId="32" applyNumberFormat="1" applyFont="1"/>
    <xf numFmtId="4" fontId="32" fillId="0" borderId="0" xfId="32" applyNumberFormat="1" applyFont="1"/>
    <xf numFmtId="4" fontId="32" fillId="0" borderId="0" xfId="32" applyNumberFormat="1" applyFont="1" applyAlignment="1">
      <alignment horizontal="center"/>
    </xf>
    <xf numFmtId="4" fontId="32" fillId="0" borderId="0" xfId="0" applyNumberFormat="1" applyFont="1" applyAlignment="1">
      <alignment horizontal="left"/>
    </xf>
    <xf numFmtId="0" fontId="32" fillId="0" borderId="0" xfId="0" applyFont="1" applyFill="1" applyAlignment="1">
      <alignment horizontal="center"/>
    </xf>
    <xf numFmtId="170" fontId="33" fillId="0" borderId="0" xfId="32" applyNumberFormat="1" applyFont="1" applyFill="1"/>
    <xf numFmtId="4" fontId="33" fillId="0" borderId="0" xfId="32" applyNumberFormat="1" applyFont="1" applyFill="1"/>
    <xf numFmtId="4" fontId="32" fillId="0" borderId="0" xfId="32" applyNumberFormat="1" applyFont="1" applyFill="1"/>
    <xf numFmtId="0" fontId="32" fillId="0" borderId="0" xfId="0" applyFont="1" applyFill="1" applyAlignment="1">
      <alignment horizontal="left"/>
    </xf>
    <xf numFmtId="0" fontId="33" fillId="0" borderId="0" xfId="0" applyFont="1" applyFill="1" applyAlignment="1">
      <alignment horizontal="left"/>
    </xf>
    <xf numFmtId="172" fontId="33" fillId="0" borderId="0" xfId="0" applyNumberFormat="1" applyFont="1" applyFill="1"/>
    <xf numFmtId="172" fontId="33" fillId="0" borderId="0" xfId="32" applyNumberFormat="1" applyFont="1"/>
    <xf numFmtId="172" fontId="33" fillId="0" borderId="0" xfId="0" applyNumberFormat="1" applyFont="1"/>
    <xf numFmtId="171" fontId="33" fillId="0" borderId="0" xfId="32" applyNumberFormat="1" applyFont="1"/>
    <xf numFmtId="0" fontId="38" fillId="21" borderId="0" xfId="0" applyFont="1" applyFill="1" applyAlignment="1">
      <alignment horizontal="center"/>
    </xf>
    <xf numFmtId="0" fontId="39" fillId="21" borderId="0" xfId="0" applyFont="1" applyFill="1" applyAlignment="1">
      <alignment horizontal="center"/>
    </xf>
    <xf numFmtId="172" fontId="33" fillId="0" borderId="0" xfId="32" applyNumberFormat="1" applyFont="1" applyFill="1"/>
    <xf numFmtId="170" fontId="32" fillId="0" borderId="0" xfId="32" applyNumberFormat="1" applyFont="1" applyFill="1" applyAlignment="1">
      <alignment horizontal="center"/>
    </xf>
    <xf numFmtId="4" fontId="32" fillId="0" borderId="0" xfId="32" applyNumberFormat="1" applyFont="1" applyFill="1" applyAlignment="1">
      <alignment horizontal="center"/>
    </xf>
    <xf numFmtId="4" fontId="32" fillId="0" borderId="0" xfId="0" applyNumberFormat="1" applyFont="1" applyFill="1" applyAlignment="1">
      <alignment horizontal="left"/>
    </xf>
    <xf numFmtId="4" fontId="32" fillId="0" borderId="0" xfId="0" applyNumberFormat="1" applyFont="1"/>
    <xf numFmtId="0" fontId="40" fillId="22" borderId="0" xfId="0" applyFont="1" applyFill="1" applyAlignment="1">
      <alignment horizontal="center"/>
    </xf>
    <xf numFmtId="0" fontId="40" fillId="21" borderId="0" xfId="0" applyFont="1" applyFill="1" applyAlignment="1">
      <alignment horizontal="center"/>
    </xf>
    <xf numFmtId="0" fontId="42" fillId="0" borderId="0" xfId="0" applyFont="1"/>
    <xf numFmtId="4" fontId="32" fillId="0" borderId="0" xfId="0" applyNumberFormat="1" applyFont="1" applyFill="1"/>
    <xf numFmtId="0" fontId="36" fillId="0" borderId="0" xfId="0" applyFont="1" applyFill="1"/>
    <xf numFmtId="0" fontId="33" fillId="23" borderId="0" xfId="0" applyFont="1" applyFill="1"/>
    <xf numFmtId="4" fontId="32" fillId="0" borderId="0" xfId="0" applyNumberFormat="1" applyFont="1" applyBorder="1"/>
    <xf numFmtId="0" fontId="46" fillId="0" borderId="0" xfId="0" applyFont="1"/>
    <xf numFmtId="0" fontId="33" fillId="0" borderId="0" xfId="0" applyFont="1" applyAlignment="1">
      <alignment horizontal="right"/>
    </xf>
    <xf numFmtId="172" fontId="32" fillId="0" borderId="0" xfId="32" applyNumberFormat="1" applyFont="1" applyAlignment="1">
      <alignment horizontal="right"/>
    </xf>
    <xf numFmtId="0" fontId="33" fillId="0" borderId="0" xfId="0" applyFont="1" applyFill="1" applyAlignment="1">
      <alignment horizontal="right"/>
    </xf>
    <xf numFmtId="169" fontId="33" fillId="0" borderId="0" xfId="32" applyNumberFormat="1" applyFont="1" applyFill="1"/>
    <xf numFmtId="4" fontId="32" fillId="0" borderId="0" xfId="0" applyNumberFormat="1" applyFont="1" applyFill="1" applyBorder="1" applyAlignment="1">
      <alignment horizontal="center"/>
    </xf>
    <xf numFmtId="0" fontId="32" fillId="0" borderId="0" xfId="0" applyFont="1" applyAlignment="1">
      <alignment horizontal="right"/>
    </xf>
    <xf numFmtId="4" fontId="32" fillId="0" borderId="0" xfId="0" applyNumberFormat="1" applyFont="1" applyFill="1" applyAlignment="1">
      <alignment horizontal="center"/>
    </xf>
    <xf numFmtId="0" fontId="70" fillId="29" borderId="12" xfId="0" applyFont="1" applyFill="1" applyBorder="1" applyAlignment="1">
      <alignment horizontal="center"/>
    </xf>
    <xf numFmtId="0" fontId="70" fillId="29" borderId="11" xfId="0" applyFont="1" applyFill="1" applyBorder="1" applyAlignment="1">
      <alignment horizontal="center"/>
    </xf>
    <xf numFmtId="4" fontId="70" fillId="29" borderId="11" xfId="0" applyNumberFormat="1" applyFont="1" applyFill="1" applyBorder="1" applyAlignment="1">
      <alignment horizontal="center"/>
    </xf>
    <xf numFmtId="4" fontId="70" fillId="29" borderId="17" xfId="0" applyNumberFormat="1" applyFont="1" applyFill="1" applyBorder="1" applyAlignment="1">
      <alignment horizontal="center"/>
    </xf>
    <xf numFmtId="0" fontId="32" fillId="0" borderId="21" xfId="0" applyFont="1" applyBorder="1"/>
    <xf numFmtId="0" fontId="32" fillId="0" borderId="18" xfId="0" applyFont="1" applyBorder="1"/>
    <xf numFmtId="0" fontId="32" fillId="0" borderId="30" xfId="0" applyFont="1" applyFill="1" applyBorder="1" applyAlignment="1">
      <alignment horizontal="left"/>
    </xf>
    <xf numFmtId="4" fontId="32" fillId="0" borderId="10" xfId="0" applyNumberFormat="1" applyFont="1" applyBorder="1"/>
    <xf numFmtId="4" fontId="32" fillId="0" borderId="24" xfId="0" applyNumberFormat="1" applyFont="1" applyBorder="1"/>
    <xf numFmtId="4" fontId="32" fillId="0" borderId="23" xfId="0" applyNumberFormat="1" applyFont="1" applyBorder="1"/>
    <xf numFmtId="4" fontId="32" fillId="0" borderId="31" xfId="0" applyNumberFormat="1" applyFont="1" applyBorder="1"/>
    <xf numFmtId="4" fontId="32" fillId="0" borderId="22" xfId="0" applyNumberFormat="1" applyFont="1" applyBorder="1"/>
    <xf numFmtId="4" fontId="32" fillId="0" borderId="9" xfId="0" applyNumberFormat="1" applyFont="1" applyBorder="1"/>
    <xf numFmtId="4" fontId="32" fillId="0" borderId="28" xfId="0" applyNumberFormat="1" applyFont="1" applyBorder="1"/>
    <xf numFmtId="4" fontId="32" fillId="0" borderId="20" xfId="0" applyNumberFormat="1" applyFont="1" applyBorder="1"/>
    <xf numFmtId="4" fontId="32" fillId="0" borderId="19" xfId="0" applyNumberFormat="1" applyFont="1" applyBorder="1"/>
    <xf numFmtId="4" fontId="32" fillId="0" borderId="32" xfId="0" applyNumberFormat="1" applyFont="1" applyBorder="1"/>
    <xf numFmtId="0" fontId="32" fillId="28" borderId="0" xfId="0" applyFont="1" applyFill="1" applyAlignment="1">
      <alignment horizontal="center"/>
    </xf>
    <xf numFmtId="0" fontId="42" fillId="0" borderId="0" xfId="0" applyFont="1" applyFill="1"/>
    <xf numFmtId="0" fontId="46" fillId="0" borderId="0" xfId="0" applyFont="1" applyFill="1"/>
    <xf numFmtId="0" fontId="32" fillId="0" borderId="0" xfId="0" applyFont="1" applyFill="1" applyAlignment="1">
      <alignment horizontal="right"/>
    </xf>
    <xf numFmtId="0" fontId="42" fillId="0" borderId="0" xfId="0" applyFont="1" applyFill="1" applyAlignment="1">
      <alignment horizontal="center"/>
    </xf>
    <xf numFmtId="4" fontId="33" fillId="0" borderId="0" xfId="32" applyNumberFormat="1" applyFont="1" applyBorder="1"/>
    <xf numFmtId="167" fontId="33" fillId="0" borderId="0" xfId="41" applyFont="1" applyFill="1"/>
    <xf numFmtId="4" fontId="32" fillId="0" borderId="0" xfId="52" applyNumberFormat="1" applyFont="1" applyFill="1"/>
    <xf numFmtId="0" fontId="33" fillId="0" borderId="0" xfId="65" applyFont="1" applyFill="1"/>
    <xf numFmtId="0" fontId="66" fillId="0" borderId="0" xfId="0" applyFont="1"/>
    <xf numFmtId="4" fontId="64" fillId="0" borderId="0" xfId="0" applyNumberFormat="1" applyFont="1" applyBorder="1" applyAlignment="1">
      <alignment horizontal="right" vertical="center"/>
    </xf>
    <xf numFmtId="0" fontId="64" fillId="0" borderId="0" xfId="0" applyFont="1" applyBorder="1" applyAlignment="1">
      <alignment vertical="center"/>
    </xf>
    <xf numFmtId="4" fontId="64" fillId="0" borderId="0" xfId="0" applyNumberFormat="1" applyFont="1" applyBorder="1" applyAlignment="1" applyProtection="1">
      <alignment horizontal="right" vertical="center"/>
      <protection locked="0"/>
    </xf>
    <xf numFmtId="4" fontId="68" fillId="0" borderId="0" xfId="0" applyNumberFormat="1" applyFont="1" applyBorder="1" applyAlignment="1" applyProtection="1">
      <alignment horizontal="right" vertical="center"/>
    </xf>
    <xf numFmtId="4" fontId="64" fillId="0" borderId="0" xfId="0" quotePrefix="1" applyNumberFormat="1" applyFont="1" applyBorder="1" applyAlignment="1">
      <alignment horizontal="left" vertical="center"/>
    </xf>
    <xf numFmtId="0" fontId="64" fillId="0" borderId="0" xfId="0" applyFont="1" applyAlignment="1">
      <alignment vertical="center"/>
    </xf>
    <xf numFmtId="0" fontId="64" fillId="0" borderId="0" xfId="0" applyFont="1" applyBorder="1" applyAlignment="1">
      <alignment horizontal="right" vertical="center"/>
    </xf>
    <xf numFmtId="0" fontId="68" fillId="0" borderId="0" xfId="0" applyFont="1" applyBorder="1" applyAlignment="1">
      <alignment horizontal="center" vertical="center"/>
    </xf>
    <xf numFmtId="168" fontId="64" fillId="0" borderId="0" xfId="0" applyNumberFormat="1" applyFont="1" applyBorder="1" applyAlignment="1" applyProtection="1">
      <alignment horizontal="right" vertical="center"/>
      <protection locked="0"/>
    </xf>
    <xf numFmtId="0" fontId="65" fillId="0" borderId="26" xfId="0" applyFont="1" applyBorder="1" applyAlignment="1" applyProtection="1">
      <alignment horizontal="left" vertical="center"/>
    </xf>
    <xf numFmtId="0" fontId="65" fillId="0" borderId="0" xfId="0" applyFont="1" applyBorder="1" applyAlignment="1" applyProtection="1">
      <alignment horizontal="left" vertical="center"/>
    </xf>
    <xf numFmtId="0" fontId="42" fillId="0" borderId="0" xfId="0" applyFont="1" applyFill="1" applyBorder="1" applyAlignment="1">
      <alignment horizontal="center"/>
    </xf>
    <xf numFmtId="0" fontId="42" fillId="0" borderId="0" xfId="0" applyFont="1" applyFill="1" applyAlignment="1">
      <alignment wrapText="1"/>
    </xf>
    <xf numFmtId="0" fontId="42" fillId="0" borderId="0" xfId="0" applyFont="1" applyFill="1" applyAlignment="1"/>
    <xf numFmtId="0" fontId="42" fillId="0" borderId="0" xfId="0" applyFont="1" applyFill="1" applyBorder="1"/>
    <xf numFmtId="0" fontId="42" fillId="0" borderId="0" xfId="62" applyFont="1" applyFill="1" applyBorder="1"/>
    <xf numFmtId="0" fontId="42" fillId="0" borderId="0" xfId="0" applyFont="1" applyAlignment="1">
      <alignment horizontal="left"/>
    </xf>
    <xf numFmtId="0" fontId="42" fillId="0" borderId="0" xfId="0" applyFont="1" applyBorder="1"/>
    <xf numFmtId="4" fontId="32" fillId="0" borderId="0" xfId="0" applyNumberFormat="1" applyFont="1" applyFill="1" applyAlignment="1">
      <alignment horizontal="center" vertical="center"/>
    </xf>
    <xf numFmtId="0" fontId="42" fillId="0" borderId="0" xfId="0" applyFont="1" applyFill="1" applyAlignment="1">
      <alignment horizontal="left" wrapText="1"/>
    </xf>
    <xf numFmtId="0" fontId="41" fillId="0" borderId="0" xfId="0" applyFont="1" applyFill="1" applyAlignment="1">
      <alignment horizontal="left" wrapText="1"/>
    </xf>
    <xf numFmtId="0" fontId="42" fillId="0" borderId="0" xfId="0" applyFont="1" applyAlignment="1">
      <alignment horizontal="left" wrapText="1"/>
    </xf>
    <xf numFmtId="0" fontId="41" fillId="0" borderId="0" xfId="0" applyFont="1"/>
    <xf numFmtId="0" fontId="32" fillId="0" borderId="0" xfId="0" applyFont="1" applyAlignment="1">
      <alignment horizontal="center" vertical="center"/>
    </xf>
    <xf numFmtId="0" fontId="65" fillId="0" borderId="16" xfId="0" applyFont="1" applyBorder="1" applyAlignment="1">
      <alignment horizontal="right"/>
    </xf>
    <xf numFmtId="9" fontId="32" fillId="0" borderId="0" xfId="66" applyFont="1"/>
    <xf numFmtId="0" fontId="65" fillId="0" borderId="15" xfId="0" applyFont="1" applyBorder="1" applyAlignment="1">
      <alignment horizontal="right"/>
    </xf>
    <xf numFmtId="0" fontId="65" fillId="0" borderId="14" xfId="0" applyFont="1" applyBorder="1" applyAlignment="1">
      <alignment horizontal="right"/>
    </xf>
    <xf numFmtId="4" fontId="32" fillId="28" borderId="0" xfId="0" applyNumberFormat="1" applyFont="1" applyFill="1" applyBorder="1" applyAlignment="1">
      <alignment horizontal="center"/>
    </xf>
    <xf numFmtId="0" fontId="42" fillId="0" borderId="0" xfId="163" applyFont="1" applyFill="1" applyBorder="1" applyAlignment="1">
      <alignment horizontal="left"/>
    </xf>
    <xf numFmtId="172" fontId="64" fillId="0" borderId="0" xfId="0" applyNumberFormat="1" applyFont="1" applyBorder="1" applyAlignment="1">
      <alignment horizontal="right" vertical="center"/>
    </xf>
    <xf numFmtId="172" fontId="64" fillId="0" borderId="0" xfId="0" applyNumberFormat="1" applyFont="1" applyBorder="1" applyAlignment="1" applyProtection="1">
      <alignment horizontal="right" vertical="center"/>
      <protection locked="0"/>
    </xf>
    <xf numFmtId="0" fontId="33" fillId="0" borderId="0" xfId="0" applyFont="1" applyAlignment="1">
      <alignment horizontal="left" wrapText="1"/>
    </xf>
    <xf numFmtId="172" fontId="77" fillId="24" borderId="0" xfId="0" applyNumberFormat="1" applyFont="1" applyFill="1"/>
    <xf numFmtId="0" fontId="33" fillId="0" borderId="0" xfId="0" applyFont="1" applyFill="1" applyAlignment="1">
      <alignment horizontal="left" wrapText="1"/>
    </xf>
    <xf numFmtId="172" fontId="77" fillId="0" borderId="0" xfId="0" applyNumberFormat="1" applyFont="1"/>
    <xf numFmtId="172" fontId="76" fillId="24" borderId="0" xfId="0" applyNumberFormat="1" applyFont="1" applyFill="1" applyAlignment="1">
      <alignment horizontal="center"/>
    </xf>
    <xf numFmtId="169" fontId="33" fillId="0" borderId="0" xfId="41" applyNumberFormat="1" applyFont="1" applyFill="1"/>
    <xf numFmtId="0" fontId="46" fillId="25" borderId="0" xfId="0" applyFont="1" applyFill="1"/>
    <xf numFmtId="172" fontId="33" fillId="0" borderId="0" xfId="41" applyNumberFormat="1" applyFont="1" applyFill="1"/>
    <xf numFmtId="170" fontId="33" fillId="0" borderId="0" xfId="41" applyNumberFormat="1" applyFont="1" applyFill="1"/>
    <xf numFmtId="174" fontId="33" fillId="0" borderId="0" xfId="0" applyNumberFormat="1" applyFont="1" applyFill="1"/>
    <xf numFmtId="170" fontId="33" fillId="0" borderId="0" xfId="41" applyNumberFormat="1" applyFont="1"/>
    <xf numFmtId="4" fontId="33" fillId="0" borderId="0" xfId="41" applyNumberFormat="1" applyFont="1"/>
    <xf numFmtId="4" fontId="76" fillId="0" borderId="13" xfId="32" applyNumberFormat="1" applyFont="1" applyBorder="1"/>
    <xf numFmtId="0" fontId="76" fillId="0" borderId="0" xfId="0" applyFont="1"/>
    <xf numFmtId="170" fontId="77" fillId="0" borderId="0" xfId="32" applyNumberFormat="1" applyFont="1"/>
    <xf numFmtId="0" fontId="77" fillId="0" borderId="0" xfId="0" applyFont="1" applyAlignment="1">
      <alignment horizontal="center"/>
    </xf>
    <xf numFmtId="0" fontId="76" fillId="0" borderId="0" xfId="0" applyFont="1" applyFill="1"/>
    <xf numFmtId="0" fontId="66" fillId="0" borderId="0" xfId="0" applyFont="1" applyAlignment="1">
      <alignment vertical="center"/>
    </xf>
    <xf numFmtId="4" fontId="66" fillId="0" borderId="0" xfId="0" quotePrefix="1" applyNumberFormat="1" applyFont="1" applyAlignment="1">
      <alignment horizontal="left" vertical="center"/>
    </xf>
    <xf numFmtId="4" fontId="67" fillId="0" borderId="0" xfId="0" applyNumberFormat="1" applyFont="1" applyBorder="1" applyAlignment="1">
      <alignment vertical="center"/>
    </xf>
    <xf numFmtId="4" fontId="67" fillId="0" borderId="0" xfId="0" quotePrefix="1" applyNumberFormat="1" applyFont="1" applyBorder="1" applyAlignment="1" applyProtection="1">
      <alignment horizontal="right" vertical="center"/>
    </xf>
    <xf numFmtId="172" fontId="66" fillId="0" borderId="0" xfId="0" applyNumberFormat="1" applyFont="1" applyBorder="1"/>
    <xf numFmtId="0" fontId="66" fillId="0" borderId="0" xfId="0" applyFont="1" applyBorder="1" applyAlignment="1">
      <alignment horizontal="center" vertical="center"/>
    </xf>
    <xf numFmtId="2" fontId="66" fillId="0" borderId="0" xfId="0" applyNumberFormat="1" applyFont="1" applyBorder="1" applyAlignment="1">
      <alignment horizontal="right" vertical="center"/>
    </xf>
    <xf numFmtId="0" fontId="66" fillId="0" borderId="0" xfId="0" applyFont="1" applyBorder="1" applyAlignment="1">
      <alignment vertical="center"/>
    </xf>
    <xf numFmtId="172" fontId="32" fillId="0" borderId="0" xfId="0" applyNumberFormat="1" applyFont="1" applyFill="1" applyAlignment="1">
      <alignment horizontal="center"/>
    </xf>
    <xf numFmtId="4" fontId="32" fillId="26" borderId="0" xfId="0" applyNumberFormat="1" applyFont="1" applyFill="1" applyAlignment="1">
      <alignment horizontal="center"/>
    </xf>
    <xf numFmtId="0" fontId="33" fillId="0" borderId="0" xfId="0" applyFont="1"/>
    <xf numFmtId="0" fontId="32" fillId="0" borderId="0" xfId="0" applyFont="1"/>
    <xf numFmtId="0" fontId="35" fillId="0" borderId="0" xfId="0" applyFont="1" applyFill="1"/>
    <xf numFmtId="0" fontId="78" fillId="0" borderId="0" xfId="0" applyFont="1" applyFill="1" applyAlignment="1">
      <alignment horizontal="center"/>
    </xf>
    <xf numFmtId="4" fontId="66" fillId="0" borderId="0" xfId="0" applyNumberFormat="1" applyFont="1"/>
    <xf numFmtId="4" fontId="46" fillId="0" borderId="0" xfId="0" applyNumberFormat="1" applyFont="1" applyFill="1"/>
    <xf numFmtId="0" fontId="33" fillId="0" borderId="0" xfId="76" applyFont="1" applyBorder="1"/>
    <xf numFmtId="0" fontId="33" fillId="0" borderId="0" xfId="0" applyFont="1"/>
    <xf numFmtId="0" fontId="33" fillId="0" borderId="0" xfId="0" applyFont="1" applyAlignment="1">
      <alignment horizontal="center"/>
    </xf>
    <xf numFmtId="0" fontId="33" fillId="0" borderId="0" xfId="0" applyFont="1"/>
    <xf numFmtId="4" fontId="82" fillId="0" borderId="0" xfId="0" applyNumberFormat="1" applyFont="1" applyFill="1" applyAlignment="1">
      <alignment horizontal="center"/>
    </xf>
    <xf numFmtId="4" fontId="32" fillId="31" borderId="0" xfId="0" applyNumberFormat="1" applyFont="1" applyFill="1" applyAlignment="1">
      <alignment horizontal="center"/>
    </xf>
    <xf numFmtId="4" fontId="45" fillId="31" borderId="0" xfId="0" applyNumberFormat="1" applyFont="1" applyFill="1" applyAlignment="1">
      <alignment horizontal="center"/>
    </xf>
    <xf numFmtId="4" fontId="32" fillId="0" borderId="0" xfId="76" applyNumberFormat="1" applyFont="1" applyFill="1" applyAlignment="1">
      <alignment horizontal="center"/>
    </xf>
    <xf numFmtId="4" fontId="82" fillId="0" borderId="0" xfId="76" applyNumberFormat="1" applyFont="1" applyFill="1" applyAlignment="1">
      <alignment horizontal="center"/>
    </xf>
    <xf numFmtId="4" fontId="46" fillId="0" borderId="0" xfId="0" applyNumberFormat="1" applyFont="1" applyFill="1" applyAlignment="1">
      <alignment horizontal="right"/>
    </xf>
    <xf numFmtId="14" fontId="32" fillId="0" borderId="0" xfId="0" applyNumberFormat="1" applyFont="1" applyAlignment="1">
      <alignment horizontal="center" vertical="center"/>
    </xf>
    <xf numFmtId="0" fontId="32" fillId="0" borderId="0" xfId="0" applyFont="1" applyAlignment="1">
      <alignment horizontal="center"/>
    </xf>
    <xf numFmtId="0" fontId="33" fillId="0" borderId="0" xfId="0" applyFont="1" applyAlignment="1">
      <alignment horizontal="center"/>
    </xf>
    <xf numFmtId="0" fontId="33" fillId="0" borderId="0" xfId="0" applyFont="1"/>
    <xf numFmtId="167" fontId="33" fillId="0" borderId="0" xfId="0" applyNumberFormat="1" applyFont="1"/>
    <xf numFmtId="0" fontId="0" fillId="0" borderId="0" xfId="0" applyFill="1" applyBorder="1"/>
    <xf numFmtId="164" fontId="32" fillId="0" borderId="0" xfId="79" applyNumberFormat="1" applyFont="1" applyFill="1" applyBorder="1" applyAlignment="1">
      <alignment horizontal="right" vertical="center"/>
    </xf>
    <xf numFmtId="0" fontId="32" fillId="0" borderId="0" xfId="0" applyFont="1" applyFill="1" applyBorder="1" applyAlignment="1">
      <alignment vertical="center" wrapText="1"/>
    </xf>
    <xf numFmtId="0" fontId="32" fillId="0" borderId="0" xfId="0" applyFont="1" applyFill="1" applyBorder="1" applyAlignment="1">
      <alignment horizontal="right" vertical="center"/>
    </xf>
    <xf numFmtId="4" fontId="32" fillId="0" borderId="0" xfId="32" applyNumberFormat="1" applyFont="1" applyFill="1" applyBorder="1"/>
    <xf numFmtId="0" fontId="33" fillId="0" borderId="0" xfId="0" applyFont="1" applyFill="1" applyBorder="1" applyAlignment="1" applyProtection="1">
      <alignment horizontal="left" vertical="center"/>
    </xf>
    <xf numFmtId="171" fontId="33" fillId="0" borderId="0" xfId="0" applyNumberFormat="1" applyFont="1" applyFill="1" applyBorder="1" applyAlignment="1" applyProtection="1">
      <alignment horizontal="right" vertical="center"/>
      <protection locked="0"/>
    </xf>
    <xf numFmtId="0" fontId="33" fillId="0" borderId="0" xfId="0" applyFont="1" applyFill="1" applyBorder="1" applyAlignment="1" applyProtection="1">
      <alignment horizontal="center" vertical="center"/>
    </xf>
    <xf numFmtId="4" fontId="33" fillId="0" borderId="0" xfId="0" applyNumberFormat="1" applyFont="1" applyFill="1" applyBorder="1" applyAlignment="1" applyProtection="1">
      <alignment vertical="center"/>
      <protection locked="0"/>
    </xf>
    <xf numFmtId="4" fontId="33" fillId="0" borderId="0" xfId="32" applyNumberFormat="1" applyFont="1" applyFill="1" applyAlignment="1">
      <alignment horizontal="right" vertical="center"/>
    </xf>
    <xf numFmtId="4" fontId="33" fillId="0" borderId="0" xfId="0" applyNumberFormat="1" applyFont="1" applyFill="1"/>
    <xf numFmtId="0" fontId="32" fillId="35" borderId="0" xfId="0" applyFont="1" applyFill="1" applyAlignment="1">
      <alignment horizontal="center"/>
    </xf>
    <xf numFmtId="4" fontId="41" fillId="0" borderId="0" xfId="0" applyNumberFormat="1" applyFont="1" applyFill="1" applyAlignment="1">
      <alignment horizontal="center"/>
    </xf>
    <xf numFmtId="4" fontId="32" fillId="36" borderId="0" xfId="0" applyNumberFormat="1" applyFont="1" applyFill="1" applyAlignment="1">
      <alignment horizontal="center"/>
    </xf>
    <xf numFmtId="0" fontId="42" fillId="36" borderId="0" xfId="0" applyFont="1" applyFill="1"/>
    <xf numFmtId="0" fontId="42" fillId="33" borderId="0" xfId="0" applyFont="1" applyFill="1"/>
    <xf numFmtId="0" fontId="42" fillId="36" borderId="0" xfId="0" applyFont="1" applyFill="1" applyAlignment="1">
      <alignment wrapText="1"/>
    </xf>
    <xf numFmtId="0" fontId="42" fillId="33" borderId="0" xfId="0" applyFont="1" applyFill="1" applyAlignment="1">
      <alignment wrapText="1"/>
    </xf>
    <xf numFmtId="0" fontId="42" fillId="37" borderId="0" xfId="0" applyFont="1" applyFill="1" applyAlignment="1">
      <alignment wrapText="1"/>
    </xf>
    <xf numFmtId="0" fontId="32" fillId="33" borderId="0" xfId="0" applyFont="1" applyFill="1" applyAlignment="1">
      <alignment horizontal="center"/>
    </xf>
    <xf numFmtId="175" fontId="41" fillId="0" borderId="38" xfId="0" applyNumberFormat="1" applyFont="1" applyFill="1" applyBorder="1" applyAlignment="1">
      <alignment horizontal="center" vertical="center"/>
    </xf>
    <xf numFmtId="4" fontId="32" fillId="36" borderId="0" xfId="0" applyNumberFormat="1" applyFont="1" applyFill="1" applyAlignment="1">
      <alignment horizontal="center" vertical="center"/>
    </xf>
    <xf numFmtId="0" fontId="88" fillId="0" borderId="0" xfId="82" applyNumberFormat="1" applyFont="1" applyBorder="1" applyAlignment="1"/>
    <xf numFmtId="167" fontId="88" fillId="0" borderId="0" xfId="83" applyFont="1" applyBorder="1" applyAlignment="1"/>
    <xf numFmtId="0" fontId="88" fillId="0" borderId="0" xfId="82" applyNumberFormat="1" applyFont="1" applyFill="1" applyBorder="1" applyAlignment="1"/>
    <xf numFmtId="0" fontId="89" fillId="34" borderId="0" xfId="82" applyNumberFormat="1" applyFont="1" applyFill="1" applyBorder="1" applyAlignment="1">
      <alignment horizontal="center"/>
    </xf>
    <xf numFmtId="167" fontId="88" fillId="34" borderId="0" xfId="83" applyFont="1" applyFill="1" applyBorder="1" applyAlignment="1"/>
    <xf numFmtId="0" fontId="88" fillId="34" borderId="0" xfId="82" applyNumberFormat="1" applyFont="1" applyFill="1" applyBorder="1" applyAlignment="1"/>
    <xf numFmtId="0" fontId="89" fillId="34" borderId="0" xfId="82" applyNumberFormat="1" applyFont="1" applyFill="1" applyBorder="1" applyAlignment="1"/>
    <xf numFmtId="167" fontId="0" fillId="34" borderId="0" xfId="83" applyFont="1" applyFill="1" applyBorder="1"/>
    <xf numFmtId="167" fontId="88" fillId="34" borderId="0" xfId="83" applyFont="1" applyFill="1" applyBorder="1" applyAlignment="1">
      <alignment horizontal="center"/>
    </xf>
    <xf numFmtId="181" fontId="88" fillId="34" borderId="0" xfId="82" applyNumberFormat="1" applyFill="1" applyBorder="1"/>
    <xf numFmtId="181" fontId="88" fillId="0" borderId="0" xfId="82" applyNumberFormat="1" applyFont="1" applyFill="1" applyBorder="1" applyAlignment="1"/>
    <xf numFmtId="167" fontId="89" fillId="34" borderId="0" xfId="83" applyFont="1" applyFill="1" applyBorder="1" applyAlignment="1"/>
    <xf numFmtId="181" fontId="89" fillId="34" borderId="0" xfId="82" applyNumberFormat="1" applyFont="1" applyFill="1" applyBorder="1"/>
    <xf numFmtId="167" fontId="89" fillId="34" borderId="0" xfId="83" applyFont="1" applyFill="1" applyBorder="1" applyAlignment="1">
      <alignment horizontal="left"/>
    </xf>
    <xf numFmtId="167" fontId="88" fillId="30" borderId="0" xfId="83" applyFont="1" applyFill="1" applyBorder="1" applyAlignment="1">
      <alignment horizontal="center"/>
    </xf>
    <xf numFmtId="0" fontId="90" fillId="34" borderId="0" xfId="82" applyNumberFormat="1" applyFont="1" applyFill="1" applyBorder="1" applyAlignment="1"/>
    <xf numFmtId="167" fontId="89" fillId="34" borderId="0" xfId="83" applyFont="1" applyFill="1" applyBorder="1" applyAlignment="1">
      <alignment horizontal="center"/>
    </xf>
    <xf numFmtId="181" fontId="88" fillId="39" borderId="0" xfId="82" applyNumberFormat="1" applyFont="1" applyFill="1" applyBorder="1"/>
    <xf numFmtId="167" fontId="88" fillId="0" borderId="0" xfId="83" applyFont="1" applyFill="1" applyBorder="1" applyAlignment="1"/>
    <xf numFmtId="0" fontId="88" fillId="0" borderId="0" xfId="82" applyNumberFormat="1" applyFont="1" applyFill="1" applyBorder="1" applyAlignment="1">
      <alignment horizontal="right"/>
    </xf>
    <xf numFmtId="167" fontId="0" fillId="39" borderId="0" xfId="83" applyFont="1" applyFill="1" applyBorder="1"/>
    <xf numFmtId="167" fontId="88" fillId="39" borderId="0" xfId="83" applyFont="1" applyFill="1" applyBorder="1" applyAlignment="1"/>
    <xf numFmtId="167" fontId="89" fillId="34" borderId="0" xfId="83" applyFont="1" applyFill="1" applyBorder="1"/>
    <xf numFmtId="0" fontId="88" fillId="30" borderId="0" xfId="82" applyNumberFormat="1" applyFont="1" applyFill="1" applyBorder="1" applyAlignment="1"/>
    <xf numFmtId="167" fontId="88" fillId="30" borderId="0" xfId="83" applyFont="1" applyFill="1" applyBorder="1"/>
    <xf numFmtId="167" fontId="0" fillId="0" borderId="0" xfId="83" applyFont="1" applyFill="1" applyBorder="1"/>
    <xf numFmtId="181" fontId="88" fillId="0" borderId="0" xfId="82" applyNumberFormat="1" applyFill="1" applyBorder="1"/>
    <xf numFmtId="2" fontId="88" fillId="39" borderId="0" xfId="82" applyNumberFormat="1" applyFill="1" applyBorder="1"/>
    <xf numFmtId="182" fontId="88" fillId="39" borderId="0" xfId="83" applyNumberFormat="1" applyFont="1" applyFill="1" applyBorder="1" applyAlignment="1"/>
    <xf numFmtId="181" fontId="88" fillId="39" borderId="0" xfId="82" applyNumberFormat="1" applyFill="1" applyBorder="1"/>
    <xf numFmtId="2" fontId="88" fillId="0" borderId="0" xfId="82" applyNumberFormat="1" applyFill="1" applyBorder="1"/>
    <xf numFmtId="182" fontId="88" fillId="0" borderId="0" xfId="83" applyNumberFormat="1" applyFont="1" applyFill="1" applyBorder="1" applyAlignment="1"/>
    <xf numFmtId="4" fontId="88" fillId="0" borderId="0" xfId="82" applyNumberFormat="1" applyFont="1" applyFill="1" applyBorder="1" applyAlignment="1"/>
    <xf numFmtId="4" fontId="88" fillId="0" borderId="0" xfId="82" applyNumberFormat="1" applyFill="1" applyBorder="1"/>
    <xf numFmtId="181" fontId="0" fillId="34" borderId="0" xfId="83" applyNumberFormat="1" applyFont="1" applyFill="1" applyBorder="1"/>
    <xf numFmtId="0" fontId="89" fillId="0" borderId="0" xfId="82" applyNumberFormat="1" applyFont="1" applyFill="1" applyBorder="1" applyAlignment="1"/>
    <xf numFmtId="182" fontId="0" fillId="34" borderId="0" xfId="83" applyNumberFormat="1" applyFont="1" applyFill="1" applyBorder="1"/>
    <xf numFmtId="0" fontId="89" fillId="30" borderId="0" xfId="82" applyNumberFormat="1" applyFont="1" applyFill="1" applyBorder="1" applyAlignment="1"/>
    <xf numFmtId="167" fontId="88" fillId="30" borderId="0" xfId="83" applyFont="1" applyFill="1" applyBorder="1" applyAlignment="1"/>
    <xf numFmtId="167" fontId="0" fillId="34" borderId="0" xfId="83" applyFont="1" applyFill="1" applyBorder="1" applyAlignment="1">
      <alignment horizontal="center"/>
    </xf>
    <xf numFmtId="4" fontId="88" fillId="34" borderId="0" xfId="82" applyNumberFormat="1" applyFont="1" applyFill="1" applyBorder="1" applyAlignment="1"/>
    <xf numFmtId="10" fontId="0" fillId="34" borderId="0" xfId="83" applyNumberFormat="1" applyFont="1" applyFill="1" applyBorder="1"/>
    <xf numFmtId="181" fontId="88" fillId="34" borderId="0" xfId="82" applyNumberFormat="1" applyFont="1" applyFill="1" applyBorder="1" applyAlignment="1"/>
    <xf numFmtId="0" fontId="91" fillId="34" borderId="0" xfId="82" applyNumberFormat="1" applyFont="1" applyFill="1" applyBorder="1" applyAlignment="1"/>
    <xf numFmtId="0" fontId="86" fillId="0" borderId="0" xfId="82" applyFont="1" applyBorder="1" applyAlignment="1">
      <alignment horizontal="center"/>
    </xf>
    <xf numFmtId="167" fontId="86" fillId="0" borderId="0" xfId="83" applyFont="1" applyBorder="1" applyAlignment="1">
      <alignment horizontal="center"/>
    </xf>
    <xf numFmtId="0" fontId="88" fillId="0" borderId="0" xfId="82" applyFont="1" applyBorder="1"/>
    <xf numFmtId="167" fontId="88" fillId="0" borderId="0" xfId="83" applyFont="1" applyBorder="1"/>
    <xf numFmtId="0" fontId="88" fillId="0" borderId="0" xfId="82" applyFont="1" applyBorder="1" applyAlignment="1">
      <alignment horizontal="center"/>
    </xf>
    <xf numFmtId="0" fontId="86" fillId="0" borderId="0" xfId="82" applyFont="1" applyBorder="1"/>
    <xf numFmtId="0" fontId="89" fillId="0" borderId="0" xfId="82" applyFont="1" applyBorder="1"/>
    <xf numFmtId="0" fontId="88" fillId="0" borderId="0" xfId="82" applyFont="1" applyFill="1" applyBorder="1"/>
    <xf numFmtId="2" fontId="88" fillId="0" borderId="0" xfId="82" applyNumberFormat="1" applyFont="1" applyBorder="1" applyAlignment="1">
      <alignment horizontal="center"/>
    </xf>
    <xf numFmtId="167" fontId="89" fillId="0" borderId="0" xfId="83" applyFont="1" applyBorder="1"/>
    <xf numFmtId="0" fontId="89" fillId="0" borderId="0" xfId="82" applyFont="1" applyBorder="1" applyAlignment="1">
      <alignment horizontal="center"/>
    </xf>
    <xf numFmtId="167" fontId="88" fillId="0" borderId="0" xfId="83" applyNumberFormat="1" applyFont="1" applyBorder="1"/>
    <xf numFmtId="0" fontId="88" fillId="0" borderId="0" xfId="82" applyBorder="1"/>
    <xf numFmtId="167" fontId="0" fillId="0" borderId="0" xfId="83" applyFont="1" applyBorder="1"/>
    <xf numFmtId="0" fontId="88" fillId="0" borderId="0" xfId="82" applyBorder="1" applyAlignment="1">
      <alignment horizontal="center"/>
    </xf>
    <xf numFmtId="0" fontId="92" fillId="0" borderId="0" xfId="82" applyFont="1" applyBorder="1"/>
    <xf numFmtId="167" fontId="93" fillId="0" borderId="0" xfId="83" applyFont="1" applyBorder="1"/>
    <xf numFmtId="167" fontId="88" fillId="0" borderId="0" xfId="83" applyFont="1" applyBorder="1" applyAlignment="1">
      <alignment horizontal="center"/>
    </xf>
    <xf numFmtId="4" fontId="88" fillId="0" borderId="42" xfId="84" applyNumberFormat="1" applyFont="1" applyBorder="1" applyAlignment="1"/>
    <xf numFmtId="0" fontId="29" fillId="0" borderId="0" xfId="84"/>
    <xf numFmtId="4" fontId="88" fillId="0" borderId="42" xfId="84" applyNumberFormat="1" applyFont="1" applyBorder="1" applyAlignment="1">
      <alignment horizontal="center"/>
    </xf>
    <xf numFmtId="167" fontId="88" fillId="0" borderId="42" xfId="85" applyFont="1" applyBorder="1" applyAlignment="1">
      <alignment horizontal="center"/>
    </xf>
    <xf numFmtId="4" fontId="89" fillId="34" borderId="42" xfId="84" applyNumberFormat="1" applyFont="1" applyFill="1" applyBorder="1" applyAlignment="1"/>
    <xf numFmtId="4" fontId="88" fillId="34" borderId="42" xfId="84" applyNumberFormat="1" applyFont="1" applyFill="1" applyBorder="1" applyAlignment="1">
      <alignment horizontal="center"/>
    </xf>
    <xf numFmtId="167" fontId="0" fillId="34" borderId="42" xfId="85" applyFont="1" applyFill="1" applyBorder="1"/>
    <xf numFmtId="4" fontId="88" fillId="34" borderId="42" xfId="84" applyNumberFormat="1" applyFont="1" applyFill="1" applyBorder="1" applyAlignment="1"/>
    <xf numFmtId="4" fontId="88" fillId="0" borderId="42" xfId="84" applyNumberFormat="1" applyFont="1" applyFill="1" applyBorder="1" applyAlignment="1"/>
    <xf numFmtId="167" fontId="88" fillId="40" borderId="42" xfId="85" applyFont="1" applyFill="1" applyBorder="1"/>
    <xf numFmtId="4" fontId="88" fillId="34" borderId="42" xfId="84" applyNumberFormat="1" applyFont="1" applyFill="1" applyBorder="1" applyAlignment="1">
      <alignment wrapText="1"/>
    </xf>
    <xf numFmtId="167" fontId="88" fillId="0" borderId="42" xfId="85" applyFont="1" applyFill="1" applyBorder="1"/>
    <xf numFmtId="167" fontId="88" fillId="40" borderId="42" xfId="85" applyFont="1" applyFill="1" applyBorder="1" applyAlignment="1"/>
    <xf numFmtId="4" fontId="88" fillId="41" borderId="42" xfId="84" applyNumberFormat="1" applyFont="1" applyFill="1" applyBorder="1" applyAlignment="1"/>
    <xf numFmtId="167" fontId="88" fillId="40" borderId="42" xfId="85" applyFont="1" applyFill="1" applyBorder="1" applyAlignment="1">
      <alignment horizontal="center"/>
    </xf>
    <xf numFmtId="167" fontId="88" fillId="0" borderId="42" xfId="85" applyFont="1" applyFill="1" applyBorder="1" applyAlignment="1">
      <alignment horizontal="center"/>
    </xf>
    <xf numFmtId="4" fontId="88" fillId="30" borderId="42" xfId="84" applyNumberFormat="1" applyFont="1" applyFill="1" applyBorder="1" applyAlignment="1"/>
    <xf numFmtId="167" fontId="88" fillId="30" borderId="42" xfId="85" applyFont="1" applyFill="1" applyBorder="1" applyAlignment="1">
      <alignment horizontal="center"/>
    </xf>
    <xf numFmtId="0" fontId="96" fillId="0" borderId="0" xfId="82" applyFont="1" applyBorder="1" applyAlignment="1">
      <alignment vertical="center" wrapText="1"/>
    </xf>
    <xf numFmtId="0" fontId="88" fillId="0" borderId="0" xfId="82"/>
    <xf numFmtId="0" fontId="97" fillId="0" borderId="0" xfId="82" applyFont="1" applyBorder="1"/>
    <xf numFmtId="4" fontId="88" fillId="0" borderId="0" xfId="82" applyNumberFormat="1" applyBorder="1"/>
    <xf numFmtId="0" fontId="96" fillId="0" borderId="0" xfId="82" applyFont="1" applyAlignment="1">
      <alignment vertical="top" wrapText="1"/>
    </xf>
    <xf numFmtId="0" fontId="97" fillId="0" borderId="0" xfId="82" applyFont="1"/>
    <xf numFmtId="0" fontId="97" fillId="0" borderId="0" xfId="82" applyFont="1" applyAlignment="1">
      <alignment horizontal="center"/>
    </xf>
    <xf numFmtId="0" fontId="88" fillId="0" borderId="34" xfId="82" applyBorder="1"/>
    <xf numFmtId="0" fontId="88" fillId="0" borderId="34" xfId="82" applyBorder="1" applyAlignment="1">
      <alignment horizontal="center"/>
    </xf>
    <xf numFmtId="0" fontId="88" fillId="0" borderId="0" xfId="82" applyAlignment="1">
      <alignment horizontal="center"/>
    </xf>
    <xf numFmtId="0" fontId="88" fillId="0" borderId="0" xfId="82" applyAlignment="1">
      <alignment vertical="top" wrapText="1"/>
    </xf>
    <xf numFmtId="0" fontId="88" fillId="0" borderId="34" xfId="82" applyBorder="1" applyAlignment="1">
      <alignment horizontal="left"/>
    </xf>
    <xf numFmtId="0" fontId="88" fillId="0" borderId="0" xfId="82" applyAlignment="1">
      <alignment horizontal="left"/>
    </xf>
    <xf numFmtId="0" fontId="98" fillId="0" borderId="0" xfId="82" applyFont="1" applyBorder="1"/>
    <xf numFmtId="0" fontId="88" fillId="0" borderId="0" xfId="82" applyAlignment="1">
      <alignment vertical="center"/>
    </xf>
    <xf numFmtId="0" fontId="96" fillId="0" borderId="0" xfId="82" applyFont="1" applyAlignment="1">
      <alignment vertical="center"/>
    </xf>
    <xf numFmtId="0" fontId="88" fillId="0" borderId="34" xfId="82" applyBorder="1" applyAlignment="1">
      <alignment wrapText="1"/>
    </xf>
    <xf numFmtId="4" fontId="88" fillId="0" borderId="0" xfId="82" applyNumberFormat="1"/>
    <xf numFmtId="0" fontId="88" fillId="0" borderId="34" xfId="82" applyBorder="1" applyAlignment="1">
      <alignment vertical="center"/>
    </xf>
    <xf numFmtId="0" fontId="88" fillId="0" borderId="34" xfId="82" applyBorder="1" applyAlignment="1">
      <alignment vertical="center" wrapText="1"/>
    </xf>
    <xf numFmtId="0" fontId="88" fillId="0" borderId="34" xfId="82" applyBorder="1" applyAlignment="1">
      <alignment horizontal="center" vertical="center"/>
    </xf>
    <xf numFmtId="0" fontId="97" fillId="0" borderId="0" xfId="82" applyFont="1" applyAlignment="1">
      <alignment horizontal="center" vertical="center"/>
    </xf>
    <xf numFmtId="0" fontId="97" fillId="0" borderId="0" xfId="82" applyFont="1" applyAlignment="1">
      <alignment horizontal="center" wrapText="1"/>
    </xf>
    <xf numFmtId="9" fontId="88" fillId="0" borderId="34" xfId="82" applyNumberFormat="1" applyBorder="1" applyAlignment="1">
      <alignment horizontal="center"/>
    </xf>
    <xf numFmtId="0" fontId="88" fillId="0" borderId="0" xfId="82" applyFont="1"/>
    <xf numFmtId="0" fontId="97" fillId="0" borderId="0" xfId="82" applyFont="1" applyAlignment="1">
      <alignment wrapText="1"/>
    </xf>
    <xf numFmtId="0" fontId="100" fillId="0" borderId="0" xfId="82" applyFont="1"/>
    <xf numFmtId="0" fontId="31" fillId="0" borderId="0" xfId="82" applyFont="1"/>
    <xf numFmtId="0" fontId="97" fillId="0" borderId="34" xfId="82" applyFont="1" applyBorder="1"/>
    <xf numFmtId="0" fontId="96" fillId="0" borderId="0" xfId="82" applyFont="1" applyAlignment="1">
      <alignment vertical="center" wrapText="1"/>
    </xf>
    <xf numFmtId="0" fontId="88" fillId="0" borderId="34" xfId="82" applyFont="1" applyBorder="1" applyAlignment="1">
      <alignment horizontal="left" wrapText="1"/>
    </xf>
    <xf numFmtId="0" fontId="88" fillId="0" borderId="0" xfId="82" applyAlignment="1">
      <alignment wrapText="1"/>
    </xf>
    <xf numFmtId="0" fontId="88" fillId="0" borderId="34" xfId="82" applyBorder="1" applyAlignment="1">
      <alignment horizontal="center" wrapText="1"/>
    </xf>
    <xf numFmtId="0" fontId="99" fillId="0" borderId="0" xfId="82" applyFont="1"/>
    <xf numFmtId="0" fontId="88" fillId="0" borderId="46" xfId="82" applyBorder="1"/>
    <xf numFmtId="0" fontId="88" fillId="0" borderId="43" xfId="82" applyBorder="1"/>
    <xf numFmtId="0" fontId="98" fillId="0" borderId="0" xfId="82" applyFont="1"/>
    <xf numFmtId="0" fontId="97" fillId="0" borderId="0" xfId="82" applyFont="1" applyBorder="1" applyAlignment="1">
      <alignment horizontal="center" vertical="center"/>
    </xf>
    <xf numFmtId="0" fontId="88" fillId="0" borderId="0" xfId="82" applyBorder="1" applyAlignment="1">
      <alignment horizontal="center" vertical="center"/>
    </xf>
    <xf numFmtId="0" fontId="31" fillId="0" borderId="0" xfId="82" applyFont="1" applyBorder="1" applyAlignment="1">
      <alignment horizontal="left" vertical="center"/>
    </xf>
    <xf numFmtId="0" fontId="88" fillId="0" borderId="34" xfId="82" applyFont="1" applyBorder="1"/>
    <xf numFmtId="0" fontId="88" fillId="0" borderId="34" xfId="82" applyBorder="1" applyAlignment="1">
      <alignment horizontal="left" vertical="center"/>
    </xf>
    <xf numFmtId="0" fontId="97" fillId="0" borderId="0" xfId="84" applyFont="1"/>
    <xf numFmtId="0" fontId="32" fillId="0" borderId="0" xfId="84" applyFont="1"/>
    <xf numFmtId="170" fontId="33" fillId="0" borderId="0" xfId="85" applyNumberFormat="1" applyFont="1"/>
    <xf numFmtId="0" fontId="33" fillId="0" borderId="0" xfId="84" applyFont="1" applyAlignment="1">
      <alignment horizontal="center"/>
    </xf>
    <xf numFmtId="172" fontId="33" fillId="0" borderId="0" xfId="84" applyNumberFormat="1" applyFont="1"/>
    <xf numFmtId="4" fontId="32" fillId="0" borderId="0" xfId="85" applyNumberFormat="1" applyFont="1" applyAlignment="1">
      <alignment horizontal="center"/>
    </xf>
    <xf numFmtId="4" fontId="32" fillId="0" borderId="0" xfId="84" applyNumberFormat="1" applyFont="1" applyAlignment="1">
      <alignment horizontal="left"/>
    </xf>
    <xf numFmtId="0" fontId="33" fillId="0" borderId="0" xfId="84" applyFont="1"/>
    <xf numFmtId="4" fontId="33" fillId="0" borderId="0" xfId="85" applyNumberFormat="1" applyFont="1"/>
    <xf numFmtId="4" fontId="32" fillId="0" borderId="0" xfId="85" applyNumberFormat="1" applyFont="1"/>
    <xf numFmtId="167" fontId="33" fillId="0" borderId="0" xfId="85" applyFont="1"/>
    <xf numFmtId="0" fontId="32" fillId="0" borderId="0" xfId="84" applyFont="1" applyFill="1" applyBorder="1" applyAlignment="1" applyProtection="1">
      <alignment horizontal="left" vertical="center" wrapText="1"/>
    </xf>
    <xf numFmtId="177" fontId="32" fillId="0" borderId="0" xfId="84" applyNumberFormat="1" applyFont="1" applyFill="1" applyBorder="1" applyAlignment="1">
      <alignment horizontal="center" vertical="center"/>
    </xf>
    <xf numFmtId="0" fontId="33" fillId="0" borderId="0" xfId="84" applyFont="1" applyFill="1" applyBorder="1" applyAlignment="1" applyProtection="1">
      <alignment horizontal="left" vertical="center"/>
    </xf>
    <xf numFmtId="171" fontId="33" fillId="0" borderId="0" xfId="84" applyNumberFormat="1" applyFont="1" applyFill="1" applyBorder="1" applyAlignment="1" applyProtection="1">
      <alignment horizontal="right" vertical="center"/>
      <protection locked="0"/>
    </xf>
    <xf numFmtId="4" fontId="33" fillId="0" borderId="0" xfId="85" applyNumberFormat="1" applyFont="1" applyFill="1" applyAlignment="1">
      <alignment horizontal="right" vertical="center"/>
    </xf>
    <xf numFmtId="167" fontId="33" fillId="0" borderId="0" xfId="85" applyFont="1" applyFill="1" applyBorder="1" applyAlignment="1" applyProtection="1">
      <alignment horizontal="right" vertical="center"/>
      <protection locked="0"/>
    </xf>
    <xf numFmtId="0" fontId="33" fillId="0" borderId="0" xfId="84" applyFont="1" applyFill="1" applyBorder="1" applyAlignment="1" applyProtection="1">
      <alignment horizontal="right" vertical="center"/>
    </xf>
    <xf numFmtId="10" fontId="33" fillId="0" borderId="0" xfId="86" applyNumberFormat="1" applyFont="1" applyFill="1" applyAlignment="1">
      <alignment horizontal="right" vertical="center"/>
    </xf>
    <xf numFmtId="0" fontId="34" fillId="0" borderId="0" xfId="78" applyFont="1" applyFill="1" applyBorder="1" applyAlignment="1" applyProtection="1">
      <alignment horizontal="left" vertical="center"/>
    </xf>
    <xf numFmtId="172" fontId="34" fillId="0" borderId="0" xfId="78" applyNumberFormat="1" applyFont="1" applyFill="1" applyBorder="1" applyAlignment="1">
      <alignment horizontal="right" vertical="center"/>
    </xf>
    <xf numFmtId="164" fontId="32" fillId="0" borderId="0" xfId="79" applyNumberFormat="1" applyFont="1" applyFill="1" applyBorder="1" applyAlignment="1">
      <alignment vertical="center"/>
    </xf>
    <xf numFmtId="4" fontId="32" fillId="0" borderId="0" xfId="85" applyNumberFormat="1" applyFont="1" applyFill="1"/>
    <xf numFmtId="0" fontId="32" fillId="0" borderId="0" xfId="84" applyFont="1" applyFill="1" applyBorder="1" applyAlignment="1">
      <alignment vertical="center" wrapText="1"/>
    </xf>
    <xf numFmtId="0" fontId="32" fillId="0" borderId="0" xfId="84" applyFont="1" applyFill="1" applyBorder="1" applyAlignment="1">
      <alignment horizontal="right" vertical="center"/>
    </xf>
    <xf numFmtId="0" fontId="29" fillId="0" borderId="0" xfId="84" applyFill="1" applyBorder="1"/>
    <xf numFmtId="0" fontId="33" fillId="0" borderId="0" xfId="84" applyFont="1" applyFill="1" applyBorder="1" applyAlignment="1" applyProtection="1">
      <alignment horizontal="center" vertical="center"/>
    </xf>
    <xf numFmtId="4" fontId="33" fillId="0" borderId="0" xfId="84" applyNumberFormat="1" applyFont="1" applyFill="1" applyBorder="1" applyAlignment="1" applyProtection="1">
      <alignment vertical="center"/>
      <protection locked="0"/>
    </xf>
    <xf numFmtId="0" fontId="33" fillId="0" borderId="0" xfId="84" applyFont="1" applyFill="1" applyBorder="1"/>
    <xf numFmtId="0" fontId="32" fillId="0" borderId="0" xfId="84" applyFont="1" applyFill="1"/>
    <xf numFmtId="171" fontId="33" fillId="0" borderId="0" xfId="85" applyNumberFormat="1" applyFont="1" applyFill="1"/>
    <xf numFmtId="0" fontId="33" fillId="0" borderId="0" xfId="84" applyFont="1" applyFill="1" applyAlignment="1">
      <alignment horizontal="center"/>
    </xf>
    <xf numFmtId="172" fontId="33" fillId="0" borderId="0" xfId="85" applyNumberFormat="1" applyFont="1" applyFill="1"/>
    <xf numFmtId="4" fontId="33" fillId="0" borderId="0" xfId="85" applyNumberFormat="1" applyFont="1" applyFill="1"/>
    <xf numFmtId="177" fontId="32" fillId="0" borderId="0" xfId="84" applyNumberFormat="1" applyFont="1" applyFill="1" applyBorder="1" applyAlignment="1">
      <alignment horizontal="left" vertical="center"/>
    </xf>
    <xf numFmtId="178" fontId="32" fillId="0" borderId="0" xfId="84" applyNumberFormat="1" applyFont="1" applyFill="1" applyBorder="1" applyAlignment="1">
      <alignment vertical="center"/>
    </xf>
    <xf numFmtId="0" fontId="33" fillId="0" borderId="0" xfId="84" applyFont="1" applyFill="1"/>
    <xf numFmtId="183" fontId="33" fillId="0" borderId="0" xfId="84" applyNumberFormat="1" applyFont="1" applyFill="1" applyAlignment="1">
      <alignment horizontal="center"/>
    </xf>
    <xf numFmtId="170" fontId="33" fillId="0" borderId="0" xfId="85" applyNumberFormat="1" applyFont="1" applyFill="1"/>
    <xf numFmtId="39" fontId="33" fillId="0" borderId="0" xfId="85" applyNumberFormat="1" applyFont="1" applyFill="1"/>
    <xf numFmtId="172" fontId="33" fillId="0" borderId="0" xfId="84" applyNumberFormat="1" applyFont="1" applyFill="1"/>
    <xf numFmtId="172" fontId="32" fillId="0" borderId="0" xfId="85" applyNumberFormat="1" applyFont="1" applyFill="1"/>
    <xf numFmtId="2" fontId="33" fillId="0" borderId="0" xfId="84" applyNumberFormat="1" applyFont="1" applyFill="1" applyAlignment="1">
      <alignment horizontal="center"/>
    </xf>
    <xf numFmtId="4" fontId="33" fillId="0" borderId="0" xfId="59" applyNumberFormat="1" applyFont="1" applyFill="1" applyBorder="1" applyAlignment="1">
      <alignment horizontal="right" vertical="center"/>
    </xf>
    <xf numFmtId="4" fontId="32" fillId="0" borderId="0" xfId="85" applyNumberFormat="1" applyFont="1" applyFill="1" applyAlignment="1">
      <alignment horizontal="center"/>
    </xf>
    <xf numFmtId="0" fontId="33" fillId="0" borderId="0" xfId="84" applyFont="1" applyFill="1" applyAlignment="1">
      <alignment vertical="center" wrapText="1"/>
    </xf>
    <xf numFmtId="170" fontId="33" fillId="0" borderId="0" xfId="85" applyNumberFormat="1" applyFont="1" applyFill="1" applyAlignment="1">
      <alignment vertical="center"/>
    </xf>
    <xf numFmtId="0" fontId="33" fillId="0" borderId="0" xfId="84" applyFont="1" applyFill="1" applyAlignment="1">
      <alignment horizontal="center" vertical="center"/>
    </xf>
    <xf numFmtId="172" fontId="33" fillId="0" borderId="0" xfId="84" applyNumberFormat="1" applyFont="1" applyFill="1" applyAlignment="1">
      <alignment horizontal="right" vertical="center"/>
    </xf>
    <xf numFmtId="4" fontId="32" fillId="0" borderId="34" xfId="85" applyNumberFormat="1" applyFont="1" applyFill="1" applyBorder="1" applyAlignment="1">
      <alignment horizontal="center"/>
    </xf>
    <xf numFmtId="4" fontId="29" fillId="0" borderId="0" xfId="84" applyNumberFormat="1"/>
    <xf numFmtId="4" fontId="97" fillId="0" borderId="0" xfId="84" applyNumberFormat="1" applyFont="1"/>
    <xf numFmtId="4" fontId="88" fillId="43" borderId="54" xfId="85" applyNumberFormat="1" applyFont="1" applyFill="1" applyBorder="1" applyAlignment="1" applyProtection="1">
      <alignment horizontal="center" vertical="center"/>
    </xf>
    <xf numFmtId="4" fontId="88" fillId="42" borderId="54" xfId="85" applyNumberFormat="1" applyFont="1" applyFill="1" applyBorder="1" applyAlignment="1" applyProtection="1">
      <alignment horizontal="center" vertical="center"/>
    </xf>
    <xf numFmtId="39" fontId="89" fillId="42" borderId="55" xfId="85" applyNumberFormat="1" applyFont="1" applyFill="1" applyBorder="1" applyAlignment="1" applyProtection="1">
      <alignment horizontal="center" vertical="center"/>
    </xf>
    <xf numFmtId="4" fontId="88" fillId="42" borderId="51" xfId="85" applyNumberFormat="1" applyFont="1" applyFill="1" applyBorder="1" applyAlignment="1" applyProtection="1">
      <alignment horizontal="center" vertical="center"/>
    </xf>
    <xf numFmtId="39" fontId="89" fillId="42" borderId="52" xfId="85" applyNumberFormat="1" applyFont="1" applyFill="1" applyBorder="1" applyAlignment="1" applyProtection="1">
      <alignment horizontal="center" vertical="center"/>
    </xf>
    <xf numFmtId="39" fontId="89" fillId="42" borderId="58" xfId="85" applyNumberFormat="1" applyFont="1" applyFill="1" applyBorder="1" applyAlignment="1" applyProtection="1">
      <alignment horizontal="center" vertical="center"/>
    </xf>
    <xf numFmtId="166" fontId="0" fillId="0" borderId="0" xfId="88" applyFont="1"/>
    <xf numFmtId="167" fontId="0" fillId="0" borderId="0" xfId="85" applyFont="1"/>
    <xf numFmtId="0" fontId="88" fillId="42" borderId="49" xfId="84" applyFont="1" applyFill="1" applyBorder="1" applyAlignment="1">
      <alignment vertical="center"/>
    </xf>
    <xf numFmtId="185" fontId="89" fillId="42" borderId="61" xfId="85" applyNumberFormat="1" applyFont="1" applyFill="1" applyBorder="1" applyAlignment="1" applyProtection="1">
      <alignment horizontal="center" vertical="center"/>
    </xf>
    <xf numFmtId="185" fontId="89" fillId="42" borderId="48" xfId="85" applyNumberFormat="1" applyFont="1" applyFill="1" applyBorder="1" applyAlignment="1" applyProtection="1">
      <alignment horizontal="center" vertical="center"/>
    </xf>
    <xf numFmtId="0" fontId="37" fillId="0" borderId="0" xfId="84" applyFont="1" applyAlignment="1">
      <alignment vertical="center"/>
    </xf>
    <xf numFmtId="4" fontId="37" fillId="0" borderId="0" xfId="84" applyNumberFormat="1" applyFont="1" applyAlignment="1">
      <alignment vertical="center"/>
    </xf>
    <xf numFmtId="0" fontId="37" fillId="0" borderId="0" xfId="84" applyFont="1" applyAlignment="1">
      <alignment horizontal="center" vertical="center"/>
    </xf>
    <xf numFmtId="4" fontId="37" fillId="0" borderId="0" xfId="84" applyNumberFormat="1" applyFont="1" applyAlignment="1">
      <alignment horizontal="center" vertical="center"/>
    </xf>
    <xf numFmtId="4" fontId="107" fillId="0" borderId="0" xfId="84" applyNumberFormat="1" applyFont="1" applyAlignment="1">
      <alignment vertical="center"/>
    </xf>
    <xf numFmtId="0" fontId="29" fillId="0" borderId="0" xfId="84" applyFont="1" applyBorder="1"/>
    <xf numFmtId="0" fontId="109" fillId="0" borderId="0" xfId="84" applyFont="1"/>
    <xf numFmtId="0" fontId="86" fillId="0" borderId="0" xfId="84" applyFont="1"/>
    <xf numFmtId="0" fontId="86" fillId="0" borderId="34" xfId="84" applyFont="1" applyBorder="1" applyAlignment="1">
      <alignment horizontal="center"/>
    </xf>
    <xf numFmtId="0" fontId="29" fillId="0" borderId="34" xfId="84" applyBorder="1"/>
    <xf numFmtId="2" fontId="29" fillId="0" borderId="34" xfId="84" applyNumberFormat="1" applyBorder="1"/>
    <xf numFmtId="0" fontId="29" fillId="0" borderId="34" xfId="84" applyBorder="1" applyAlignment="1">
      <alignment horizontal="center"/>
    </xf>
    <xf numFmtId="0" fontId="29" fillId="32" borderId="34" xfId="84" applyFill="1" applyBorder="1" applyAlignment="1">
      <alignment horizontal="center"/>
    </xf>
    <xf numFmtId="2" fontId="29" fillId="0" borderId="34" xfId="84" applyNumberFormat="1" applyBorder="1" applyAlignment="1">
      <alignment horizontal="center"/>
    </xf>
    <xf numFmtId="2" fontId="29" fillId="0" borderId="0" xfId="84" applyNumberFormat="1"/>
    <xf numFmtId="0" fontId="97" fillId="0" borderId="34" xfId="84" applyFont="1" applyBorder="1"/>
    <xf numFmtId="4" fontId="86" fillId="0" borderId="34" xfId="84" applyNumberFormat="1" applyFont="1" applyBorder="1"/>
    <xf numFmtId="0" fontId="86" fillId="0" borderId="34" xfId="84" applyFont="1" applyBorder="1" applyAlignment="1">
      <alignment horizontal="right"/>
    </xf>
    <xf numFmtId="186" fontId="29" fillId="0" borderId="34" xfId="84" applyNumberFormat="1" applyBorder="1" applyAlignment="1">
      <alignment horizontal="left"/>
    </xf>
    <xf numFmtId="4" fontId="29" fillId="0" borderId="34" xfId="84" applyNumberFormat="1" applyBorder="1" applyAlignment="1">
      <alignment horizontal="center"/>
    </xf>
    <xf numFmtId="2" fontId="86" fillId="0" borderId="0" xfId="84" applyNumberFormat="1" applyFont="1" applyAlignment="1">
      <alignment horizontal="center"/>
    </xf>
    <xf numFmtId="2" fontId="86" fillId="32" borderId="34" xfId="84" applyNumberFormat="1" applyFont="1" applyFill="1" applyBorder="1" applyAlignment="1">
      <alignment horizontal="center"/>
    </xf>
    <xf numFmtId="2" fontId="29" fillId="32" borderId="34" xfId="84" applyNumberFormat="1" applyFill="1" applyBorder="1" applyAlignment="1">
      <alignment horizontal="center"/>
    </xf>
    <xf numFmtId="4" fontId="86" fillId="0" borderId="34" xfId="84" applyNumberFormat="1" applyFont="1" applyBorder="1" applyAlignment="1">
      <alignment horizontal="center"/>
    </xf>
    <xf numFmtId="0" fontId="86" fillId="0" borderId="0" xfId="84" applyFont="1" applyAlignment="1">
      <alignment horizontal="center"/>
    </xf>
    <xf numFmtId="4" fontId="86" fillId="0" borderId="0" xfId="84" applyNumberFormat="1" applyFont="1" applyAlignment="1">
      <alignment horizontal="center"/>
    </xf>
    <xf numFmtId="0" fontId="97" fillId="0" borderId="0" xfId="84" applyFont="1" applyAlignment="1">
      <alignment horizontal="center"/>
    </xf>
    <xf numFmtId="0" fontId="110" fillId="0" borderId="34" xfId="84" applyFont="1" applyBorder="1"/>
    <xf numFmtId="2" fontId="97" fillId="0" borderId="68" xfId="84" applyNumberFormat="1" applyFont="1" applyFill="1" applyBorder="1"/>
    <xf numFmtId="0" fontId="97" fillId="0" borderId="69" xfId="84" applyFont="1" applyFill="1" applyBorder="1"/>
    <xf numFmtId="0" fontId="29" fillId="0" borderId="0" xfId="84" applyBorder="1"/>
    <xf numFmtId="4" fontId="97" fillId="0" borderId="68" xfId="84" applyNumberFormat="1" applyFont="1" applyBorder="1"/>
    <xf numFmtId="0" fontId="29" fillId="32" borderId="34" xfId="84" applyFill="1" applyBorder="1"/>
    <xf numFmtId="0" fontId="97" fillId="32" borderId="34" xfId="84" applyFont="1" applyFill="1" applyBorder="1"/>
    <xf numFmtId="167" fontId="0" fillId="32" borderId="34" xfId="85" applyFont="1" applyFill="1" applyBorder="1"/>
    <xf numFmtId="4" fontId="97" fillId="32" borderId="34" xfId="84" applyNumberFormat="1" applyFont="1" applyFill="1" applyBorder="1"/>
    <xf numFmtId="0" fontId="29" fillId="32" borderId="0" xfId="84" applyFill="1"/>
    <xf numFmtId="0" fontId="97" fillId="0" borderId="68" xfId="84" applyFont="1" applyBorder="1"/>
    <xf numFmtId="0" fontId="29" fillId="44" borderId="34" xfId="84" applyFill="1" applyBorder="1"/>
    <xf numFmtId="4" fontId="29" fillId="44" borderId="34" xfId="84" applyNumberFormat="1" applyFill="1" applyBorder="1"/>
    <xf numFmtId="167" fontId="0" fillId="44" borderId="34" xfId="85" applyFont="1" applyFill="1" applyBorder="1"/>
    <xf numFmtId="0" fontId="29" fillId="44" borderId="0" xfId="84" applyFill="1"/>
    <xf numFmtId="4" fontId="29" fillId="44" borderId="0" xfId="84" applyNumberFormat="1" applyFill="1"/>
    <xf numFmtId="167" fontId="0" fillId="0" borderId="34" xfId="85" applyFont="1" applyBorder="1"/>
    <xf numFmtId="0" fontId="29" fillId="44" borderId="34" xfId="84" applyFont="1" applyFill="1" applyBorder="1"/>
    <xf numFmtId="187" fontId="0" fillId="44" borderId="34" xfId="86" applyNumberFormat="1" applyFont="1" applyFill="1" applyBorder="1"/>
    <xf numFmtId="9" fontId="0" fillId="44" borderId="34" xfId="86" applyFont="1" applyFill="1" applyBorder="1"/>
    <xf numFmtId="4" fontId="29" fillId="0" borderId="34" xfId="84" applyNumberFormat="1" applyBorder="1"/>
    <xf numFmtId="167" fontId="29" fillId="0" borderId="34" xfId="84" applyNumberFormat="1" applyBorder="1"/>
    <xf numFmtId="9" fontId="29" fillId="44" borderId="34" xfId="84" applyNumberFormat="1" applyFill="1" applyBorder="1"/>
    <xf numFmtId="9" fontId="0" fillId="0" borderId="34" xfId="86" applyFont="1" applyBorder="1"/>
    <xf numFmtId="10" fontId="0" fillId="44" borderId="34" xfId="86" applyNumberFormat="1" applyFont="1" applyFill="1" applyBorder="1"/>
    <xf numFmtId="172" fontId="32" fillId="0" borderId="0" xfId="0" applyNumberFormat="1" applyFont="1" applyFill="1"/>
    <xf numFmtId="170" fontId="32" fillId="0" borderId="0" xfId="32" applyNumberFormat="1" applyFont="1" applyFill="1"/>
    <xf numFmtId="0" fontId="32" fillId="0" borderId="0" xfId="0" applyFont="1" applyFill="1" applyAlignment="1">
      <alignment horizontal="left"/>
    </xf>
    <xf numFmtId="172" fontId="76" fillId="0" borderId="0" xfId="0" applyNumberFormat="1" applyFont="1" applyFill="1" applyAlignment="1">
      <alignment horizontal="center"/>
    </xf>
    <xf numFmtId="172" fontId="33" fillId="0" borderId="0" xfId="32" applyNumberFormat="1" applyFont="1" applyFill="1" applyAlignment="1"/>
    <xf numFmtId="172" fontId="33" fillId="0" borderId="0" xfId="0" applyNumberFormat="1" applyFont="1" applyFill="1" applyAlignment="1"/>
    <xf numFmtId="170" fontId="33" fillId="0" borderId="0" xfId="32" applyNumberFormat="1" applyFont="1" applyFill="1" applyAlignment="1">
      <alignment horizontal="center"/>
    </xf>
    <xf numFmtId="171" fontId="33" fillId="0" borderId="0" xfId="32" applyNumberFormat="1" applyFont="1" applyFill="1"/>
    <xf numFmtId="0" fontId="32" fillId="0" borderId="0" xfId="0" applyFont="1" applyFill="1" applyBorder="1" applyAlignment="1">
      <alignment vertical="center"/>
    </xf>
    <xf numFmtId="4" fontId="32" fillId="0" borderId="0" xfId="0" applyNumberFormat="1" applyFont="1" applyFill="1" applyBorder="1" applyAlignment="1">
      <alignment vertical="center"/>
    </xf>
    <xf numFmtId="176" fontId="32" fillId="0" borderId="0" xfId="77" applyFont="1" applyFill="1" applyBorder="1" applyAlignment="1" applyProtection="1">
      <alignment vertical="center"/>
    </xf>
    <xf numFmtId="4" fontId="32" fillId="0" borderId="0" xfId="32" applyNumberFormat="1" applyFont="1" applyFill="1" applyAlignment="1">
      <alignment horizontal="left"/>
    </xf>
    <xf numFmtId="4" fontId="33" fillId="0" borderId="0" xfId="58" applyNumberFormat="1" applyFont="1" applyFill="1" applyBorder="1" applyAlignment="1">
      <alignment horizontal="right" vertical="center"/>
    </xf>
    <xf numFmtId="177" fontId="32" fillId="0" borderId="0" xfId="0" applyNumberFormat="1" applyFont="1" applyFill="1" applyBorder="1" applyAlignment="1">
      <alignment horizontal="left" vertical="center"/>
    </xf>
    <xf numFmtId="178" fontId="32" fillId="0" borderId="0" xfId="0" applyNumberFormat="1" applyFont="1" applyFill="1" applyBorder="1" applyAlignment="1">
      <alignment vertical="center"/>
    </xf>
    <xf numFmtId="0" fontId="33" fillId="0" borderId="0" xfId="0" applyFont="1" applyFill="1" applyAlignment="1">
      <alignment vertical="center" wrapText="1"/>
    </xf>
    <xf numFmtId="170" fontId="33" fillId="0" borderId="0" xfId="32" applyNumberFormat="1" applyFont="1" applyFill="1" applyAlignment="1">
      <alignment vertical="center"/>
    </xf>
    <xf numFmtId="0" fontId="33" fillId="0" borderId="0" xfId="0" applyFont="1" applyFill="1" applyAlignment="1">
      <alignment horizontal="center" vertical="center"/>
    </xf>
    <xf numFmtId="172" fontId="33" fillId="0" borderId="0" xfId="0" applyNumberFormat="1" applyFont="1" applyFill="1" applyAlignment="1">
      <alignment horizontal="right" vertical="center"/>
    </xf>
    <xf numFmtId="172" fontId="33" fillId="0" borderId="0" xfId="0" applyNumberFormat="1" applyFont="1" applyFill="1" applyBorder="1"/>
    <xf numFmtId="0" fontId="33" fillId="0" borderId="0" xfId="0" applyFont="1" applyFill="1" applyBorder="1" applyAlignment="1">
      <alignment vertical="center" wrapText="1"/>
    </xf>
    <xf numFmtId="170" fontId="33" fillId="0" borderId="0" xfId="32" applyNumberFormat="1" applyFont="1" applyFill="1" applyBorder="1" applyAlignment="1">
      <alignment vertical="center"/>
    </xf>
    <xf numFmtId="0" fontId="33" fillId="0" borderId="0" xfId="0" applyFont="1" applyFill="1" applyBorder="1" applyAlignment="1">
      <alignment horizontal="center" vertical="center"/>
    </xf>
    <xf numFmtId="172" fontId="33" fillId="0" borderId="0" xfId="0" applyNumberFormat="1" applyFont="1" applyFill="1" applyBorder="1" applyAlignment="1">
      <alignment horizontal="right" vertical="center"/>
    </xf>
    <xf numFmtId="0" fontId="0" fillId="0" borderId="0" xfId="0" applyFill="1"/>
    <xf numFmtId="39" fontId="86" fillId="0" borderId="0" xfId="78" applyNumberFormat="1" applyFont="1" applyFill="1" applyBorder="1" applyAlignment="1" applyProtection="1">
      <alignment horizontal="right" vertical="center"/>
    </xf>
    <xf numFmtId="0" fontId="32" fillId="0" borderId="0" xfId="80" applyFont="1" applyFill="1" applyBorder="1" applyAlignment="1" applyProtection="1">
      <alignment horizontal="left" vertical="center"/>
    </xf>
    <xf numFmtId="0" fontId="32" fillId="0" borderId="0" xfId="80" applyFont="1" applyFill="1" applyBorder="1" applyAlignment="1">
      <alignment horizontal="right" vertical="center"/>
    </xf>
    <xf numFmtId="0" fontId="33" fillId="0" borderId="0" xfId="80" applyFont="1" applyFill="1" applyBorder="1" applyAlignment="1">
      <alignment vertical="center"/>
    </xf>
    <xf numFmtId="0" fontId="32" fillId="0" borderId="0" xfId="0" applyFont="1" applyFill="1" applyBorder="1" applyAlignment="1" applyProtection="1">
      <alignment horizontal="left" vertical="center" wrapText="1"/>
    </xf>
    <xf numFmtId="177" fontId="32" fillId="0" borderId="0" xfId="0" applyNumberFormat="1" applyFont="1" applyFill="1" applyBorder="1" applyAlignment="1">
      <alignment horizontal="center" vertical="center"/>
    </xf>
    <xf numFmtId="9" fontId="33" fillId="0" borderId="0" xfId="66" applyFont="1" applyFill="1" applyBorder="1" applyAlignment="1" applyProtection="1">
      <alignment horizontal="right" vertical="center"/>
      <protection locked="0"/>
    </xf>
    <xf numFmtId="0" fontId="65" fillId="0" borderId="34" xfId="0" applyFont="1" applyFill="1" applyBorder="1" applyAlignment="1">
      <alignment horizontal="left" vertical="center"/>
    </xf>
    <xf numFmtId="172" fontId="64" fillId="0" borderId="34" xfId="0" applyNumberFormat="1" applyFont="1" applyFill="1" applyBorder="1" applyAlignment="1">
      <alignment vertical="center"/>
    </xf>
    <xf numFmtId="0" fontId="33" fillId="0" borderId="0" xfId="0" applyFont="1" applyFill="1" applyBorder="1" applyAlignment="1">
      <alignment vertical="center"/>
    </xf>
    <xf numFmtId="164" fontId="32" fillId="0" borderId="34" xfId="79" applyNumberFormat="1" applyFont="1" applyFill="1" applyBorder="1" applyAlignment="1">
      <alignment vertical="center"/>
    </xf>
    <xf numFmtId="166" fontId="65" fillId="0" borderId="34" xfId="79" applyFont="1" applyFill="1" applyBorder="1" applyAlignment="1">
      <alignment vertical="center"/>
    </xf>
    <xf numFmtId="0" fontId="65" fillId="0" borderId="34" xfId="0" applyFont="1" applyFill="1" applyBorder="1" applyAlignment="1">
      <alignment horizontal="right" vertical="center"/>
    </xf>
    <xf numFmtId="179" fontId="32" fillId="0" borderId="36" xfId="81" applyNumberFormat="1" applyFont="1" applyFill="1" applyBorder="1" applyAlignment="1">
      <alignment horizontal="center" vertical="center"/>
    </xf>
    <xf numFmtId="0" fontId="33" fillId="0" borderId="34" xfId="0" applyFont="1" applyFill="1" applyBorder="1" applyAlignment="1" applyProtection="1">
      <alignment horizontal="left" vertical="center"/>
    </xf>
    <xf numFmtId="171" fontId="33" fillId="0" borderId="34" xfId="0" applyNumberFormat="1" applyFont="1" applyFill="1" applyBorder="1" applyAlignment="1" applyProtection="1">
      <alignment horizontal="right" vertical="center"/>
      <protection locked="0"/>
    </xf>
    <xf numFmtId="0" fontId="33" fillId="0" borderId="34" xfId="0" applyFont="1" applyFill="1" applyBorder="1" applyAlignment="1" applyProtection="1">
      <alignment horizontal="center" vertical="center"/>
    </xf>
    <xf numFmtId="4" fontId="33" fillId="0" borderId="34" xfId="0" applyNumberFormat="1" applyFont="1" applyFill="1" applyBorder="1" applyAlignment="1" applyProtection="1">
      <alignment vertical="center"/>
      <protection locked="0"/>
    </xf>
    <xf numFmtId="176" fontId="33" fillId="0" borderId="34" xfId="77" applyFont="1" applyFill="1" applyBorder="1" applyAlignment="1" applyProtection="1">
      <alignment vertical="center"/>
    </xf>
    <xf numFmtId="0" fontId="34" fillId="0" borderId="0" xfId="78" applyFont="1" applyFill="1" applyBorder="1" applyAlignment="1">
      <alignment horizontal="center" vertical="center"/>
    </xf>
    <xf numFmtId="164" fontId="65" fillId="0" borderId="34" xfId="79" applyNumberFormat="1" applyFont="1" applyFill="1" applyBorder="1" applyAlignment="1">
      <alignment vertical="center"/>
    </xf>
    <xf numFmtId="0" fontId="32" fillId="0" borderId="34" xfId="0" applyFont="1" applyFill="1" applyBorder="1" applyAlignment="1">
      <alignment vertical="center" wrapText="1"/>
    </xf>
    <xf numFmtId="164" fontId="32" fillId="0" borderId="35" xfId="79" applyNumberFormat="1" applyFont="1" applyFill="1" applyBorder="1" applyAlignment="1">
      <alignment vertical="center"/>
    </xf>
    <xf numFmtId="166" fontId="32" fillId="0" borderId="34" xfId="79" applyFont="1" applyFill="1" applyBorder="1" applyAlignment="1">
      <alignment vertical="center"/>
    </xf>
    <xf numFmtId="0" fontId="34" fillId="0" borderId="35" xfId="78" applyFont="1" applyFill="1" applyBorder="1" applyAlignment="1" applyProtection="1">
      <alignment horizontal="left" vertical="center"/>
    </xf>
    <xf numFmtId="2" fontId="34" fillId="0" borderId="34" xfId="78" applyNumberFormat="1" applyFont="1" applyFill="1" applyBorder="1" applyAlignment="1">
      <alignment horizontal="right" vertical="center"/>
    </xf>
    <xf numFmtId="0" fontId="34" fillId="0" borderId="34" xfId="78" applyFont="1" applyFill="1" applyBorder="1" applyAlignment="1">
      <alignment horizontal="center" vertical="center"/>
    </xf>
    <xf numFmtId="4" fontId="34" fillId="0" borderId="34" xfId="78" applyNumberFormat="1" applyFont="1" applyFill="1" applyBorder="1" applyAlignment="1">
      <alignment vertical="center"/>
    </xf>
    <xf numFmtId="4" fontId="34" fillId="0" borderId="34" xfId="78" applyNumberFormat="1" applyFont="1" applyFill="1" applyBorder="1" applyAlignment="1">
      <alignment horizontal="right" vertical="center"/>
    </xf>
    <xf numFmtId="4" fontId="33" fillId="0" borderId="0" xfId="32" applyNumberFormat="1" applyFont="1" applyFill="1" applyAlignment="1">
      <alignment horizontal="left"/>
    </xf>
    <xf numFmtId="4" fontId="33" fillId="0" borderId="34" xfId="0" applyNumberFormat="1" applyFont="1" applyFill="1" applyBorder="1" applyAlignment="1" applyProtection="1">
      <alignment horizontal="right" vertical="center"/>
      <protection locked="0"/>
    </xf>
    <xf numFmtId="0" fontId="32" fillId="0" borderId="0" xfId="0" applyFont="1" applyFill="1" applyBorder="1"/>
    <xf numFmtId="170" fontId="33" fillId="0" borderId="0" xfId="32" applyNumberFormat="1" applyFont="1" applyFill="1" applyBorder="1" applyAlignment="1" applyProtection="1"/>
    <xf numFmtId="0" fontId="33" fillId="0" borderId="0" xfId="0" applyFont="1" applyFill="1" applyBorder="1" applyAlignment="1">
      <alignment horizontal="center"/>
    </xf>
    <xf numFmtId="180" fontId="33" fillId="0" borderId="0" xfId="0" applyNumberFormat="1" applyFont="1" applyFill="1" applyBorder="1"/>
    <xf numFmtId="167" fontId="33" fillId="0" borderId="0" xfId="32" applyFont="1" applyFill="1" applyBorder="1" applyAlignment="1" applyProtection="1"/>
    <xf numFmtId="167" fontId="32" fillId="0" borderId="0" xfId="32" applyFont="1" applyFill="1" applyBorder="1" applyAlignment="1" applyProtection="1"/>
    <xf numFmtId="0" fontId="33" fillId="0" borderId="37" xfId="0" applyFont="1" applyFill="1" applyBorder="1"/>
    <xf numFmtId="0" fontId="32" fillId="46" borderId="25" xfId="0" applyFont="1" applyFill="1" applyBorder="1" applyAlignment="1">
      <alignment horizontal="center"/>
    </xf>
    <xf numFmtId="170" fontId="32" fillId="46" borderId="27" xfId="32" applyNumberFormat="1" applyFont="1" applyFill="1" applyBorder="1" applyAlignment="1">
      <alignment horizontal="center"/>
    </xf>
    <xf numFmtId="0" fontId="32" fillId="46" borderId="27" xfId="0" applyFont="1" applyFill="1" applyBorder="1" applyAlignment="1">
      <alignment horizontal="center"/>
    </xf>
    <xf numFmtId="172" fontId="32" fillId="46" borderId="27" xfId="32" applyNumberFormat="1" applyFont="1" applyFill="1" applyBorder="1" applyAlignment="1">
      <alignment horizontal="center"/>
    </xf>
    <xf numFmtId="4" fontId="32" fillId="46" borderId="27" xfId="32" applyNumberFormat="1" applyFont="1" applyFill="1" applyBorder="1" applyAlignment="1">
      <alignment horizontal="center"/>
    </xf>
    <xf numFmtId="4" fontId="32" fillId="46" borderId="29" xfId="32" applyNumberFormat="1" applyFont="1" applyFill="1" applyBorder="1" applyAlignment="1">
      <alignment horizontal="center"/>
    </xf>
    <xf numFmtId="0" fontId="41" fillId="5" borderId="2" xfId="163" applyFont="1" applyFill="1" applyAlignment="1">
      <alignment horizontal="center" vertical="center"/>
    </xf>
    <xf numFmtId="0" fontId="112" fillId="38" borderId="2" xfId="4" applyFont="1" applyFill="1" applyBorder="1" applyAlignment="1">
      <alignment horizontal="center"/>
    </xf>
    <xf numFmtId="0" fontId="41" fillId="5" borderId="2" xfId="163" applyFont="1" applyFill="1" applyAlignment="1">
      <alignment horizontal="center"/>
    </xf>
    <xf numFmtId="0" fontId="41" fillId="5" borderId="2" xfId="163" applyFont="1" applyFill="1" applyAlignment="1">
      <alignment horizontal="left" wrapText="1"/>
    </xf>
    <xf numFmtId="0" fontId="41" fillId="5" borderId="33" xfId="163" applyFont="1" applyFill="1" applyBorder="1" applyAlignment="1">
      <alignment horizontal="center"/>
    </xf>
    <xf numFmtId="0" fontId="41" fillId="0" borderId="0" xfId="0" applyFont="1" applyFill="1" applyBorder="1" applyAlignment="1">
      <alignment horizontal="center"/>
    </xf>
    <xf numFmtId="0" fontId="35" fillId="6" borderId="2" xfId="3" applyFont="1" applyBorder="1" applyAlignment="1">
      <alignment horizontal="center"/>
    </xf>
    <xf numFmtId="0" fontId="28" fillId="0" borderId="34" xfId="84" applyFont="1" applyBorder="1"/>
    <xf numFmtId="0" fontId="28" fillId="0" borderId="0" xfId="84" applyFont="1"/>
    <xf numFmtId="170" fontId="32" fillId="48" borderId="0" xfId="32" applyNumberFormat="1" applyFont="1" applyFill="1" applyAlignment="1">
      <alignment horizontal="center"/>
    </xf>
    <xf numFmtId="0" fontId="32" fillId="48" borderId="0" xfId="0" applyFont="1" applyFill="1" applyAlignment="1">
      <alignment horizontal="center"/>
    </xf>
    <xf numFmtId="172" fontId="33" fillId="48" borderId="0" xfId="0" applyNumberFormat="1" applyFont="1" applyFill="1"/>
    <xf numFmtId="4" fontId="33" fillId="48" borderId="0" xfId="32" applyNumberFormat="1" applyFont="1" applyFill="1"/>
    <xf numFmtId="4" fontId="32" fillId="48" borderId="0" xfId="32" applyNumberFormat="1" applyFont="1" applyFill="1"/>
    <xf numFmtId="170" fontId="33" fillId="48" borderId="0" xfId="32" applyNumberFormat="1" applyFont="1" applyFill="1"/>
    <xf numFmtId="0" fontId="33" fillId="48" borderId="0" xfId="0" applyFont="1" applyFill="1" applyAlignment="1">
      <alignment horizontal="center"/>
    </xf>
    <xf numFmtId="0" fontId="33" fillId="48" borderId="0" xfId="0" applyFont="1" applyFill="1"/>
    <xf numFmtId="0" fontId="32" fillId="48" borderId="0" xfId="0" applyFont="1" applyFill="1"/>
    <xf numFmtId="4" fontId="32" fillId="48" borderId="0" xfId="32" applyNumberFormat="1" applyFont="1" applyFill="1" applyAlignment="1">
      <alignment horizontal="center"/>
    </xf>
    <xf numFmtId="4" fontId="32" fillId="48" borderId="0" xfId="0" applyNumberFormat="1" applyFont="1" applyFill="1" applyAlignment="1">
      <alignment horizontal="left"/>
    </xf>
    <xf numFmtId="167" fontId="33" fillId="48" borderId="0" xfId="32" applyFont="1" applyFill="1"/>
    <xf numFmtId="0" fontId="33" fillId="48" borderId="0" xfId="0" applyFont="1" applyFill="1" applyBorder="1" applyAlignment="1" applyProtection="1">
      <alignment horizontal="left" vertical="center"/>
    </xf>
    <xf numFmtId="171" fontId="33" fillId="48" borderId="0" xfId="0" applyNumberFormat="1" applyFont="1" applyFill="1" applyBorder="1" applyAlignment="1" applyProtection="1">
      <alignment horizontal="right" vertical="center"/>
      <protection locked="0"/>
    </xf>
    <xf numFmtId="4" fontId="33" fillId="48" borderId="0" xfId="0" applyNumberFormat="1" applyFont="1" applyFill="1" applyBorder="1" applyAlignment="1" applyProtection="1">
      <alignment vertical="center"/>
      <protection locked="0"/>
    </xf>
    <xf numFmtId="4" fontId="33" fillId="48" borderId="0" xfId="0" applyNumberFormat="1" applyFont="1" applyFill="1"/>
    <xf numFmtId="172" fontId="33" fillId="48" borderId="0" xfId="32" applyNumberFormat="1" applyFont="1" applyFill="1"/>
    <xf numFmtId="0" fontId="33" fillId="48" borderId="0" xfId="0" applyFont="1" applyFill="1" applyAlignment="1">
      <alignment horizontal="left" wrapText="1"/>
    </xf>
    <xf numFmtId="0" fontId="97" fillId="48" borderId="0" xfId="84" applyFont="1" applyFill="1"/>
    <xf numFmtId="2" fontId="37" fillId="0" borderId="0" xfId="84" applyNumberFormat="1" applyFont="1" applyAlignment="1">
      <alignment horizontal="right" vertical="center" wrapText="1"/>
    </xf>
    <xf numFmtId="0" fontId="27" fillId="0" borderId="34" xfId="84" applyFont="1" applyBorder="1"/>
    <xf numFmtId="0" fontId="26" fillId="0" borderId="34" xfId="84" applyFont="1" applyBorder="1"/>
    <xf numFmtId="0" fontId="25" fillId="0" borderId="0" xfId="84" applyFont="1"/>
    <xf numFmtId="0" fontId="25" fillId="0" borderId="34" xfId="84" applyFont="1" applyBorder="1"/>
    <xf numFmtId="0" fontId="32" fillId="49" borderId="0" xfId="0" applyFont="1" applyFill="1"/>
    <xf numFmtId="170" fontId="32" fillId="49" borderId="0" xfId="32" applyNumberFormat="1" applyFont="1" applyFill="1" applyAlignment="1">
      <alignment horizontal="center"/>
    </xf>
    <xf numFmtId="0" fontId="32" fillId="49" borderId="0" xfId="0" applyFont="1" applyFill="1" applyAlignment="1">
      <alignment horizontal="center"/>
    </xf>
    <xf numFmtId="172" fontId="33" fillId="49" borderId="0" xfId="0" applyNumberFormat="1" applyFont="1" applyFill="1"/>
    <xf numFmtId="4" fontId="32" fillId="49" borderId="0" xfId="32" applyNumberFormat="1" applyFont="1" applyFill="1" applyAlignment="1">
      <alignment horizontal="center"/>
    </xf>
    <xf numFmtId="4" fontId="32" fillId="49" borderId="0" xfId="0" applyNumberFormat="1" applyFont="1" applyFill="1" applyAlignment="1">
      <alignment horizontal="left"/>
    </xf>
    <xf numFmtId="0" fontId="33" fillId="49" borderId="0" xfId="0" applyFont="1" applyFill="1"/>
    <xf numFmtId="170" fontId="33" fillId="49" borderId="0" xfId="32" applyNumberFormat="1" applyFont="1" applyFill="1"/>
    <xf numFmtId="0" fontId="33" fillId="49" borderId="0" xfId="0" applyFont="1" applyFill="1" applyAlignment="1">
      <alignment horizontal="center"/>
    </xf>
    <xf numFmtId="4" fontId="33" fillId="49" borderId="0" xfId="32" applyNumberFormat="1" applyFont="1" applyFill="1"/>
    <xf numFmtId="4" fontId="32" fillId="49" borderId="0" xfId="32" applyNumberFormat="1" applyFont="1" applyFill="1"/>
    <xf numFmtId="167" fontId="33" fillId="49" borderId="0" xfId="32" applyFont="1" applyFill="1"/>
    <xf numFmtId="171" fontId="33" fillId="49" borderId="0" xfId="32" applyNumberFormat="1" applyFont="1" applyFill="1"/>
    <xf numFmtId="172" fontId="33" fillId="49" borderId="0" xfId="32" applyNumberFormat="1" applyFont="1" applyFill="1"/>
    <xf numFmtId="171" fontId="33" fillId="48" borderId="0" xfId="32" applyNumberFormat="1" applyFont="1" applyFill="1"/>
    <xf numFmtId="0" fontId="24" fillId="0" borderId="34" xfId="84" applyFont="1" applyBorder="1"/>
    <xf numFmtId="0" fontId="32" fillId="36" borderId="0" xfId="0" applyFont="1" applyFill="1"/>
    <xf numFmtId="170" fontId="33" fillId="36" borderId="0" xfId="32" applyNumberFormat="1" applyFont="1" applyFill="1"/>
    <xf numFmtId="0" fontId="33" fillId="36" borderId="0" xfId="0" applyFont="1" applyFill="1" applyAlignment="1">
      <alignment horizontal="center"/>
    </xf>
    <xf numFmtId="172" fontId="33" fillId="36" borderId="0" xfId="0" applyNumberFormat="1" applyFont="1" applyFill="1"/>
    <xf numFmtId="4" fontId="32" fillId="36" borderId="0" xfId="32" applyNumberFormat="1" applyFont="1" applyFill="1" applyAlignment="1">
      <alignment horizontal="center"/>
    </xf>
    <xf numFmtId="4" fontId="32" fillId="36" borderId="0" xfId="0" applyNumberFormat="1" applyFont="1" applyFill="1" applyAlignment="1">
      <alignment horizontal="left"/>
    </xf>
    <xf numFmtId="0" fontId="33" fillId="36" borderId="0" xfId="0" applyFont="1" applyFill="1"/>
    <xf numFmtId="4" fontId="33" fillId="36" borderId="0" xfId="32" applyNumberFormat="1" applyFont="1" applyFill="1"/>
    <xf numFmtId="4" fontId="32" fillId="36" borderId="0" xfId="32" applyNumberFormat="1" applyFont="1" applyFill="1"/>
    <xf numFmtId="167" fontId="33" fillId="36" borderId="0" xfId="32" applyFont="1" applyFill="1"/>
    <xf numFmtId="170" fontId="32" fillId="36" borderId="0" xfId="32" applyNumberFormat="1" applyFont="1" applyFill="1" applyAlignment="1">
      <alignment horizontal="center"/>
    </xf>
    <xf numFmtId="0" fontId="32" fillId="36" borderId="0" xfId="0" applyFont="1" applyFill="1" applyAlignment="1">
      <alignment horizontal="center"/>
    </xf>
    <xf numFmtId="0" fontId="32" fillId="36" borderId="0" xfId="0" applyFont="1" applyFill="1" applyAlignment="1">
      <alignment horizontal="left"/>
    </xf>
    <xf numFmtId="0" fontId="33" fillId="36" borderId="0" xfId="0" applyFont="1" applyFill="1" applyAlignment="1">
      <alignment horizontal="left"/>
    </xf>
    <xf numFmtId="0" fontId="33" fillId="36" borderId="0" xfId="0" applyFont="1" applyFill="1" applyBorder="1" applyAlignment="1" applyProtection="1">
      <alignment horizontal="left" vertical="center"/>
    </xf>
    <xf numFmtId="171" fontId="33" fillId="36" borderId="0" xfId="0" applyNumberFormat="1" applyFont="1" applyFill="1" applyBorder="1" applyAlignment="1" applyProtection="1">
      <alignment horizontal="right" vertical="center"/>
      <protection locked="0"/>
    </xf>
    <xf numFmtId="4" fontId="33" fillId="36" borderId="0" xfId="0" applyNumberFormat="1" applyFont="1" applyFill="1" applyBorder="1" applyAlignment="1" applyProtection="1">
      <alignment vertical="center"/>
      <protection locked="0"/>
    </xf>
    <xf numFmtId="4" fontId="33" fillId="36" borderId="0" xfId="0" applyNumberFormat="1" applyFont="1" applyFill="1"/>
    <xf numFmtId="172" fontId="33" fillId="36" borderId="0" xfId="32" applyNumberFormat="1" applyFont="1" applyFill="1"/>
    <xf numFmtId="171" fontId="33" fillId="36" borderId="0" xfId="32" applyNumberFormat="1" applyFont="1" applyFill="1"/>
    <xf numFmtId="0" fontId="23" fillId="0" borderId="34" xfId="91" applyBorder="1"/>
    <xf numFmtId="0" fontId="23" fillId="33" borderId="34" xfId="91" applyFill="1" applyBorder="1"/>
    <xf numFmtId="0" fontId="22" fillId="0" borderId="0" xfId="84" applyFont="1"/>
    <xf numFmtId="0" fontId="22" fillId="0" borderId="34" xfId="84" applyFont="1" applyBorder="1"/>
    <xf numFmtId="4" fontId="29" fillId="45" borderId="34" xfId="84" applyNumberFormat="1" applyFill="1" applyBorder="1" applyAlignment="1">
      <alignment horizontal="center"/>
    </xf>
    <xf numFmtId="0" fontId="29" fillId="45" borderId="34" xfId="84" applyFill="1" applyBorder="1" applyAlignment="1">
      <alignment horizontal="center"/>
    </xf>
    <xf numFmtId="4" fontId="23" fillId="50" borderId="34" xfId="91" applyNumberFormat="1" applyFill="1" applyBorder="1"/>
    <xf numFmtId="0" fontId="23" fillId="50" borderId="34" xfId="91" applyFill="1" applyBorder="1"/>
    <xf numFmtId="0" fontId="21" fillId="33" borderId="0" xfId="92" applyFill="1"/>
    <xf numFmtId="0" fontId="21" fillId="0" borderId="0" xfId="92"/>
    <xf numFmtId="2" fontId="101" fillId="43" borderId="0" xfId="92" applyNumberFormat="1" applyFont="1" applyFill="1" applyAlignment="1">
      <alignment horizontal="right" vertical="top"/>
    </xf>
    <xf numFmtId="4" fontId="113" fillId="43" borderId="0" xfId="92" applyNumberFormat="1" applyFont="1" applyFill="1" applyAlignment="1">
      <alignment vertical="center"/>
    </xf>
    <xf numFmtId="4" fontId="114" fillId="43" borderId="0" xfId="92" applyNumberFormat="1" applyFont="1" applyFill="1" applyAlignment="1">
      <alignment vertical="center"/>
    </xf>
    <xf numFmtId="2" fontId="37" fillId="45" borderId="0" xfId="92" applyNumberFormat="1" applyFont="1" applyFill="1" applyAlignment="1">
      <alignment horizontal="right" vertical="center" wrapText="1"/>
    </xf>
    <xf numFmtId="0" fontId="37" fillId="45" borderId="0" xfId="92" applyFont="1" applyFill="1" applyAlignment="1">
      <alignment vertical="center"/>
    </xf>
    <xf numFmtId="4" fontId="37" fillId="45" borderId="0" xfId="92" applyNumberFormat="1" applyFont="1" applyFill="1" applyAlignment="1">
      <alignment vertical="center"/>
    </xf>
    <xf numFmtId="0" fontId="37" fillId="45" borderId="0" xfId="92" applyFont="1" applyFill="1" applyAlignment="1">
      <alignment horizontal="center" vertical="center"/>
    </xf>
    <xf numFmtId="4" fontId="37" fillId="45" borderId="0" xfId="92" applyNumberFormat="1" applyFont="1" applyFill="1" applyAlignment="1">
      <alignment horizontal="center" vertical="center"/>
    </xf>
    <xf numFmtId="4" fontId="107" fillId="45" borderId="0" xfId="92" applyNumberFormat="1" applyFont="1" applyFill="1" applyAlignment="1">
      <alignment vertical="center"/>
    </xf>
    <xf numFmtId="2" fontId="102" fillId="42" borderId="0" xfId="92" applyNumberFormat="1" applyFont="1" applyFill="1" applyAlignment="1">
      <alignment horizontal="right" vertical="top" wrapText="1"/>
    </xf>
    <xf numFmtId="2" fontId="102" fillId="42" borderId="73" xfId="92" applyNumberFormat="1" applyFont="1" applyFill="1" applyBorder="1" applyAlignment="1">
      <alignment horizontal="right" vertical="top" wrapText="1"/>
    </xf>
    <xf numFmtId="2" fontId="104" fillId="45" borderId="74" xfId="92" applyNumberFormat="1" applyFont="1" applyFill="1" applyBorder="1" applyAlignment="1">
      <alignment horizontal="right" vertical="center" wrapText="1"/>
    </xf>
    <xf numFmtId="0" fontId="104" fillId="45" borderId="75" xfId="92" applyFont="1" applyFill="1" applyBorder="1" applyAlignment="1">
      <alignment horizontal="center" vertical="center"/>
    </xf>
    <xf numFmtId="4" fontId="104" fillId="45" borderId="75" xfId="92" applyNumberFormat="1" applyFont="1" applyFill="1" applyBorder="1" applyAlignment="1">
      <alignment vertical="center"/>
    </xf>
    <xf numFmtId="4" fontId="104" fillId="45" borderId="75" xfId="92" applyNumberFormat="1" applyFont="1" applyFill="1" applyBorder="1" applyAlignment="1">
      <alignment horizontal="center" vertical="center"/>
    </xf>
    <xf numFmtId="4" fontId="104" fillId="45" borderId="75" xfId="92" applyNumberFormat="1" applyFont="1" applyFill="1" applyBorder="1" applyAlignment="1">
      <alignment horizontal="center" vertical="center" wrapText="1"/>
    </xf>
    <xf numFmtId="4" fontId="104" fillId="45" borderId="76" xfId="92" applyNumberFormat="1" applyFont="1" applyFill="1" applyBorder="1" applyAlignment="1">
      <alignment horizontal="center" vertical="center" wrapText="1"/>
    </xf>
    <xf numFmtId="0" fontId="21" fillId="0" borderId="0" xfId="84" applyFont="1"/>
    <xf numFmtId="0" fontId="21" fillId="0" borderId="34" xfId="84" applyFont="1" applyBorder="1"/>
    <xf numFmtId="167" fontId="116" fillId="0" borderId="34" xfId="93" applyFont="1" applyBorder="1"/>
    <xf numFmtId="0" fontId="116" fillId="0" borderId="34" xfId="94" applyFont="1" applyBorder="1"/>
    <xf numFmtId="0" fontId="117" fillId="0" borderId="34" xfId="94" applyFont="1" applyBorder="1"/>
    <xf numFmtId="167" fontId="116" fillId="0" borderId="34" xfId="94" applyNumberFormat="1" applyFont="1" applyBorder="1"/>
    <xf numFmtId="0" fontId="117" fillId="0" borderId="0" xfId="94" applyFont="1"/>
    <xf numFmtId="0" fontId="115" fillId="0" borderId="0" xfId="94"/>
    <xf numFmtId="0" fontId="117" fillId="0" borderId="77" xfId="94" applyFont="1" applyBorder="1"/>
    <xf numFmtId="0" fontId="117" fillId="0" borderId="78" xfId="94" applyFont="1" applyBorder="1"/>
    <xf numFmtId="0" fontId="117" fillId="0" borderId="77" xfId="94" applyFont="1" applyBorder="1" applyAlignment="1">
      <alignment vertical="center"/>
    </xf>
    <xf numFmtId="0" fontId="117" fillId="0" borderId="0" xfId="94" applyFont="1" applyAlignment="1">
      <alignment vertical="center"/>
    </xf>
    <xf numFmtId="167" fontId="117" fillId="0" borderId="0" xfId="93" applyFont="1" applyBorder="1" applyAlignment="1">
      <alignment vertical="center"/>
    </xf>
    <xf numFmtId="167" fontId="117" fillId="0" borderId="0" xfId="94" applyNumberFormat="1" applyFont="1" applyAlignment="1">
      <alignment vertical="center"/>
    </xf>
    <xf numFmtId="167" fontId="117" fillId="0" borderId="78" xfId="94" applyNumberFormat="1" applyFont="1" applyBorder="1" applyAlignment="1">
      <alignment vertical="center"/>
    </xf>
    <xf numFmtId="0" fontId="117" fillId="0" borderId="0" xfId="94" applyFont="1" applyAlignment="1">
      <alignment horizontal="left" vertical="center" wrapText="1"/>
    </xf>
    <xf numFmtId="0" fontId="117" fillId="0" borderId="0" xfId="94" applyFont="1" applyAlignment="1">
      <alignment horizontal="left" vertical="top"/>
    </xf>
    <xf numFmtId="0" fontId="118" fillId="0" borderId="41" xfId="94" applyFont="1" applyBorder="1" applyAlignment="1">
      <alignment horizontal="left" vertical="center"/>
    </xf>
    <xf numFmtId="0" fontId="119" fillId="0" borderId="0" xfId="94" applyFont="1" applyAlignment="1">
      <alignment horizontal="right" vertical="center"/>
    </xf>
    <xf numFmtId="0" fontId="120" fillId="0" borderId="0" xfId="94" applyFont="1" applyAlignment="1">
      <alignment horizontal="center" vertical="center"/>
    </xf>
    <xf numFmtId="0" fontId="115" fillId="0" borderId="0" xfId="94" applyAlignment="1">
      <alignment horizontal="left" vertical="top"/>
    </xf>
    <xf numFmtId="0" fontId="117" fillId="0" borderId="79" xfId="94" applyFont="1" applyBorder="1"/>
    <xf numFmtId="0" fontId="117" fillId="0" borderId="80" xfId="94" applyFont="1" applyBorder="1"/>
    <xf numFmtId="0" fontId="117" fillId="0" borderId="81" xfId="94" applyFont="1" applyBorder="1"/>
    <xf numFmtId="0" fontId="119" fillId="0" borderId="41" xfId="94" applyFont="1" applyBorder="1" applyAlignment="1">
      <alignment vertical="center"/>
    </xf>
    <xf numFmtId="0" fontId="118" fillId="0" borderId="41" xfId="94" quotePrefix="1" applyFont="1" applyBorder="1" applyAlignment="1">
      <alignment horizontal="left" vertical="center"/>
    </xf>
    <xf numFmtId="168" fontId="117" fillId="0" borderId="0" xfId="94" applyNumberFormat="1" applyFont="1" applyAlignment="1">
      <alignment vertical="center"/>
    </xf>
    <xf numFmtId="0" fontId="119" fillId="0" borderId="41" xfId="94" quotePrefix="1" applyFont="1" applyBorder="1" applyAlignment="1">
      <alignment horizontal="left" vertical="center"/>
    </xf>
    <xf numFmtId="171" fontId="119" fillId="0" borderId="41" xfId="94" applyNumberFormat="1" applyFont="1" applyBorder="1" applyAlignment="1" applyProtection="1">
      <alignment horizontal="right" vertical="center"/>
      <protection locked="0"/>
    </xf>
    <xf numFmtId="0" fontId="120" fillId="0" borderId="41" xfId="94" applyFont="1" applyBorder="1" applyAlignment="1">
      <alignment horizontal="center" vertical="center"/>
    </xf>
    <xf numFmtId="4" fontId="119" fillId="0" borderId="41" xfId="94" applyNumberFormat="1" applyFont="1" applyBorder="1" applyAlignment="1" applyProtection="1">
      <alignment horizontal="right" vertical="center"/>
      <protection locked="0"/>
    </xf>
    <xf numFmtId="2" fontId="119" fillId="0" borderId="41" xfId="94" applyNumberFormat="1" applyFont="1" applyBorder="1" applyAlignment="1">
      <alignment horizontal="right" vertical="center"/>
    </xf>
    <xf numFmtId="0" fontId="119" fillId="0" borderId="41" xfId="94" applyFont="1" applyBorder="1" applyAlignment="1">
      <alignment horizontal="right" vertical="center"/>
    </xf>
    <xf numFmtId="4" fontId="119" fillId="0" borderId="41" xfId="94" applyNumberFormat="1" applyFont="1" applyBorder="1" applyAlignment="1">
      <alignment horizontal="right" vertical="center"/>
    </xf>
    <xf numFmtId="168" fontId="119" fillId="0" borderId="41" xfId="94" applyNumberFormat="1" applyFont="1" applyBorder="1" applyAlignment="1" applyProtection="1">
      <alignment horizontal="right" vertical="center"/>
      <protection locked="0"/>
    </xf>
    <xf numFmtId="0" fontId="121" fillId="0" borderId="77" xfId="94" applyFont="1" applyBorder="1" applyAlignment="1">
      <alignment vertical="center"/>
    </xf>
    <xf numFmtId="2" fontId="119" fillId="0" borderId="41" xfId="94" applyNumberFormat="1" applyFont="1" applyBorder="1" applyAlignment="1" applyProtection="1">
      <alignment horizontal="right" vertical="center"/>
      <protection locked="0"/>
    </xf>
    <xf numFmtId="0" fontId="119" fillId="0" borderId="0" xfId="94" applyFont="1" applyAlignment="1">
      <alignment vertical="center"/>
    </xf>
    <xf numFmtId="2" fontId="119" fillId="0" borderId="42" xfId="94" applyNumberFormat="1" applyFont="1" applyBorder="1" applyAlignment="1">
      <alignment horizontal="right" vertical="center"/>
    </xf>
    <xf numFmtId="0" fontId="122" fillId="0" borderId="82" xfId="94" applyFont="1" applyBorder="1"/>
    <xf numFmtId="167" fontId="117" fillId="0" borderId="0" xfId="93" applyFont="1" applyBorder="1"/>
    <xf numFmtId="167" fontId="117" fillId="0" borderId="78" xfId="94" applyNumberFormat="1" applyFont="1" applyBorder="1"/>
    <xf numFmtId="168" fontId="117" fillId="0" borderId="0" xfId="93" applyNumberFormat="1" applyFont="1" applyBorder="1"/>
    <xf numFmtId="167" fontId="117" fillId="0" borderId="0" xfId="94" applyNumberFormat="1" applyFont="1"/>
    <xf numFmtId="0" fontId="117" fillId="0" borderId="83" xfId="94" applyFont="1" applyBorder="1"/>
    <xf numFmtId="0" fontId="117" fillId="0" borderId="44" xfId="94" applyFont="1" applyBorder="1"/>
    <xf numFmtId="0" fontId="117" fillId="0" borderId="84" xfId="94" applyFont="1" applyBorder="1"/>
    <xf numFmtId="0" fontId="123" fillId="0" borderId="0" xfId="94" applyFont="1" applyAlignment="1">
      <alignment horizontal="left"/>
    </xf>
    <xf numFmtId="12" fontId="117" fillId="0" borderId="0" xfId="93" applyNumberFormat="1" applyFont="1" applyBorder="1"/>
    <xf numFmtId="0" fontId="117" fillId="0" borderId="34" xfId="94" applyFont="1" applyBorder="1" applyAlignment="1">
      <alignment horizontal="left" vertical="top"/>
    </xf>
    <xf numFmtId="4" fontId="32" fillId="49" borderId="0" xfId="0" applyNumberFormat="1" applyFont="1" applyFill="1" applyAlignment="1">
      <alignment horizontal="center"/>
    </xf>
    <xf numFmtId="0" fontId="116" fillId="49" borderId="34" xfId="94" applyFont="1" applyFill="1" applyBorder="1"/>
    <xf numFmtId="2" fontId="88" fillId="42" borderId="53" xfId="95" applyNumberFormat="1" applyFont="1" applyFill="1" applyBorder="1" applyAlignment="1">
      <alignment horizontal="right" vertical="center" wrapText="1"/>
    </xf>
    <xf numFmtId="0" fontId="89" fillId="42" borderId="54" xfId="95" applyFont="1" applyFill="1" applyBorder="1" applyAlignment="1">
      <alignment vertical="center"/>
    </xf>
    <xf numFmtId="2" fontId="89" fillId="42" borderId="53" xfId="95" applyNumberFormat="1" applyFont="1" applyFill="1" applyBorder="1" applyAlignment="1">
      <alignment horizontal="right" vertical="center" wrapText="1"/>
    </xf>
    <xf numFmtId="0" fontId="88" fillId="42" borderId="54" xfId="95" applyFont="1" applyFill="1" applyBorder="1" applyAlignment="1">
      <alignment vertical="center"/>
    </xf>
    <xf numFmtId="4" fontId="88" fillId="42" borderId="54" xfId="96" applyNumberFormat="1" applyFont="1" applyFill="1" applyBorder="1" applyAlignment="1" applyProtection="1">
      <alignment horizontal="center" vertical="center"/>
    </xf>
    <xf numFmtId="0" fontId="88" fillId="42" borderId="54" xfId="95" applyFont="1" applyFill="1" applyBorder="1" applyAlignment="1">
      <alignment vertical="center" wrapText="1"/>
    </xf>
    <xf numFmtId="2" fontId="89" fillId="42" borderId="50" xfId="95" applyNumberFormat="1" applyFont="1" applyFill="1" applyBorder="1" applyAlignment="1">
      <alignment horizontal="right" vertical="center" wrapText="1"/>
    </xf>
    <xf numFmtId="0" fontId="89" fillId="42" borderId="51" xfId="95" applyFont="1" applyFill="1" applyBorder="1" applyAlignment="1">
      <alignment vertical="center"/>
    </xf>
    <xf numFmtId="4" fontId="88" fillId="43" borderId="51" xfId="85" applyNumberFormat="1" applyFont="1" applyFill="1" applyBorder="1" applyAlignment="1" applyProtection="1">
      <alignment horizontal="center" vertical="center"/>
    </xf>
    <xf numFmtId="2" fontId="88" fillId="42" borderId="56" xfId="95" applyNumberFormat="1" applyFont="1" applyFill="1" applyBorder="1" applyAlignment="1">
      <alignment horizontal="right" vertical="center" wrapText="1"/>
    </xf>
    <xf numFmtId="0" fontId="89" fillId="42" borderId="57" xfId="95" applyFont="1" applyFill="1" applyBorder="1" applyAlignment="1">
      <alignment vertical="center"/>
    </xf>
    <xf numFmtId="4" fontId="37" fillId="42" borderId="57" xfId="95" applyNumberFormat="1" applyFont="1" applyFill="1" applyBorder="1" applyAlignment="1">
      <alignment vertical="center"/>
    </xf>
    <xf numFmtId="0" fontId="37" fillId="42" borderId="57" xfId="95" applyFont="1" applyFill="1" applyBorder="1" applyAlignment="1">
      <alignment horizontal="center" vertical="center"/>
    </xf>
    <xf numFmtId="4" fontId="37" fillId="42" borderId="57" xfId="95" applyNumberFormat="1" applyFont="1" applyFill="1" applyBorder="1" applyAlignment="1">
      <alignment horizontal="center" vertical="center"/>
    </xf>
    <xf numFmtId="2" fontId="88" fillId="42" borderId="50" xfId="95" applyNumberFormat="1" applyFont="1" applyFill="1" applyBorder="1" applyAlignment="1">
      <alignment horizontal="right" vertical="center" wrapText="1"/>
    </xf>
    <xf numFmtId="4" fontId="37" fillId="42" borderId="51" xfId="95" applyNumberFormat="1" applyFont="1" applyFill="1" applyBorder="1" applyAlignment="1">
      <alignment vertical="center"/>
    </xf>
    <xf numFmtId="0" fontId="37" fillId="42" borderId="51" xfId="95" applyFont="1" applyFill="1" applyBorder="1" applyAlignment="1">
      <alignment horizontal="center" vertical="center"/>
    </xf>
    <xf numFmtId="4" fontId="37" fillId="42" borderId="51" xfId="95" applyNumberFormat="1" applyFont="1" applyFill="1" applyBorder="1" applyAlignment="1">
      <alignment horizontal="center" vertical="center"/>
    </xf>
    <xf numFmtId="4" fontId="88" fillId="42" borderId="54" xfId="95" applyNumberFormat="1" applyFont="1" applyFill="1" applyBorder="1" applyAlignment="1">
      <alignment horizontal="center" vertical="center"/>
    </xf>
    <xf numFmtId="0" fontId="88" fillId="42" borderId="54" xfId="95" applyFont="1" applyFill="1" applyBorder="1" applyAlignment="1">
      <alignment horizontal="center" vertical="center"/>
    </xf>
    <xf numFmtId="4" fontId="89" fillId="42" borderId="55" xfId="95" applyNumberFormat="1" applyFont="1" applyFill="1" applyBorder="1" applyAlignment="1">
      <alignment horizontal="center" vertical="center"/>
    </xf>
    <xf numFmtId="174" fontId="88" fillId="42" borderId="54" xfId="95" applyNumberFormat="1" applyFont="1" applyFill="1" applyBorder="1" applyAlignment="1">
      <alignment horizontal="center" vertical="center"/>
    </xf>
    <xf numFmtId="4" fontId="89" fillId="42" borderId="54" xfId="95" applyNumberFormat="1" applyFont="1" applyFill="1" applyBorder="1" applyAlignment="1">
      <alignment horizontal="center" vertical="center"/>
    </xf>
    <xf numFmtId="0" fontId="105" fillId="42" borderId="55" xfId="95" applyFont="1" applyFill="1" applyBorder="1" applyAlignment="1">
      <alignment horizontal="center" vertical="center"/>
    </xf>
    <xf numFmtId="2" fontId="88" fillId="42" borderId="86" xfId="95" applyNumberFormat="1" applyFont="1" applyFill="1" applyBorder="1" applyAlignment="1">
      <alignment horizontal="right" vertical="center" wrapText="1"/>
    </xf>
    <xf numFmtId="0" fontId="88" fillId="42" borderId="87" xfId="95" applyFont="1" applyFill="1" applyBorder="1" applyAlignment="1">
      <alignment vertical="center" wrapText="1"/>
    </xf>
    <xf numFmtId="0" fontId="88" fillId="42" borderId="87" xfId="95" applyFont="1" applyFill="1" applyBorder="1" applyAlignment="1">
      <alignment vertical="center"/>
    </xf>
    <xf numFmtId="0" fontId="88" fillId="42" borderId="87" xfId="95" applyFont="1" applyFill="1" applyBorder="1" applyAlignment="1">
      <alignment horizontal="center" vertical="center"/>
    </xf>
    <xf numFmtId="174" fontId="88" fillId="42" borderId="87" xfId="95" applyNumberFormat="1" applyFont="1" applyFill="1" applyBorder="1" applyAlignment="1">
      <alignment horizontal="center" vertical="center"/>
    </xf>
    <xf numFmtId="4" fontId="89" fillId="42" borderId="87" xfId="95" applyNumberFormat="1" applyFont="1" applyFill="1" applyBorder="1" applyAlignment="1">
      <alignment horizontal="center" vertical="center"/>
    </xf>
    <xf numFmtId="39" fontId="89" fillId="42" borderId="88" xfId="95" applyNumberFormat="1" applyFont="1" applyFill="1" applyBorder="1" applyAlignment="1">
      <alignment horizontal="center" vertical="center" wrapText="1"/>
    </xf>
    <xf numFmtId="2" fontId="88" fillId="42" borderId="59" xfId="95" applyNumberFormat="1" applyFont="1" applyFill="1" applyBorder="1" applyAlignment="1">
      <alignment horizontal="right" vertical="center" wrapText="1"/>
    </xf>
    <xf numFmtId="0" fontId="89" fillId="42" borderId="60" xfId="95" applyFont="1" applyFill="1" applyBorder="1" applyAlignment="1">
      <alignment vertical="center"/>
    </xf>
    <xf numFmtId="4" fontId="37" fillId="42" borderId="60" xfId="95" applyNumberFormat="1" applyFont="1" applyFill="1" applyBorder="1" applyAlignment="1">
      <alignment vertical="center"/>
    </xf>
    <xf numFmtId="0" fontId="37" fillId="42" borderId="60" xfId="95" applyFont="1" applyFill="1" applyBorder="1" applyAlignment="1">
      <alignment horizontal="center" vertical="center"/>
    </xf>
    <xf numFmtId="4" fontId="37" fillId="42" borderId="60" xfId="95" applyNumberFormat="1" applyFont="1" applyFill="1" applyBorder="1" applyAlignment="1">
      <alignment horizontal="center" vertical="center"/>
    </xf>
    <xf numFmtId="2" fontId="88" fillId="42" borderId="47" xfId="95" applyNumberFormat="1" applyFont="1" applyFill="1" applyBorder="1" applyAlignment="1">
      <alignment horizontal="right" vertical="center" wrapText="1"/>
    </xf>
    <xf numFmtId="0" fontId="89" fillId="42" borderId="0" xfId="95" applyFont="1" applyFill="1" applyAlignment="1">
      <alignment vertical="center"/>
    </xf>
    <xf numFmtId="4" fontId="37" fillId="42" borderId="0" xfId="95" applyNumberFormat="1" applyFont="1" applyFill="1" applyAlignment="1">
      <alignment vertical="center"/>
    </xf>
    <xf numFmtId="0" fontId="37" fillId="42" borderId="0" xfId="95" applyFont="1" applyFill="1" applyAlignment="1">
      <alignment horizontal="center" vertical="center"/>
    </xf>
    <xf numFmtId="4" fontId="37" fillId="42" borderId="0" xfId="95" applyNumberFormat="1" applyFont="1" applyFill="1" applyAlignment="1">
      <alignment horizontal="center" vertical="center"/>
    </xf>
    <xf numFmtId="2" fontId="102" fillId="42" borderId="47" xfId="95" applyNumberFormat="1" applyFont="1" applyFill="1" applyBorder="1" applyAlignment="1">
      <alignment horizontal="right" vertical="center" wrapText="1"/>
    </xf>
    <xf numFmtId="0" fontId="102" fillId="42" borderId="0" xfId="95" applyFont="1" applyFill="1" applyAlignment="1">
      <alignment vertical="center"/>
    </xf>
    <xf numFmtId="4" fontId="107" fillId="42" borderId="48" xfId="95" applyNumberFormat="1" applyFont="1" applyFill="1" applyBorder="1" applyAlignment="1">
      <alignment vertical="center"/>
    </xf>
    <xf numFmtId="2" fontId="106" fillId="42" borderId="47" xfId="95" applyNumberFormat="1" applyFont="1" applyFill="1" applyBorder="1" applyAlignment="1">
      <alignment horizontal="center"/>
    </xf>
    <xf numFmtId="0" fontId="106" fillId="42" borderId="0" xfId="95" applyFont="1" applyFill="1" applyAlignment="1">
      <alignment horizontal="center"/>
    </xf>
    <xf numFmtId="4" fontId="106" fillId="42" borderId="0" xfId="95" applyNumberFormat="1" applyFont="1" applyFill="1" applyAlignment="1">
      <alignment horizontal="center"/>
    </xf>
    <xf numFmtId="4" fontId="106" fillId="42" borderId="48" xfId="95" applyNumberFormat="1" applyFont="1" applyFill="1" applyBorder="1" applyAlignment="1">
      <alignment horizontal="center"/>
    </xf>
    <xf numFmtId="2" fontId="106" fillId="42" borderId="47" xfId="95" applyNumberFormat="1" applyFont="1" applyFill="1" applyBorder="1" applyAlignment="1">
      <alignment horizontal="center" vertical="center"/>
    </xf>
    <xf numFmtId="0" fontId="106" fillId="42" borderId="0" xfId="95" applyFont="1" applyFill="1" applyAlignment="1">
      <alignment horizontal="center" vertical="center"/>
    </xf>
    <xf numFmtId="0" fontId="20" fillId="0" borderId="0" xfId="95"/>
    <xf numFmtId="166" fontId="20" fillId="0" borderId="0" xfId="95" applyNumberFormat="1"/>
    <xf numFmtId="39" fontId="20" fillId="0" borderId="0" xfId="95" applyNumberFormat="1"/>
    <xf numFmtId="4" fontId="20" fillId="0" borderId="0" xfId="95" applyNumberFormat="1"/>
    <xf numFmtId="0" fontId="32" fillId="51" borderId="0" xfId="0" applyFont="1" applyFill="1"/>
    <xf numFmtId="171" fontId="33" fillId="51" borderId="0" xfId="32" applyNumberFormat="1" applyFont="1" applyFill="1"/>
    <xf numFmtId="0" fontId="33" fillId="51" borderId="0" xfId="0" applyFont="1" applyFill="1" applyAlignment="1">
      <alignment horizontal="center"/>
    </xf>
    <xf numFmtId="172" fontId="33" fillId="51" borderId="0" xfId="32" applyNumberFormat="1" applyFont="1" applyFill="1"/>
    <xf numFmtId="4" fontId="33" fillId="51" borderId="0" xfId="32" applyNumberFormat="1" applyFont="1" applyFill="1"/>
    <xf numFmtId="4" fontId="32" fillId="51" borderId="0" xfId="32" applyNumberFormat="1" applyFont="1" applyFill="1"/>
    <xf numFmtId="0" fontId="33" fillId="51" borderId="0" xfId="0" applyFont="1" applyFill="1"/>
    <xf numFmtId="170" fontId="33" fillId="51" borderId="0" xfId="32" applyNumberFormat="1" applyFont="1" applyFill="1"/>
    <xf numFmtId="170" fontId="32" fillId="51" borderId="0" xfId="32" applyNumberFormat="1" applyFont="1" applyFill="1" applyAlignment="1">
      <alignment horizontal="center"/>
    </xf>
    <xf numFmtId="0" fontId="32" fillId="51" borderId="0" xfId="0" applyFont="1" applyFill="1" applyAlignment="1">
      <alignment horizontal="center"/>
    </xf>
    <xf numFmtId="172" fontId="33" fillId="51" borderId="0" xfId="0" applyNumberFormat="1" applyFont="1" applyFill="1"/>
    <xf numFmtId="4" fontId="32" fillId="51" borderId="0" xfId="32" applyNumberFormat="1" applyFont="1" applyFill="1" applyAlignment="1">
      <alignment horizontal="center"/>
    </xf>
    <xf numFmtId="4" fontId="32" fillId="51" borderId="0" xfId="0" applyNumberFormat="1" applyFont="1" applyFill="1" applyAlignment="1">
      <alignment horizontal="left"/>
    </xf>
    <xf numFmtId="167" fontId="33" fillId="51" borderId="0" xfId="32" applyFont="1" applyFill="1"/>
    <xf numFmtId="189" fontId="33" fillId="51" borderId="0" xfId="32" applyNumberFormat="1" applyFont="1" applyFill="1"/>
    <xf numFmtId="169" fontId="33" fillId="51" borderId="0" xfId="32" applyNumberFormat="1" applyFont="1" applyFill="1"/>
    <xf numFmtId="4" fontId="32" fillId="51" borderId="0" xfId="0" applyNumberFormat="1" applyFont="1" applyFill="1" applyAlignment="1">
      <alignment horizontal="center"/>
    </xf>
    <xf numFmtId="4" fontId="32" fillId="51" borderId="0" xfId="0" applyNumberFormat="1" applyFont="1" applyFill="1"/>
    <xf numFmtId="0" fontId="32" fillId="33" borderId="0" xfId="0" applyFont="1" applyFill="1"/>
    <xf numFmtId="171" fontId="33" fillId="33" borderId="0" xfId="32" applyNumberFormat="1" applyFont="1" applyFill="1"/>
    <xf numFmtId="0" fontId="33" fillId="33" borderId="0" xfId="0" applyFont="1" applyFill="1" applyAlignment="1">
      <alignment horizontal="center"/>
    </xf>
    <xf numFmtId="172" fontId="33" fillId="33" borderId="0" xfId="32" applyNumberFormat="1" applyFont="1" applyFill="1"/>
    <xf numFmtId="4" fontId="33" fillId="33" borderId="0" xfId="32" applyNumberFormat="1" applyFont="1" applyFill="1"/>
    <xf numFmtId="4" fontId="32" fillId="33" borderId="0" xfId="32" applyNumberFormat="1" applyFont="1" applyFill="1"/>
    <xf numFmtId="0" fontId="33" fillId="33" borderId="0" xfId="0" applyFont="1" applyFill="1"/>
    <xf numFmtId="0" fontId="32" fillId="51" borderId="0" xfId="0" applyFont="1" applyFill="1" applyAlignment="1">
      <alignment horizontal="left"/>
    </xf>
    <xf numFmtId="0" fontId="33" fillId="51" borderId="0" xfId="0" applyFont="1" applyFill="1" applyAlignment="1">
      <alignment horizontal="left"/>
    </xf>
    <xf numFmtId="4" fontId="33" fillId="51" borderId="0" xfId="0" applyNumberFormat="1" applyFont="1" applyFill="1"/>
    <xf numFmtId="4" fontId="32" fillId="51" borderId="0" xfId="32" applyNumberFormat="1" applyFont="1" applyFill="1" applyAlignment="1">
      <alignment horizontal="right"/>
    </xf>
    <xf numFmtId="171" fontId="32" fillId="51" borderId="0" xfId="32" applyNumberFormat="1" applyFont="1" applyFill="1"/>
    <xf numFmtId="0" fontId="19" fillId="0" borderId="0" xfId="97"/>
    <xf numFmtId="0" fontId="127" fillId="0" borderId="0" xfId="97" applyFont="1" applyFill="1" applyBorder="1" applyAlignment="1">
      <alignment horizontal="center"/>
    </xf>
    <xf numFmtId="0" fontId="19" fillId="0" borderId="0" xfId="97" applyFill="1" applyBorder="1"/>
    <xf numFmtId="0" fontId="128" fillId="0" borderId="0" xfId="97" applyFont="1" applyFill="1"/>
    <xf numFmtId="0" fontId="129" fillId="0" borderId="0" xfId="97" applyFont="1" applyFill="1"/>
    <xf numFmtId="0" fontId="19" fillId="0" borderId="0" xfId="97" applyFill="1"/>
    <xf numFmtId="0" fontId="31" fillId="0" borderId="0" xfId="98" applyBorder="1"/>
    <xf numFmtId="0" fontId="31" fillId="32" borderId="0" xfId="98" applyFill="1" applyBorder="1"/>
    <xf numFmtId="0" fontId="19" fillId="32" borderId="0" xfId="97" applyFill="1" applyBorder="1"/>
    <xf numFmtId="0" fontId="19" fillId="32" borderId="0" xfId="97" applyFill="1"/>
    <xf numFmtId="0" fontId="97" fillId="0" borderId="0" xfId="97" applyFont="1" applyFill="1"/>
    <xf numFmtId="0" fontId="104" fillId="0" borderId="34" xfId="98" applyFont="1" applyFill="1" applyBorder="1" applyAlignment="1">
      <alignment horizontal="center" vertical="center"/>
    </xf>
    <xf numFmtId="0" fontId="104" fillId="0" borderId="34" xfId="98" applyFont="1" applyFill="1" applyBorder="1" applyAlignment="1">
      <alignment horizontal="center" vertical="center" wrapText="1"/>
    </xf>
    <xf numFmtId="0" fontId="131" fillId="0" borderId="34" xfId="98" applyFont="1" applyFill="1" applyBorder="1" applyAlignment="1">
      <alignment horizontal="center" vertical="center" wrapText="1"/>
    </xf>
    <xf numFmtId="0" fontId="19" fillId="0" borderId="0" xfId="97" applyAlignment="1">
      <alignment horizontal="center"/>
    </xf>
    <xf numFmtId="2" fontId="133" fillId="0" borderId="34" xfId="97" applyNumberFormat="1" applyFont="1" applyBorder="1"/>
    <xf numFmtId="0" fontId="88" fillId="0" borderId="34" xfId="98" applyFont="1" applyFill="1" applyBorder="1" applyAlignment="1">
      <alignment horizontal="center" wrapText="1"/>
    </xf>
    <xf numFmtId="0" fontId="88" fillId="0" borderId="34" xfId="98" applyFont="1" applyFill="1" applyBorder="1" applyAlignment="1">
      <alignment horizontal="center"/>
    </xf>
    <xf numFmtId="2" fontId="88" fillId="0" borderId="34" xfId="98" applyNumberFormat="1" applyFont="1" applyFill="1" applyBorder="1" applyAlignment="1">
      <alignment horizontal="center"/>
    </xf>
    <xf numFmtId="2" fontId="132" fillId="33" borderId="34" xfId="98" applyNumberFormat="1" applyFont="1" applyFill="1" applyBorder="1" applyAlignment="1">
      <alignment horizontal="center" wrapText="1"/>
    </xf>
    <xf numFmtId="2" fontId="88" fillId="0" borderId="34" xfId="98" applyNumberFormat="1" applyFont="1" applyFill="1" applyBorder="1" applyAlignment="1">
      <alignment horizontal="center" wrapText="1"/>
    </xf>
    <xf numFmtId="2" fontId="88" fillId="54" borderId="34" xfId="98" applyNumberFormat="1" applyFont="1" applyFill="1" applyBorder="1" applyAlignment="1">
      <alignment horizontal="center" wrapText="1"/>
    </xf>
    <xf numFmtId="2" fontId="88" fillId="54" borderId="34" xfId="98" applyNumberFormat="1" applyFont="1" applyFill="1" applyBorder="1" applyAlignment="1">
      <alignment wrapText="1"/>
    </xf>
    <xf numFmtId="2" fontId="88" fillId="54" borderId="34" xfId="98" applyNumberFormat="1" applyFont="1" applyFill="1" applyBorder="1"/>
    <xf numFmtId="0" fontId="124" fillId="0" borderId="34" xfId="97" applyFont="1" applyBorder="1" applyAlignment="1">
      <alignment horizontal="center"/>
    </xf>
    <xf numFmtId="2" fontId="88" fillId="33" borderId="34" xfId="98" applyNumberFormat="1" applyFont="1" applyFill="1" applyBorder="1" applyAlignment="1">
      <alignment horizontal="center"/>
    </xf>
    <xf numFmtId="2" fontId="132" fillId="33" borderId="34" xfId="98" applyNumberFormat="1" applyFont="1" applyFill="1" applyBorder="1" applyAlignment="1">
      <alignment horizontal="center"/>
    </xf>
    <xf numFmtId="0" fontId="19" fillId="0" borderId="34" xfId="97" applyBorder="1"/>
    <xf numFmtId="0" fontId="88" fillId="0" borderId="34" xfId="98" applyFont="1" applyFill="1" applyBorder="1" applyAlignment="1">
      <alignment wrapText="1"/>
    </xf>
    <xf numFmtId="0" fontId="132" fillId="42" borderId="34" xfId="97" applyFont="1" applyFill="1" applyBorder="1" applyAlignment="1">
      <alignment vertical="top"/>
    </xf>
    <xf numFmtId="0" fontId="134" fillId="33" borderId="34" xfId="98" applyFont="1" applyFill="1" applyBorder="1" applyAlignment="1">
      <alignment wrapText="1"/>
    </xf>
    <xf numFmtId="2" fontId="89" fillId="33" borderId="34" xfId="98" applyNumberFormat="1" applyFont="1" applyFill="1" applyBorder="1" applyAlignment="1">
      <alignment wrapText="1"/>
    </xf>
    <xf numFmtId="0" fontId="89" fillId="33" borderId="34" xfId="98" applyFont="1" applyFill="1" applyBorder="1" applyAlignment="1">
      <alignment horizontal="center"/>
    </xf>
    <xf numFmtId="0" fontId="88" fillId="33" borderId="34" xfId="98" applyFont="1" applyFill="1" applyBorder="1" applyAlignment="1">
      <alignment wrapText="1"/>
    </xf>
    <xf numFmtId="2" fontId="89" fillId="33" borderId="34" xfId="98" applyNumberFormat="1" applyFont="1" applyFill="1" applyBorder="1" applyAlignment="1">
      <alignment horizontal="right"/>
    </xf>
    <xf numFmtId="2" fontId="89" fillId="33" borderId="34" xfId="98" applyNumberFormat="1" applyFont="1" applyFill="1" applyBorder="1"/>
    <xf numFmtId="0" fontId="135" fillId="33" borderId="34" xfId="97" applyFont="1" applyFill="1" applyBorder="1"/>
    <xf numFmtId="2" fontId="133" fillId="54" borderId="34" xfId="97" applyNumberFormat="1" applyFont="1" applyFill="1" applyBorder="1"/>
    <xf numFmtId="0" fontId="86" fillId="0" borderId="0" xfId="98" applyFont="1" applyFill="1" applyBorder="1" applyAlignment="1">
      <alignment horizontal="left"/>
    </xf>
    <xf numFmtId="0" fontId="86" fillId="0" borderId="0" xfId="98" applyFont="1" applyFill="1" applyBorder="1" applyAlignment="1">
      <alignment wrapText="1"/>
    </xf>
    <xf numFmtId="2" fontId="86" fillId="0" borderId="0" xfId="98" applyNumberFormat="1" applyFont="1" applyFill="1" applyBorder="1" applyAlignment="1">
      <alignment wrapText="1"/>
    </xf>
    <xf numFmtId="2" fontId="31" fillId="0" borderId="0" xfId="98" applyNumberFormat="1" applyFill="1" applyBorder="1"/>
    <xf numFmtId="0" fontId="135" fillId="0" borderId="34" xfId="98" applyFont="1" applyFill="1" applyBorder="1" applyAlignment="1">
      <alignment horizontal="center" vertical="center"/>
    </xf>
    <xf numFmtId="0" fontId="135" fillId="0" borderId="34" xfId="98" applyFont="1" applyFill="1" applyBorder="1" applyAlignment="1">
      <alignment horizontal="center" vertical="center" wrapText="1"/>
    </xf>
    <xf numFmtId="2" fontId="86" fillId="0" borderId="34" xfId="98" applyNumberFormat="1" applyFont="1" applyFill="1" applyBorder="1"/>
    <xf numFmtId="0" fontId="88" fillId="54" borderId="34" xfId="98" applyFont="1" applyFill="1" applyBorder="1"/>
    <xf numFmtId="2" fontId="88" fillId="0" borderId="34" xfId="98" applyNumberFormat="1" applyFont="1" applyFill="1" applyBorder="1"/>
    <xf numFmtId="0" fontId="132" fillId="55" borderId="34" xfId="97" applyFont="1" applyFill="1" applyBorder="1" applyAlignment="1">
      <alignment vertical="top" wrapText="1"/>
    </xf>
    <xf numFmtId="0" fontId="88" fillId="54" borderId="36" xfId="98" applyFont="1" applyFill="1" applyBorder="1"/>
    <xf numFmtId="0" fontId="132" fillId="54" borderId="35" xfId="98" applyFont="1" applyFill="1" applyBorder="1" applyAlignment="1">
      <alignment horizontal="center" wrapText="1"/>
    </xf>
    <xf numFmtId="0" fontId="89" fillId="33" borderId="35" xfId="98" applyFont="1" applyFill="1" applyBorder="1" applyAlignment="1"/>
    <xf numFmtId="0" fontId="89" fillId="33" borderId="36" xfId="98" applyFont="1" applyFill="1" applyBorder="1" applyAlignment="1"/>
    <xf numFmtId="0" fontId="89" fillId="33" borderId="34" xfId="98" applyFont="1" applyFill="1" applyBorder="1"/>
    <xf numFmtId="0" fontId="88" fillId="33" borderId="34" xfId="98" applyFont="1" applyFill="1" applyBorder="1"/>
    <xf numFmtId="0" fontId="136" fillId="0" borderId="0" xfId="98" applyFont="1" applyFill="1" applyBorder="1" applyAlignment="1">
      <alignment horizontal="left"/>
    </xf>
    <xf numFmtId="2" fontId="19" fillId="0" borderId="0" xfId="97" applyNumberFormat="1"/>
    <xf numFmtId="0" fontId="130" fillId="0" borderId="0" xfId="98" applyFont="1" applyFill="1" applyBorder="1" applyAlignment="1">
      <alignment horizontal="left"/>
    </xf>
    <xf numFmtId="0" fontId="135" fillId="0" borderId="0" xfId="98" applyFont="1" applyFill="1" applyBorder="1" applyAlignment="1"/>
    <xf numFmtId="0" fontId="88" fillId="0" borderId="0" xfId="98" applyFont="1" applyFill="1" applyBorder="1" applyAlignment="1">
      <alignment horizontal="center" wrapText="1"/>
    </xf>
    <xf numFmtId="2" fontId="88" fillId="54" borderId="0" xfId="98" applyNumberFormat="1" applyFont="1" applyFill="1" applyBorder="1"/>
    <xf numFmtId="2" fontId="88" fillId="54" borderId="0" xfId="98" applyNumberFormat="1" applyFont="1" applyFill="1" applyBorder="1" applyAlignment="1">
      <alignment wrapText="1"/>
    </xf>
    <xf numFmtId="0" fontId="133" fillId="0" borderId="34" xfId="97" applyFont="1" applyBorder="1"/>
    <xf numFmtId="0" fontId="104" fillId="0" borderId="34" xfId="98" applyFont="1" applyFill="1" applyBorder="1" applyAlignment="1">
      <alignment horizontal="center" wrapText="1"/>
    </xf>
    <xf numFmtId="0" fontId="100" fillId="0" borderId="34" xfId="98" applyFont="1" applyFill="1" applyBorder="1" applyAlignment="1">
      <alignment horizontal="center" wrapText="1"/>
    </xf>
    <xf numFmtId="2" fontId="88" fillId="0" borderId="34" xfId="98" quotePrefix="1" applyNumberFormat="1" applyFont="1" applyFill="1" applyBorder="1" applyAlignment="1">
      <alignment horizontal="center" vertical="center"/>
    </xf>
    <xf numFmtId="2" fontId="132" fillId="0" borderId="34" xfId="97" applyNumberFormat="1" applyFont="1" applyBorder="1"/>
    <xf numFmtId="0" fontId="132" fillId="0" borderId="34" xfId="97" applyFont="1" applyBorder="1" applyAlignment="1">
      <alignment horizontal="center"/>
    </xf>
    <xf numFmtId="0" fontId="132" fillId="0" borderId="34" xfId="97" applyFont="1" applyBorder="1"/>
    <xf numFmtId="2" fontId="132" fillId="0" borderId="34" xfId="97" applyNumberFormat="1" applyFont="1" applyFill="1" applyBorder="1" applyAlignment="1">
      <alignment horizontal="center"/>
    </xf>
    <xf numFmtId="0" fontId="132" fillId="0" borderId="0" xfId="97" applyFont="1" applyBorder="1" applyAlignment="1">
      <alignment horizontal="center" vertical="center"/>
    </xf>
    <xf numFmtId="0" fontId="89" fillId="33" borderId="34" xfId="97" applyFont="1" applyFill="1" applyBorder="1" applyAlignment="1">
      <alignment horizontal="center"/>
    </xf>
    <xf numFmtId="2" fontId="89" fillId="33" borderId="34" xfId="97" applyNumberFormat="1" applyFont="1" applyFill="1" applyBorder="1" applyAlignment="1">
      <alignment horizontal="center"/>
    </xf>
    <xf numFmtId="2" fontId="135" fillId="33" borderId="34" xfId="97" applyNumberFormat="1" applyFont="1" applyFill="1" applyBorder="1"/>
    <xf numFmtId="0" fontId="100" fillId="0" borderId="0" xfId="98" applyFont="1" applyFill="1" applyBorder="1" applyAlignment="1">
      <alignment horizontal="center"/>
    </xf>
    <xf numFmtId="2" fontId="100" fillId="0" borderId="0" xfId="98" applyNumberFormat="1" applyFont="1" applyFill="1" applyBorder="1" applyAlignment="1">
      <alignment horizontal="center"/>
    </xf>
    <xf numFmtId="0" fontId="133" fillId="0" borderId="0" xfId="97" applyFont="1" applyBorder="1"/>
    <xf numFmtId="0" fontId="132" fillId="0" borderId="0" xfId="97" applyFont="1" applyBorder="1"/>
    <xf numFmtId="0" fontId="19" fillId="33" borderId="0" xfId="97" applyFill="1"/>
    <xf numFmtId="0" fontId="135" fillId="0" borderId="0" xfId="97" applyFont="1" applyBorder="1"/>
    <xf numFmtId="0" fontId="19" fillId="0" borderId="0" xfId="97" applyBorder="1"/>
    <xf numFmtId="0" fontId="133" fillId="0" borderId="0" xfId="97" applyFont="1" applyFill="1" applyBorder="1" applyAlignment="1">
      <alignment wrapText="1"/>
    </xf>
    <xf numFmtId="0" fontId="133" fillId="0" borderId="0" xfId="97" applyFont="1" applyFill="1" applyBorder="1" applyAlignment="1">
      <alignment horizontal="center"/>
    </xf>
    <xf numFmtId="2" fontId="133" fillId="0" borderId="0" xfId="97" applyNumberFormat="1" applyFont="1" applyFill="1" applyBorder="1" applyAlignment="1">
      <alignment horizontal="center"/>
    </xf>
    <xf numFmtId="0" fontId="104" fillId="0" borderId="0" xfId="98" applyFont="1" applyFill="1" applyBorder="1" applyAlignment="1"/>
    <xf numFmtId="0" fontId="132" fillId="0" borderId="0" xfId="97" applyFont="1" applyBorder="1" applyAlignment="1">
      <alignment horizontal="center"/>
    </xf>
    <xf numFmtId="0" fontId="88" fillId="55" borderId="34" xfId="97" applyFont="1" applyFill="1" applyBorder="1" applyAlignment="1">
      <alignment vertical="top"/>
    </xf>
    <xf numFmtId="0" fontId="89" fillId="0" borderId="34" xfId="98" applyFont="1" applyFill="1" applyBorder="1" applyAlignment="1">
      <alignment horizontal="center" vertical="center" wrapText="1"/>
    </xf>
    <xf numFmtId="0" fontId="135" fillId="0" borderId="34" xfId="97" applyFont="1" applyBorder="1" applyAlignment="1">
      <alignment horizontal="center"/>
    </xf>
    <xf numFmtId="0" fontId="89" fillId="0" borderId="35" xfId="98" applyFont="1" applyFill="1" applyBorder="1" applyAlignment="1">
      <alignment horizontal="center" vertical="center" wrapText="1"/>
    </xf>
    <xf numFmtId="0" fontId="89" fillId="0" borderId="34" xfId="98" applyFont="1" applyFill="1" applyBorder="1" applyAlignment="1">
      <alignment horizontal="center"/>
    </xf>
    <xf numFmtId="0" fontId="89" fillId="0" borderId="0" xfId="98" applyFont="1" applyFill="1" applyBorder="1" applyAlignment="1">
      <alignment horizontal="center"/>
    </xf>
    <xf numFmtId="0" fontId="132" fillId="33" borderId="35" xfId="98" applyFont="1" applyFill="1" applyBorder="1" applyAlignment="1">
      <alignment horizontal="center"/>
    </xf>
    <xf numFmtId="2" fontId="132" fillId="33" borderId="34" xfId="97" applyNumberFormat="1" applyFont="1" applyFill="1" applyBorder="1" applyAlignment="1">
      <alignment horizontal="center"/>
    </xf>
    <xf numFmtId="0" fontId="132" fillId="33" borderId="34" xfId="97" quotePrefix="1" applyFont="1" applyFill="1" applyBorder="1" applyAlignment="1">
      <alignment horizontal="right"/>
    </xf>
    <xf numFmtId="0" fontId="132" fillId="0" borderId="0" xfId="97" applyFont="1" applyFill="1" applyBorder="1"/>
    <xf numFmtId="0" fontId="100" fillId="33" borderId="0" xfId="98" applyFont="1" applyFill="1" applyBorder="1" applyAlignment="1">
      <alignment vertical="center" wrapText="1"/>
    </xf>
    <xf numFmtId="0" fontId="88" fillId="33" borderId="0" xfId="98" applyFont="1" applyFill="1" applyBorder="1" applyAlignment="1">
      <alignment horizontal="center" wrapText="1"/>
    </xf>
    <xf numFmtId="2" fontId="88" fillId="33" borderId="0" xfId="98" applyNumberFormat="1" applyFont="1" applyFill="1" applyBorder="1"/>
    <xf numFmtId="2" fontId="132" fillId="33" borderId="0" xfId="97" applyNumberFormat="1" applyFont="1" applyFill="1" applyBorder="1" applyAlignment="1">
      <alignment horizontal="center"/>
    </xf>
    <xf numFmtId="2" fontId="132" fillId="33" borderId="0" xfId="97" applyNumberFormat="1" applyFont="1" applyFill="1" applyBorder="1"/>
    <xf numFmtId="0" fontId="132" fillId="33" borderId="0" xfId="97" applyFont="1" applyFill="1" applyBorder="1"/>
    <xf numFmtId="0" fontId="104" fillId="0" borderId="0" xfId="98" applyFont="1" applyFill="1" applyBorder="1" applyAlignment="1">
      <alignment horizontal="center" wrapText="1"/>
    </xf>
    <xf numFmtId="0" fontId="89" fillId="0" borderId="0" xfId="98" applyFont="1" applyFill="1" applyBorder="1" applyAlignment="1">
      <alignment horizontal="center" wrapText="1"/>
    </xf>
    <xf numFmtId="2" fontId="89" fillId="0" borderId="0" xfId="98" applyNumberFormat="1" applyFont="1" applyFill="1" applyBorder="1"/>
    <xf numFmtId="2" fontId="135" fillId="0" borderId="0" xfId="97" applyNumberFormat="1" applyFont="1" applyFill="1" applyBorder="1"/>
    <xf numFmtId="0" fontId="135" fillId="0" borderId="0" xfId="97" applyFont="1" applyFill="1" applyBorder="1"/>
    <xf numFmtId="0" fontId="88" fillId="56" borderId="34" xfId="97" applyFont="1" applyFill="1" applyBorder="1" applyAlignment="1">
      <alignment vertical="top"/>
    </xf>
    <xf numFmtId="2" fontId="133" fillId="57" borderId="34" xfId="97" applyNumberFormat="1" applyFont="1" applyFill="1" applyBorder="1"/>
    <xf numFmtId="0" fontId="88" fillId="33" borderId="35" xfId="98" applyFont="1" applyFill="1" applyBorder="1" applyAlignment="1">
      <alignment horizontal="center"/>
    </xf>
    <xf numFmtId="0" fontId="19" fillId="57" borderId="0" xfId="97" applyFill="1"/>
    <xf numFmtId="0" fontId="132" fillId="33" borderId="34" xfId="97" applyFont="1" applyFill="1" applyBorder="1" applyAlignment="1">
      <alignment horizontal="center"/>
    </xf>
    <xf numFmtId="0" fontId="135" fillId="33" borderId="34" xfId="97" applyFont="1" applyFill="1" applyBorder="1" applyAlignment="1">
      <alignment horizontal="center" vertical="center"/>
    </xf>
    <xf numFmtId="0" fontId="133" fillId="33" borderId="34" xfId="97" applyFont="1" applyFill="1" applyBorder="1" applyAlignment="1">
      <alignment horizontal="center"/>
    </xf>
    <xf numFmtId="0" fontId="19" fillId="33" borderId="34" xfId="97" applyFill="1" applyBorder="1"/>
    <xf numFmtId="2" fontId="135" fillId="33" borderId="34" xfId="97" applyNumberFormat="1" applyFont="1" applyFill="1" applyBorder="1" applyAlignment="1">
      <alignment horizontal="center" vertical="center"/>
    </xf>
    <xf numFmtId="0" fontId="135" fillId="33" borderId="34" xfId="97" applyFont="1" applyFill="1" applyBorder="1" applyAlignment="1">
      <alignment vertical="center"/>
    </xf>
    <xf numFmtId="2" fontId="135" fillId="0" borderId="0" xfId="97" applyNumberFormat="1" applyFont="1" applyFill="1" applyBorder="1" applyAlignment="1">
      <alignment horizontal="center" vertical="center"/>
    </xf>
    <xf numFmtId="0" fontId="135" fillId="33" borderId="0" xfId="97" applyFont="1" applyFill="1" applyBorder="1" applyAlignment="1">
      <alignment horizontal="center" vertical="center"/>
    </xf>
    <xf numFmtId="0" fontId="133" fillId="33" borderId="0" xfId="97" applyFont="1" applyFill="1" applyBorder="1" applyAlignment="1">
      <alignment horizontal="center"/>
    </xf>
    <xf numFmtId="0" fontId="135" fillId="0" borderId="0" xfId="97" applyFont="1" applyFill="1" applyBorder="1" applyAlignment="1">
      <alignment vertical="center"/>
    </xf>
    <xf numFmtId="0" fontId="133" fillId="57" borderId="34" xfId="97" applyFont="1" applyFill="1" applyBorder="1"/>
    <xf numFmtId="0" fontId="137" fillId="0" borderId="0" xfId="97" applyFont="1" applyFill="1" applyBorder="1" applyAlignment="1">
      <alignment wrapText="1"/>
    </xf>
    <xf numFmtId="0" fontId="138" fillId="0" borderId="0" xfId="97" applyFont="1" applyFill="1"/>
    <xf numFmtId="0" fontId="86" fillId="0" borderId="0" xfId="98" applyFont="1" applyFill="1" applyBorder="1" applyAlignment="1"/>
    <xf numFmtId="0" fontId="88" fillId="56" borderId="34" xfId="97" applyFont="1" applyFill="1" applyBorder="1" applyAlignment="1">
      <alignment vertical="center"/>
    </xf>
    <xf numFmtId="0" fontId="131" fillId="0" borderId="34" xfId="97" applyFont="1" applyBorder="1" applyAlignment="1">
      <alignment horizontal="center" vertical="center"/>
    </xf>
    <xf numFmtId="0" fontId="131" fillId="0" borderId="34" xfId="98" applyFont="1" applyBorder="1" applyAlignment="1">
      <alignment vertical="center"/>
    </xf>
    <xf numFmtId="0" fontId="88" fillId="54" borderId="34" xfId="98" applyFont="1" applyFill="1" applyBorder="1" applyAlignment="1">
      <alignment horizontal="center"/>
    </xf>
    <xf numFmtId="2" fontId="88" fillId="54" borderId="34" xfId="98" applyNumberFormat="1" applyFont="1" applyFill="1" applyBorder="1" applyAlignment="1">
      <alignment horizontal="center"/>
    </xf>
    <xf numFmtId="0" fontId="88" fillId="54" borderId="36" xfId="98" applyFont="1" applyFill="1" applyBorder="1" applyAlignment="1">
      <alignment horizontal="center"/>
    </xf>
    <xf numFmtId="2" fontId="132" fillId="54" borderId="34" xfId="98" applyNumberFormat="1" applyFont="1" applyFill="1" applyBorder="1" applyAlignment="1">
      <alignment horizontal="center"/>
    </xf>
    <xf numFmtId="2" fontId="140" fillId="54" borderId="34" xfId="98" applyNumberFormat="1" applyFont="1" applyFill="1" applyBorder="1" applyAlignment="1">
      <alignment horizontal="center"/>
    </xf>
    <xf numFmtId="0" fontId="132" fillId="56" borderId="34" xfId="97" applyFont="1" applyFill="1" applyBorder="1" applyAlignment="1">
      <alignment vertical="top"/>
    </xf>
    <xf numFmtId="0" fontId="88" fillId="54" borderId="35" xfId="98" applyFont="1" applyFill="1" applyBorder="1"/>
    <xf numFmtId="0" fontId="88" fillId="54" borderId="35" xfId="98" applyFont="1" applyFill="1" applyBorder="1" applyAlignment="1">
      <alignment wrapText="1"/>
    </xf>
    <xf numFmtId="2" fontId="131" fillId="33" borderId="34" xfId="97" applyNumberFormat="1" applyFont="1" applyFill="1" applyBorder="1" applyAlignment="1">
      <alignment horizontal="center"/>
    </xf>
    <xf numFmtId="0" fontId="19" fillId="33" borderId="35" xfId="97" applyFont="1" applyFill="1" applyBorder="1" applyAlignment="1"/>
    <xf numFmtId="2" fontId="104" fillId="33" borderId="34" xfId="98" applyNumberFormat="1" applyFont="1" applyFill="1" applyBorder="1" applyAlignment="1">
      <alignment horizontal="center"/>
    </xf>
    <xf numFmtId="0" fontId="19" fillId="33" borderId="34" xfId="97" applyFont="1" applyFill="1" applyBorder="1" applyAlignment="1"/>
    <xf numFmtId="0" fontId="19" fillId="33" borderId="45" xfId="97" applyFont="1" applyFill="1" applyBorder="1" applyAlignment="1"/>
    <xf numFmtId="0" fontId="19" fillId="33" borderId="36" xfId="97" applyFont="1" applyFill="1" applyBorder="1" applyAlignment="1"/>
    <xf numFmtId="0" fontId="19" fillId="33" borderId="34" xfId="97" applyFont="1" applyFill="1" applyBorder="1"/>
    <xf numFmtId="0" fontId="100" fillId="33" borderId="35" xfId="98" applyFont="1" applyFill="1" applyBorder="1" applyAlignment="1"/>
    <xf numFmtId="0" fontId="100" fillId="33" borderId="45" xfId="98" applyFont="1" applyFill="1" applyBorder="1" applyAlignment="1"/>
    <xf numFmtId="0" fontId="104" fillId="33" borderId="45" xfId="98" applyFont="1" applyFill="1" applyBorder="1" applyAlignment="1"/>
    <xf numFmtId="2" fontId="127" fillId="30" borderId="34" xfId="98" applyNumberFormat="1" applyFont="1" applyFill="1" applyBorder="1" applyAlignment="1">
      <alignment horizontal="center"/>
    </xf>
    <xf numFmtId="2" fontId="130" fillId="30" borderId="34" xfId="97" applyNumberFormat="1" applyFont="1" applyFill="1" applyBorder="1" applyAlignment="1">
      <alignment horizontal="center"/>
    </xf>
    <xf numFmtId="0" fontId="88" fillId="56" borderId="34" xfId="97" applyFont="1" applyFill="1" applyBorder="1" applyAlignment="1">
      <alignment vertical="top" wrapText="1"/>
    </xf>
    <xf numFmtId="0" fontId="31" fillId="0" borderId="0" xfId="98" applyFont="1" applyBorder="1" applyAlignment="1">
      <alignment wrapText="1"/>
    </xf>
    <xf numFmtId="0" fontId="141" fillId="0" borderId="0" xfId="98" applyFont="1" applyBorder="1" applyAlignment="1">
      <alignment horizontal="center"/>
    </xf>
    <xf numFmtId="0" fontId="142" fillId="0" borderId="0" xfId="98" applyFont="1" applyBorder="1" applyAlignment="1">
      <alignment horizontal="center"/>
    </xf>
    <xf numFmtId="0" fontId="141" fillId="0" borderId="0" xfId="98" applyFont="1" applyBorder="1" applyAlignment="1"/>
    <xf numFmtId="2" fontId="141" fillId="0" borderId="0" xfId="98" applyNumberFormat="1" applyFont="1" applyBorder="1" applyAlignment="1">
      <alignment horizontal="center"/>
    </xf>
    <xf numFmtId="0" fontId="86" fillId="0" borderId="0" xfId="98" applyFont="1" applyBorder="1"/>
    <xf numFmtId="0" fontId="132" fillId="57" borderId="34" xfId="97" applyFont="1" applyFill="1" applyBorder="1"/>
    <xf numFmtId="2" fontId="132" fillId="54" borderId="35" xfId="98" applyNumberFormat="1" applyFont="1" applyFill="1" applyBorder="1" applyAlignment="1">
      <alignment horizontal="center"/>
    </xf>
    <xf numFmtId="0" fontId="88" fillId="33" borderId="36" xfId="98" applyFont="1" applyFill="1" applyBorder="1" applyAlignment="1">
      <alignment horizontal="center"/>
    </xf>
    <xf numFmtId="2" fontId="132" fillId="33" borderId="35" xfId="98" applyNumberFormat="1" applyFont="1" applyFill="1" applyBorder="1" applyAlignment="1">
      <alignment horizontal="center"/>
    </xf>
    <xf numFmtId="2" fontId="88" fillId="30" borderId="34" xfId="98" applyNumberFormat="1" applyFont="1" applyFill="1" applyBorder="1" applyAlignment="1">
      <alignment horizontal="center"/>
    </xf>
    <xf numFmtId="0" fontId="133" fillId="33" borderId="68" xfId="98" applyFont="1" applyFill="1" applyBorder="1" applyAlignment="1">
      <alignment horizontal="center" vertical="center"/>
    </xf>
    <xf numFmtId="0" fontId="19" fillId="33" borderId="68" xfId="97" applyFill="1" applyBorder="1" applyAlignment="1">
      <alignment horizontal="center" vertical="center"/>
    </xf>
    <xf numFmtId="2" fontId="19" fillId="33" borderId="0" xfId="97" applyNumberFormat="1" applyFill="1"/>
    <xf numFmtId="0" fontId="97" fillId="0" borderId="0" xfId="97" applyFont="1" applyAlignment="1">
      <alignment wrapText="1"/>
    </xf>
    <xf numFmtId="2" fontId="97" fillId="0" borderId="0" xfId="97" applyNumberFormat="1" applyFont="1"/>
    <xf numFmtId="0" fontId="97" fillId="0" borderId="0" xfId="97" applyFont="1"/>
    <xf numFmtId="2" fontId="140" fillId="30" borderId="34" xfId="98" applyNumberFormat="1" applyFont="1" applyFill="1" applyBorder="1" applyAlignment="1">
      <alignment horizontal="center"/>
    </xf>
    <xf numFmtId="2" fontId="132" fillId="33" borderId="46" xfId="97" applyNumberFormat="1" applyFont="1" applyFill="1" applyBorder="1" applyAlignment="1">
      <alignment horizontal="center" vertical="center"/>
    </xf>
    <xf numFmtId="2" fontId="88" fillId="33" borderId="46" xfId="98" applyNumberFormat="1" applyFont="1" applyFill="1" applyBorder="1" applyAlignment="1">
      <alignment horizontal="center" vertical="center"/>
    </xf>
    <xf numFmtId="2" fontId="133" fillId="33" borderId="46" xfId="98" applyNumberFormat="1" applyFont="1" applyFill="1" applyBorder="1" applyAlignment="1">
      <alignment horizontal="center" vertical="center"/>
    </xf>
    <xf numFmtId="2" fontId="19" fillId="0" borderId="46" xfId="97" applyNumberFormat="1" applyBorder="1" applyAlignment="1">
      <alignment horizontal="center" vertical="center"/>
    </xf>
    <xf numFmtId="0" fontId="19" fillId="32" borderId="34" xfId="97" applyFill="1" applyBorder="1"/>
    <xf numFmtId="0" fontId="104" fillId="33" borderId="34" xfId="98" applyFont="1" applyFill="1" applyBorder="1" applyAlignment="1">
      <alignment horizontal="center"/>
    </xf>
    <xf numFmtId="2" fontId="97" fillId="33" borderId="34" xfId="97" applyNumberFormat="1" applyFont="1" applyFill="1" applyBorder="1"/>
    <xf numFmtId="0" fontId="135" fillId="40" borderId="0" xfId="97" applyFont="1" applyFill="1" applyAlignment="1"/>
    <xf numFmtId="0" fontId="97" fillId="40" borderId="0" xfId="97" applyFont="1" applyFill="1" applyAlignment="1"/>
    <xf numFmtId="0" fontId="19" fillId="40" borderId="0" xfId="97" applyFill="1" applyAlignment="1"/>
    <xf numFmtId="0" fontId="86" fillId="0" borderId="0" xfId="98" applyFont="1"/>
    <xf numFmtId="2" fontId="135" fillId="0" borderId="34" xfId="97" applyNumberFormat="1" applyFont="1" applyBorder="1"/>
    <xf numFmtId="0" fontId="100" fillId="33" borderId="34" xfId="98" applyFont="1" applyFill="1" applyBorder="1" applyAlignment="1">
      <alignment wrapText="1"/>
    </xf>
    <xf numFmtId="2" fontId="133" fillId="54" borderId="34" xfId="98" applyNumberFormat="1" applyFont="1" applyFill="1" applyBorder="1"/>
    <xf numFmtId="2" fontId="100" fillId="33" borderId="34" xfId="98" applyNumberFormat="1" applyFont="1" applyFill="1" applyBorder="1"/>
    <xf numFmtId="0" fontId="100" fillId="0" borderId="0" xfId="98" applyFont="1" applyFill="1" applyBorder="1" applyAlignment="1">
      <alignment vertical="center" wrapText="1"/>
    </xf>
    <xf numFmtId="0" fontId="100" fillId="0" borderId="0" xfId="98" applyFont="1" applyFill="1" applyBorder="1" applyAlignment="1">
      <alignment horizontal="center" wrapText="1"/>
    </xf>
    <xf numFmtId="2" fontId="100" fillId="0" borderId="0" xfId="98" applyNumberFormat="1" applyFont="1" applyFill="1" applyBorder="1"/>
    <xf numFmtId="0" fontId="19" fillId="54" borderId="0" xfId="97" applyFill="1"/>
    <xf numFmtId="2" fontId="86" fillId="0" borderId="0" xfId="98" applyNumberFormat="1" applyFont="1" applyFill="1" applyBorder="1"/>
    <xf numFmtId="0" fontId="31" fillId="0" borderId="0" xfId="98" applyFont="1" applyFill="1" applyBorder="1" applyAlignment="1">
      <alignment wrapText="1"/>
    </xf>
    <xf numFmtId="0" fontId="86" fillId="0" borderId="0" xfId="98" applyFont="1" applyFill="1" applyBorder="1"/>
    <xf numFmtId="0" fontId="104" fillId="0" borderId="0" xfId="98" applyFont="1" applyFill="1" applyBorder="1" applyAlignment="1">
      <alignment horizontal="center" vertical="center" wrapText="1"/>
    </xf>
    <xf numFmtId="0" fontId="132" fillId="0" borderId="0" xfId="97" applyFont="1" applyFill="1" applyBorder="1" applyAlignment="1">
      <alignment vertical="center"/>
    </xf>
    <xf numFmtId="2" fontId="100" fillId="33" borderId="46" xfId="98" applyNumberFormat="1" applyFont="1" applyFill="1" applyBorder="1"/>
    <xf numFmtId="2" fontId="104" fillId="0" borderId="0" xfId="98" applyNumberFormat="1" applyFont="1" applyFill="1" applyBorder="1" applyAlignment="1">
      <alignment horizontal="center" vertical="center" wrapText="1"/>
    </xf>
    <xf numFmtId="0" fontId="131" fillId="0" borderId="0" xfId="97" applyFont="1" applyFill="1" applyBorder="1" applyAlignment="1">
      <alignment wrapText="1"/>
    </xf>
    <xf numFmtId="2" fontId="88" fillId="0" borderId="0" xfId="98" applyNumberFormat="1" applyFont="1" applyFill="1" applyBorder="1"/>
    <xf numFmtId="2" fontId="133" fillId="33" borderId="34" xfId="98" applyNumberFormat="1" applyFont="1" applyFill="1" applyBorder="1"/>
    <xf numFmtId="0" fontId="100" fillId="33" borderId="34" xfId="98" applyFont="1" applyFill="1" applyBorder="1" applyAlignment="1">
      <alignment horizontal="center" wrapText="1"/>
    </xf>
    <xf numFmtId="0" fontId="100" fillId="33" borderId="34" xfId="98" applyFont="1" applyFill="1" applyBorder="1" applyAlignment="1">
      <alignment horizontal="left" vertical="center" wrapText="1"/>
    </xf>
    <xf numFmtId="2" fontId="100" fillId="33" borderId="46" xfId="98" quotePrefix="1" applyNumberFormat="1" applyFont="1" applyFill="1" applyBorder="1" applyAlignment="1">
      <alignment horizontal="center"/>
    </xf>
    <xf numFmtId="0" fontId="133" fillId="33" borderId="34" xfId="97" applyFont="1" applyFill="1" applyBorder="1"/>
    <xf numFmtId="0" fontId="104" fillId="33" borderId="34" xfId="98" applyFont="1" applyFill="1" applyBorder="1" applyAlignment="1">
      <alignment horizontal="center" wrapText="1"/>
    </xf>
    <xf numFmtId="2" fontId="104" fillId="33" borderId="34" xfId="98" applyNumberFormat="1" applyFont="1" applyFill="1" applyBorder="1"/>
    <xf numFmtId="2" fontId="89" fillId="33" borderId="0" xfId="98" applyNumberFormat="1" applyFont="1" applyFill="1" applyBorder="1"/>
    <xf numFmtId="0" fontId="104" fillId="33" borderId="34" xfId="98" applyFont="1" applyFill="1" applyBorder="1"/>
    <xf numFmtId="2" fontId="104" fillId="54" borderId="34" xfId="98" applyNumberFormat="1" applyFont="1" applyFill="1" applyBorder="1"/>
    <xf numFmtId="2" fontId="86" fillId="33" borderId="0" xfId="98" applyNumberFormat="1" applyFont="1" applyFill="1" applyBorder="1"/>
    <xf numFmtId="0" fontId="104" fillId="33" borderId="35" xfId="98" applyFont="1" applyFill="1" applyBorder="1" applyAlignment="1">
      <alignment wrapText="1"/>
    </xf>
    <xf numFmtId="2" fontId="104" fillId="54" borderId="34" xfId="98" applyNumberFormat="1" applyFont="1" applyFill="1" applyBorder="1" applyAlignment="1">
      <alignment horizontal="right" vertical="center"/>
    </xf>
    <xf numFmtId="0" fontId="104" fillId="57" borderId="34" xfId="98" applyFont="1" applyFill="1" applyBorder="1" applyAlignment="1">
      <alignment horizontal="center" wrapText="1"/>
    </xf>
    <xf numFmtId="2" fontId="104" fillId="57" borderId="34" xfId="98" applyNumberFormat="1" applyFont="1" applyFill="1" applyBorder="1"/>
    <xf numFmtId="2" fontId="104" fillId="54" borderId="34" xfId="98" applyNumberFormat="1" applyFont="1" applyFill="1" applyBorder="1" applyAlignment="1"/>
    <xf numFmtId="0" fontId="135" fillId="40" borderId="34" xfId="97" applyFont="1" applyFill="1" applyBorder="1"/>
    <xf numFmtId="0" fontId="131" fillId="40" borderId="36" xfId="97" applyFont="1" applyFill="1" applyBorder="1"/>
    <xf numFmtId="2" fontId="132" fillId="54" borderId="34" xfId="97" applyNumberFormat="1" applyFont="1" applyFill="1" applyBorder="1"/>
    <xf numFmtId="0" fontId="132" fillId="0" borderId="0" xfId="97" applyFont="1"/>
    <xf numFmtId="0" fontId="104" fillId="0" borderId="0" xfId="98" applyFont="1" applyFill="1" applyBorder="1" applyAlignment="1">
      <alignment vertical="center"/>
    </xf>
    <xf numFmtId="0" fontId="133" fillId="0" borderId="0" xfId="97" applyFont="1" applyFill="1" applyBorder="1" applyAlignment="1">
      <alignment vertical="center"/>
    </xf>
    <xf numFmtId="0" fontId="135" fillId="0" borderId="0" xfId="98" applyFont="1" applyFill="1" applyBorder="1" applyAlignment="1">
      <alignment wrapText="1"/>
    </xf>
    <xf numFmtId="0" fontId="131" fillId="0" borderId="34" xfId="97" applyFont="1" applyFill="1" applyBorder="1" applyAlignment="1">
      <alignment horizontal="center" vertical="center" wrapText="1"/>
    </xf>
    <xf numFmtId="0" fontId="131" fillId="33" borderId="34" xfId="97" applyFont="1" applyFill="1" applyBorder="1" applyAlignment="1">
      <alignment wrapText="1"/>
    </xf>
    <xf numFmtId="2" fontId="133" fillId="33" borderId="34" xfId="97" applyNumberFormat="1" applyFont="1" applyFill="1" applyBorder="1"/>
    <xf numFmtId="0" fontId="100" fillId="33" borderId="0" xfId="98" applyFont="1" applyFill="1" applyBorder="1" applyAlignment="1">
      <alignment horizontal="center"/>
    </xf>
    <xf numFmtId="0" fontId="86" fillId="33" borderId="0" xfId="98" applyFont="1" applyFill="1" applyBorder="1"/>
    <xf numFmtId="0" fontId="19" fillId="33" borderId="0" xfId="97" applyFill="1" applyBorder="1"/>
    <xf numFmtId="0" fontId="31" fillId="33" borderId="0" xfId="98" applyFont="1" applyFill="1" applyBorder="1" applyAlignment="1">
      <alignment horizontal="center" vertical="center" wrapText="1"/>
    </xf>
    <xf numFmtId="2" fontId="143" fillId="54" borderId="34" xfId="97" applyNumberFormat="1" applyFont="1" applyFill="1" applyBorder="1"/>
    <xf numFmtId="2" fontId="132" fillId="0" borderId="34" xfId="97" applyNumberFormat="1" applyFont="1" applyBorder="1" applyAlignment="1">
      <alignment horizontal="center"/>
    </xf>
    <xf numFmtId="0" fontId="104" fillId="40" borderId="0" xfId="98" applyFont="1" applyFill="1" applyBorder="1"/>
    <xf numFmtId="0" fontId="89" fillId="57" borderId="0" xfId="98" applyFont="1" applyFill="1" applyBorder="1"/>
    <xf numFmtId="0" fontId="89" fillId="0" borderId="0" xfId="98" applyFont="1" applyFill="1" applyBorder="1"/>
    <xf numFmtId="0" fontId="100" fillId="0" borderId="0" xfId="98" applyFont="1" applyFill="1" applyBorder="1" applyAlignment="1">
      <alignment horizontal="center" vertical="center" wrapText="1"/>
    </xf>
    <xf numFmtId="0" fontId="89" fillId="0" borderId="34" xfId="98" applyFont="1" applyFill="1" applyBorder="1"/>
    <xf numFmtId="0" fontId="89" fillId="0" borderId="34" xfId="98" applyFont="1" applyFill="1" applyBorder="1" applyAlignment="1">
      <alignment wrapText="1"/>
    </xf>
    <xf numFmtId="0" fontId="131" fillId="0" borderId="34" xfId="98" applyFont="1" applyFill="1" applyBorder="1" applyAlignment="1">
      <alignment wrapText="1"/>
    </xf>
    <xf numFmtId="0" fontId="19" fillId="40" borderId="0" xfId="97" applyFill="1"/>
    <xf numFmtId="2" fontId="131" fillId="54" borderId="34" xfId="97" applyNumberFormat="1" applyFont="1" applyFill="1" applyBorder="1" applyAlignment="1">
      <alignment horizontal="right"/>
    </xf>
    <xf numFmtId="0" fontId="143" fillId="0" borderId="34" xfId="97" applyFont="1" applyBorder="1" applyAlignment="1">
      <alignment horizontal="center"/>
    </xf>
    <xf numFmtId="0" fontId="89" fillId="49" borderId="34" xfId="98" applyFont="1" applyFill="1" applyBorder="1"/>
    <xf numFmtId="0" fontId="131" fillId="33" borderId="34" xfId="97" applyFont="1" applyFill="1" applyBorder="1"/>
    <xf numFmtId="0" fontId="133" fillId="0" borderId="34" xfId="97" applyFont="1" applyBorder="1" applyAlignment="1">
      <alignment wrapText="1"/>
    </xf>
    <xf numFmtId="0" fontId="131" fillId="54" borderId="34" xfId="97" applyFont="1" applyFill="1" applyBorder="1"/>
    <xf numFmtId="0" fontId="104" fillId="0" borderId="0" xfId="98" applyFont="1" applyFill="1" applyBorder="1"/>
    <xf numFmtId="2" fontId="131" fillId="54" borderId="34" xfId="97" applyNumberFormat="1" applyFont="1" applyFill="1" applyBorder="1"/>
    <xf numFmtId="0" fontId="104" fillId="0" borderId="34" xfId="98" applyFont="1" applyFill="1" applyBorder="1"/>
    <xf numFmtId="0" fontId="100" fillId="33" borderId="34" xfId="98" applyFont="1" applyFill="1" applyBorder="1"/>
    <xf numFmtId="2" fontId="132" fillId="30" borderId="34" xfId="97" applyNumberFormat="1" applyFont="1" applyFill="1" applyBorder="1" applyAlignment="1">
      <alignment horizontal="center"/>
    </xf>
    <xf numFmtId="2" fontId="131" fillId="33" borderId="34" xfId="97" applyNumberFormat="1" applyFont="1" applyFill="1" applyBorder="1"/>
    <xf numFmtId="0" fontId="132" fillId="0" borderId="34" xfId="97" applyFont="1" applyBorder="1" applyAlignment="1">
      <alignment horizontal="center" vertical="center" wrapText="1"/>
    </xf>
    <xf numFmtId="0" fontId="100" fillId="0" borderId="34" xfId="98" applyFont="1" applyFill="1" applyBorder="1" applyAlignment="1">
      <alignment vertical="center" wrapText="1"/>
    </xf>
    <xf numFmtId="2" fontId="135" fillId="0" borderId="34" xfId="97" applyNumberFormat="1" applyFont="1" applyBorder="1" applyAlignment="1">
      <alignment horizontal="center"/>
    </xf>
    <xf numFmtId="0" fontId="100" fillId="0" borderId="34" xfId="98" applyFont="1" applyFill="1" applyBorder="1" applyAlignment="1">
      <alignment vertical="center"/>
    </xf>
    <xf numFmtId="2" fontId="104" fillId="0" borderId="34" xfId="98" applyNumberFormat="1" applyFont="1" applyFill="1" applyBorder="1"/>
    <xf numFmtId="2" fontId="104" fillId="0" borderId="34" xfId="98" applyNumberFormat="1" applyFont="1" applyFill="1" applyBorder="1" applyAlignment="1">
      <alignment wrapText="1"/>
    </xf>
    <xf numFmtId="0" fontId="131" fillId="0" borderId="34" xfId="97" applyFont="1" applyBorder="1"/>
    <xf numFmtId="0" fontId="19" fillId="54" borderId="34" xfId="97" applyFont="1" applyFill="1" applyBorder="1"/>
    <xf numFmtId="0" fontId="144" fillId="0" borderId="0" xfId="97" applyFont="1" applyFill="1" applyBorder="1"/>
    <xf numFmtId="0" fontId="104" fillId="0" borderId="34" xfId="98" applyFont="1" applyFill="1" applyBorder="1" applyAlignment="1">
      <alignment wrapText="1"/>
    </xf>
    <xf numFmtId="0" fontId="100" fillId="0" borderId="34" xfId="98" applyFont="1" applyFill="1" applyBorder="1"/>
    <xf numFmtId="0" fontId="135" fillId="0" borderId="34" xfId="98" applyFont="1" applyFill="1" applyBorder="1" applyAlignment="1">
      <alignment wrapText="1"/>
    </xf>
    <xf numFmtId="2" fontId="19" fillId="30" borderId="34" xfId="97" applyNumberFormat="1" applyFont="1" applyFill="1" applyBorder="1"/>
    <xf numFmtId="2" fontId="100" fillId="0" borderId="34" xfId="98" applyNumberFormat="1" applyFont="1" applyFill="1" applyBorder="1"/>
    <xf numFmtId="0" fontId="19" fillId="57" borderId="34" xfId="97" applyFill="1" applyBorder="1"/>
    <xf numFmtId="0" fontId="104" fillId="49" borderId="34" xfId="98" applyFont="1" applyFill="1" applyBorder="1"/>
    <xf numFmtId="2" fontId="131" fillId="49" borderId="34" xfId="97" applyNumberFormat="1" applyFont="1" applyFill="1" applyBorder="1"/>
    <xf numFmtId="2" fontId="104" fillId="49" borderId="34" xfId="98" applyNumberFormat="1" applyFont="1" applyFill="1" applyBorder="1"/>
    <xf numFmtId="0" fontId="97" fillId="57" borderId="34" xfId="97" applyFont="1" applyFill="1" applyBorder="1"/>
    <xf numFmtId="0" fontId="144" fillId="0" borderId="34" xfId="97" applyFont="1" applyBorder="1"/>
    <xf numFmtId="0" fontId="19" fillId="0" borderId="34" xfId="97" applyBorder="1" applyAlignment="1">
      <alignment horizontal="center"/>
    </xf>
    <xf numFmtId="0" fontId="144" fillId="0" borderId="34" xfId="97" applyFont="1" applyFill="1" applyBorder="1"/>
    <xf numFmtId="2" fontId="135" fillId="0" borderId="34" xfId="97" applyNumberFormat="1" applyFont="1" applyFill="1" applyBorder="1"/>
    <xf numFmtId="0" fontId="19" fillId="58" borderId="0" xfId="97" applyFill="1"/>
    <xf numFmtId="0" fontId="145" fillId="49" borderId="0" xfId="97" applyFont="1" applyFill="1"/>
    <xf numFmtId="0" fontId="146" fillId="0" borderId="34" xfId="98" applyFont="1" applyFill="1" applyBorder="1" applyAlignment="1">
      <alignment horizontal="center" vertical="center" wrapText="1"/>
    </xf>
    <xf numFmtId="0" fontId="135" fillId="0" borderId="34" xfId="97" applyFont="1" applyBorder="1" applyAlignment="1">
      <alignment horizontal="center" vertical="center"/>
    </xf>
    <xf numFmtId="0" fontId="135" fillId="0" borderId="34" xfId="98" applyFont="1" applyBorder="1" applyAlignment="1"/>
    <xf numFmtId="0" fontId="88" fillId="0" borderId="34" xfId="98" applyFont="1" applyFill="1" applyBorder="1"/>
    <xf numFmtId="0" fontId="132" fillId="0" borderId="36" xfId="97" applyFont="1" applyFill="1" applyBorder="1"/>
    <xf numFmtId="2" fontId="19" fillId="0" borderId="34" xfId="97" applyNumberFormat="1" applyBorder="1"/>
    <xf numFmtId="0" fontId="88" fillId="0" borderId="35" xfId="98" applyFont="1" applyFill="1" applyBorder="1"/>
    <xf numFmtId="0" fontId="88" fillId="0" borderId="36" xfId="98" applyFont="1" applyFill="1" applyBorder="1" applyAlignment="1">
      <alignment horizontal="center"/>
    </xf>
    <xf numFmtId="2" fontId="88" fillId="0" borderId="35" xfId="98" applyNumberFormat="1" applyFont="1" applyFill="1" applyBorder="1" applyAlignment="1">
      <alignment horizontal="center"/>
    </xf>
    <xf numFmtId="2" fontId="132" fillId="0" borderId="68" xfId="97" applyNumberFormat="1" applyFont="1" applyBorder="1" applyAlignment="1">
      <alignment horizontal="center" vertical="center"/>
    </xf>
    <xf numFmtId="2" fontId="88" fillId="0" borderId="68" xfId="98" applyNumberFormat="1" applyFont="1" applyFill="1" applyBorder="1" applyAlignment="1">
      <alignment horizontal="center" vertical="center"/>
    </xf>
    <xf numFmtId="2" fontId="132" fillId="0" borderId="34" xfId="98" applyNumberFormat="1" applyFont="1" applyBorder="1" applyAlignment="1">
      <alignment horizontal="center" vertical="center"/>
    </xf>
    <xf numFmtId="2" fontId="124" fillId="0" borderId="34" xfId="97" applyNumberFormat="1" applyFont="1" applyBorder="1" applyAlignment="1">
      <alignment horizontal="center" vertical="center"/>
    </xf>
    <xf numFmtId="2" fontId="89" fillId="0" borderId="34" xfId="98" applyNumberFormat="1" applyFont="1" applyFill="1" applyBorder="1" applyAlignment="1">
      <alignment horizontal="center"/>
    </xf>
    <xf numFmtId="2" fontId="135" fillId="48" borderId="34" xfId="97" applyNumberFormat="1" applyFont="1" applyFill="1" applyBorder="1" applyAlignment="1">
      <alignment horizontal="center"/>
    </xf>
    <xf numFmtId="0" fontId="132" fillId="48" borderId="34" xfId="97" applyFont="1" applyFill="1" applyBorder="1" applyAlignment="1"/>
    <xf numFmtId="2" fontId="132" fillId="48" borderId="34" xfId="97" applyNumberFormat="1" applyFont="1" applyFill="1" applyBorder="1" applyAlignment="1"/>
    <xf numFmtId="0" fontId="132" fillId="48" borderId="34" xfId="97" applyFont="1" applyFill="1" applyBorder="1"/>
    <xf numFmtId="0" fontId="124" fillId="48" borderId="34" xfId="97" applyFont="1" applyFill="1" applyBorder="1"/>
    <xf numFmtId="0" fontId="88" fillId="48" borderId="35" xfId="98" applyFont="1" applyFill="1" applyBorder="1" applyAlignment="1"/>
    <xf numFmtId="0" fontId="88" fillId="48" borderId="45" xfId="98" applyFont="1" applyFill="1" applyBorder="1" applyAlignment="1"/>
    <xf numFmtId="2" fontId="89" fillId="48" borderId="34" xfId="98" applyNumberFormat="1" applyFont="1" applyFill="1" applyBorder="1" applyAlignment="1">
      <alignment horizontal="center"/>
    </xf>
    <xf numFmtId="0" fontId="89" fillId="48" borderId="34" xfId="98" applyFont="1" applyFill="1" applyBorder="1" applyAlignment="1">
      <alignment horizontal="center"/>
    </xf>
    <xf numFmtId="2" fontId="96" fillId="48" borderId="34" xfId="97" applyNumberFormat="1" applyFont="1" applyFill="1" applyBorder="1"/>
    <xf numFmtId="0" fontId="89" fillId="54" borderId="34" xfId="98" applyFont="1" applyFill="1" applyBorder="1" applyAlignment="1">
      <alignment horizontal="center" vertical="center" wrapText="1"/>
    </xf>
    <xf numFmtId="0" fontId="135" fillId="0" borderId="46" xfId="98" applyFont="1" applyFill="1" applyBorder="1" applyAlignment="1">
      <alignment horizontal="center" vertical="center" wrapText="1"/>
    </xf>
    <xf numFmtId="0" fontId="146" fillId="0" borderId="36" xfId="98" applyFont="1" applyFill="1" applyBorder="1" applyAlignment="1">
      <alignment horizontal="center" vertical="center" wrapText="1"/>
    </xf>
    <xf numFmtId="2" fontId="88" fillId="54" borderId="35" xfId="98" applyNumberFormat="1" applyFont="1" applyFill="1" applyBorder="1" applyAlignment="1">
      <alignment horizontal="center"/>
    </xf>
    <xf numFmtId="2" fontId="88" fillId="0" borderId="35" xfId="98" quotePrefix="1" applyNumberFormat="1" applyFont="1" applyFill="1" applyBorder="1" applyAlignment="1">
      <alignment horizontal="center"/>
    </xf>
    <xf numFmtId="2" fontId="135" fillId="48" borderId="34" xfId="97" applyNumberFormat="1" applyFont="1" applyFill="1" applyBorder="1" applyAlignment="1"/>
    <xf numFmtId="0" fontId="133" fillId="54" borderId="34" xfId="97" applyFont="1" applyFill="1" applyBorder="1"/>
    <xf numFmtId="0" fontId="135" fillId="57" borderId="0" xfId="97" applyFont="1" applyFill="1"/>
    <xf numFmtId="0" fontId="97" fillId="57" borderId="0" xfId="97" applyFont="1" applyFill="1"/>
    <xf numFmtId="0" fontId="135" fillId="57" borderId="35" xfId="97" applyFont="1" applyFill="1" applyBorder="1" applyAlignment="1"/>
    <xf numFmtId="0" fontId="135" fillId="57" borderId="45" xfId="97" applyFont="1" applyFill="1" applyBorder="1" applyAlignment="1"/>
    <xf numFmtId="0" fontId="19" fillId="57" borderId="81" xfId="97" applyFill="1" applyBorder="1"/>
    <xf numFmtId="0" fontId="135" fillId="0" borderId="0" xfId="97" applyFont="1" applyFill="1" applyBorder="1" applyAlignment="1"/>
    <xf numFmtId="0" fontId="143" fillId="54" borderId="34" xfId="97" applyFont="1" applyFill="1" applyBorder="1"/>
    <xf numFmtId="0" fontId="131" fillId="0" borderId="34" xfId="97" applyFont="1" applyFill="1" applyBorder="1" applyAlignment="1">
      <alignment horizontal="center" wrapText="1"/>
    </xf>
    <xf numFmtId="0" fontId="19" fillId="49" borderId="35" xfId="97" applyFill="1" applyBorder="1"/>
    <xf numFmtId="0" fontId="19" fillId="49" borderId="45" xfId="97" applyFill="1" applyBorder="1"/>
    <xf numFmtId="0" fontId="19" fillId="49" borderId="36" xfId="97" applyFill="1" applyBorder="1"/>
    <xf numFmtId="0" fontId="131" fillId="0" borderId="34" xfId="97" applyFont="1" applyFill="1" applyBorder="1" applyAlignment="1">
      <alignment wrapText="1"/>
    </xf>
    <xf numFmtId="0" fontId="131" fillId="49" borderId="34" xfId="97" applyFont="1" applyFill="1" applyBorder="1"/>
    <xf numFmtId="0" fontId="135" fillId="49" borderId="34" xfId="97" applyFont="1" applyFill="1" applyBorder="1"/>
    <xf numFmtId="0" fontId="135" fillId="57" borderId="34" xfId="97" applyFont="1" applyFill="1" applyBorder="1"/>
    <xf numFmtId="0" fontId="131" fillId="57" borderId="36" xfId="97" applyFont="1" applyFill="1" applyBorder="1"/>
    <xf numFmtId="0" fontId="31" fillId="0" borderId="0" xfId="98"/>
    <xf numFmtId="0" fontId="89" fillId="57" borderId="34" xfId="98" applyFont="1" applyFill="1" applyBorder="1" applyAlignment="1"/>
    <xf numFmtId="2" fontId="132" fillId="54" borderId="34" xfId="98" applyNumberFormat="1" applyFont="1" applyFill="1" applyBorder="1"/>
    <xf numFmtId="2" fontId="132" fillId="0" borderId="34" xfId="98" applyNumberFormat="1" applyFont="1" applyFill="1" applyBorder="1"/>
    <xf numFmtId="2" fontId="132" fillId="0" borderId="46" xfId="98" applyNumberFormat="1" applyFont="1" applyFill="1" applyBorder="1"/>
    <xf numFmtId="183" fontId="133" fillId="0" borderId="34" xfId="97" applyNumberFormat="1" applyFont="1" applyBorder="1"/>
    <xf numFmtId="2" fontId="134" fillId="0" borderId="34" xfId="98" applyNumberFormat="1" applyFont="1" applyFill="1" applyBorder="1"/>
    <xf numFmtId="2" fontId="88" fillId="0" borderId="34" xfId="98" quotePrefix="1" applyNumberFormat="1" applyFont="1" applyFill="1" applyBorder="1" applyAlignment="1">
      <alignment horizontal="center"/>
    </xf>
    <xf numFmtId="0" fontId="134" fillId="0" borderId="34" xfId="97" applyFont="1" applyBorder="1"/>
    <xf numFmtId="0" fontId="89" fillId="57" borderId="83" xfId="98" applyFont="1" applyFill="1" applyBorder="1" applyAlignment="1"/>
    <xf numFmtId="0" fontId="89" fillId="57" borderId="44" xfId="98" applyFont="1" applyFill="1" applyBorder="1" applyAlignment="1"/>
    <xf numFmtId="2" fontId="104" fillId="49" borderId="46" xfId="98" applyNumberFormat="1" applyFont="1" applyFill="1" applyBorder="1" applyAlignment="1">
      <alignment vertical="center"/>
    </xf>
    <xf numFmtId="0" fontId="132" fillId="0" borderId="34" xfId="98" applyFont="1" applyFill="1" applyBorder="1" applyAlignment="1">
      <alignment horizontal="center" wrapText="1"/>
    </xf>
    <xf numFmtId="2" fontId="132" fillId="0" borderId="34" xfId="97" applyNumberFormat="1" applyFont="1" applyFill="1" applyBorder="1"/>
    <xf numFmtId="0" fontId="104" fillId="49" borderId="35" xfId="98" applyFont="1" applyFill="1" applyBorder="1"/>
    <xf numFmtId="2" fontId="104" fillId="49" borderId="69" xfId="98" applyNumberFormat="1" applyFont="1" applyFill="1" applyBorder="1" applyAlignment="1">
      <alignment vertical="center"/>
    </xf>
    <xf numFmtId="0" fontId="104" fillId="49" borderId="35" xfId="98" applyFont="1" applyFill="1" applyBorder="1" applyAlignment="1">
      <alignment wrapText="1"/>
    </xf>
    <xf numFmtId="2" fontId="104" fillId="49" borderId="34" xfId="98" applyNumberFormat="1" applyFont="1" applyFill="1" applyBorder="1" applyAlignment="1">
      <alignment horizontal="right" vertical="center"/>
    </xf>
    <xf numFmtId="0" fontId="132" fillId="30" borderId="34" xfId="97" quotePrefix="1" applyFont="1" applyFill="1" applyBorder="1" applyAlignment="1">
      <alignment horizontal="right"/>
    </xf>
    <xf numFmtId="2" fontId="104" fillId="49" borderId="34" xfId="98" applyNumberFormat="1" applyFont="1" applyFill="1" applyBorder="1" applyAlignment="1"/>
    <xf numFmtId="2" fontId="104" fillId="49" borderId="68" xfId="98" applyNumberFormat="1" applyFont="1" applyFill="1" applyBorder="1" applyAlignment="1">
      <alignment vertical="center"/>
    </xf>
    <xf numFmtId="2" fontId="132" fillId="30" borderId="34" xfId="97" quotePrefix="1" applyNumberFormat="1" applyFont="1" applyFill="1" applyBorder="1" applyAlignment="1">
      <alignment horizontal="right"/>
    </xf>
    <xf numFmtId="0" fontId="143" fillId="54" borderId="34" xfId="97" applyFont="1" applyFill="1" applyBorder="1" applyAlignment="1">
      <alignment horizontal="center"/>
    </xf>
    <xf numFmtId="0" fontId="135" fillId="49" borderId="34" xfId="97" applyFont="1" applyFill="1" applyBorder="1" applyAlignment="1">
      <alignment horizontal="center" vertical="center"/>
    </xf>
    <xf numFmtId="0" fontId="133" fillId="49" borderId="34" xfId="97" applyFont="1" applyFill="1" applyBorder="1" applyAlignment="1">
      <alignment horizontal="center"/>
    </xf>
    <xf numFmtId="0" fontId="19" fillId="49" borderId="34" xfId="97" applyFill="1" applyBorder="1"/>
    <xf numFmtId="2" fontId="135" fillId="49" borderId="34" xfId="97" applyNumberFormat="1" applyFont="1" applyFill="1" applyBorder="1" applyAlignment="1">
      <alignment horizontal="center" vertical="center"/>
    </xf>
    <xf numFmtId="0" fontId="135" fillId="49" borderId="34" xfId="97" applyFont="1" applyFill="1" applyBorder="1" applyAlignment="1">
      <alignment vertical="center"/>
    </xf>
    <xf numFmtId="0" fontId="19" fillId="0" borderId="34" xfId="97" applyBorder="1" applyAlignment="1">
      <alignment horizontal="center" vertical="center"/>
    </xf>
    <xf numFmtId="0" fontId="19" fillId="54" borderId="34" xfId="97" applyFont="1" applyFill="1" applyBorder="1" applyAlignment="1">
      <alignment horizontal="center" vertical="center"/>
    </xf>
    <xf numFmtId="0" fontId="19" fillId="54" borderId="34" xfId="97" applyFont="1" applyFill="1" applyBorder="1" applyAlignment="1">
      <alignment horizontal="center"/>
    </xf>
    <xf numFmtId="0" fontId="104" fillId="49" borderId="34" xfId="98" applyFont="1" applyFill="1" applyBorder="1" applyAlignment="1">
      <alignment horizontal="center" wrapText="1"/>
    </xf>
    <xf numFmtId="0" fontId="124" fillId="0" borderId="0" xfId="97" applyFont="1"/>
    <xf numFmtId="0" fontId="135" fillId="0" borderId="0" xfId="98" applyFont="1" applyFill="1" applyBorder="1" applyAlignment="1">
      <alignment vertical="center"/>
    </xf>
    <xf numFmtId="0" fontId="104" fillId="0" borderId="0" xfId="98" applyFont="1" applyFill="1" applyBorder="1" applyAlignment="1">
      <alignment horizontal="center" vertical="center"/>
    </xf>
    <xf numFmtId="2" fontId="88" fillId="0" borderId="0" xfId="98" applyNumberFormat="1" applyFont="1" applyFill="1" applyBorder="1" applyAlignment="1">
      <alignment horizontal="right"/>
    </xf>
    <xf numFmtId="2" fontId="132" fillId="0" borderId="0" xfId="97" applyNumberFormat="1" applyFont="1" applyFill="1" applyBorder="1" applyAlignment="1">
      <alignment horizontal="right"/>
    </xf>
    <xf numFmtId="2" fontId="133" fillId="0" borderId="0" xfId="97" applyNumberFormat="1" applyFont="1" applyFill="1" applyBorder="1"/>
    <xf numFmtId="0" fontId="132" fillId="0" borderId="0" xfId="97" applyFont="1" applyFill="1" applyBorder="1" applyAlignment="1">
      <alignment horizontal="right"/>
    </xf>
    <xf numFmtId="2" fontId="104" fillId="0" borderId="0" xfId="98" applyNumberFormat="1" applyFont="1" applyFill="1" applyBorder="1"/>
    <xf numFmtId="0" fontId="132" fillId="0" borderId="34" xfId="97" applyFont="1" applyFill="1" applyBorder="1"/>
    <xf numFmtId="0" fontId="97" fillId="30" borderId="34" xfId="97" applyFont="1" applyFill="1" applyBorder="1"/>
    <xf numFmtId="0" fontId="100" fillId="33" borderId="46" xfId="98" applyFont="1" applyFill="1" applyBorder="1" applyAlignment="1">
      <alignment horizontal="left" vertical="center" wrapText="1"/>
    </xf>
    <xf numFmtId="0" fontId="100" fillId="33" borderId="46" xfId="98" applyFont="1" applyFill="1" applyBorder="1" applyAlignment="1">
      <alignment horizontal="center" wrapText="1"/>
    </xf>
    <xf numFmtId="2" fontId="89" fillId="49" borderId="34" xfId="98" applyNumberFormat="1" applyFont="1" applyFill="1" applyBorder="1"/>
    <xf numFmtId="0" fontId="100" fillId="33" borderId="0" xfId="98" applyFont="1" applyFill="1" applyBorder="1" applyAlignment="1">
      <alignment horizontal="left" vertical="center" wrapText="1"/>
    </xf>
    <xf numFmtId="0" fontId="100" fillId="33" borderId="0" xfId="98" applyFont="1" applyFill="1" applyBorder="1" applyAlignment="1">
      <alignment horizontal="center" wrapText="1"/>
    </xf>
    <xf numFmtId="2" fontId="100" fillId="33" borderId="0" xfId="98" applyNumberFormat="1" applyFont="1" applyFill="1" applyBorder="1"/>
    <xf numFmtId="0" fontId="133" fillId="0" borderId="0" xfId="97" applyFont="1" applyAlignment="1">
      <alignment horizontal="center"/>
    </xf>
    <xf numFmtId="2" fontId="148" fillId="0" borderId="34" xfId="98" applyNumberFormat="1" applyFont="1" applyFill="1" applyBorder="1"/>
    <xf numFmtId="0" fontId="19" fillId="0" borderId="0" xfId="97" applyAlignment="1">
      <alignment wrapText="1"/>
    </xf>
    <xf numFmtId="2" fontId="86" fillId="49" borderId="34" xfId="98" applyNumberFormat="1" applyFont="1" applyFill="1" applyBorder="1"/>
    <xf numFmtId="0" fontId="19" fillId="30" borderId="34" xfId="97" applyFill="1" applyBorder="1"/>
    <xf numFmtId="0" fontId="88" fillId="49" borderId="34" xfId="98" applyFont="1" applyFill="1" applyBorder="1" applyAlignment="1">
      <alignment horizontal="center" wrapText="1"/>
    </xf>
    <xf numFmtId="0" fontId="132" fillId="49" borderId="34" xfId="97" applyFont="1" applyFill="1" applyBorder="1" applyAlignment="1">
      <alignment horizontal="center" vertical="center"/>
    </xf>
    <xf numFmtId="0" fontId="104" fillId="57" borderId="35" xfId="98" applyFont="1" applyFill="1" applyBorder="1" applyAlignment="1">
      <alignment vertical="center"/>
    </xf>
    <xf numFmtId="0" fontId="86" fillId="57" borderId="36" xfId="98" applyFont="1" applyFill="1" applyBorder="1" applyAlignment="1">
      <alignment vertical="center"/>
    </xf>
    <xf numFmtId="0" fontId="133" fillId="0" borderId="34" xfId="97" applyFont="1" applyBorder="1" applyAlignment="1">
      <alignment vertical="center"/>
    </xf>
    <xf numFmtId="2" fontId="131" fillId="0" borderId="34" xfId="97" applyNumberFormat="1" applyFont="1" applyBorder="1"/>
    <xf numFmtId="0" fontId="104" fillId="57" borderId="0" xfId="98" applyFont="1" applyFill="1" applyBorder="1"/>
    <xf numFmtId="2" fontId="97" fillId="0" borderId="34" xfId="97" applyNumberFormat="1" applyFont="1" applyBorder="1"/>
    <xf numFmtId="0" fontId="19" fillId="0" borderId="0" xfId="97" applyFont="1" applyFill="1" applyBorder="1"/>
    <xf numFmtId="0" fontId="131" fillId="0" borderId="0" xfId="97" applyFont="1" applyFill="1" applyBorder="1"/>
    <xf numFmtId="2" fontId="131" fillId="0" borderId="0" xfId="97" applyNumberFormat="1" applyFont="1" applyFill="1" applyBorder="1"/>
    <xf numFmtId="0" fontId="124" fillId="0" borderId="0" xfId="97" applyFont="1" applyFill="1" applyBorder="1"/>
    <xf numFmtId="0" fontId="131" fillId="0" borderId="44" xfId="97" applyFont="1" applyFill="1" applyBorder="1"/>
    <xf numFmtId="0" fontId="135" fillId="0" borderId="44" xfId="97" applyFont="1" applyFill="1" applyBorder="1"/>
    <xf numFmtId="0" fontId="89" fillId="0" borderId="0" xfId="98" applyFont="1" applyFill="1" applyBorder="1" applyAlignment="1"/>
    <xf numFmtId="0" fontId="132" fillId="0" borderId="0" xfId="97" applyFont="1" applyFill="1" applyBorder="1" applyAlignment="1">
      <alignment horizontal="center"/>
    </xf>
    <xf numFmtId="0" fontId="135" fillId="0" borderId="0" xfId="97" applyFont="1" applyFill="1" applyBorder="1" applyAlignment="1">
      <alignment wrapText="1"/>
    </xf>
    <xf numFmtId="0" fontId="135" fillId="0" borderId="0" xfId="97" applyFont="1" applyFill="1" applyBorder="1" applyAlignment="1">
      <alignment horizontal="center"/>
    </xf>
    <xf numFmtId="2" fontId="135" fillId="0" borderId="0" xfId="97" applyNumberFormat="1" applyFont="1" applyFill="1" applyBorder="1" applyAlignment="1">
      <alignment horizontal="center"/>
    </xf>
    <xf numFmtId="0" fontId="135" fillId="0" borderId="0" xfId="98" applyFont="1" applyFill="1" applyBorder="1" applyAlignment="1">
      <alignment horizontal="center" vertical="center" wrapText="1"/>
    </xf>
    <xf numFmtId="0" fontId="135" fillId="0" borderId="0" xfId="98" applyFont="1" applyFill="1" applyBorder="1" applyAlignment="1">
      <alignment horizontal="center" vertical="center"/>
    </xf>
    <xf numFmtId="2" fontId="135" fillId="0" borderId="0" xfId="98" applyNumberFormat="1" applyFont="1" applyFill="1" applyBorder="1" applyAlignment="1">
      <alignment horizontal="center" vertical="center" wrapText="1"/>
    </xf>
    <xf numFmtId="0" fontId="135" fillId="0" borderId="0" xfId="97" applyFont="1" applyFill="1" applyBorder="1" applyAlignment="1">
      <alignment vertical="center" wrapText="1"/>
    </xf>
    <xf numFmtId="0" fontId="135" fillId="0" borderId="0" xfId="97" applyFont="1" applyFill="1" applyBorder="1" applyAlignment="1">
      <alignment horizontal="center" vertical="center" wrapText="1"/>
    </xf>
    <xf numFmtId="0" fontId="132" fillId="0" borderId="0" xfId="98" applyFont="1" applyFill="1" applyBorder="1" applyAlignment="1">
      <alignment horizontal="center" wrapText="1"/>
    </xf>
    <xf numFmtId="2" fontId="132" fillId="0" borderId="0" xfId="98" applyNumberFormat="1" applyFont="1" applyFill="1" applyBorder="1"/>
    <xf numFmtId="2" fontId="132" fillId="0" borderId="0" xfId="97" applyNumberFormat="1" applyFont="1" applyFill="1" applyBorder="1"/>
    <xf numFmtId="0" fontId="135" fillId="0" borderId="0" xfId="98" applyFont="1" applyFill="1" applyBorder="1" applyAlignment="1">
      <alignment horizontal="center" wrapText="1"/>
    </xf>
    <xf numFmtId="0" fontId="146" fillId="0" borderId="0" xfId="98" applyFont="1" applyFill="1" applyBorder="1" applyAlignment="1">
      <alignment horizontal="center" wrapText="1"/>
    </xf>
    <xf numFmtId="2" fontId="146" fillId="0" borderId="0" xfId="98" applyNumberFormat="1" applyFont="1" applyFill="1" applyBorder="1"/>
    <xf numFmtId="0" fontId="146" fillId="0" borderId="0" xfId="97" applyFont="1" applyFill="1" applyBorder="1"/>
    <xf numFmtId="0" fontId="147" fillId="0" borderId="0" xfId="97" applyFont="1" applyFill="1" applyBorder="1"/>
    <xf numFmtId="0" fontId="138" fillId="0" borderId="0" xfId="97" applyFont="1" applyFill="1" applyBorder="1"/>
    <xf numFmtId="0" fontId="19" fillId="0" borderId="34" xfId="97" applyBorder="1" applyAlignment="1">
      <alignment wrapText="1"/>
    </xf>
    <xf numFmtId="0" fontId="19" fillId="54" borderId="34" xfId="97" applyFill="1" applyBorder="1"/>
    <xf numFmtId="0" fontId="96" fillId="0" borderId="0" xfId="97" applyFont="1" applyFill="1" applyBorder="1"/>
    <xf numFmtId="0" fontId="132" fillId="0" borderId="0" xfId="97" applyFont="1" applyFill="1" applyBorder="1" applyAlignment="1">
      <alignment horizontal="center" vertical="center"/>
    </xf>
    <xf numFmtId="2" fontId="88" fillId="54" borderId="35" xfId="98" quotePrefix="1" applyNumberFormat="1" applyFont="1" applyFill="1" applyBorder="1" applyAlignment="1">
      <alignment horizontal="center"/>
    </xf>
    <xf numFmtId="0" fontId="104" fillId="49" borderId="46" xfId="98" applyFont="1" applyFill="1" applyBorder="1"/>
    <xf numFmtId="2" fontId="131" fillId="49" borderId="46" xfId="97" applyNumberFormat="1" applyFont="1" applyFill="1" applyBorder="1"/>
    <xf numFmtId="2" fontId="104" fillId="49" borderId="46" xfId="98" applyNumberFormat="1" applyFont="1" applyFill="1" applyBorder="1"/>
    <xf numFmtId="0" fontId="97" fillId="30" borderId="46" xfId="97" applyFont="1" applyFill="1" applyBorder="1"/>
    <xf numFmtId="2" fontId="86" fillId="49" borderId="46" xfId="98" applyNumberFormat="1" applyFont="1" applyFill="1" applyBorder="1"/>
    <xf numFmtId="2" fontId="89" fillId="49" borderId="46" xfId="98" applyNumberFormat="1" applyFont="1" applyFill="1" applyBorder="1"/>
    <xf numFmtId="0" fontId="131" fillId="49" borderId="46" xfId="97" applyFont="1" applyFill="1" applyBorder="1"/>
    <xf numFmtId="0" fontId="97" fillId="0" borderId="0" xfId="97" applyFont="1" applyFill="1" applyBorder="1"/>
    <xf numFmtId="0" fontId="132" fillId="0" borderId="46" xfId="98" applyFont="1" applyFill="1" applyBorder="1" applyAlignment="1">
      <alignment horizontal="center" wrapText="1"/>
    </xf>
    <xf numFmtId="2" fontId="132" fillId="57" borderId="46" xfId="98" applyNumberFormat="1" applyFont="1" applyFill="1" applyBorder="1"/>
    <xf numFmtId="0" fontId="19" fillId="0" borderId="34" xfId="97" quotePrefix="1" applyFont="1" applyBorder="1"/>
    <xf numFmtId="2" fontId="132" fillId="0" borderId="34" xfId="98" quotePrefix="1" applyNumberFormat="1" applyFont="1" applyFill="1" applyBorder="1" applyAlignment="1">
      <alignment horizontal="center" vertical="center"/>
    </xf>
    <xf numFmtId="2" fontId="132" fillId="57" borderId="34" xfId="98" applyNumberFormat="1" applyFont="1" applyFill="1" applyBorder="1" applyAlignment="1">
      <alignment vertical="center"/>
    </xf>
    <xf numFmtId="2" fontId="132" fillId="57" borderId="34" xfId="97" applyNumberFormat="1" applyFont="1" applyFill="1" applyBorder="1" applyAlignment="1">
      <alignment horizontal="center" vertical="center"/>
    </xf>
    <xf numFmtId="2" fontId="132" fillId="0" borderId="34" xfId="97" applyNumberFormat="1" applyFont="1" applyBorder="1" applyAlignment="1">
      <alignment vertical="center"/>
    </xf>
    <xf numFmtId="2" fontId="132" fillId="0" borderId="34" xfId="98" applyNumberFormat="1" applyFont="1" applyFill="1" applyBorder="1" applyAlignment="1">
      <alignment vertical="center"/>
    </xf>
    <xf numFmtId="2" fontId="132" fillId="0" borderId="68" xfId="98" applyNumberFormat="1" applyFont="1" applyFill="1" applyBorder="1" applyAlignment="1">
      <alignment horizontal="right" vertical="center"/>
    </xf>
    <xf numFmtId="2" fontId="132" fillId="57" borderId="34" xfId="97" applyNumberFormat="1" applyFont="1" applyFill="1" applyBorder="1" applyAlignment="1">
      <alignment vertical="center"/>
    </xf>
    <xf numFmtId="2" fontId="132" fillId="57" borderId="34" xfId="97" applyNumberFormat="1" applyFont="1" applyFill="1" applyBorder="1"/>
    <xf numFmtId="2" fontId="132" fillId="57" borderId="68" xfId="97" applyNumberFormat="1" applyFont="1" applyFill="1" applyBorder="1" applyAlignment="1">
      <alignment horizontal="right" vertical="center"/>
    </xf>
    <xf numFmtId="2" fontId="132" fillId="57" borderId="68" xfId="97" applyNumberFormat="1" applyFont="1" applyFill="1" applyBorder="1" applyAlignment="1">
      <alignment horizontal="center" vertical="center"/>
    </xf>
    <xf numFmtId="2" fontId="132" fillId="0" borderId="34" xfId="97" applyNumberFormat="1" applyFont="1" applyBorder="1" applyAlignment="1">
      <alignment horizontal="right" vertical="center"/>
    </xf>
    <xf numFmtId="0" fontId="134" fillId="42" borderId="34" xfId="97" applyFont="1" applyFill="1" applyBorder="1" applyAlignment="1">
      <alignment vertical="center"/>
    </xf>
    <xf numFmtId="0" fontId="132" fillId="0" borderId="34" xfId="97" applyFont="1" applyBorder="1" applyAlignment="1">
      <alignment horizontal="right" vertical="center"/>
    </xf>
    <xf numFmtId="0" fontId="135" fillId="49" borderId="34" xfId="98" applyFont="1" applyFill="1" applyBorder="1" applyAlignment="1">
      <alignment horizontal="center"/>
    </xf>
    <xf numFmtId="2" fontId="135" fillId="49" borderId="34" xfId="98" applyNumberFormat="1" applyFont="1" applyFill="1" applyBorder="1"/>
    <xf numFmtId="0" fontId="124" fillId="0" borderId="0" xfId="97" applyFont="1" applyFill="1"/>
    <xf numFmtId="0" fontId="19" fillId="0" borderId="34" xfId="97" applyFill="1" applyBorder="1"/>
    <xf numFmtId="0" fontId="135" fillId="0" borderId="0" xfId="97" applyFont="1" applyFill="1"/>
    <xf numFmtId="2" fontId="131" fillId="57" borderId="34" xfId="97" applyNumberFormat="1" applyFont="1" applyFill="1" applyBorder="1"/>
    <xf numFmtId="171" fontId="132" fillId="0" borderId="0" xfId="97" applyNumberFormat="1" applyFont="1" applyFill="1" applyBorder="1"/>
    <xf numFmtId="2" fontId="132" fillId="0" borderId="34" xfId="97" applyNumberFormat="1" applyFont="1" applyBorder="1" applyAlignment="1"/>
    <xf numFmtId="0" fontId="89" fillId="49" borderId="34" xfId="97" applyFont="1" applyFill="1" applyBorder="1" applyAlignment="1">
      <alignment horizontal="center"/>
    </xf>
    <xf numFmtId="2" fontId="89" fillId="49" borderId="34" xfId="97" applyNumberFormat="1" applyFont="1" applyFill="1" applyBorder="1" applyAlignment="1">
      <alignment horizontal="center"/>
    </xf>
    <xf numFmtId="2" fontId="135" fillId="49" borderId="34" xfId="97" applyNumberFormat="1" applyFont="1" applyFill="1" applyBorder="1"/>
    <xf numFmtId="0" fontId="131" fillId="0" borderId="34" xfId="97" applyFont="1" applyFill="1" applyBorder="1"/>
    <xf numFmtId="0" fontId="132" fillId="0" borderId="0" xfId="97" quotePrefix="1" applyFont="1" applyFill="1" applyBorder="1" applyAlignment="1">
      <alignment horizontal="right"/>
    </xf>
    <xf numFmtId="0" fontId="88" fillId="0" borderId="0" xfId="98" applyFont="1" applyFill="1" applyBorder="1" applyAlignment="1">
      <alignment horizontal="center"/>
    </xf>
    <xf numFmtId="2" fontId="132" fillId="0" borderId="0" xfId="97" applyNumberFormat="1" applyFont="1" applyBorder="1" applyAlignment="1">
      <alignment horizontal="center"/>
    </xf>
    <xf numFmtId="0" fontId="142" fillId="0" borderId="68" xfId="97" applyFont="1" applyFill="1" applyBorder="1" applyAlignment="1">
      <alignment horizontal="center" vertical="center" wrapText="1"/>
    </xf>
    <xf numFmtId="0" fontId="142" fillId="0" borderId="34" xfId="97" applyFont="1" applyFill="1" applyBorder="1" applyAlignment="1">
      <alignment horizontal="center" vertical="center" wrapText="1"/>
    </xf>
    <xf numFmtId="0" fontId="31" fillId="0" borderId="34" xfId="98" applyFont="1" applyFill="1" applyBorder="1" applyAlignment="1">
      <alignment horizontal="center"/>
    </xf>
    <xf numFmtId="0" fontId="125" fillId="0" borderId="34" xfId="97" applyFont="1" applyFill="1" applyBorder="1" applyAlignment="1">
      <alignment horizontal="right"/>
    </xf>
    <xf numFmtId="2" fontId="31" fillId="0" borderId="34" xfId="98" applyNumberFormat="1" applyFont="1" applyFill="1" applyBorder="1" applyAlignment="1">
      <alignment horizontal="center"/>
    </xf>
    <xf numFmtId="2" fontId="31" fillId="0" borderId="34" xfId="98" applyNumberFormat="1" applyFill="1" applyBorder="1" applyAlignment="1">
      <alignment horizontal="center"/>
    </xf>
    <xf numFmtId="2" fontId="125" fillId="0" borderId="34" xfId="97" applyNumberFormat="1" applyFont="1" applyFill="1" applyBorder="1" applyAlignment="1">
      <alignment horizontal="center"/>
    </xf>
    <xf numFmtId="1" fontId="125" fillId="0" borderId="34" xfId="97" applyNumberFormat="1" applyFont="1" applyFill="1" applyBorder="1" applyAlignment="1">
      <alignment horizontal="center"/>
    </xf>
    <xf numFmtId="0" fontId="19" fillId="0" borderId="34" xfId="97" applyFill="1" applyBorder="1" applyAlignment="1">
      <alignment horizontal="center"/>
    </xf>
    <xf numFmtId="12" fontId="125" fillId="0" borderId="34" xfId="97" applyNumberFormat="1" applyFont="1" applyFill="1" applyBorder="1" applyAlignment="1">
      <alignment horizontal="center" vertical="center" wrapText="1"/>
    </xf>
    <xf numFmtId="0" fontId="125" fillId="0" borderId="34" xfId="97" applyFont="1" applyFill="1" applyBorder="1" applyAlignment="1">
      <alignment horizontal="center"/>
    </xf>
    <xf numFmtId="2" fontId="133" fillId="0" borderId="34" xfId="97" applyNumberFormat="1" applyFont="1" applyFill="1" applyBorder="1" applyAlignment="1">
      <alignment horizontal="center"/>
    </xf>
    <xf numFmtId="183" fontId="125" fillId="0" borderId="34" xfId="97" applyNumberFormat="1" applyFont="1" applyFill="1" applyBorder="1" applyAlignment="1">
      <alignment horizontal="center"/>
    </xf>
    <xf numFmtId="2" fontId="150" fillId="0" borderId="89" xfId="99" applyNumberFormat="1" applyFill="1" applyBorder="1" applyAlignment="1">
      <alignment horizontal="center"/>
    </xf>
    <xf numFmtId="0" fontId="142" fillId="59" borderId="34" xfId="97" applyFont="1" applyFill="1" applyBorder="1" applyAlignment="1">
      <alignment horizontal="center" vertical="center" wrapText="1"/>
    </xf>
    <xf numFmtId="0" fontId="19" fillId="59" borderId="34" xfId="97" applyFill="1" applyBorder="1"/>
    <xf numFmtId="2" fontId="142" fillId="59" borderId="34" xfId="97" applyNumberFormat="1" applyFont="1" applyFill="1" applyBorder="1" applyAlignment="1">
      <alignment horizontal="center" vertical="center" wrapText="1"/>
    </xf>
    <xf numFmtId="0" fontId="125" fillId="59" borderId="34" xfId="97" applyFont="1" applyFill="1" applyBorder="1"/>
    <xf numFmtId="171" fontId="142" fillId="59" borderId="34" xfId="97" applyNumberFormat="1" applyFont="1" applyFill="1" applyBorder="1" applyAlignment="1">
      <alignment horizontal="right"/>
    </xf>
    <xf numFmtId="2" fontId="135" fillId="0" borderId="0" xfId="97" applyNumberFormat="1" applyFont="1"/>
    <xf numFmtId="0" fontId="97" fillId="54" borderId="0" xfId="97" applyFont="1" applyFill="1"/>
    <xf numFmtId="1" fontId="135" fillId="0" borderId="0" xfId="97" applyNumberFormat="1" applyFont="1" applyBorder="1"/>
    <xf numFmtId="2" fontId="135" fillId="0" borderId="0" xfId="97" applyNumberFormat="1" applyFont="1" applyBorder="1"/>
    <xf numFmtId="49" fontId="19" fillId="0" borderId="0" xfId="97" applyNumberFormat="1" applyAlignment="1">
      <alignment wrapText="1"/>
    </xf>
    <xf numFmtId="0" fontId="151" fillId="0" borderId="91" xfId="97" applyFont="1" applyBorder="1" applyAlignment="1">
      <alignment horizontal="center" vertical="center"/>
    </xf>
    <xf numFmtId="0" fontId="151" fillId="0" borderId="27" xfId="97" applyFont="1" applyBorder="1" applyAlignment="1">
      <alignment horizontal="center" vertical="center"/>
    </xf>
    <xf numFmtId="0" fontId="151" fillId="0" borderId="27" xfId="97" applyFont="1" applyBorder="1" applyAlignment="1">
      <alignment horizontal="center" vertical="center" wrapText="1"/>
    </xf>
    <xf numFmtId="0" fontId="151" fillId="0" borderId="92" xfId="97" applyFont="1" applyBorder="1" applyAlignment="1">
      <alignment horizontal="center" vertical="center" wrapText="1"/>
    </xf>
    <xf numFmtId="16" fontId="19" fillId="0" borderId="68" xfId="97" applyNumberFormat="1" applyBorder="1" applyAlignment="1">
      <alignment horizontal="center"/>
    </xf>
    <xf numFmtId="2" fontId="124" fillId="0" borderId="68" xfId="97" applyNumberFormat="1" applyFont="1" applyBorder="1" applyAlignment="1">
      <alignment horizontal="center"/>
    </xf>
    <xf numFmtId="0" fontId="124" fillId="0" borderId="68" xfId="97" applyFont="1" applyBorder="1" applyAlignment="1">
      <alignment horizontal="center"/>
    </xf>
    <xf numFmtId="0" fontId="124" fillId="36" borderId="68" xfId="97" applyFont="1" applyFill="1" applyBorder="1" applyAlignment="1">
      <alignment horizontal="center"/>
    </xf>
    <xf numFmtId="0" fontId="151" fillId="0" borderId="34" xfId="99" applyFont="1" applyBorder="1" applyAlignment="1">
      <alignment horizontal="center"/>
    </xf>
    <xf numFmtId="0" fontId="151" fillId="0" borderId="34" xfId="99" applyFont="1" applyFill="1" applyBorder="1" applyAlignment="1">
      <alignment horizontal="center"/>
    </xf>
    <xf numFmtId="191" fontId="150" fillId="0" borderId="34" xfId="99" applyNumberFormat="1" applyBorder="1" applyAlignment="1">
      <alignment horizontal="center"/>
    </xf>
    <xf numFmtId="171" fontId="19" fillId="0" borderId="34" xfId="97" applyNumberFormat="1" applyBorder="1"/>
    <xf numFmtId="192" fontId="19" fillId="0" borderId="34" xfId="97" applyNumberFormat="1" applyBorder="1"/>
    <xf numFmtId="0" fontId="96" fillId="36" borderId="34" xfId="97" applyFont="1" applyFill="1" applyBorder="1" applyAlignment="1">
      <alignment horizontal="center" vertical="center"/>
    </xf>
    <xf numFmtId="0" fontId="151" fillId="0" borderId="94" xfId="99" applyFont="1" applyBorder="1" applyAlignment="1">
      <alignment horizontal="center"/>
    </xf>
    <xf numFmtId="193" fontId="151" fillId="0" borderId="94" xfId="99" applyNumberFormat="1" applyFont="1" applyBorder="1" applyAlignment="1">
      <alignment horizontal="center"/>
    </xf>
    <xf numFmtId="194" fontId="151" fillId="0" borderId="94" xfId="99" applyNumberFormat="1" applyFont="1" applyBorder="1" applyAlignment="1">
      <alignment horizontal="center"/>
    </xf>
    <xf numFmtId="195" fontId="151" fillId="0" borderId="94" xfId="99" applyNumberFormat="1" applyFont="1" applyBorder="1" applyAlignment="1">
      <alignment horizontal="center"/>
    </xf>
    <xf numFmtId="196" fontId="151" fillId="0" borderId="94" xfId="99" applyNumberFormat="1" applyFont="1" applyBorder="1" applyAlignment="1">
      <alignment horizontal="center" wrapText="1"/>
    </xf>
    <xf numFmtId="197" fontId="151" fillId="0" borderId="94" xfId="99" applyNumberFormat="1" applyFont="1" applyBorder="1" applyAlignment="1">
      <alignment horizontal="center" wrapText="1"/>
    </xf>
    <xf numFmtId="198" fontId="151" fillId="0" borderId="94" xfId="99" applyNumberFormat="1" applyFont="1" applyBorder="1" applyAlignment="1">
      <alignment horizontal="center"/>
    </xf>
    <xf numFmtId="0" fontId="153" fillId="0" borderId="94" xfId="99" applyFont="1" applyBorder="1" applyAlignment="1">
      <alignment horizontal="center"/>
    </xf>
    <xf numFmtId="0" fontId="151" fillId="0" borderId="95" xfId="99" applyFont="1" applyBorder="1" applyAlignment="1">
      <alignment horizontal="center"/>
    </xf>
    <xf numFmtId="199" fontId="154" fillId="0" borderId="34" xfId="99" applyNumberFormat="1" applyFont="1" applyBorder="1" applyAlignment="1">
      <alignment horizontal="center"/>
    </xf>
    <xf numFmtId="2" fontId="150" fillId="0" borderId="34" xfId="99" applyNumberFormat="1" applyBorder="1" applyAlignment="1">
      <alignment horizontal="center"/>
    </xf>
    <xf numFmtId="0" fontId="150" fillId="0" borderId="34" xfId="99" applyBorder="1" applyAlignment="1">
      <alignment horizontal="center"/>
    </xf>
    <xf numFmtId="2" fontId="97" fillId="62" borderId="34" xfId="97" applyNumberFormat="1" applyFont="1" applyFill="1" applyBorder="1" applyAlignment="1">
      <alignment horizontal="center"/>
    </xf>
    <xf numFmtId="0" fontId="155" fillId="0" borderId="0" xfId="97" applyFont="1" applyAlignment="1"/>
    <xf numFmtId="0" fontId="156" fillId="0" borderId="0" xfId="97" applyFont="1"/>
    <xf numFmtId="199" fontId="154" fillId="0" borderId="34" xfId="99" applyNumberFormat="1" applyFont="1" applyBorder="1" applyAlignment="1">
      <alignment horizontal="center" wrapText="1"/>
    </xf>
    <xf numFmtId="2" fontId="150" fillId="0" borderId="34" xfId="99" quotePrefix="1" applyNumberFormat="1" applyBorder="1" applyAlignment="1">
      <alignment horizontal="center"/>
    </xf>
    <xf numFmtId="2" fontId="150" fillId="54" borderId="34" xfId="99" quotePrefix="1" applyNumberFormat="1" applyFill="1" applyBorder="1" applyAlignment="1">
      <alignment horizontal="center"/>
    </xf>
    <xf numFmtId="0" fontId="96" fillId="46" borderId="34" xfId="97" applyFont="1" applyFill="1" applyBorder="1" applyAlignment="1">
      <alignment horizontal="center"/>
    </xf>
    <xf numFmtId="0" fontId="96" fillId="46" borderId="34" xfId="97" applyFont="1" applyFill="1" applyBorder="1"/>
    <xf numFmtId="0" fontId="19" fillId="0" borderId="0" xfId="97" applyAlignment="1">
      <alignment horizontal="right"/>
    </xf>
    <xf numFmtId="200" fontId="151" fillId="0" borderId="94" xfId="99" applyNumberFormat="1" applyFont="1" applyBorder="1" applyAlignment="1">
      <alignment horizontal="center"/>
    </xf>
    <xf numFmtId="201" fontId="151" fillId="0" borderId="96" xfId="99" applyNumberFormat="1" applyFont="1" applyBorder="1" applyAlignment="1">
      <alignment horizontal="center"/>
    </xf>
    <xf numFmtId="201" fontId="151" fillId="0" borderId="94" xfId="99" applyNumberFormat="1" applyFont="1" applyBorder="1" applyAlignment="1">
      <alignment horizontal="center"/>
    </xf>
    <xf numFmtId="202" fontId="151" fillId="0" borderId="94" xfId="99" applyNumberFormat="1" applyFont="1" applyBorder="1" applyAlignment="1">
      <alignment horizontal="center"/>
    </xf>
    <xf numFmtId="2" fontId="150" fillId="0" borderId="34" xfId="99" applyNumberFormat="1" applyFill="1" applyBorder="1" applyAlignment="1">
      <alignment horizontal="center"/>
    </xf>
    <xf numFmtId="0" fontId="133" fillId="0" borderId="0" xfId="97" applyFont="1" applyAlignment="1">
      <alignment horizontal="center" wrapText="1"/>
    </xf>
    <xf numFmtId="0" fontId="133" fillId="0" borderId="34" xfId="97" applyFont="1" applyBorder="1" applyAlignment="1">
      <alignment horizontal="center" wrapText="1"/>
    </xf>
    <xf numFmtId="191" fontId="150" fillId="0" borderId="35" xfId="99" applyNumberFormat="1" applyBorder="1" applyAlignment="1">
      <alignment horizontal="center"/>
    </xf>
    <xf numFmtId="2" fontId="150" fillId="0" borderId="45" xfId="99" applyNumberFormat="1" applyBorder="1" applyAlignment="1">
      <alignment horizontal="center"/>
    </xf>
    <xf numFmtId="0" fontId="150" fillId="0" borderId="45" xfId="99" applyBorder="1" applyAlignment="1">
      <alignment horizontal="center"/>
    </xf>
    <xf numFmtId="191" fontId="150" fillId="0" borderId="35" xfId="99" applyNumberFormat="1" applyBorder="1" applyAlignment="1"/>
    <xf numFmtId="191" fontId="150" fillId="0" borderId="45" xfId="99" applyNumberFormat="1" applyBorder="1" applyAlignment="1"/>
    <xf numFmtId="2" fontId="158" fillId="0" borderId="36" xfId="99" applyNumberFormat="1" applyFont="1" applyBorder="1" applyAlignment="1">
      <alignment horizontal="center"/>
    </xf>
    <xf numFmtId="2" fontId="106" fillId="62" borderId="97" xfId="99" applyNumberFormat="1" applyFont="1" applyFill="1" applyBorder="1" applyAlignment="1">
      <alignment horizontal="center"/>
    </xf>
    <xf numFmtId="191" fontId="158" fillId="0" borderId="0" xfId="99" applyNumberFormat="1" applyFont="1" applyBorder="1" applyAlignment="1"/>
    <xf numFmtId="2" fontId="158" fillId="0" borderId="0" xfId="99" applyNumberFormat="1" applyFont="1" applyBorder="1" applyAlignment="1">
      <alignment horizontal="center"/>
    </xf>
    <xf numFmtId="2" fontId="106" fillId="0" borderId="0" xfId="99" applyNumberFormat="1" applyFont="1" applyFill="1" applyBorder="1" applyAlignment="1">
      <alignment vertical="center"/>
    </xf>
    <xf numFmtId="191" fontId="150" fillId="0" borderId="0" xfId="99" applyNumberFormat="1" applyBorder="1" applyAlignment="1"/>
    <xf numFmtId="198" fontId="151" fillId="61" borderId="94" xfId="99" applyNumberFormat="1" applyFont="1" applyFill="1" applyBorder="1" applyAlignment="1">
      <alignment horizontal="center"/>
    </xf>
    <xf numFmtId="2" fontId="100" fillId="0" borderId="34" xfId="99" applyNumberFormat="1" applyFont="1" applyBorder="1" applyAlignment="1">
      <alignment horizontal="center"/>
    </xf>
    <xf numFmtId="2" fontId="100" fillId="33" borderId="34" xfId="99" applyNumberFormat="1" applyFont="1" applyFill="1" applyBorder="1" applyAlignment="1">
      <alignment horizontal="center"/>
    </xf>
    <xf numFmtId="0" fontId="154" fillId="0" borderId="34" xfId="99" applyFont="1" applyBorder="1" applyAlignment="1">
      <alignment horizontal="center"/>
    </xf>
    <xf numFmtId="2" fontId="152" fillId="62" borderId="98" xfId="99" applyNumberFormat="1" applyFont="1" applyFill="1" applyBorder="1" applyAlignment="1"/>
    <xf numFmtId="0" fontId="131" fillId="0" borderId="0" xfId="97" applyFont="1"/>
    <xf numFmtId="0" fontId="133" fillId="0" borderId="0" xfId="97" applyFont="1"/>
    <xf numFmtId="191" fontId="158" fillId="0" borderId="0" xfId="99" applyNumberFormat="1" applyFont="1" applyBorder="1" applyAlignment="1">
      <alignment horizontal="center"/>
    </xf>
    <xf numFmtId="2" fontId="152" fillId="0" borderId="0" xfId="99" applyNumberFormat="1" applyFont="1" applyFill="1" applyBorder="1" applyAlignment="1"/>
    <xf numFmtId="0" fontId="129" fillId="60" borderId="0" xfId="97" applyFont="1" applyFill="1"/>
    <xf numFmtId="0" fontId="135" fillId="48" borderId="0" xfId="97" applyFont="1" applyFill="1"/>
    <xf numFmtId="200" fontId="151" fillId="0" borderId="34" xfId="99" applyNumberFormat="1" applyFont="1" applyFill="1" applyBorder="1" applyAlignment="1">
      <alignment horizontal="center"/>
    </xf>
    <xf numFmtId="201" fontId="151" fillId="0" borderId="34" xfId="99" applyNumberFormat="1" applyFont="1" applyFill="1" applyBorder="1" applyAlignment="1">
      <alignment horizontal="center"/>
    </xf>
    <xf numFmtId="198" fontId="151" fillId="0" borderId="34" xfId="99" applyNumberFormat="1" applyFont="1" applyFill="1" applyBorder="1" applyAlignment="1">
      <alignment horizontal="center"/>
    </xf>
    <xf numFmtId="202" fontId="151" fillId="0" borderId="34" xfId="99" applyNumberFormat="1" applyFont="1" applyFill="1" applyBorder="1" applyAlignment="1">
      <alignment horizontal="center"/>
    </xf>
    <xf numFmtId="0" fontId="152" fillId="0" borderId="34" xfId="99" applyFont="1" applyBorder="1" applyAlignment="1">
      <alignment horizontal="center"/>
    </xf>
    <xf numFmtId="2" fontId="132" fillId="0" borderId="0" xfId="97" applyNumberFormat="1" applyFont="1"/>
    <xf numFmtId="191" fontId="150" fillId="0" borderId="100" xfId="99" applyNumberFormat="1" applyFill="1" applyBorder="1" applyAlignment="1">
      <alignment horizontal="center"/>
    </xf>
    <xf numFmtId="199" fontId="154" fillId="0" borderId="100" xfId="99" applyNumberFormat="1" applyFont="1" applyFill="1" applyBorder="1" applyAlignment="1">
      <alignment horizontal="center"/>
    </xf>
    <xf numFmtId="2" fontId="150" fillId="0" borderId="100" xfId="99" applyNumberFormat="1" applyFill="1" applyBorder="1" applyAlignment="1">
      <alignment horizontal="center"/>
    </xf>
    <xf numFmtId="0" fontId="150" fillId="0" borderId="100" xfId="99" applyFill="1" applyBorder="1" applyAlignment="1">
      <alignment horizontal="center"/>
    </xf>
    <xf numFmtId="2" fontId="150" fillId="0" borderId="101" xfId="99" applyNumberFormat="1" applyFill="1" applyBorder="1" applyAlignment="1">
      <alignment horizontal="center"/>
    </xf>
    <xf numFmtId="191" fontId="150" fillId="0" borderId="102" xfId="99" applyNumberFormat="1" applyFill="1" applyBorder="1" applyAlignment="1">
      <alignment horizontal="center"/>
    </xf>
    <xf numFmtId="199" fontId="154" fillId="0" borderId="102" xfId="99" applyNumberFormat="1" applyFont="1" applyFill="1" applyBorder="1" applyAlignment="1">
      <alignment horizontal="center"/>
    </xf>
    <xf numFmtId="2" fontId="150" fillId="0" borderId="102" xfId="99" applyNumberFormat="1" applyFill="1" applyBorder="1" applyAlignment="1">
      <alignment horizontal="center"/>
    </xf>
    <xf numFmtId="0" fontId="150" fillId="0" borderId="102" xfId="99" applyFill="1" applyBorder="1" applyAlignment="1">
      <alignment horizontal="center"/>
    </xf>
    <xf numFmtId="0" fontId="154" fillId="0" borderId="102" xfId="99" applyFont="1" applyFill="1" applyBorder="1" applyAlignment="1">
      <alignment horizontal="center"/>
    </xf>
    <xf numFmtId="191" fontId="150" fillId="0" borderId="103" xfId="99" applyNumberFormat="1" applyFill="1" applyBorder="1" applyAlignment="1">
      <alignment horizontal="center"/>
    </xf>
    <xf numFmtId="0" fontId="154" fillId="0" borderId="103" xfId="99" applyFont="1" applyFill="1" applyBorder="1" applyAlignment="1">
      <alignment horizontal="center"/>
    </xf>
    <xf numFmtId="2" fontId="150" fillId="0" borderId="103" xfId="99" applyNumberFormat="1" applyFill="1" applyBorder="1" applyAlignment="1">
      <alignment horizontal="center"/>
    </xf>
    <xf numFmtId="0" fontId="150" fillId="0" borderId="103" xfId="99" applyFill="1" applyBorder="1" applyAlignment="1">
      <alignment horizontal="center"/>
    </xf>
    <xf numFmtId="2" fontId="150" fillId="0" borderId="104" xfId="99" applyNumberFormat="1" applyFill="1" applyBorder="1" applyAlignment="1">
      <alignment horizontal="center"/>
    </xf>
    <xf numFmtId="191" fontId="150" fillId="0" borderId="0" xfId="99" applyNumberFormat="1" applyFill="1" applyBorder="1" applyAlignment="1">
      <alignment horizontal="center"/>
    </xf>
    <xf numFmtId="0" fontId="154" fillId="0" borderId="0" xfId="99" applyFont="1" applyFill="1" applyBorder="1" applyAlignment="1">
      <alignment horizontal="center"/>
    </xf>
    <xf numFmtId="2" fontId="150" fillId="0" borderId="0" xfId="99" applyNumberFormat="1" applyFill="1" applyBorder="1" applyAlignment="1">
      <alignment horizontal="center"/>
    </xf>
    <xf numFmtId="0" fontId="150" fillId="0" borderId="0" xfId="99" applyFill="1" applyBorder="1" applyAlignment="1">
      <alignment horizontal="center"/>
    </xf>
    <xf numFmtId="2" fontId="106" fillId="0" borderId="34" xfId="99" applyNumberFormat="1" applyFont="1" applyFill="1" applyBorder="1" applyAlignment="1">
      <alignment vertical="center"/>
    </xf>
    <xf numFmtId="191" fontId="150" fillId="0" borderId="0" xfId="99" applyNumberFormat="1" applyBorder="1" applyAlignment="1">
      <alignment horizontal="center"/>
    </xf>
    <xf numFmtId="0" fontId="154" fillId="0" borderId="0" xfId="99" applyFont="1" applyBorder="1" applyAlignment="1">
      <alignment horizontal="center"/>
    </xf>
    <xf numFmtId="2" fontId="150" fillId="0" borderId="0" xfId="99" applyNumberFormat="1" applyBorder="1" applyAlignment="1">
      <alignment horizontal="center"/>
    </xf>
    <xf numFmtId="2" fontId="106" fillId="40" borderId="0" xfId="99" applyNumberFormat="1" applyFont="1" applyFill="1" applyBorder="1" applyAlignment="1">
      <alignment vertical="center"/>
    </xf>
    <xf numFmtId="0" fontId="19" fillId="0" borderId="0" xfId="97" applyBorder="1" applyAlignment="1">
      <alignment horizontal="center"/>
    </xf>
    <xf numFmtId="2" fontId="106" fillId="0" borderId="69" xfId="99" applyNumberFormat="1" applyFont="1" applyFill="1" applyBorder="1" applyAlignment="1">
      <alignment vertical="center"/>
    </xf>
    <xf numFmtId="0" fontId="131" fillId="62" borderId="34" xfId="97" applyFont="1" applyFill="1" applyBorder="1"/>
    <xf numFmtId="0" fontId="131" fillId="37" borderId="34" xfId="97" applyFont="1" applyFill="1" applyBorder="1" applyAlignment="1">
      <alignment horizontal="right"/>
    </xf>
    <xf numFmtId="0" fontId="131" fillId="46" borderId="34" xfId="97" applyFont="1" applyFill="1" applyBorder="1"/>
    <xf numFmtId="2" fontId="131" fillId="46" borderId="34" xfId="97" applyNumberFormat="1" applyFont="1" applyFill="1" applyBorder="1"/>
    <xf numFmtId="0" fontId="96" fillId="44" borderId="34" xfId="97" applyFont="1" applyFill="1" applyBorder="1" applyAlignment="1">
      <alignment horizontal="center"/>
    </xf>
    <xf numFmtId="0" fontId="96" fillId="44" borderId="34" xfId="97" applyFont="1" applyFill="1" applyBorder="1" applyAlignment="1">
      <alignment horizontal="center" vertical="center"/>
    </xf>
    <xf numFmtId="0" fontId="131" fillId="37" borderId="34" xfId="97" applyFont="1" applyFill="1" applyBorder="1"/>
    <xf numFmtId="192" fontId="96" fillId="0" borderId="34" xfId="97" applyNumberFormat="1" applyFont="1" applyBorder="1" applyAlignment="1">
      <alignment horizontal="center"/>
    </xf>
    <xf numFmtId="0" fontId="151" fillId="0" borderId="91" xfId="97" applyFont="1" applyBorder="1" applyAlignment="1">
      <alignment horizontal="center" vertical="center" wrapText="1"/>
    </xf>
    <xf numFmtId="190" fontId="19" fillId="0" borderId="105" xfId="97" applyNumberFormat="1" applyBorder="1" applyAlignment="1">
      <alignment horizontal="center"/>
    </xf>
    <xf numFmtId="0" fontId="19" fillId="0" borderId="34" xfId="97" applyFont="1" applyBorder="1"/>
    <xf numFmtId="16" fontId="19" fillId="0" borderId="68" xfId="97" applyNumberFormat="1" applyBorder="1" applyAlignment="1">
      <alignment horizontal="center" wrapText="1"/>
    </xf>
    <xf numFmtId="0" fontId="151" fillId="0" borderId="34" xfId="97" applyFont="1" applyBorder="1" applyAlignment="1">
      <alignment horizontal="center" vertical="center"/>
    </xf>
    <xf numFmtId="0" fontId="151" fillId="0" borderId="91" xfId="97" applyFont="1" applyBorder="1" applyAlignment="1">
      <alignment horizontal="center"/>
    </xf>
    <xf numFmtId="0" fontId="151" fillId="0" borderId="27" xfId="97" applyFont="1" applyBorder="1" applyAlignment="1">
      <alignment horizontal="center"/>
    </xf>
    <xf numFmtId="0" fontId="151" fillId="0" borderId="92" xfId="97" applyFont="1" applyBorder="1" applyAlignment="1">
      <alignment horizontal="center"/>
    </xf>
    <xf numFmtId="190" fontId="19" fillId="46" borderId="105" xfId="97" applyNumberFormat="1" applyFill="1" applyBorder="1" applyAlignment="1">
      <alignment horizontal="center"/>
    </xf>
    <xf numFmtId="16" fontId="19" fillId="46" borderId="68" xfId="97" applyNumberFormat="1" applyFill="1" applyBorder="1" applyAlignment="1">
      <alignment horizontal="center"/>
    </xf>
    <xf numFmtId="2" fontId="19" fillId="0" borderId="68" xfId="97" applyNumberFormat="1" applyFill="1" applyBorder="1" applyAlignment="1">
      <alignment horizontal="center"/>
    </xf>
    <xf numFmtId="0" fontId="19" fillId="0" borderId="68" xfId="97" applyFill="1" applyBorder="1" applyAlignment="1">
      <alignment horizontal="center"/>
    </xf>
    <xf numFmtId="183" fontId="19" fillId="0" borderId="68" xfId="97" applyNumberFormat="1" applyFill="1" applyBorder="1" applyAlignment="1">
      <alignment horizontal="center"/>
    </xf>
    <xf numFmtId="2" fontId="160" fillId="0" borderId="106" xfId="97" applyNumberFormat="1" applyFont="1" applyBorder="1" applyAlignment="1">
      <alignment horizontal="center"/>
    </xf>
    <xf numFmtId="0" fontId="161" fillId="0" borderId="45" xfId="97" applyFont="1" applyBorder="1" applyAlignment="1">
      <alignment horizontal="center"/>
    </xf>
    <xf numFmtId="0" fontId="160" fillId="0" borderId="45" xfId="97" applyFont="1" applyBorder="1" applyAlignment="1">
      <alignment horizontal="center"/>
    </xf>
    <xf numFmtId="2" fontId="19" fillId="0" borderId="45" xfId="97" applyNumberFormat="1" applyBorder="1" applyAlignment="1">
      <alignment horizontal="center"/>
    </xf>
    <xf numFmtId="203" fontId="86" fillId="0" borderId="45" xfId="97" applyNumberFormat="1" applyFont="1" applyBorder="1" applyAlignment="1">
      <alignment horizontal="center"/>
    </xf>
    <xf numFmtId="0" fontId="19" fillId="0" borderId="45" xfId="97" applyBorder="1" applyAlignment="1">
      <alignment horizontal="center"/>
    </xf>
    <xf numFmtId="204" fontId="86" fillId="0" borderId="107" xfId="97" applyNumberFormat="1" applyFont="1" applyBorder="1" applyAlignment="1">
      <alignment horizontal="center"/>
    </xf>
    <xf numFmtId="2" fontId="86" fillId="0" borderId="0" xfId="97" applyNumberFormat="1" applyFont="1" applyBorder="1" applyAlignment="1">
      <alignment horizontal="center"/>
    </xf>
    <xf numFmtId="2" fontId="160" fillId="0" borderId="0" xfId="97" applyNumberFormat="1" applyFont="1" applyBorder="1" applyAlignment="1">
      <alignment horizontal="center"/>
    </xf>
    <xf numFmtId="0" fontId="161" fillId="0" borderId="0" xfId="97" applyFont="1" applyBorder="1" applyAlignment="1">
      <alignment horizontal="center"/>
    </xf>
    <xf numFmtId="0" fontId="160" fillId="0" borderId="0" xfId="97" applyFont="1" applyBorder="1" applyAlignment="1">
      <alignment horizontal="center"/>
    </xf>
    <xf numFmtId="2" fontId="19" fillId="0" borderId="0" xfId="97" applyNumberFormat="1" applyBorder="1" applyAlignment="1">
      <alignment horizontal="center"/>
    </xf>
    <xf numFmtId="205" fontId="19" fillId="0" borderId="0" xfId="97" applyNumberFormat="1" applyBorder="1" applyAlignment="1">
      <alignment horizontal="center"/>
    </xf>
    <xf numFmtId="206" fontId="86" fillId="0" borderId="0" xfId="97" applyNumberFormat="1" applyFont="1" applyBorder="1" applyAlignment="1">
      <alignment horizontal="center"/>
    </xf>
    <xf numFmtId="207" fontId="19" fillId="0" borderId="0" xfId="97" applyNumberFormat="1" applyBorder="1" applyAlignment="1">
      <alignment horizontal="center"/>
    </xf>
    <xf numFmtId="208" fontId="86" fillId="0" borderId="0" xfId="97" applyNumberFormat="1" applyFont="1" applyBorder="1" applyAlignment="1">
      <alignment horizontal="center"/>
    </xf>
    <xf numFmtId="209" fontId="19" fillId="0" borderId="0" xfId="97" applyNumberFormat="1" applyBorder="1" applyAlignment="1">
      <alignment horizontal="center"/>
    </xf>
    <xf numFmtId="1" fontId="19" fillId="0" borderId="68" xfId="97" applyNumberFormat="1" applyFill="1" applyBorder="1" applyAlignment="1">
      <alignment horizontal="center"/>
    </xf>
    <xf numFmtId="2" fontId="160" fillId="0" borderId="108" xfId="97" applyNumberFormat="1" applyFont="1" applyBorder="1" applyAlignment="1">
      <alignment horizontal="center"/>
    </xf>
    <xf numFmtId="0" fontId="161" fillId="0" borderId="109" xfId="97" applyFont="1" applyBorder="1" applyAlignment="1">
      <alignment horizontal="center"/>
    </xf>
    <xf numFmtId="0" fontId="160" fillId="0" borderId="109" xfId="97" applyFont="1" applyBorder="1" applyAlignment="1">
      <alignment horizontal="center"/>
    </xf>
    <xf numFmtId="2" fontId="19" fillId="0" borderId="109" xfId="97" applyNumberFormat="1" applyBorder="1" applyAlignment="1">
      <alignment horizontal="center"/>
    </xf>
    <xf numFmtId="203" fontId="86" fillId="0" borderId="109" xfId="97" applyNumberFormat="1" applyFont="1" applyBorder="1" applyAlignment="1">
      <alignment horizontal="center"/>
    </xf>
    <xf numFmtId="0" fontId="19" fillId="0" borderId="109" xfId="97" applyBorder="1" applyAlignment="1">
      <alignment horizontal="center"/>
    </xf>
    <xf numFmtId="204" fontId="86" fillId="0" borderId="110" xfId="97" applyNumberFormat="1" applyFont="1" applyBorder="1" applyAlignment="1">
      <alignment horizontal="center"/>
    </xf>
    <xf numFmtId="0" fontId="19" fillId="44" borderId="0" xfId="97" applyFill="1"/>
    <xf numFmtId="2" fontId="96" fillId="44" borderId="0" xfId="97" applyNumberFormat="1" applyFont="1" applyFill="1" applyAlignment="1">
      <alignment horizontal="center"/>
    </xf>
    <xf numFmtId="0" fontId="96" fillId="44" borderId="0" xfId="97" applyFont="1" applyFill="1"/>
    <xf numFmtId="0" fontId="124" fillId="63" borderId="0" xfId="97" applyFont="1" applyFill="1"/>
    <xf numFmtId="2" fontId="96" fillId="63" borderId="0" xfId="97" applyNumberFormat="1" applyFont="1" applyFill="1" applyAlignment="1">
      <alignment horizontal="center"/>
    </xf>
    <xf numFmtId="0" fontId="96" fillId="63" borderId="0" xfId="97" applyFont="1" applyFill="1"/>
    <xf numFmtId="2" fontId="162" fillId="63" borderId="0" xfId="97" applyNumberFormat="1" applyFont="1" applyFill="1" applyAlignment="1">
      <alignment horizontal="center"/>
    </xf>
    <xf numFmtId="0" fontId="124" fillId="64" borderId="0" xfId="97" applyFont="1" applyFill="1"/>
    <xf numFmtId="2" fontId="96" fillId="64" borderId="0" xfId="97" applyNumberFormat="1" applyFont="1" applyFill="1" applyAlignment="1">
      <alignment horizontal="center"/>
    </xf>
    <xf numFmtId="0" fontId="96" fillId="64" borderId="0" xfId="97" applyFont="1" applyFill="1"/>
    <xf numFmtId="2" fontId="162" fillId="0" borderId="0" xfId="97" applyNumberFormat="1" applyFont="1"/>
    <xf numFmtId="2" fontId="19" fillId="0" borderId="0" xfId="97" applyNumberFormat="1" applyFill="1"/>
    <xf numFmtId="0" fontId="132" fillId="65" borderId="34" xfId="97" applyFont="1" applyFill="1" applyBorder="1" applyAlignment="1"/>
    <xf numFmtId="2" fontId="133" fillId="66" borderId="34" xfId="97" applyNumberFormat="1" applyFont="1" applyFill="1" applyBorder="1"/>
    <xf numFmtId="0" fontId="132" fillId="65" borderId="34" xfId="97" applyFont="1" applyFill="1" applyBorder="1" applyAlignment="1">
      <alignment vertical="center"/>
    </xf>
    <xf numFmtId="0" fontId="19" fillId="66" borderId="34" xfId="97" applyFill="1" applyBorder="1"/>
    <xf numFmtId="2" fontId="19" fillId="66" borderId="34" xfId="97" applyNumberFormat="1" applyFill="1" applyBorder="1"/>
    <xf numFmtId="0" fontId="132" fillId="65" borderId="34" xfId="97" applyFont="1" applyFill="1" applyBorder="1" applyAlignment="1">
      <alignment vertical="top"/>
    </xf>
    <xf numFmtId="0" fontId="19" fillId="66" borderId="0" xfId="97" applyFill="1"/>
    <xf numFmtId="2" fontId="19" fillId="66" borderId="0" xfId="97" applyNumberFormat="1" applyFill="1"/>
    <xf numFmtId="0" fontId="132" fillId="65" borderId="34" xfId="97" applyFont="1" applyFill="1" applyBorder="1" applyAlignment="1">
      <alignment vertical="center" wrapText="1"/>
    </xf>
    <xf numFmtId="0" fontId="132" fillId="65" borderId="34" xfId="97" applyFont="1" applyFill="1" applyBorder="1" applyAlignment="1">
      <alignment vertical="top" wrapText="1"/>
    </xf>
    <xf numFmtId="0" fontId="133" fillId="66" borderId="34" xfId="97" applyFont="1" applyFill="1" applyBorder="1"/>
    <xf numFmtId="0" fontId="88" fillId="65" borderId="34" xfId="97" applyFont="1" applyFill="1" applyBorder="1" applyAlignment="1">
      <alignment vertical="top"/>
    </xf>
    <xf numFmtId="0" fontId="88" fillId="65" borderId="34" xfId="97" applyFont="1" applyFill="1" applyBorder="1" applyAlignment="1">
      <alignment vertical="top" wrapText="1"/>
    </xf>
    <xf numFmtId="0" fontId="88" fillId="65" borderId="69" xfId="97" applyFont="1" applyFill="1" applyBorder="1" applyAlignment="1">
      <alignment vertical="top"/>
    </xf>
    <xf numFmtId="0" fontId="88" fillId="65" borderId="34" xfId="97" applyFont="1" applyFill="1" applyBorder="1" applyAlignment="1">
      <alignment vertical="center"/>
    </xf>
    <xf numFmtId="0" fontId="132" fillId="66" borderId="34" xfId="97" applyFont="1" applyFill="1" applyBorder="1"/>
    <xf numFmtId="0" fontId="19" fillId="66" borderId="0" xfId="97" applyFill="1" applyAlignment="1">
      <alignment wrapText="1"/>
    </xf>
    <xf numFmtId="171" fontId="133" fillId="66" borderId="34" xfId="97" applyNumberFormat="1" applyFont="1" applyFill="1" applyBorder="1"/>
    <xf numFmtId="0" fontId="131" fillId="0" borderId="35" xfId="98" applyFont="1" applyBorder="1" applyAlignment="1">
      <alignment vertical="center"/>
    </xf>
    <xf numFmtId="0" fontId="139" fillId="0" borderId="0" xfId="98" applyFont="1" applyFill="1" applyBorder="1" applyAlignment="1"/>
    <xf numFmtId="0" fontId="131" fillId="0" borderId="0" xfId="98" applyFont="1" applyFill="1" applyBorder="1" applyAlignment="1">
      <alignment horizontal="center" vertical="center" wrapText="1"/>
    </xf>
    <xf numFmtId="0" fontId="131" fillId="0" borderId="0" xfId="97" applyFont="1" applyFill="1" applyBorder="1" applyAlignment="1">
      <alignment horizontal="center" vertical="center"/>
    </xf>
    <xf numFmtId="2" fontId="88" fillId="0" borderId="0" xfId="98" applyNumberFormat="1" applyFont="1" applyFill="1" applyBorder="1" applyAlignment="1">
      <alignment horizontal="center" vertical="center"/>
    </xf>
    <xf numFmtId="2" fontId="132" fillId="0" borderId="0" xfId="97" applyNumberFormat="1" applyFont="1" applyFill="1" applyBorder="1" applyAlignment="1">
      <alignment horizontal="center"/>
    </xf>
    <xf numFmtId="0" fontId="19" fillId="0" borderId="0" xfId="97" applyFont="1" applyFill="1" applyBorder="1" applyAlignment="1"/>
    <xf numFmtId="2" fontId="104" fillId="0" borderId="0" xfId="98" applyNumberFormat="1" applyFont="1" applyFill="1" applyBorder="1" applyAlignment="1">
      <alignment horizontal="center"/>
    </xf>
    <xf numFmtId="0" fontId="104" fillId="0" borderId="0" xfId="98" applyFont="1" applyFill="1" applyBorder="1" applyAlignment="1">
      <alignment horizontal="center"/>
    </xf>
    <xf numFmtId="2" fontId="19" fillId="0" borderId="34" xfId="97" applyNumberFormat="1" applyBorder="1" applyAlignment="1">
      <alignment horizontal="center" vertical="center"/>
    </xf>
    <xf numFmtId="0" fontId="88" fillId="0" borderId="0" xfId="98" applyFont="1" applyFill="1" applyBorder="1" applyAlignment="1">
      <alignment horizontal="center" vertical="center" wrapText="1"/>
    </xf>
    <xf numFmtId="2" fontId="124" fillId="0" borderId="0" xfId="97" applyNumberFormat="1" applyFont="1" applyFill="1" applyBorder="1"/>
    <xf numFmtId="0" fontId="131" fillId="0" borderId="0" xfId="98" applyFont="1" applyFill="1" applyBorder="1" applyAlignment="1">
      <alignment wrapText="1"/>
    </xf>
    <xf numFmtId="0" fontId="100" fillId="0" borderId="0" xfId="98" applyFont="1" applyFill="1" applyBorder="1"/>
    <xf numFmtId="2" fontId="140" fillId="54" borderId="111" xfId="98" applyNumberFormat="1" applyFont="1" applyFill="1" applyBorder="1" applyAlignment="1">
      <alignment horizontal="center"/>
    </xf>
    <xf numFmtId="2" fontId="88" fillId="54" borderId="111" xfId="98" applyNumberFormat="1" applyFont="1" applyFill="1" applyBorder="1" applyAlignment="1">
      <alignment horizontal="center"/>
    </xf>
    <xf numFmtId="0" fontId="18" fillId="0" borderId="0" xfId="97" applyFont="1" applyFill="1" applyBorder="1"/>
    <xf numFmtId="0" fontId="18" fillId="0" borderId="0" xfId="97" applyFont="1"/>
    <xf numFmtId="0" fontId="88" fillId="0" borderId="113" xfId="98" applyFont="1" applyFill="1" applyBorder="1" applyAlignment="1">
      <alignment wrapText="1"/>
    </xf>
    <xf numFmtId="0" fontId="132" fillId="0" borderId="112" xfId="97" applyFont="1" applyFill="1" applyBorder="1"/>
    <xf numFmtId="2" fontId="132" fillId="0" borderId="111" xfId="97" applyNumberFormat="1" applyFont="1" applyFill="1" applyBorder="1" applyAlignment="1">
      <alignment horizontal="center"/>
    </xf>
    <xf numFmtId="0" fontId="19" fillId="0" borderId="111" xfId="97" applyBorder="1" applyAlignment="1">
      <alignment horizontal="center"/>
    </xf>
    <xf numFmtId="0" fontId="88" fillId="54" borderId="34" xfId="98" applyFont="1" applyFill="1" applyBorder="1" applyAlignment="1">
      <alignment wrapText="1"/>
    </xf>
    <xf numFmtId="0" fontId="88" fillId="54" borderId="111" xfId="98" applyFont="1" applyFill="1" applyBorder="1" applyAlignment="1">
      <alignment horizontal="center"/>
    </xf>
    <xf numFmtId="2" fontId="132" fillId="54" borderId="111" xfId="98" applyNumberFormat="1" applyFont="1" applyFill="1" applyBorder="1" applyAlignment="1">
      <alignment horizontal="center"/>
    </xf>
    <xf numFmtId="0" fontId="18" fillId="66" borderId="0" xfId="97" applyFont="1" applyFill="1"/>
    <xf numFmtId="0" fontId="86" fillId="0" borderId="0" xfId="98" applyFont="1" applyFill="1" applyBorder="1" applyAlignment="1">
      <alignment vertical="center"/>
    </xf>
    <xf numFmtId="2" fontId="97" fillId="0" borderId="0" xfId="97" applyNumberFormat="1" applyFont="1" applyFill="1" applyBorder="1"/>
    <xf numFmtId="0" fontId="146" fillId="57" borderId="0" xfId="97" applyFont="1" applyFill="1"/>
    <xf numFmtId="0" fontId="116" fillId="54" borderId="34" xfId="94" applyFont="1" applyFill="1" applyBorder="1"/>
    <xf numFmtId="167" fontId="163" fillId="0" borderId="0" xfId="93" applyFont="1" applyBorder="1"/>
    <xf numFmtId="0" fontId="134" fillId="33" borderId="34" xfId="98" applyFont="1" applyFill="1" applyBorder="1" applyAlignment="1">
      <alignment horizontal="left"/>
    </xf>
    <xf numFmtId="0" fontId="134" fillId="33" borderId="34" xfId="98" applyFont="1" applyFill="1" applyBorder="1" applyAlignment="1">
      <alignment horizontal="left" wrapText="1"/>
    </xf>
    <xf numFmtId="0" fontId="134" fillId="42" borderId="34" xfId="97" applyFont="1" applyFill="1" applyBorder="1" applyAlignment="1">
      <alignment vertical="top"/>
    </xf>
    <xf numFmtId="0" fontId="88" fillId="0" borderId="0" xfId="98" applyFont="1" applyFill="1" applyBorder="1" applyAlignment="1">
      <alignment horizontal="left"/>
    </xf>
    <xf numFmtId="2" fontId="133" fillId="0" borderId="0" xfId="97" applyNumberFormat="1" applyFont="1" applyBorder="1"/>
    <xf numFmtId="0" fontId="132" fillId="42" borderId="0" xfId="97" applyFont="1" applyFill="1" applyBorder="1" applyAlignment="1">
      <alignment vertical="top"/>
    </xf>
    <xf numFmtId="0" fontId="88" fillId="42" borderId="0" xfId="97" applyFont="1" applyFill="1" applyBorder="1" applyAlignment="1">
      <alignment vertical="center"/>
    </xf>
    <xf numFmtId="0" fontId="88" fillId="42" borderId="0" xfId="97" applyFont="1" applyFill="1" applyBorder="1" applyAlignment="1">
      <alignment vertical="top" wrapText="1"/>
    </xf>
    <xf numFmtId="0" fontId="19" fillId="0" borderId="0" xfId="97" applyBorder="1" applyAlignment="1"/>
    <xf numFmtId="0" fontId="138" fillId="0" borderId="0" xfId="97" applyFont="1"/>
    <xf numFmtId="0" fontId="134" fillId="0" borderId="35" xfId="98" applyFont="1" applyFill="1" applyBorder="1" applyAlignment="1">
      <alignment horizontal="left"/>
    </xf>
    <xf numFmtId="0" fontId="148" fillId="0" borderId="34" xfId="98" applyFont="1" applyFill="1" applyBorder="1" applyAlignment="1">
      <alignment horizontal="left" wrapText="1"/>
    </xf>
    <xf numFmtId="0" fontId="148" fillId="0" borderId="34" xfId="98" applyFont="1" applyFill="1" applyBorder="1" applyAlignment="1">
      <alignment horizontal="left"/>
    </xf>
    <xf numFmtId="0" fontId="17" fillId="0" borderId="0" xfId="97" applyFont="1"/>
    <xf numFmtId="0" fontId="88" fillId="65" borderId="0" xfId="97" applyFont="1" applyFill="1" applyBorder="1" applyAlignment="1">
      <alignment vertical="top"/>
    </xf>
    <xf numFmtId="0" fontId="134" fillId="42" borderId="69" xfId="97" applyFont="1" applyFill="1" applyBorder="1" applyAlignment="1">
      <alignment vertical="top"/>
    </xf>
    <xf numFmtId="0" fontId="88" fillId="0" borderId="0" xfId="97" applyFont="1" applyFill="1" applyBorder="1" applyAlignment="1">
      <alignment vertical="center" wrapText="1"/>
    </xf>
    <xf numFmtId="2" fontId="19" fillId="0" borderId="0" xfId="97" applyNumberFormat="1" applyFill="1" applyBorder="1"/>
    <xf numFmtId="0" fontId="88" fillId="0" borderId="0" xfId="97" applyFont="1" applyFill="1" applyBorder="1" applyAlignment="1">
      <alignment vertical="top"/>
    </xf>
    <xf numFmtId="0" fontId="132" fillId="0" borderId="0" xfId="97" applyFont="1" applyFill="1" applyBorder="1" applyAlignment="1">
      <alignment vertical="top"/>
    </xf>
    <xf numFmtId="0" fontId="133" fillId="0" borderId="0" xfId="97" applyFont="1" applyFill="1" applyBorder="1"/>
    <xf numFmtId="0" fontId="145" fillId="0" borderId="0" xfId="97" applyFont="1" applyFill="1" applyBorder="1"/>
    <xf numFmtId="0" fontId="88" fillId="0" borderId="0" xfId="97" applyFont="1" applyFill="1" applyBorder="1" applyAlignment="1">
      <alignment vertical="center"/>
    </xf>
    <xf numFmtId="0" fontId="134" fillId="0" borderId="0" xfId="97" applyFont="1" applyFill="1" applyBorder="1" applyAlignment="1">
      <alignment vertical="center"/>
    </xf>
    <xf numFmtId="0" fontId="100" fillId="54" borderId="34" xfId="98" applyFont="1" applyFill="1" applyBorder="1" applyAlignment="1">
      <alignment horizontal="center" wrapText="1"/>
    </xf>
    <xf numFmtId="0" fontId="132" fillId="54" borderId="34" xfId="97" applyFont="1" applyFill="1" applyBorder="1" applyAlignment="1">
      <alignment horizontal="center"/>
    </xf>
    <xf numFmtId="0" fontId="18" fillId="54" borderId="34" xfId="97" applyFont="1" applyFill="1" applyBorder="1" applyAlignment="1">
      <alignment horizontal="center" wrapText="1"/>
    </xf>
    <xf numFmtId="0" fontId="18" fillId="54" borderId="111" xfId="97" applyFont="1" applyFill="1" applyBorder="1" applyAlignment="1">
      <alignment horizontal="center"/>
    </xf>
    <xf numFmtId="0" fontId="88" fillId="65" borderId="69" xfId="97" applyFont="1" applyFill="1" applyBorder="1" applyAlignment="1">
      <alignment vertical="top" wrapText="1"/>
    </xf>
    <xf numFmtId="0" fontId="17" fillId="66" borderId="0" xfId="97" applyFont="1" applyFill="1" applyAlignment="1">
      <alignment wrapText="1"/>
    </xf>
    <xf numFmtId="0" fontId="138" fillId="66" borderId="0" xfId="97" applyFont="1" applyFill="1"/>
    <xf numFmtId="0" fontId="132" fillId="0" borderId="0" xfId="97" applyFont="1" applyFill="1" applyBorder="1" applyAlignment="1">
      <alignment horizontal="center" vertical="center" wrapText="1"/>
    </xf>
    <xf numFmtId="0" fontId="89" fillId="0" borderId="0" xfId="98" applyFont="1" applyFill="1" applyBorder="1" applyAlignment="1">
      <alignment wrapText="1"/>
    </xf>
    <xf numFmtId="0" fontId="88" fillId="0" borderId="0" xfId="98" applyFont="1" applyFill="1" applyBorder="1"/>
    <xf numFmtId="2" fontId="88" fillId="0" borderId="0" xfId="98" applyNumberFormat="1" applyFont="1" applyFill="1" applyBorder="1" applyAlignment="1">
      <alignment wrapText="1"/>
    </xf>
    <xf numFmtId="0" fontId="135" fillId="0" borderId="113" xfId="98" applyFont="1" applyFill="1" applyBorder="1" applyAlignment="1">
      <alignment wrapText="1"/>
    </xf>
    <xf numFmtId="0" fontId="17" fillId="0" borderId="0" xfId="97" applyFont="1" applyBorder="1" applyAlignment="1"/>
    <xf numFmtId="0" fontId="16" fillId="0" borderId="0" xfId="97" applyFont="1"/>
    <xf numFmtId="191" fontId="150" fillId="0" borderId="111" xfId="99" applyNumberFormat="1" applyBorder="1" applyAlignment="1">
      <alignment horizontal="center"/>
    </xf>
    <xf numFmtId="171" fontId="19" fillId="0" borderId="111" xfId="97" applyNumberFormat="1" applyBorder="1"/>
    <xf numFmtId="192" fontId="19" fillId="0" borderId="111" xfId="97" applyNumberFormat="1" applyBorder="1"/>
    <xf numFmtId="0" fontId="88" fillId="33" borderId="34" xfId="98" applyFont="1" applyFill="1" applyBorder="1" applyAlignment="1">
      <alignment horizontal="center" wrapText="1"/>
    </xf>
    <xf numFmtId="0" fontId="132" fillId="33" borderId="35" xfId="98" applyFont="1" applyFill="1" applyBorder="1" applyAlignment="1">
      <alignment horizontal="center" wrapText="1"/>
    </xf>
    <xf numFmtId="0" fontId="86" fillId="54" borderId="115" xfId="98" applyFont="1" applyFill="1" applyBorder="1" applyAlignment="1">
      <alignment wrapText="1"/>
    </xf>
    <xf numFmtId="2" fontId="31" fillId="54" borderId="116" xfId="98" applyNumberFormat="1" applyFill="1" applyBorder="1"/>
    <xf numFmtId="2" fontId="86" fillId="54" borderId="117" xfId="98" applyNumberFormat="1" applyFont="1" applyFill="1" applyBorder="1" applyAlignment="1">
      <alignment wrapText="1"/>
    </xf>
    <xf numFmtId="0" fontId="86" fillId="54" borderId="118" xfId="98" applyFont="1" applyFill="1" applyBorder="1" applyAlignment="1">
      <alignment wrapText="1"/>
    </xf>
    <xf numFmtId="2" fontId="31" fillId="54" borderId="99" xfId="98" applyNumberFormat="1" applyFill="1" applyBorder="1"/>
    <xf numFmtId="2" fontId="86" fillId="54" borderId="105" xfId="98" applyNumberFormat="1" applyFont="1" applyFill="1" applyBorder="1" applyAlignment="1">
      <alignment wrapText="1"/>
    </xf>
    <xf numFmtId="0" fontId="97" fillId="54" borderId="113" xfId="97" applyFont="1" applyFill="1" applyBorder="1"/>
    <xf numFmtId="2" fontId="86" fillId="54" borderId="112" xfId="98" applyNumberFormat="1" applyFont="1" applyFill="1" applyBorder="1" applyAlignment="1">
      <alignment wrapText="1"/>
    </xf>
    <xf numFmtId="0" fontId="15" fillId="0" borderId="0" xfId="97" applyFont="1" applyAlignment="1">
      <alignment wrapText="1"/>
    </xf>
    <xf numFmtId="2" fontId="88" fillId="0" borderId="111" xfId="98" applyNumberFormat="1" applyFont="1" applyFill="1" applyBorder="1" applyAlignment="1">
      <alignment horizontal="center"/>
    </xf>
    <xf numFmtId="2" fontId="132" fillId="33" borderId="111" xfId="98" applyNumberFormat="1" applyFont="1" applyFill="1" applyBorder="1" applyAlignment="1">
      <alignment horizontal="center" wrapText="1"/>
    </xf>
    <xf numFmtId="2" fontId="88" fillId="0" borderId="111" xfId="98" applyNumberFormat="1" applyFont="1" applyFill="1" applyBorder="1" applyAlignment="1">
      <alignment horizontal="center" wrapText="1"/>
    </xf>
    <xf numFmtId="2" fontId="88" fillId="54" borderId="111" xfId="98" applyNumberFormat="1" applyFont="1" applyFill="1" applyBorder="1" applyAlignment="1">
      <alignment horizontal="center" wrapText="1"/>
    </xf>
    <xf numFmtId="2" fontId="88" fillId="54" borderId="111" xfId="98" applyNumberFormat="1" applyFont="1" applyFill="1" applyBorder="1" applyAlignment="1">
      <alignment wrapText="1"/>
    </xf>
    <xf numFmtId="2" fontId="88" fillId="54" borderId="111" xfId="98" applyNumberFormat="1" applyFont="1" applyFill="1" applyBorder="1"/>
    <xf numFmtId="0" fontId="124" fillId="0" borderId="111" xfId="97" applyFont="1" applyBorder="1" applyAlignment="1">
      <alignment horizontal="center"/>
    </xf>
    <xf numFmtId="0" fontId="132" fillId="65" borderId="111" xfId="97" applyFont="1" applyFill="1" applyBorder="1" applyAlignment="1">
      <alignment vertical="center"/>
    </xf>
    <xf numFmtId="0" fontId="19" fillId="66" borderId="111" xfId="97" applyFill="1" applyBorder="1"/>
    <xf numFmtId="0" fontId="15" fillId="0" borderId="0" xfId="97" applyFont="1" applyFill="1" applyBorder="1"/>
    <xf numFmtId="0" fontId="15" fillId="0" borderId="0" xfId="97" applyFont="1"/>
    <xf numFmtId="0" fontId="132" fillId="0" borderId="34" xfId="97" applyFont="1" applyBorder="1" applyAlignment="1">
      <alignment horizontal="center" wrapText="1"/>
    </xf>
    <xf numFmtId="0" fontId="134" fillId="0" borderId="34" xfId="97" applyFont="1" applyBorder="1" applyAlignment="1">
      <alignment horizontal="center"/>
    </xf>
    <xf numFmtId="0" fontId="132" fillId="0" borderId="0" xfId="97" applyFont="1" applyFill="1" applyBorder="1" applyAlignment="1">
      <alignment horizontal="center" wrapText="1"/>
    </xf>
    <xf numFmtId="0" fontId="19" fillId="0" borderId="34" xfId="97" applyBorder="1" applyAlignment="1">
      <alignment horizontal="center"/>
    </xf>
    <xf numFmtId="0" fontId="152" fillId="0" borderId="34" xfId="99" applyFont="1" applyBorder="1" applyAlignment="1">
      <alignment horizontal="center"/>
    </xf>
    <xf numFmtId="0" fontId="14" fillId="0" borderId="0" xfId="97" applyFont="1"/>
    <xf numFmtId="0" fontId="14" fillId="0" borderId="0" xfId="97" applyFont="1" applyAlignment="1">
      <alignment wrapText="1"/>
    </xf>
    <xf numFmtId="16" fontId="0" fillId="0" borderId="68" xfId="0" applyNumberFormat="1" applyBorder="1" applyAlignment="1">
      <alignment horizontal="center" wrapText="1"/>
    </xf>
    <xf numFmtId="0" fontId="151" fillId="0" borderId="91" xfId="0" applyFont="1" applyBorder="1" applyAlignment="1">
      <alignment horizontal="center"/>
    </xf>
    <xf numFmtId="0" fontId="151" fillId="0" borderId="27" xfId="0" applyFont="1" applyBorder="1" applyAlignment="1">
      <alignment horizontal="center"/>
    </xf>
    <xf numFmtId="0" fontId="151" fillId="0" borderId="92" xfId="0" applyFont="1" applyBorder="1" applyAlignment="1">
      <alignment horizontal="center"/>
    </xf>
    <xf numFmtId="2" fontId="0" fillId="0" borderId="68" xfId="0" applyNumberFormat="1" applyBorder="1" applyAlignment="1">
      <alignment horizontal="center"/>
    </xf>
    <xf numFmtId="190" fontId="0" fillId="0" borderId="105" xfId="0" applyNumberFormat="1" applyBorder="1" applyAlignment="1">
      <alignment horizontal="center"/>
    </xf>
    <xf numFmtId="0" fontId="0" fillId="0" borderId="68" xfId="0" applyBorder="1" applyAlignment="1">
      <alignment horizontal="center"/>
    </xf>
    <xf numFmtId="0" fontId="0" fillId="0" borderId="68" xfId="0" applyBorder="1"/>
    <xf numFmtId="2" fontId="86" fillId="0" borderId="111" xfId="0" applyNumberFormat="1" applyFont="1" applyBorder="1" applyAlignment="1">
      <alignment horizontal="center"/>
    </xf>
    <xf numFmtId="0" fontId="0" fillId="0" borderId="109" xfId="0" applyBorder="1" applyAlignment="1">
      <alignment horizontal="center"/>
    </xf>
    <xf numFmtId="0" fontId="86" fillId="0" borderId="109" xfId="0" applyFont="1" applyBorder="1" applyAlignment="1">
      <alignment horizontal="center"/>
    </xf>
    <xf numFmtId="2" fontId="0" fillId="0" borderId="109" xfId="0" applyNumberFormat="1" applyBorder="1" applyAlignment="1">
      <alignment horizontal="center"/>
    </xf>
    <xf numFmtId="2" fontId="86" fillId="0" borderId="110" xfId="0" applyNumberFormat="1" applyFont="1" applyBorder="1" applyAlignment="1">
      <alignment horizontal="center"/>
    </xf>
    <xf numFmtId="2" fontId="86" fillId="0" borderId="0" xfId="0" applyNumberFormat="1" applyFont="1" applyBorder="1" applyAlignment="1">
      <alignment horizontal="center"/>
    </xf>
    <xf numFmtId="2" fontId="160" fillId="0" borderId="108" xfId="0" applyNumberFormat="1" applyFont="1" applyBorder="1" applyAlignment="1">
      <alignment horizontal="center"/>
    </xf>
    <xf numFmtId="0" fontId="161" fillId="0" borderId="109" xfId="0" applyFont="1" applyBorder="1" applyAlignment="1">
      <alignment horizontal="center"/>
    </xf>
    <xf numFmtId="0" fontId="160" fillId="0" borderId="109" xfId="0" applyFont="1" applyBorder="1" applyAlignment="1">
      <alignment horizontal="center"/>
    </xf>
    <xf numFmtId="16" fontId="13" fillId="0" borderId="68" xfId="97" applyNumberFormat="1" applyFont="1" applyBorder="1" applyAlignment="1">
      <alignment horizontal="center" wrapText="1"/>
    </xf>
    <xf numFmtId="2" fontId="126" fillId="30" borderId="68" xfId="97" applyNumberFormat="1" applyFont="1" applyFill="1" applyBorder="1" applyAlignment="1">
      <alignment horizontal="center"/>
    </xf>
    <xf numFmtId="0" fontId="13" fillId="0" borderId="0" xfId="97" applyFont="1"/>
    <xf numFmtId="0" fontId="13" fillId="0" borderId="34" xfId="97" applyFont="1" applyBorder="1"/>
    <xf numFmtId="0" fontId="97" fillId="54" borderId="124" xfId="97" applyFont="1" applyFill="1" applyBorder="1"/>
    <xf numFmtId="0" fontId="19" fillId="54" borderId="38" xfId="97" applyFill="1" applyBorder="1"/>
    <xf numFmtId="0" fontId="97" fillId="54" borderId="125" xfId="97" applyFont="1" applyFill="1" applyBorder="1"/>
    <xf numFmtId="0" fontId="97" fillId="54" borderId="126" xfId="97" applyFont="1" applyFill="1" applyBorder="1"/>
    <xf numFmtId="0" fontId="19" fillId="54" borderId="0" xfId="97" applyFill="1" applyBorder="1"/>
    <xf numFmtId="0" fontId="97" fillId="54" borderId="127" xfId="97" applyFont="1" applyFill="1" applyBorder="1"/>
    <xf numFmtId="0" fontId="97" fillId="54" borderId="128" xfId="97" applyFont="1" applyFill="1" applyBorder="1" applyAlignment="1">
      <alignment wrapText="1"/>
    </xf>
    <xf numFmtId="0" fontId="19" fillId="54" borderId="90" xfId="97" applyFill="1" applyBorder="1"/>
    <xf numFmtId="0" fontId="97" fillId="54" borderId="129" xfId="97" applyFont="1" applyFill="1" applyBorder="1"/>
    <xf numFmtId="2" fontId="19" fillId="0" borderId="0" xfId="97" applyNumberFormat="1" applyBorder="1"/>
    <xf numFmtId="0" fontId="19" fillId="0" borderId="0" xfId="97" applyFont="1" applyBorder="1"/>
    <xf numFmtId="0" fontId="97" fillId="0" borderId="0" xfId="97" applyNumberFormat="1" applyFont="1"/>
    <xf numFmtId="0" fontId="19" fillId="0" borderId="114" xfId="97" applyBorder="1"/>
    <xf numFmtId="0" fontId="19" fillId="54" borderId="114" xfId="97" applyFill="1" applyBorder="1"/>
    <xf numFmtId="2" fontId="19" fillId="0" borderId="114" xfId="97" applyNumberFormat="1" applyBorder="1"/>
    <xf numFmtId="2" fontId="19" fillId="54" borderId="38" xfId="97" applyNumberFormat="1" applyFill="1" applyBorder="1"/>
    <xf numFmtId="0" fontId="97" fillId="54" borderId="0" xfId="97" applyFont="1" applyFill="1" applyBorder="1"/>
    <xf numFmtId="2" fontId="97" fillId="54" borderId="90" xfId="97" applyNumberFormat="1" applyFont="1" applyFill="1" applyBorder="1"/>
    <xf numFmtId="0" fontId="19" fillId="98" borderId="126" xfId="97" applyFill="1" applyBorder="1"/>
    <xf numFmtId="0" fontId="19" fillId="98" borderId="127" xfId="97" applyFill="1" applyBorder="1"/>
    <xf numFmtId="0" fontId="97" fillId="98" borderId="126" xfId="97" applyFont="1" applyFill="1" applyBorder="1"/>
    <xf numFmtId="0" fontId="97" fillId="98" borderId="127" xfId="97" applyFont="1" applyFill="1" applyBorder="1"/>
    <xf numFmtId="0" fontId="97" fillId="98" borderId="128" xfId="97" applyFont="1" applyFill="1" applyBorder="1"/>
    <xf numFmtId="0" fontId="97" fillId="98" borderId="129" xfId="97" applyFont="1" applyFill="1" applyBorder="1"/>
    <xf numFmtId="167" fontId="117" fillId="98" borderId="0" xfId="93" applyFont="1" applyFill="1" applyBorder="1" applyAlignment="1">
      <alignment vertical="center"/>
    </xf>
    <xf numFmtId="0" fontId="89" fillId="40" borderId="35" xfId="98" applyFont="1" applyFill="1" applyBorder="1" applyAlignment="1">
      <alignment wrapText="1"/>
    </xf>
    <xf numFmtId="0" fontId="89" fillId="40" borderId="36" xfId="98" applyFont="1" applyFill="1" applyBorder="1" applyAlignment="1">
      <alignment wrapText="1"/>
    </xf>
    <xf numFmtId="0" fontId="88" fillId="0" borderId="34" xfId="98" applyFont="1" applyFill="1" applyBorder="1" applyAlignment="1">
      <alignment horizontal="left" wrapText="1"/>
    </xf>
    <xf numFmtId="0" fontId="89" fillId="0" borderId="0" xfId="98" applyFont="1" applyFill="1" applyBorder="1" applyAlignment="1">
      <alignment horizontal="left"/>
    </xf>
    <xf numFmtId="0" fontId="13" fillId="0" borderId="0" xfId="97" applyFont="1" applyBorder="1" applyAlignment="1"/>
    <xf numFmtId="2" fontId="97" fillId="98" borderId="126" xfId="97" applyNumberFormat="1" applyFont="1" applyFill="1" applyBorder="1"/>
    <xf numFmtId="2" fontId="13" fillId="32" borderId="34" xfId="97" applyNumberFormat="1" applyFont="1" applyFill="1" applyBorder="1"/>
    <xf numFmtId="2" fontId="19" fillId="32" borderId="34" xfId="97" applyNumberFormat="1" applyFill="1" applyBorder="1"/>
    <xf numFmtId="0" fontId="116" fillId="0" borderId="0" xfId="94" applyFont="1" applyBorder="1"/>
    <xf numFmtId="0" fontId="117" fillId="0" borderId="0" xfId="94" applyFont="1" applyBorder="1"/>
    <xf numFmtId="167" fontId="116" fillId="0" borderId="0" xfId="93" applyFont="1" applyBorder="1"/>
    <xf numFmtId="0" fontId="32" fillId="54" borderId="0" xfId="0" applyFont="1" applyFill="1"/>
    <xf numFmtId="170" fontId="32" fillId="54" borderId="0" xfId="32" applyNumberFormat="1" applyFont="1" applyFill="1" applyAlignment="1">
      <alignment horizontal="center"/>
    </xf>
    <xf numFmtId="0" fontId="32" fillId="54" borderId="0" xfId="0" applyFont="1" applyFill="1" applyAlignment="1">
      <alignment horizontal="center"/>
    </xf>
    <xf numFmtId="172" fontId="33" fillId="54" borderId="0" xfId="0" applyNumberFormat="1" applyFont="1" applyFill="1"/>
    <xf numFmtId="4" fontId="32" fillId="54" borderId="0" xfId="32" applyNumberFormat="1" applyFont="1" applyFill="1" applyAlignment="1">
      <alignment horizontal="center"/>
    </xf>
    <xf numFmtId="4" fontId="32" fillId="54" borderId="0" xfId="0" applyNumberFormat="1" applyFont="1" applyFill="1" applyAlignment="1">
      <alignment horizontal="left"/>
    </xf>
    <xf numFmtId="0" fontId="33" fillId="54" borderId="0" xfId="0" applyFont="1" applyFill="1"/>
    <xf numFmtId="170" fontId="33" fillId="54" borderId="0" xfId="32" applyNumberFormat="1" applyFont="1" applyFill="1"/>
    <xf numFmtId="0" fontId="33" fillId="54" borderId="0" xfId="0" applyFont="1" applyFill="1" applyAlignment="1">
      <alignment horizontal="center"/>
    </xf>
    <xf numFmtId="4" fontId="33" fillId="54" borderId="0" xfId="32" applyNumberFormat="1" applyFont="1" applyFill="1"/>
    <xf numFmtId="4" fontId="32" fillId="54" borderId="0" xfId="32" applyNumberFormat="1" applyFont="1" applyFill="1"/>
    <xf numFmtId="167" fontId="33" fillId="54" borderId="0" xfId="32" applyFont="1" applyFill="1"/>
    <xf numFmtId="16" fontId="12" fillId="46" borderId="68" xfId="97" applyNumberFormat="1" applyFont="1" applyFill="1" applyBorder="1" applyAlignment="1">
      <alignment horizontal="center"/>
    </xf>
    <xf numFmtId="0" fontId="12" fillId="0" borderId="0" xfId="97" applyFont="1"/>
    <xf numFmtId="0" fontId="116" fillId="30" borderId="34" xfId="94" applyFont="1" applyFill="1" applyBorder="1"/>
    <xf numFmtId="2" fontId="88" fillId="0" borderId="0" xfId="98" applyNumberFormat="1" applyFont="1" applyFill="1" applyBorder="1" applyAlignment="1">
      <alignment horizontal="center"/>
    </xf>
    <xf numFmtId="0" fontId="89" fillId="0" borderId="0" xfId="97" applyFont="1" applyFill="1" applyBorder="1" applyAlignment="1">
      <alignment horizontal="center"/>
    </xf>
    <xf numFmtId="2" fontId="89" fillId="0" borderId="0" xfId="97" applyNumberFormat="1" applyFont="1" applyFill="1" applyBorder="1" applyAlignment="1">
      <alignment horizontal="center"/>
    </xf>
    <xf numFmtId="0" fontId="175" fillId="0" borderId="0" xfId="0" applyFont="1"/>
    <xf numFmtId="0" fontId="133" fillId="0" borderId="0" xfId="0" applyFont="1"/>
    <xf numFmtId="0" fontId="0" fillId="0" borderId="68" xfId="0" applyFill="1" applyBorder="1" applyAlignment="1">
      <alignment horizontal="center"/>
    </xf>
    <xf numFmtId="170" fontId="33" fillId="33" borderId="0" xfId="32" applyNumberFormat="1" applyFont="1" applyFill="1"/>
    <xf numFmtId="172" fontId="33" fillId="33" borderId="0" xfId="0" applyNumberFormat="1" applyFont="1" applyFill="1"/>
    <xf numFmtId="0" fontId="11" fillId="0" borderId="0" xfId="97" applyFont="1"/>
    <xf numFmtId="0" fontId="10" fillId="0" borderId="0" xfId="97" applyFont="1"/>
    <xf numFmtId="0" fontId="176" fillId="51" borderId="0" xfId="0" applyFont="1" applyFill="1" applyAlignment="1">
      <alignment wrapText="1"/>
    </xf>
    <xf numFmtId="4" fontId="177" fillId="51" borderId="0" xfId="32" applyNumberFormat="1" applyFont="1" applyFill="1" applyBorder="1" applyAlignment="1"/>
    <xf numFmtId="0" fontId="177" fillId="51" borderId="0" xfId="0" applyFont="1" applyFill="1" applyAlignment="1">
      <alignment horizontal="center"/>
    </xf>
    <xf numFmtId="172" fontId="177" fillId="51" borderId="0" xfId="32" applyNumberFormat="1" applyFont="1" applyFill="1" applyBorder="1" applyAlignment="1"/>
    <xf numFmtId="4" fontId="176" fillId="51" borderId="0" xfId="32" applyNumberFormat="1" applyFont="1" applyFill="1" applyBorder="1" applyAlignment="1"/>
    <xf numFmtId="0" fontId="176" fillId="51" borderId="0" xfId="0" applyFont="1" applyFill="1" applyAlignment="1">
      <alignment vertical="center" wrapText="1"/>
    </xf>
    <xf numFmtId="172" fontId="177" fillId="51" borderId="0" xfId="0" applyNumberFormat="1" applyFont="1" applyFill="1"/>
    <xf numFmtId="0" fontId="177" fillId="51" borderId="0" xfId="0" applyFont="1" applyFill="1" applyAlignment="1">
      <alignment wrapText="1"/>
    </xf>
    <xf numFmtId="4" fontId="177" fillId="51" borderId="0" xfId="32" applyNumberFormat="1" applyFont="1" applyFill="1" applyBorder="1" applyAlignment="1">
      <alignment horizontal="right"/>
    </xf>
    <xf numFmtId="167" fontId="177" fillId="51" borderId="0" xfId="32" applyFont="1" applyFill="1" applyBorder="1" applyAlignment="1">
      <alignment horizontal="right"/>
    </xf>
    <xf numFmtId="0" fontId="177" fillId="51" borderId="0" xfId="0" applyFont="1" applyFill="1"/>
    <xf numFmtId="0" fontId="176" fillId="51" borderId="0" xfId="0" applyFont="1" applyFill="1"/>
    <xf numFmtId="4" fontId="112" fillId="51" borderId="0" xfId="0" applyNumberFormat="1" applyFont="1" applyFill="1"/>
    <xf numFmtId="0" fontId="178" fillId="51" borderId="0" xfId="0" applyFont="1" applyFill="1"/>
    <xf numFmtId="4" fontId="112" fillId="51" borderId="0" xfId="0" applyNumberFormat="1" applyFont="1" applyFill="1" applyAlignment="1">
      <alignment horizontal="right"/>
    </xf>
    <xf numFmtId="0" fontId="112" fillId="51" borderId="0" xfId="0" applyFont="1" applyFill="1"/>
    <xf numFmtId="4" fontId="110" fillId="51" borderId="0" xfId="0" applyNumberFormat="1" applyFont="1" applyFill="1"/>
    <xf numFmtId="4" fontId="110" fillId="51" borderId="0" xfId="0" applyNumberFormat="1" applyFont="1" applyFill="1" applyAlignment="1">
      <alignment horizontal="right"/>
    </xf>
    <xf numFmtId="0" fontId="19" fillId="0" borderId="124" xfId="97" applyBorder="1"/>
    <xf numFmtId="0" fontId="19" fillId="0" borderId="38" xfId="97" applyBorder="1"/>
    <xf numFmtId="0" fontId="19" fillId="0" borderId="125" xfId="97" applyBorder="1"/>
    <xf numFmtId="190" fontId="19" fillId="0" borderId="130" xfId="97" applyNumberFormat="1" applyBorder="1" applyAlignment="1">
      <alignment horizontal="center"/>
    </xf>
    <xf numFmtId="16" fontId="0" fillId="0" borderId="75" xfId="0" applyNumberFormat="1" applyBorder="1" applyAlignment="1">
      <alignment horizontal="center" wrapText="1"/>
    </xf>
    <xf numFmtId="2" fontId="0" fillId="0" borderId="75" xfId="0" applyNumberFormat="1" applyBorder="1" applyAlignment="1">
      <alignment horizontal="center"/>
    </xf>
    <xf numFmtId="2" fontId="124" fillId="0" borderId="75" xfId="97" applyNumberFormat="1" applyFont="1" applyBorder="1" applyAlignment="1">
      <alignment horizontal="center"/>
    </xf>
    <xf numFmtId="0" fontId="124" fillId="0" borderId="75" xfId="97" applyFont="1" applyBorder="1" applyAlignment="1">
      <alignment horizontal="center"/>
    </xf>
    <xf numFmtId="0" fontId="0" fillId="0" borderId="75" xfId="0" applyBorder="1" applyAlignment="1">
      <alignment horizontal="center"/>
    </xf>
    <xf numFmtId="2" fontId="0" fillId="0" borderId="131" xfId="0" applyNumberFormat="1" applyBorder="1" applyAlignment="1">
      <alignment horizontal="center"/>
    </xf>
    <xf numFmtId="0" fontId="9" fillId="0" borderId="0" xfId="97" applyFont="1"/>
    <xf numFmtId="0" fontId="19" fillId="0" borderId="90" xfId="97" applyBorder="1"/>
    <xf numFmtId="0" fontId="8" fillId="0" borderId="0" xfId="97" applyFont="1"/>
    <xf numFmtId="0" fontId="32" fillId="101" borderId="0" xfId="0" applyFont="1" applyFill="1"/>
    <xf numFmtId="170" fontId="32" fillId="101" borderId="0" xfId="32" applyNumberFormat="1" applyFont="1" applyFill="1" applyAlignment="1">
      <alignment horizontal="center"/>
    </xf>
    <xf numFmtId="0" fontId="32" fillId="101" borderId="0" xfId="0" applyFont="1" applyFill="1" applyAlignment="1">
      <alignment horizontal="center"/>
    </xf>
    <xf numFmtId="172" fontId="33" fillId="101" borderId="0" xfId="0" applyNumberFormat="1" applyFont="1" applyFill="1"/>
    <xf numFmtId="4" fontId="32" fillId="101" borderId="0" xfId="32" applyNumberFormat="1" applyFont="1" applyFill="1" applyAlignment="1">
      <alignment horizontal="center"/>
    </xf>
    <xf numFmtId="4" fontId="32" fillId="101" borderId="0" xfId="0" applyNumberFormat="1" applyFont="1" applyFill="1" applyAlignment="1">
      <alignment horizontal="left"/>
    </xf>
    <xf numFmtId="0" fontId="33" fillId="101" borderId="0" xfId="0" applyFont="1" applyFill="1"/>
    <xf numFmtId="170" fontId="33" fillId="101" borderId="0" xfId="32" applyNumberFormat="1" applyFont="1" applyFill="1"/>
    <xf numFmtId="0" fontId="33" fillId="101" borderId="0" xfId="0" applyFont="1" applyFill="1" applyAlignment="1">
      <alignment horizontal="center"/>
    </xf>
    <xf numFmtId="4" fontId="33" fillId="101" borderId="0" xfId="32" applyNumberFormat="1" applyFont="1" applyFill="1"/>
    <xf numFmtId="4" fontId="32" fillId="101" borderId="0" xfId="32" applyNumberFormat="1" applyFont="1" applyFill="1"/>
    <xf numFmtId="167" fontId="33" fillId="101" borderId="0" xfId="32" applyFont="1" applyFill="1"/>
    <xf numFmtId="2" fontId="19" fillId="33" borderId="45" xfId="97" applyNumberFormat="1" applyFont="1" applyFill="1" applyBorder="1" applyAlignment="1"/>
    <xf numFmtId="167" fontId="163" fillId="0" borderId="0" xfId="94" applyNumberFormat="1" applyFont="1" applyAlignment="1">
      <alignment vertical="center"/>
    </xf>
    <xf numFmtId="0" fontId="163" fillId="0" borderId="0" xfId="94" applyFont="1"/>
    <xf numFmtId="167" fontId="163" fillId="0" borderId="78" xfId="94" applyNumberFormat="1" applyFont="1" applyBorder="1" applyAlignment="1">
      <alignment vertical="center"/>
    </xf>
    <xf numFmtId="0" fontId="116" fillId="0" borderId="111" xfId="94" applyFont="1" applyBorder="1"/>
    <xf numFmtId="0" fontId="117" fillId="0" borderId="111" xfId="94" applyFont="1" applyBorder="1"/>
    <xf numFmtId="167" fontId="116" fillId="0" borderId="111" xfId="93" applyFont="1" applyBorder="1"/>
    <xf numFmtId="0" fontId="89" fillId="0" borderId="111" xfId="98" applyFont="1" applyFill="1" applyBorder="1" applyAlignment="1">
      <alignment horizontal="center" vertical="center" wrapText="1"/>
    </xf>
    <xf numFmtId="0" fontId="89" fillId="0" borderId="111" xfId="98" applyFont="1" applyFill="1" applyBorder="1" applyAlignment="1">
      <alignment horizontal="center" vertical="center"/>
    </xf>
    <xf numFmtId="2" fontId="135" fillId="0" borderId="111" xfId="98" applyNumberFormat="1" applyFont="1" applyFill="1" applyBorder="1" applyAlignment="1">
      <alignment horizontal="center" vertical="center" wrapText="1"/>
    </xf>
    <xf numFmtId="0" fontId="135" fillId="0" borderId="111" xfId="0" applyFont="1" applyBorder="1" applyAlignment="1">
      <alignment vertical="center" wrapText="1"/>
    </xf>
    <xf numFmtId="0" fontId="135" fillId="0" borderId="111" xfId="0" applyFont="1" applyBorder="1" applyAlignment="1">
      <alignment horizontal="center" vertical="center" wrapText="1"/>
    </xf>
    <xf numFmtId="0" fontId="88" fillId="0" borderId="111" xfId="98" applyFont="1" applyFill="1" applyBorder="1" applyAlignment="1">
      <alignment horizontal="center" wrapText="1"/>
    </xf>
    <xf numFmtId="2" fontId="88" fillId="0" borderId="111" xfId="98" applyNumberFormat="1" applyFont="1" applyFill="1" applyBorder="1"/>
    <xf numFmtId="2" fontId="132" fillId="0" borderId="111" xfId="0" applyNumberFormat="1" applyFont="1" applyFill="1" applyBorder="1"/>
    <xf numFmtId="2" fontId="133" fillId="0" borderId="111" xfId="0" applyNumberFormat="1" applyFont="1" applyBorder="1"/>
    <xf numFmtId="0" fontId="0" fillId="0" borderId="111" xfId="0" applyBorder="1"/>
    <xf numFmtId="0" fontId="132" fillId="0" borderId="111" xfId="0" applyFont="1" applyBorder="1"/>
    <xf numFmtId="2" fontId="0" fillId="0" borderId="111" xfId="0" applyNumberFormat="1" applyBorder="1"/>
    <xf numFmtId="0" fontId="133" fillId="0" borderId="111" xfId="0" applyFont="1" applyBorder="1"/>
    <xf numFmtId="2" fontId="89" fillId="32" borderId="111" xfId="98" applyNumberFormat="1" applyFont="1" applyFill="1" applyBorder="1"/>
    <xf numFmtId="0" fontId="7" fillId="0" borderId="0" xfId="97" applyFont="1"/>
    <xf numFmtId="2" fontId="132" fillId="0" borderId="111" xfId="0" applyNumberFormat="1" applyFont="1" applyBorder="1"/>
    <xf numFmtId="0" fontId="32" fillId="54" borderId="0" xfId="0" applyFont="1" applyFill="1" applyAlignment="1">
      <alignment wrapText="1"/>
    </xf>
    <xf numFmtId="0" fontId="32" fillId="48" borderId="0" xfId="0" applyFont="1" applyFill="1" applyAlignment="1">
      <alignment wrapText="1"/>
    </xf>
    <xf numFmtId="172" fontId="180" fillId="54" borderId="0" xfId="0" applyNumberFormat="1" applyFont="1" applyFill="1"/>
    <xf numFmtId="0" fontId="33" fillId="54" borderId="0" xfId="0" applyFont="1" applyFill="1" applyAlignment="1">
      <alignment wrapText="1"/>
    </xf>
    <xf numFmtId="167" fontId="33" fillId="33" borderId="0" xfId="32" applyFont="1" applyFill="1"/>
    <xf numFmtId="0" fontId="33" fillId="33" borderId="0" xfId="0" applyFont="1" applyFill="1" applyBorder="1"/>
    <xf numFmtId="4" fontId="33" fillId="33" borderId="0" xfId="0" applyNumberFormat="1" applyFont="1" applyFill="1" applyBorder="1"/>
    <xf numFmtId="0" fontId="6" fillId="0" borderId="0" xfId="97" applyFont="1"/>
    <xf numFmtId="0" fontId="132" fillId="0" borderId="111" xfId="98" applyFont="1" applyFill="1" applyBorder="1" applyAlignment="1">
      <alignment horizontal="center" wrapText="1"/>
    </xf>
    <xf numFmtId="2" fontId="132" fillId="57" borderId="114" xfId="98" applyNumberFormat="1" applyFont="1" applyFill="1" applyBorder="1"/>
    <xf numFmtId="2" fontId="133" fillId="0" borderId="111" xfId="97" applyNumberFormat="1" applyFont="1" applyBorder="1"/>
    <xf numFmtId="2" fontId="132" fillId="57" borderId="111" xfId="97" applyNumberFormat="1" applyFont="1" applyFill="1" applyBorder="1" applyAlignment="1">
      <alignment vertical="center"/>
    </xf>
    <xf numFmtId="2" fontId="132" fillId="57" borderId="111" xfId="97" applyNumberFormat="1" applyFont="1" applyFill="1" applyBorder="1"/>
    <xf numFmtId="2" fontId="132" fillId="57" borderId="111" xfId="97" applyNumberFormat="1" applyFont="1" applyFill="1" applyBorder="1" applyAlignment="1">
      <alignment horizontal="center" vertical="center"/>
    </xf>
    <xf numFmtId="0" fontId="132" fillId="0" borderId="111" xfId="97" applyFont="1" applyBorder="1" applyAlignment="1">
      <alignment horizontal="right" vertical="center"/>
    </xf>
    <xf numFmtId="2" fontId="133" fillId="57" borderId="111" xfId="97" applyNumberFormat="1" applyFont="1" applyFill="1" applyBorder="1"/>
    <xf numFmtId="2" fontId="132" fillId="0" borderId="34" xfId="97" applyNumberFormat="1" applyFont="1" applyFill="1" applyBorder="1" applyAlignment="1">
      <alignment horizontal="right"/>
    </xf>
    <xf numFmtId="0" fontId="19" fillId="0" borderId="34" xfId="97" applyBorder="1" applyAlignment="1">
      <alignment horizontal="center"/>
    </xf>
    <xf numFmtId="0" fontId="5" fillId="0" borderId="0" xfId="97" applyFont="1"/>
    <xf numFmtId="0" fontId="5" fillId="0" borderId="0" xfId="97" applyFont="1" applyBorder="1" applyAlignment="1"/>
    <xf numFmtId="49" fontId="5" fillId="0" borderId="0" xfId="97" applyNumberFormat="1" applyFont="1" applyAlignment="1">
      <alignment wrapText="1"/>
    </xf>
    <xf numFmtId="0" fontId="33" fillId="30" borderId="0" xfId="0" applyFont="1" applyFill="1" applyBorder="1"/>
    <xf numFmtId="0" fontId="4" fillId="0" borderId="0" xfId="97" applyFont="1"/>
    <xf numFmtId="4" fontId="88" fillId="0" borderId="51" xfId="85" applyNumberFormat="1" applyFont="1" applyFill="1" applyBorder="1" applyAlignment="1" applyProtection="1">
      <alignment horizontal="center" vertical="center"/>
    </xf>
    <xf numFmtId="0" fontId="3" fillId="0" borderId="0" xfId="97" applyFont="1"/>
    <xf numFmtId="49" fontId="3" fillId="0" borderId="0" xfId="97" applyNumberFormat="1" applyFont="1" applyAlignment="1">
      <alignment wrapText="1"/>
    </xf>
    <xf numFmtId="0" fontId="2" fillId="0" borderId="0" xfId="97" applyFont="1"/>
    <xf numFmtId="0" fontId="19" fillId="30" borderId="0" xfId="97" applyFill="1"/>
    <xf numFmtId="0" fontId="31" fillId="0" borderId="111" xfId="98" applyFont="1" applyFill="1" applyBorder="1" applyAlignment="1">
      <alignment horizontal="center"/>
    </xf>
    <xf numFmtId="0" fontId="125" fillId="0" borderId="111" xfId="97" applyFont="1" applyFill="1" applyBorder="1" applyAlignment="1">
      <alignment horizontal="right"/>
    </xf>
    <xf numFmtId="2" fontId="31" fillId="0" borderId="111" xfId="98" applyNumberFormat="1" applyFont="1" applyFill="1" applyBorder="1" applyAlignment="1">
      <alignment horizontal="center"/>
    </xf>
    <xf numFmtId="2" fontId="31" fillId="0" borderId="111" xfId="98" applyNumberFormat="1" applyFill="1" applyBorder="1" applyAlignment="1">
      <alignment horizontal="center"/>
    </xf>
    <xf numFmtId="2" fontId="125" fillId="0" borderId="111" xfId="97" applyNumberFormat="1" applyFont="1" applyFill="1" applyBorder="1" applyAlignment="1">
      <alignment horizontal="center"/>
    </xf>
    <xf numFmtId="0" fontId="19" fillId="0" borderId="111" xfId="97" applyFill="1" applyBorder="1" applyAlignment="1">
      <alignment horizontal="center"/>
    </xf>
    <xf numFmtId="12" fontId="125" fillId="0" borderId="111" xfId="97" applyNumberFormat="1" applyFont="1" applyFill="1" applyBorder="1" applyAlignment="1">
      <alignment horizontal="center" vertical="center" wrapText="1"/>
    </xf>
    <xf numFmtId="0" fontId="125" fillId="0" borderId="111" xfId="97" applyFont="1" applyFill="1" applyBorder="1" applyAlignment="1">
      <alignment horizontal="center"/>
    </xf>
    <xf numFmtId="2" fontId="133" fillId="0" borderId="111" xfId="97" applyNumberFormat="1" applyFont="1" applyFill="1" applyBorder="1" applyAlignment="1">
      <alignment horizontal="center"/>
    </xf>
    <xf numFmtId="183" fontId="125" fillId="0" borderId="111" xfId="97" applyNumberFormat="1" applyFont="1" applyFill="1" applyBorder="1" applyAlignment="1">
      <alignment horizontal="center"/>
    </xf>
    <xf numFmtId="2" fontId="150" fillId="0" borderId="116" xfId="99" applyNumberFormat="1" applyFill="1" applyBorder="1" applyAlignment="1">
      <alignment horizontal="center"/>
    </xf>
    <xf numFmtId="0" fontId="2" fillId="0" borderId="0" xfId="97" applyFont="1" applyAlignment="1">
      <alignment wrapText="1"/>
    </xf>
    <xf numFmtId="0" fontId="117" fillId="30" borderId="0" xfId="94" applyFont="1" applyFill="1" applyAlignment="1">
      <alignment horizontal="left" vertical="top"/>
    </xf>
    <xf numFmtId="166" fontId="117" fillId="0" borderId="0" xfId="228" applyFont="1" applyAlignment="1">
      <alignment horizontal="left" vertical="top"/>
    </xf>
    <xf numFmtId="166" fontId="182" fillId="30" borderId="0" xfId="228" applyFont="1" applyFill="1" applyAlignment="1">
      <alignment horizontal="left" vertical="top"/>
    </xf>
    <xf numFmtId="2" fontId="88" fillId="42" borderId="133" xfId="95" applyNumberFormat="1" applyFont="1" applyFill="1" applyBorder="1" applyAlignment="1">
      <alignment horizontal="right" vertical="center" wrapText="1"/>
    </xf>
    <xf numFmtId="0" fontId="88" fillId="42" borderId="49" xfId="95" applyFont="1" applyFill="1" applyBorder="1" applyAlignment="1">
      <alignment vertical="center"/>
    </xf>
    <xf numFmtId="4" fontId="88" fillId="42" borderId="49" xfId="85" applyNumberFormat="1" applyFont="1" applyFill="1" applyBorder="1" applyAlignment="1" applyProtection="1">
      <alignment horizontal="center" vertical="center"/>
    </xf>
    <xf numFmtId="4" fontId="88" fillId="43" borderId="49" xfId="85" applyNumberFormat="1" applyFont="1" applyFill="1" applyBorder="1" applyAlignment="1" applyProtection="1">
      <alignment horizontal="center" vertical="center"/>
    </xf>
    <xf numFmtId="4" fontId="88" fillId="42" borderId="49" xfId="96" applyNumberFormat="1" applyFont="1" applyFill="1" applyBorder="1" applyAlignment="1" applyProtection="1">
      <alignment horizontal="center" vertical="center"/>
    </xf>
    <xf numFmtId="39" fontId="89" fillId="42" borderId="134" xfId="96" applyNumberFormat="1" applyFont="1" applyFill="1" applyBorder="1" applyAlignment="1" applyProtection="1">
      <alignment horizontal="center" vertical="center"/>
    </xf>
    <xf numFmtId="4" fontId="88" fillId="42" borderId="0" xfId="96" applyNumberFormat="1" applyFont="1" applyFill="1" applyBorder="1" applyAlignment="1" applyProtection="1">
      <alignment horizontal="center" vertical="center"/>
    </xf>
    <xf numFmtId="0" fontId="1" fillId="0" borderId="0" xfId="95" applyFont="1"/>
    <xf numFmtId="0" fontId="138" fillId="0" borderId="0" xfId="95" applyFont="1"/>
    <xf numFmtId="39" fontId="89" fillId="0" borderId="55" xfId="85" applyNumberFormat="1" applyFont="1" applyFill="1" applyBorder="1" applyAlignment="1" applyProtection="1">
      <alignment horizontal="center" vertical="center"/>
    </xf>
    <xf numFmtId="4" fontId="88" fillId="33" borderId="51" xfId="85" applyNumberFormat="1" applyFont="1" applyFill="1" applyBorder="1" applyAlignment="1" applyProtection="1">
      <alignment horizontal="center" vertical="center"/>
    </xf>
    <xf numFmtId="4" fontId="88" fillId="43" borderId="54" xfId="96" applyNumberFormat="1" applyFont="1" applyFill="1" applyBorder="1" applyAlignment="1" applyProtection="1">
      <alignment horizontal="center" vertical="center"/>
    </xf>
    <xf numFmtId="4" fontId="88" fillId="0" borderId="54" xfId="85" applyNumberFormat="1" applyFont="1" applyFill="1" applyBorder="1" applyAlignment="1" applyProtection="1">
      <alignment horizontal="center" vertical="center"/>
    </xf>
    <xf numFmtId="0" fontId="89" fillId="0" borderId="51" xfId="95" applyFont="1" applyFill="1" applyBorder="1" applyAlignment="1">
      <alignment vertical="center"/>
    </xf>
    <xf numFmtId="0" fontId="89" fillId="0" borderId="54" xfId="95" applyFont="1" applyFill="1" applyBorder="1" applyAlignment="1">
      <alignment vertical="center"/>
    </xf>
    <xf numFmtId="4" fontId="88" fillId="0" borderId="54" xfId="96" applyNumberFormat="1" applyFont="1" applyFill="1" applyBorder="1" applyAlignment="1" applyProtection="1">
      <alignment horizontal="center" vertical="center"/>
    </xf>
    <xf numFmtId="4" fontId="88" fillId="0" borderId="85" xfId="96" applyNumberFormat="1" applyFont="1" applyFill="1" applyBorder="1" applyAlignment="1">
      <alignment horizontal="center" vertical="center"/>
    </xf>
    <xf numFmtId="0" fontId="88" fillId="33" borderId="51" xfId="95" applyFont="1" applyFill="1" applyBorder="1" applyAlignment="1">
      <alignment vertical="center" wrapText="1"/>
    </xf>
    <xf numFmtId="0" fontId="138" fillId="0" borderId="0" xfId="95" applyFont="1" applyAlignment="1">
      <alignment vertical="center"/>
    </xf>
    <xf numFmtId="0" fontId="88" fillId="33" borderId="51" xfId="95" applyFont="1" applyFill="1" applyBorder="1" applyAlignment="1">
      <alignment vertical="center"/>
    </xf>
    <xf numFmtId="4" fontId="88" fillId="33" borderId="85" xfId="96" applyNumberFormat="1" applyFont="1" applyFill="1" applyBorder="1" applyAlignment="1">
      <alignment horizontal="center" vertical="center"/>
    </xf>
    <xf numFmtId="0" fontId="132" fillId="33" borderId="51" xfId="95" applyFont="1" applyFill="1" applyBorder="1" applyAlignment="1">
      <alignment vertical="center" wrapText="1"/>
    </xf>
    <xf numFmtId="0" fontId="88" fillId="43" borderId="54" xfId="95" applyFont="1" applyFill="1" applyBorder="1" applyAlignment="1">
      <alignment vertical="center" wrapText="1"/>
    </xf>
    <xf numFmtId="0" fontId="88" fillId="33" borderId="54" xfId="95" applyFont="1" applyFill="1" applyBorder="1" applyAlignment="1">
      <alignment vertical="center" wrapText="1"/>
    </xf>
    <xf numFmtId="4" fontId="88" fillId="33" borderId="54" xfId="85" applyNumberFormat="1" applyFont="1" applyFill="1" applyBorder="1" applyAlignment="1" applyProtection="1">
      <alignment horizontal="center" vertical="center"/>
    </xf>
    <xf numFmtId="0" fontId="132" fillId="0" borderId="51" xfId="95" applyFont="1" applyFill="1" applyBorder="1" applyAlignment="1">
      <alignment vertical="center" wrapText="1"/>
    </xf>
    <xf numFmtId="0" fontId="20" fillId="0" borderId="0" xfId="95" applyBorder="1"/>
    <xf numFmtId="4" fontId="132" fillId="33" borderId="54" xfId="85" applyNumberFormat="1" applyFont="1" applyFill="1" applyBorder="1" applyAlignment="1" applyProtection="1">
      <alignment horizontal="center" vertical="center"/>
    </xf>
    <xf numFmtId="4" fontId="132" fillId="0" borderId="85" xfId="96" applyNumberFormat="1" applyFont="1" applyFill="1" applyBorder="1" applyAlignment="1">
      <alignment horizontal="center" vertical="center"/>
    </xf>
    <xf numFmtId="4" fontId="132" fillId="33" borderId="51" xfId="85" applyNumberFormat="1" applyFont="1" applyFill="1" applyBorder="1" applyAlignment="1" applyProtection="1">
      <alignment horizontal="center" vertical="center"/>
    </xf>
    <xf numFmtId="2" fontId="104" fillId="42" borderId="135" xfId="84" applyNumberFormat="1" applyFont="1" applyFill="1" applyBorder="1" applyAlignment="1">
      <alignment horizontal="center" vertical="center" wrapText="1"/>
    </xf>
    <xf numFmtId="0" fontId="104" fillId="42" borderId="136" xfId="84" applyFont="1" applyFill="1" applyBorder="1" applyAlignment="1">
      <alignment horizontal="center" vertical="center"/>
    </xf>
    <xf numFmtId="4" fontId="104" fillId="42" borderId="136" xfId="84" applyNumberFormat="1" applyFont="1" applyFill="1" applyBorder="1" applyAlignment="1">
      <alignment horizontal="center" vertical="center"/>
    </xf>
    <xf numFmtId="4" fontId="104" fillId="42" borderId="136" xfId="84" applyNumberFormat="1" applyFont="1" applyFill="1" applyBorder="1" applyAlignment="1">
      <alignment horizontal="center" vertical="center" wrapText="1"/>
    </xf>
    <xf numFmtId="4" fontId="104" fillId="42" borderId="137" xfId="84" applyNumberFormat="1" applyFont="1" applyFill="1" applyBorder="1" applyAlignment="1">
      <alignment horizontal="center" vertical="center" wrapText="1"/>
    </xf>
    <xf numFmtId="2" fontId="88" fillId="43" borderId="53" xfId="0" applyNumberFormat="1" applyFont="1" applyFill="1" applyBorder="1" applyAlignment="1">
      <alignment horizontal="right" vertical="center" wrapText="1"/>
    </xf>
    <xf numFmtId="0" fontId="88" fillId="43" borderId="54" xfId="0" applyFont="1" applyFill="1" applyBorder="1" applyAlignment="1">
      <alignment vertical="center"/>
    </xf>
    <xf numFmtId="4" fontId="88" fillId="43" borderId="54" xfId="0" applyNumberFormat="1" applyFont="1" applyFill="1" applyBorder="1" applyAlignment="1">
      <alignment horizontal="center" vertical="center"/>
    </xf>
    <xf numFmtId="0" fontId="88" fillId="43" borderId="54" xfId="0" applyFont="1" applyFill="1" applyBorder="1" applyAlignment="1">
      <alignment horizontal="center" vertical="center"/>
    </xf>
    <xf numFmtId="174" fontId="88" fillId="43" borderId="54" xfId="0" applyNumberFormat="1" applyFont="1" applyFill="1" applyBorder="1" applyAlignment="1">
      <alignment horizontal="center" vertical="center"/>
    </xf>
    <xf numFmtId="216" fontId="183" fillId="33" borderId="55" xfId="0" applyNumberFormat="1" applyFont="1" applyFill="1" applyBorder="1" applyAlignment="1">
      <alignment horizontal="center" vertical="center" wrapText="1"/>
    </xf>
    <xf numFmtId="0" fontId="88" fillId="43" borderId="54" xfId="0" applyFont="1" applyFill="1" applyBorder="1" applyAlignment="1">
      <alignment vertical="center" wrapText="1"/>
    </xf>
    <xf numFmtId="4" fontId="88" fillId="43" borderId="54" xfId="0" applyNumberFormat="1" applyFont="1" applyFill="1" applyBorder="1" applyAlignment="1">
      <alignment vertical="center"/>
    </xf>
    <xf numFmtId="2" fontId="88" fillId="42" borderId="53" xfId="95" applyNumberFormat="1" applyFont="1" applyFill="1" applyBorder="1" applyAlignment="1">
      <alignment horizontal="right" vertical="top" wrapText="1"/>
    </xf>
    <xf numFmtId="14" fontId="86" fillId="42" borderId="73" xfId="83" applyNumberFormat="1" applyFont="1" applyFill="1" applyBorder="1" applyAlignment="1" applyProtection="1">
      <alignment horizontal="left" vertical="center"/>
    </xf>
    <xf numFmtId="0" fontId="88" fillId="0" borderId="35" xfId="82" applyBorder="1" applyAlignment="1">
      <alignment horizontal="center" wrapText="1"/>
    </xf>
    <xf numFmtId="0" fontId="88" fillId="0" borderId="45" xfId="82" applyBorder="1" applyAlignment="1">
      <alignment horizontal="center" wrapText="1"/>
    </xf>
    <xf numFmtId="0" fontId="88" fillId="0" borderId="36" xfId="82" applyBorder="1" applyAlignment="1">
      <alignment horizontal="center" wrapText="1"/>
    </xf>
    <xf numFmtId="0" fontId="96" fillId="0" borderId="0" xfId="82" applyFont="1" applyAlignment="1">
      <alignment horizontal="left" vertical="center" wrapText="1"/>
    </xf>
    <xf numFmtId="0" fontId="88" fillId="0" borderId="0" xfId="82" applyAlignment="1">
      <alignment horizontal="left" vertical="top" wrapText="1"/>
    </xf>
    <xf numFmtId="0" fontId="88" fillId="0" borderId="43" xfId="82" applyFont="1" applyBorder="1" applyAlignment="1">
      <alignment horizontal="left" vertical="top" wrapText="1"/>
    </xf>
    <xf numFmtId="0" fontId="96" fillId="0" borderId="0" xfId="82" applyFont="1" applyBorder="1" applyAlignment="1">
      <alignment horizontal="center" vertical="center" wrapText="1"/>
    </xf>
    <xf numFmtId="0" fontId="96" fillId="0" borderId="0" xfId="82" applyFont="1" applyAlignment="1">
      <alignment horizontal="center" vertical="center" wrapText="1"/>
    </xf>
    <xf numFmtId="0" fontId="88" fillId="0" borderId="43" xfId="82" applyBorder="1" applyAlignment="1">
      <alignment horizontal="left" vertical="top" wrapText="1"/>
    </xf>
    <xf numFmtId="0" fontId="99" fillId="0" borderId="0" xfId="82" applyFont="1" applyAlignment="1">
      <alignment horizontal="center"/>
    </xf>
    <xf numFmtId="0" fontId="88" fillId="0" borderId="44" xfId="82" applyBorder="1" applyAlignment="1">
      <alignment horizontal="center" vertical="center" wrapText="1"/>
    </xf>
    <xf numFmtId="0" fontId="88" fillId="0" borderId="0" xfId="82" applyFont="1" applyAlignment="1">
      <alignment horizontal="left" vertical="top" wrapText="1"/>
    </xf>
    <xf numFmtId="4" fontId="89" fillId="0" borderId="39" xfId="84" applyNumberFormat="1" applyFont="1" applyBorder="1" applyAlignment="1">
      <alignment horizontal="center"/>
    </xf>
    <xf numFmtId="4" fontId="89" fillId="0" borderId="40" xfId="84" applyNumberFormat="1" applyFont="1" applyBorder="1" applyAlignment="1">
      <alignment horizontal="center"/>
    </xf>
    <xf numFmtId="4" fontId="89" fillId="0" borderId="41" xfId="84" applyNumberFormat="1" applyFont="1" applyBorder="1" applyAlignment="1">
      <alignment horizontal="center"/>
    </xf>
    <xf numFmtId="0" fontId="71" fillId="27" borderId="12" xfId="0" applyFont="1" applyFill="1" applyBorder="1" applyAlignment="1">
      <alignment horizontal="center"/>
    </xf>
    <xf numFmtId="0" fontId="71" fillId="27" borderId="11" xfId="0" applyFont="1" applyFill="1" applyBorder="1" applyAlignment="1">
      <alignment horizontal="center"/>
    </xf>
    <xf numFmtId="0" fontId="71" fillId="27" borderId="17" xfId="0" applyFont="1" applyFill="1" applyBorder="1" applyAlignment="1">
      <alignment horizontal="center"/>
    </xf>
    <xf numFmtId="4" fontId="32" fillId="0" borderId="43" xfId="85" applyNumberFormat="1" applyFont="1" applyFill="1" applyBorder="1" applyAlignment="1">
      <alignment horizontal="left"/>
    </xf>
    <xf numFmtId="0" fontId="32" fillId="0" borderId="0" xfId="84" applyFont="1" applyFill="1" applyBorder="1" applyAlignment="1">
      <alignment horizontal="right" vertical="center"/>
    </xf>
    <xf numFmtId="0" fontId="32" fillId="0" borderId="0" xfId="84" applyFont="1" applyFill="1" applyBorder="1" applyAlignment="1">
      <alignment horizontal="left" vertical="center" wrapText="1"/>
    </xf>
    <xf numFmtId="4" fontId="32" fillId="0" borderId="34" xfId="85" applyNumberFormat="1" applyFont="1" applyFill="1" applyBorder="1" applyAlignment="1">
      <alignment horizontal="center"/>
    </xf>
    <xf numFmtId="0" fontId="35" fillId="7" borderId="12" xfId="4" applyFont="1" applyBorder="1" applyAlignment="1">
      <alignment horizontal="center"/>
    </xf>
    <xf numFmtId="0" fontId="35" fillId="7" borderId="11" xfId="4" applyFont="1" applyBorder="1" applyAlignment="1">
      <alignment horizontal="center"/>
    </xf>
    <xf numFmtId="0" fontId="35" fillId="7" borderId="17" xfId="4" applyFont="1" applyBorder="1" applyAlignment="1">
      <alignment horizontal="center"/>
    </xf>
    <xf numFmtId="0" fontId="35" fillId="6" borderId="12" xfId="3" applyFont="1" applyBorder="1" applyAlignment="1">
      <alignment horizontal="center"/>
    </xf>
    <xf numFmtId="0" fontId="35" fillId="6" borderId="17" xfId="3" applyFont="1" applyBorder="1" applyAlignment="1">
      <alignment horizontal="center"/>
    </xf>
    <xf numFmtId="0" fontId="35" fillId="47" borderId="70" xfId="10" applyFont="1" applyFill="1" applyBorder="1" applyAlignment="1">
      <alignment horizontal="center"/>
    </xf>
    <xf numFmtId="0" fontId="35" fillId="47" borderId="71" xfId="10" applyFont="1" applyFill="1" applyBorder="1" applyAlignment="1">
      <alignment horizontal="center"/>
    </xf>
    <xf numFmtId="0" fontId="35" fillId="47" borderId="72" xfId="10" applyFont="1" applyFill="1" applyBorder="1" applyAlignment="1">
      <alignment horizontal="center"/>
    </xf>
    <xf numFmtId="0" fontId="35" fillId="38" borderId="0" xfId="4" applyFont="1" applyFill="1" applyAlignment="1">
      <alignment horizontal="center" vertical="center"/>
    </xf>
    <xf numFmtId="0" fontId="32" fillId="0" borderId="0" xfId="0" applyFont="1" applyFill="1" applyBorder="1" applyAlignment="1">
      <alignment horizontal="left" vertical="center" wrapText="1"/>
    </xf>
    <xf numFmtId="0" fontId="33" fillId="0" borderId="0" xfId="0" applyFont="1" applyFill="1" applyBorder="1" applyAlignment="1" applyProtection="1">
      <alignment horizontal="left" vertical="center"/>
    </xf>
    <xf numFmtId="0" fontId="111" fillId="45" borderId="12" xfId="0" applyFont="1" applyFill="1" applyBorder="1" applyAlignment="1">
      <alignment horizontal="center"/>
    </xf>
    <xf numFmtId="0" fontId="111" fillId="45" borderId="11" xfId="0" applyFont="1" applyFill="1" applyBorder="1" applyAlignment="1">
      <alignment horizontal="center"/>
    </xf>
    <xf numFmtId="0" fontId="111" fillId="45" borderId="17" xfId="0" applyFont="1" applyFill="1" applyBorder="1" applyAlignment="1">
      <alignment horizontal="center"/>
    </xf>
    <xf numFmtId="0" fontId="32" fillId="0" borderId="0" xfId="0" applyFont="1" applyFill="1" applyAlignment="1">
      <alignment horizontal="left"/>
    </xf>
    <xf numFmtId="0" fontId="38" fillId="21" borderId="0" xfId="0" applyFont="1" applyFill="1" applyAlignment="1">
      <alignment horizontal="left"/>
    </xf>
    <xf numFmtId="4" fontId="33" fillId="0" borderId="0" xfId="32" applyNumberFormat="1" applyFont="1" applyFill="1" applyAlignment="1">
      <alignment horizontal="right"/>
    </xf>
    <xf numFmtId="179" fontId="32" fillId="0" borderId="35" xfId="81" applyNumberFormat="1" applyFont="1" applyFill="1" applyBorder="1" applyAlignment="1">
      <alignment horizontal="center" vertical="center"/>
    </xf>
    <xf numFmtId="179" fontId="32" fillId="0" borderId="36" xfId="81" applyNumberFormat="1" applyFont="1" applyFill="1" applyBorder="1" applyAlignment="1">
      <alignment horizontal="center" vertical="center"/>
    </xf>
    <xf numFmtId="0" fontId="32" fillId="0" borderId="0" xfId="0" applyFont="1" applyFill="1" applyBorder="1" applyAlignment="1">
      <alignment horizontal="right" vertical="center"/>
    </xf>
    <xf numFmtId="164" fontId="32" fillId="0" borderId="0" xfId="79" applyNumberFormat="1" applyFont="1" applyFill="1" applyBorder="1" applyAlignment="1">
      <alignment horizontal="right" vertical="center"/>
    </xf>
    <xf numFmtId="164" fontId="32" fillId="0" borderId="35" xfId="79" applyNumberFormat="1" applyFont="1" applyFill="1" applyBorder="1" applyAlignment="1">
      <alignment horizontal="right" vertical="center"/>
    </xf>
    <xf numFmtId="164" fontId="32" fillId="0" borderId="36" xfId="79" applyNumberFormat="1" applyFont="1" applyFill="1" applyBorder="1" applyAlignment="1">
      <alignment horizontal="right" vertical="center"/>
    </xf>
    <xf numFmtId="0" fontId="138" fillId="0" borderId="47" xfId="95" applyFont="1" applyBorder="1" applyAlignment="1">
      <alignment horizontal="center" vertical="center"/>
    </xf>
    <xf numFmtId="0" fontId="102" fillId="42" borderId="65" xfId="95" applyFont="1" applyFill="1" applyBorder="1" applyAlignment="1">
      <alignment horizontal="center" vertical="center"/>
    </xf>
    <xf numFmtId="0" fontId="102" fillId="42" borderId="66" xfId="95" applyFont="1" applyFill="1" applyBorder="1" applyAlignment="1">
      <alignment horizontal="center" vertical="center"/>
    </xf>
    <xf numFmtId="0" fontId="102" fillId="42" borderId="67" xfId="95" applyFont="1" applyFill="1" applyBorder="1" applyAlignment="1">
      <alignment horizontal="center" vertical="center"/>
    </xf>
    <xf numFmtId="0" fontId="108" fillId="42" borderId="47" xfId="95" applyFont="1" applyFill="1" applyBorder="1" applyAlignment="1">
      <alignment horizontal="center" vertical="center"/>
    </xf>
    <xf numFmtId="0" fontId="108" fillId="42" borderId="0" xfId="95" applyFont="1" applyFill="1" applyAlignment="1">
      <alignment horizontal="center" vertical="center"/>
    </xf>
    <xf numFmtId="0" fontId="108" fillId="42" borderId="48" xfId="95" applyFont="1" applyFill="1" applyBorder="1" applyAlignment="1">
      <alignment horizontal="center" vertical="center"/>
    </xf>
    <xf numFmtId="4" fontId="101" fillId="43" borderId="0" xfId="92" applyNumberFormat="1" applyFont="1" applyFill="1" applyAlignment="1">
      <alignment horizontal="center" vertical="center"/>
    </xf>
    <xf numFmtId="4" fontId="113" fillId="43" borderId="0" xfId="92" applyNumberFormat="1" applyFont="1" applyFill="1" applyAlignment="1">
      <alignment horizontal="center" vertical="center"/>
    </xf>
    <xf numFmtId="4" fontId="114" fillId="43" borderId="0" xfId="92" applyNumberFormat="1" applyFont="1" applyFill="1" applyAlignment="1">
      <alignment horizontal="center" vertical="center"/>
    </xf>
    <xf numFmtId="0" fontId="103" fillId="43" borderId="0" xfId="92" applyFont="1" applyFill="1" applyAlignment="1">
      <alignment horizontal="left" vertical="center"/>
    </xf>
    <xf numFmtId="0" fontId="114" fillId="42" borderId="0" xfId="92" applyFont="1" applyFill="1" applyAlignment="1">
      <alignment horizontal="center" vertical="center"/>
    </xf>
    <xf numFmtId="0" fontId="114" fillId="42" borderId="0" xfId="92" applyFont="1" applyFill="1" applyAlignment="1">
      <alignment horizontal="left" vertical="center" wrapText="1"/>
    </xf>
    <xf numFmtId="0" fontId="114" fillId="42" borderId="73" xfId="92" applyFont="1" applyFill="1" applyBorder="1" applyAlignment="1">
      <alignment horizontal="left" vertical="center"/>
    </xf>
    <xf numFmtId="0" fontId="106" fillId="42" borderId="47" xfId="95" applyFont="1" applyFill="1" applyBorder="1" applyAlignment="1">
      <alignment horizontal="center" vertical="center"/>
    </xf>
    <xf numFmtId="0" fontId="106" fillId="42" borderId="0" xfId="95" applyFont="1" applyFill="1" applyAlignment="1">
      <alignment horizontal="center" vertical="center"/>
    </xf>
    <xf numFmtId="0" fontId="106" fillId="42" borderId="62" xfId="95" applyFont="1" applyFill="1" applyBorder="1" applyAlignment="1">
      <alignment horizontal="center" vertical="center"/>
    </xf>
    <xf numFmtId="0" fontId="106" fillId="42" borderId="63" xfId="95" applyFont="1" applyFill="1" applyBorder="1" applyAlignment="1">
      <alignment horizontal="center" vertical="center"/>
    </xf>
    <xf numFmtId="0" fontId="106" fillId="42" borderId="64" xfId="95" applyFont="1" applyFill="1" applyBorder="1" applyAlignment="1">
      <alignment horizontal="center" vertical="center"/>
    </xf>
    <xf numFmtId="0" fontId="102" fillId="42" borderId="47" xfId="0" applyFont="1" applyFill="1" applyBorder="1" applyAlignment="1">
      <alignment horizontal="center" vertical="center"/>
    </xf>
    <xf numFmtId="0" fontId="102" fillId="42" borderId="0" xfId="0" applyFont="1" applyFill="1" applyBorder="1" applyAlignment="1">
      <alignment horizontal="center" vertical="center"/>
    </xf>
    <xf numFmtId="0" fontId="102" fillId="42" borderId="48" xfId="0" applyFont="1" applyFill="1" applyBorder="1" applyAlignment="1">
      <alignment horizontal="center" vertical="center"/>
    </xf>
    <xf numFmtId="0" fontId="106" fillId="42" borderId="47" xfId="95" applyFont="1" applyFill="1" applyBorder="1" applyAlignment="1">
      <alignment horizontal="center"/>
    </xf>
    <xf numFmtId="0" fontId="106" fillId="42" borderId="0" xfId="95" applyFont="1" applyFill="1" applyAlignment="1">
      <alignment horizontal="center"/>
    </xf>
    <xf numFmtId="4" fontId="106" fillId="42" borderId="0" xfId="95" applyNumberFormat="1" applyFont="1" applyFill="1" applyAlignment="1">
      <alignment horizontal="center"/>
    </xf>
    <xf numFmtId="4" fontId="106" fillId="42" borderId="48" xfId="95" applyNumberFormat="1" applyFont="1" applyFill="1" applyBorder="1" applyAlignment="1">
      <alignment horizontal="center"/>
    </xf>
    <xf numFmtId="4" fontId="106" fillId="42" borderId="0" xfId="95" applyNumberFormat="1" applyFont="1" applyFill="1" applyAlignment="1">
      <alignment horizontal="center" vertical="center"/>
    </xf>
    <xf numFmtId="4" fontId="106" fillId="42" borderId="48" xfId="95" applyNumberFormat="1" applyFont="1" applyFill="1" applyBorder="1" applyAlignment="1">
      <alignment horizontal="center" vertical="center"/>
    </xf>
    <xf numFmtId="0" fontId="15" fillId="0" borderId="99" xfId="97" applyFont="1" applyBorder="1" applyAlignment="1">
      <alignment horizontal="center"/>
    </xf>
    <xf numFmtId="0" fontId="19" fillId="0" borderId="99" xfId="97" applyBorder="1" applyAlignment="1">
      <alignment horizontal="center"/>
    </xf>
    <xf numFmtId="0" fontId="89" fillId="40" borderId="35" xfId="98" applyFont="1" applyFill="1" applyBorder="1" applyAlignment="1">
      <alignment horizontal="center" wrapText="1"/>
    </xf>
    <xf numFmtId="0" fontId="89" fillId="40" borderId="36" xfId="98" applyFont="1" applyFill="1" applyBorder="1" applyAlignment="1">
      <alignment horizontal="center" wrapText="1"/>
    </xf>
    <xf numFmtId="0" fontId="135" fillId="40" borderId="34" xfId="98" applyFont="1" applyFill="1" applyBorder="1" applyAlignment="1">
      <alignment horizontal="center" wrapText="1"/>
    </xf>
    <xf numFmtId="0" fontId="130" fillId="49" borderId="34" xfId="97" applyFont="1" applyFill="1" applyBorder="1" applyAlignment="1">
      <alignment horizontal="center"/>
    </xf>
    <xf numFmtId="0" fontId="89" fillId="33" borderId="34" xfId="98" applyFont="1" applyFill="1" applyBorder="1" applyAlignment="1">
      <alignment horizontal="left"/>
    </xf>
    <xf numFmtId="0" fontId="135" fillId="40" borderId="0" xfId="98" applyFont="1" applyFill="1" applyBorder="1" applyAlignment="1">
      <alignment horizontal="center"/>
    </xf>
    <xf numFmtId="0" fontId="135" fillId="40" borderId="44" xfId="98" applyFont="1" applyFill="1" applyBorder="1" applyAlignment="1">
      <alignment horizontal="center"/>
    </xf>
    <xf numFmtId="0" fontId="89" fillId="40" borderId="34" xfId="98" applyFont="1" applyFill="1" applyBorder="1" applyAlignment="1">
      <alignment horizontal="center"/>
    </xf>
    <xf numFmtId="0" fontId="104" fillId="33" borderId="35" xfId="98" applyFont="1" applyFill="1" applyBorder="1" applyAlignment="1">
      <alignment horizontal="center"/>
    </xf>
    <xf numFmtId="0" fontId="104" fillId="33" borderId="36" xfId="98" applyFont="1" applyFill="1" applyBorder="1" applyAlignment="1">
      <alignment horizontal="center"/>
    </xf>
    <xf numFmtId="0" fontId="104" fillId="40" borderId="34" xfId="98" applyFont="1" applyFill="1" applyBorder="1" applyAlignment="1">
      <alignment horizontal="center"/>
    </xf>
    <xf numFmtId="0" fontId="19" fillId="33" borderId="35" xfId="97" applyFont="1" applyFill="1" applyBorder="1" applyAlignment="1">
      <alignment horizontal="center"/>
    </xf>
    <xf numFmtId="0" fontId="19" fillId="33" borderId="36" xfId="97" applyFont="1" applyFill="1" applyBorder="1" applyAlignment="1">
      <alignment horizontal="center"/>
    </xf>
    <xf numFmtId="0" fontId="126" fillId="52" borderId="77" xfId="97" applyFont="1" applyFill="1" applyBorder="1" applyAlignment="1">
      <alignment horizontal="center"/>
    </xf>
    <xf numFmtId="0" fontId="126" fillId="52" borderId="0" xfId="97" applyFont="1" applyFill="1" applyBorder="1" applyAlignment="1">
      <alignment horizontal="center"/>
    </xf>
    <xf numFmtId="0" fontId="127" fillId="53" borderId="0" xfId="97" applyFont="1" applyFill="1" applyBorder="1" applyAlignment="1">
      <alignment horizontal="center"/>
    </xf>
    <xf numFmtId="0" fontId="89" fillId="40" borderId="12" xfId="98" applyFont="1" applyFill="1" applyBorder="1" applyAlignment="1">
      <alignment horizontal="center" wrapText="1"/>
    </xf>
    <xf numFmtId="0" fontId="89" fillId="40" borderId="11" xfId="98" applyFont="1" applyFill="1" applyBorder="1" applyAlignment="1">
      <alignment horizontal="center" wrapText="1"/>
    </xf>
    <xf numFmtId="0" fontId="89" fillId="40" borderId="17" xfId="98" applyFont="1" applyFill="1" applyBorder="1" applyAlignment="1">
      <alignment horizontal="center" wrapText="1"/>
    </xf>
    <xf numFmtId="0" fontId="139" fillId="40" borderId="83" xfId="98" applyFont="1" applyFill="1" applyBorder="1" applyAlignment="1">
      <alignment horizontal="center"/>
    </xf>
    <xf numFmtId="0" fontId="139" fillId="40" borderId="44" xfId="98" applyFont="1" applyFill="1" applyBorder="1" applyAlignment="1">
      <alignment horizontal="center"/>
    </xf>
    <xf numFmtId="2" fontId="132" fillId="33" borderId="34" xfId="97" applyNumberFormat="1" applyFont="1" applyFill="1" applyBorder="1" applyAlignment="1">
      <alignment horizontal="center" vertical="center"/>
    </xf>
    <xf numFmtId="2" fontId="132" fillId="33" borderId="111" xfId="97" applyNumberFormat="1" applyFont="1" applyFill="1" applyBorder="1" applyAlignment="1">
      <alignment horizontal="center" vertical="center"/>
    </xf>
    <xf numFmtId="2" fontId="88" fillId="33" borderId="34" xfId="98" applyNumberFormat="1" applyFont="1" applyFill="1" applyBorder="1" applyAlignment="1">
      <alignment horizontal="center" vertical="center"/>
    </xf>
    <xf numFmtId="2" fontId="88" fillId="33" borderId="111" xfId="98" applyNumberFormat="1" applyFont="1" applyFill="1" applyBorder="1" applyAlignment="1">
      <alignment horizontal="center" vertical="center"/>
    </xf>
    <xf numFmtId="2" fontId="133" fillId="33" borderId="46" xfId="98" applyNumberFormat="1" applyFont="1" applyFill="1" applyBorder="1" applyAlignment="1">
      <alignment horizontal="center" vertical="center"/>
    </xf>
    <xf numFmtId="2" fontId="133" fillId="33" borderId="69" xfId="98" applyNumberFormat="1" applyFont="1" applyFill="1" applyBorder="1" applyAlignment="1">
      <alignment horizontal="center" vertical="center"/>
    </xf>
    <xf numFmtId="2" fontId="19" fillId="33" borderId="46" xfId="97" applyNumberFormat="1" applyFill="1" applyBorder="1" applyAlignment="1">
      <alignment horizontal="center" vertical="center"/>
    </xf>
    <xf numFmtId="2" fontId="19" fillId="33" borderId="69" xfId="97" applyNumberFormat="1" applyFill="1" applyBorder="1" applyAlignment="1">
      <alignment horizontal="center" vertical="center"/>
    </xf>
    <xf numFmtId="0" fontId="89" fillId="40" borderId="83" xfId="98" applyFont="1" applyFill="1" applyBorder="1" applyAlignment="1">
      <alignment horizontal="center"/>
    </xf>
    <xf numFmtId="0" fontId="89" fillId="40" borderId="44" xfId="98" applyFont="1" applyFill="1" applyBorder="1" applyAlignment="1">
      <alignment horizontal="center"/>
    </xf>
    <xf numFmtId="2" fontId="132" fillId="0" borderId="34" xfId="97" applyNumberFormat="1" applyFont="1" applyBorder="1" applyAlignment="1">
      <alignment horizontal="center" vertical="center"/>
    </xf>
    <xf numFmtId="2" fontId="88" fillId="0" borderId="36" xfId="98" applyNumberFormat="1" applyFont="1" applyFill="1" applyBorder="1" applyAlignment="1">
      <alignment horizontal="center" vertical="center"/>
    </xf>
    <xf numFmtId="2" fontId="133" fillId="0" borderId="46" xfId="98" applyNumberFormat="1" applyFont="1" applyBorder="1" applyAlignment="1">
      <alignment horizontal="center" vertical="center"/>
    </xf>
    <xf numFmtId="2" fontId="133" fillId="0" borderId="69" xfId="98" applyNumberFormat="1" applyFont="1" applyBorder="1" applyAlignment="1">
      <alignment horizontal="center" vertical="center"/>
    </xf>
    <xf numFmtId="2" fontId="133" fillId="0" borderId="68" xfId="98" applyNumberFormat="1" applyFont="1" applyBorder="1" applyAlignment="1">
      <alignment horizontal="center" vertical="center"/>
    </xf>
    <xf numFmtId="2" fontId="19" fillId="0" borderId="46" xfId="97" applyNumberFormat="1" applyBorder="1" applyAlignment="1">
      <alignment horizontal="center" vertical="center"/>
    </xf>
    <xf numFmtId="2" fontId="19" fillId="0" borderId="69" xfId="97" applyNumberFormat="1" applyBorder="1" applyAlignment="1">
      <alignment horizontal="center" vertical="center"/>
    </xf>
    <xf numFmtId="2" fontId="19" fillId="0" borderId="68" xfId="97" applyNumberFormat="1" applyBorder="1" applyAlignment="1">
      <alignment horizontal="center" vertical="center"/>
    </xf>
    <xf numFmtId="0" fontId="135" fillId="40" borderId="118" xfId="98" applyFont="1" applyFill="1" applyBorder="1" applyAlignment="1">
      <alignment horizontal="center" wrapText="1"/>
    </xf>
    <xf numFmtId="0" fontId="135" fillId="40" borderId="99" xfId="98" applyFont="1" applyFill="1" applyBorder="1" applyAlignment="1">
      <alignment horizontal="center" wrapText="1"/>
    </xf>
    <xf numFmtId="0" fontId="89" fillId="32" borderId="113" xfId="98" applyFont="1" applyFill="1" applyBorder="1" applyAlignment="1">
      <alignment horizontal="center" wrapText="1"/>
    </xf>
    <xf numFmtId="0" fontId="89" fillId="32" borderId="112" xfId="98" applyFont="1" applyFill="1" applyBorder="1" applyAlignment="1">
      <alignment horizontal="center" wrapText="1"/>
    </xf>
    <xf numFmtId="0" fontId="89" fillId="57" borderId="83" xfId="98" applyFont="1" applyFill="1" applyBorder="1" applyAlignment="1">
      <alignment horizontal="center"/>
    </xf>
    <xf numFmtId="0" fontId="89" fillId="57" borderId="44" xfId="98" applyFont="1" applyFill="1" applyBorder="1" applyAlignment="1">
      <alignment horizontal="center"/>
    </xf>
    <xf numFmtId="2" fontId="132" fillId="0" borderId="46" xfId="97" applyNumberFormat="1" applyFont="1" applyBorder="1" applyAlignment="1">
      <alignment horizontal="center" vertical="center"/>
    </xf>
    <xf numFmtId="2" fontId="132" fillId="0" borderId="69" xfId="97" applyNumberFormat="1" applyFont="1" applyBorder="1" applyAlignment="1">
      <alignment horizontal="center" vertical="center"/>
    </xf>
    <xf numFmtId="2" fontId="88" fillId="0" borderId="46" xfId="98" applyNumberFormat="1" applyFont="1" applyFill="1" applyBorder="1" applyAlignment="1">
      <alignment horizontal="center" vertical="center"/>
    </xf>
    <xf numFmtId="2" fontId="88" fillId="0" borderId="69" xfId="98" applyNumberFormat="1" applyFont="1" applyFill="1" applyBorder="1" applyAlignment="1">
      <alignment horizontal="center" vertical="center"/>
    </xf>
    <xf numFmtId="2" fontId="132" fillId="0" borderId="46" xfId="98" applyNumberFormat="1" applyFont="1" applyBorder="1" applyAlignment="1">
      <alignment horizontal="center" vertical="center"/>
    </xf>
    <xf numFmtId="2" fontId="132" fillId="0" borderId="69" xfId="98" applyNumberFormat="1" applyFont="1" applyBorder="1" applyAlignment="1">
      <alignment horizontal="center" vertical="center"/>
    </xf>
    <xf numFmtId="2" fontId="124" fillId="0" borderId="46" xfId="97" applyNumberFormat="1" applyFont="1" applyBorder="1" applyAlignment="1">
      <alignment horizontal="center" vertical="center"/>
    </xf>
    <xf numFmtId="2" fontId="124" fillId="0" borderId="69" xfId="97" applyNumberFormat="1" applyFont="1" applyBorder="1" applyAlignment="1">
      <alignment horizontal="center" vertical="center"/>
    </xf>
    <xf numFmtId="0" fontId="89" fillId="48" borderId="35" xfId="98" applyFont="1" applyFill="1" applyBorder="1" applyAlignment="1">
      <alignment horizontal="center"/>
    </xf>
    <xf numFmtId="0" fontId="89" fillId="48" borderId="36" xfId="98" applyFont="1" applyFill="1" applyBorder="1" applyAlignment="1">
      <alignment horizontal="center"/>
    </xf>
    <xf numFmtId="0" fontId="132" fillId="48" borderId="35" xfId="97" applyFont="1" applyFill="1" applyBorder="1" applyAlignment="1">
      <alignment horizontal="center"/>
    </xf>
    <xf numFmtId="0" fontId="132" fillId="48" borderId="36" xfId="97" applyFont="1" applyFill="1" applyBorder="1" applyAlignment="1">
      <alignment horizontal="center"/>
    </xf>
    <xf numFmtId="2" fontId="104" fillId="33" borderId="46" xfId="98" applyNumberFormat="1" applyFont="1" applyFill="1" applyBorder="1" applyAlignment="1">
      <alignment horizontal="center" vertical="center"/>
    </xf>
    <xf numFmtId="2" fontId="104" fillId="33" borderId="69" xfId="98" applyNumberFormat="1" applyFont="1" applyFill="1" applyBorder="1" applyAlignment="1">
      <alignment horizontal="center" vertical="center"/>
    </xf>
    <xf numFmtId="2" fontId="104" fillId="33" borderId="68" xfId="98" applyNumberFormat="1" applyFont="1" applyFill="1" applyBorder="1" applyAlignment="1">
      <alignment horizontal="center" vertical="center"/>
    </xf>
    <xf numFmtId="0" fontId="104" fillId="0" borderId="0" xfId="98" applyFont="1" applyFill="1" applyBorder="1" applyAlignment="1">
      <alignment horizontal="center"/>
    </xf>
    <xf numFmtId="0" fontId="135" fillId="40" borderId="83" xfId="97" applyFont="1" applyFill="1" applyBorder="1" applyAlignment="1">
      <alignment horizontal="center"/>
    </xf>
    <xf numFmtId="0" fontId="135" fillId="40" borderId="44" xfId="97" applyFont="1" applyFill="1" applyBorder="1" applyAlignment="1">
      <alignment horizontal="center"/>
    </xf>
    <xf numFmtId="0" fontId="135" fillId="40" borderId="77" xfId="97" applyFont="1" applyFill="1" applyBorder="1" applyAlignment="1">
      <alignment horizontal="center"/>
    </xf>
    <xf numFmtId="0" fontId="135" fillId="40" borderId="0" xfId="97" applyFont="1" applyFill="1" applyBorder="1" applyAlignment="1">
      <alignment horizontal="center"/>
    </xf>
    <xf numFmtId="0" fontId="135" fillId="40" borderId="35" xfId="97" applyFont="1" applyFill="1" applyBorder="1" applyAlignment="1">
      <alignment horizontal="center"/>
    </xf>
    <xf numFmtId="0" fontId="135" fillId="40" borderId="36" xfId="97" applyFont="1" applyFill="1" applyBorder="1" applyAlignment="1">
      <alignment horizontal="center"/>
    </xf>
    <xf numFmtId="2" fontId="132" fillId="0" borderId="34" xfId="98" applyNumberFormat="1" applyFont="1" applyBorder="1" applyAlignment="1">
      <alignment horizontal="center" vertical="center"/>
    </xf>
    <xf numFmtId="2" fontId="124" fillId="0" borderId="34" xfId="97" applyNumberFormat="1" applyFont="1" applyBorder="1" applyAlignment="1">
      <alignment horizontal="center" vertical="center"/>
    </xf>
    <xf numFmtId="0" fontId="100" fillId="0" borderId="46" xfId="98" applyFont="1" applyFill="1" applyBorder="1" applyAlignment="1">
      <alignment horizontal="center" vertical="center" wrapText="1"/>
    </xf>
    <xf numFmtId="0" fontId="100" fillId="0" borderId="68" xfId="98" applyFont="1" applyFill="1" applyBorder="1" applyAlignment="1">
      <alignment horizontal="center" vertical="center" wrapText="1"/>
    </xf>
    <xf numFmtId="0" fontId="135" fillId="57" borderId="35" xfId="98" applyFont="1" applyFill="1" applyBorder="1" applyAlignment="1">
      <alignment horizontal="center"/>
    </xf>
    <xf numFmtId="0" fontId="135" fillId="57" borderId="45" xfId="98" applyFont="1" applyFill="1" applyBorder="1" applyAlignment="1">
      <alignment horizontal="center"/>
    </xf>
    <xf numFmtId="0" fontId="89" fillId="49" borderId="35" xfId="98" applyFont="1" applyFill="1" applyBorder="1" applyAlignment="1">
      <alignment horizontal="center" wrapText="1"/>
    </xf>
    <xf numFmtId="0" fontId="89" fillId="49" borderId="36" xfId="98" applyFont="1" applyFill="1" applyBorder="1" applyAlignment="1">
      <alignment horizontal="center" wrapText="1"/>
    </xf>
    <xf numFmtId="0" fontId="135" fillId="57" borderId="34" xfId="98" applyFont="1" applyFill="1" applyBorder="1" applyAlignment="1">
      <alignment horizontal="center" wrapText="1"/>
    </xf>
    <xf numFmtId="0" fontId="89" fillId="57" borderId="35" xfId="98" applyFont="1" applyFill="1" applyBorder="1" applyAlignment="1">
      <alignment horizontal="center" wrapText="1"/>
    </xf>
    <xf numFmtId="0" fontId="89" fillId="57" borderId="36" xfId="98" applyFont="1" applyFill="1" applyBorder="1" applyAlignment="1">
      <alignment horizontal="center" wrapText="1"/>
    </xf>
    <xf numFmtId="0" fontId="135" fillId="57" borderId="83" xfId="97" applyFont="1" applyFill="1" applyBorder="1" applyAlignment="1">
      <alignment horizontal="center"/>
    </xf>
    <xf numFmtId="0" fontId="135" fillId="57" borderId="44" xfId="97" applyFont="1" applyFill="1" applyBorder="1" applyAlignment="1">
      <alignment horizontal="center"/>
    </xf>
    <xf numFmtId="0" fontId="104" fillId="57" borderId="35" xfId="98" applyFont="1" applyFill="1" applyBorder="1" applyAlignment="1">
      <alignment horizontal="center" wrapText="1"/>
    </xf>
    <xf numFmtId="0" fontId="104" fillId="57" borderId="45" xfId="98" applyFont="1" applyFill="1" applyBorder="1" applyAlignment="1">
      <alignment horizontal="center" wrapText="1"/>
    </xf>
    <xf numFmtId="0" fontId="104" fillId="57" borderId="36" xfId="98" applyFont="1" applyFill="1" applyBorder="1" applyAlignment="1">
      <alignment horizontal="center" wrapText="1"/>
    </xf>
    <xf numFmtId="0" fontId="135" fillId="57" borderId="35" xfId="97" applyFont="1" applyFill="1" applyBorder="1" applyAlignment="1">
      <alignment horizontal="center" wrapText="1"/>
    </xf>
    <xf numFmtId="0" fontId="135" fillId="57" borderId="36" xfId="97" applyFont="1" applyFill="1" applyBorder="1" applyAlignment="1">
      <alignment horizontal="center" wrapText="1"/>
    </xf>
    <xf numFmtId="0" fontId="135" fillId="57" borderId="35" xfId="98" applyFont="1" applyFill="1" applyBorder="1" applyAlignment="1">
      <alignment horizontal="center" wrapText="1"/>
    </xf>
    <xf numFmtId="0" fontId="135" fillId="57" borderId="45" xfId="98" applyFont="1" applyFill="1" applyBorder="1" applyAlignment="1">
      <alignment horizontal="center" wrapText="1"/>
    </xf>
    <xf numFmtId="0" fontId="100" fillId="0" borderId="34" xfId="98" applyFont="1" applyFill="1" applyBorder="1" applyAlignment="1">
      <alignment horizontal="center" vertical="center" wrapText="1"/>
    </xf>
    <xf numFmtId="0" fontId="149" fillId="53" borderId="0" xfId="97" applyFont="1" applyFill="1" applyBorder="1" applyAlignment="1">
      <alignment horizontal="center"/>
    </xf>
    <xf numFmtId="2" fontId="135" fillId="33" borderId="46" xfId="98" applyNumberFormat="1" applyFont="1" applyFill="1" applyBorder="1" applyAlignment="1">
      <alignment horizontal="center" vertical="center" wrapText="1"/>
    </xf>
    <xf numFmtId="0" fontId="135" fillId="33" borderId="69" xfId="98" applyFont="1" applyFill="1" applyBorder="1" applyAlignment="1">
      <alignment horizontal="center" vertical="center" wrapText="1"/>
    </xf>
    <xf numFmtId="0" fontId="135" fillId="33" borderId="68" xfId="98" applyFont="1" applyFill="1" applyBorder="1" applyAlignment="1">
      <alignment horizontal="center" vertical="center" wrapText="1"/>
    </xf>
    <xf numFmtId="2" fontId="132" fillId="0" borderId="68" xfId="98" applyNumberFormat="1" applyFont="1" applyBorder="1" applyAlignment="1">
      <alignment horizontal="center" vertical="center"/>
    </xf>
    <xf numFmtId="2" fontId="135" fillId="0" borderId="46" xfId="98" applyNumberFormat="1" applyFont="1" applyBorder="1" applyAlignment="1">
      <alignment vertical="center"/>
    </xf>
    <xf numFmtId="2" fontId="135" fillId="0" borderId="69" xfId="98" applyNumberFormat="1" applyFont="1" applyBorder="1" applyAlignment="1">
      <alignment vertical="center"/>
    </xf>
    <xf numFmtId="2" fontId="135" fillId="0" borderId="68" xfId="98" applyNumberFormat="1" applyFont="1" applyBorder="1" applyAlignment="1">
      <alignment vertical="center"/>
    </xf>
    <xf numFmtId="2" fontId="126" fillId="32" borderId="93" xfId="97" applyNumberFormat="1" applyFont="1" applyFill="1" applyBorder="1" applyAlignment="1">
      <alignment horizontal="center"/>
    </xf>
    <xf numFmtId="2" fontId="126" fillId="32" borderId="69" xfId="97" applyNumberFormat="1" applyFont="1" applyFill="1" applyBorder="1" applyAlignment="1">
      <alignment horizontal="center"/>
    </xf>
    <xf numFmtId="2" fontId="126" fillId="32" borderId="68" xfId="97" applyNumberFormat="1" applyFont="1" applyFill="1" applyBorder="1" applyAlignment="1">
      <alignment horizontal="center"/>
    </xf>
    <xf numFmtId="2" fontId="96" fillId="0" borderId="34" xfId="97" applyNumberFormat="1" applyFont="1" applyBorder="1" applyAlignment="1">
      <alignment horizontal="center"/>
    </xf>
    <xf numFmtId="0" fontId="86" fillId="66" borderId="90" xfId="97" applyFont="1" applyFill="1" applyBorder="1" applyAlignment="1">
      <alignment horizontal="center"/>
    </xf>
    <xf numFmtId="2" fontId="97" fillId="0" borderId="93" xfId="97" applyNumberFormat="1" applyFont="1" applyBorder="1" applyAlignment="1">
      <alignment horizontal="center" vertical="center"/>
    </xf>
    <xf numFmtId="2" fontId="97" fillId="0" borderId="69" xfId="97" applyNumberFormat="1" applyFont="1" applyBorder="1" applyAlignment="1">
      <alignment horizontal="center" vertical="center"/>
    </xf>
    <xf numFmtId="2" fontId="97" fillId="0" borderId="68" xfId="97" applyNumberFormat="1" applyFont="1" applyBorder="1" applyAlignment="1">
      <alignment horizontal="center" vertical="center"/>
    </xf>
    <xf numFmtId="0" fontId="96" fillId="0" borderId="93" xfId="97" applyFont="1" applyBorder="1" applyAlignment="1">
      <alignment horizontal="center" vertical="center"/>
    </xf>
    <xf numFmtId="0" fontId="96" fillId="0" borderId="69" xfId="97" applyFont="1" applyBorder="1" applyAlignment="1">
      <alignment horizontal="center" vertical="center"/>
    </xf>
    <xf numFmtId="0" fontId="96" fillId="0" borderId="68" xfId="97" applyFont="1" applyBorder="1" applyAlignment="1">
      <alignment horizontal="center" vertical="center"/>
    </xf>
    <xf numFmtId="0" fontId="86" fillId="49" borderId="90" xfId="97" applyFont="1" applyFill="1" applyBorder="1" applyAlignment="1">
      <alignment horizontal="center"/>
    </xf>
    <xf numFmtId="2" fontId="126" fillId="100" borderId="93" xfId="97" applyNumberFormat="1" applyFont="1" applyFill="1" applyBorder="1" applyAlignment="1">
      <alignment horizontal="center"/>
    </xf>
    <xf numFmtId="2" fontId="126" fillId="100" borderId="69" xfId="97" applyNumberFormat="1" applyFont="1" applyFill="1" applyBorder="1" applyAlignment="1">
      <alignment horizontal="center"/>
    </xf>
    <xf numFmtId="2" fontId="126" fillId="100" borderId="68" xfId="97" applyNumberFormat="1" applyFont="1" applyFill="1" applyBorder="1" applyAlignment="1">
      <alignment horizontal="center"/>
    </xf>
    <xf numFmtId="0" fontId="97" fillId="0" borderId="34" xfId="97" applyFont="1" applyBorder="1" applyAlignment="1">
      <alignment horizontal="center" wrapText="1"/>
    </xf>
    <xf numFmtId="0" fontId="152" fillId="0" borderId="34" xfId="99" applyFont="1" applyBorder="1" applyAlignment="1">
      <alignment horizontal="center"/>
    </xf>
    <xf numFmtId="0" fontId="19" fillId="0" borderId="34" xfId="97" applyBorder="1" applyAlignment="1">
      <alignment horizontal="center"/>
    </xf>
    <xf numFmtId="0" fontId="97" fillId="98" borderId="124" xfId="97" applyFont="1" applyFill="1" applyBorder="1" applyAlignment="1">
      <alignment horizontal="center"/>
    </xf>
    <xf numFmtId="0" fontId="97" fillId="98" borderId="125" xfId="97" applyFont="1" applyFill="1" applyBorder="1" applyAlignment="1">
      <alignment horizontal="center"/>
    </xf>
    <xf numFmtId="0" fontId="137" fillId="30" borderId="34" xfId="97" applyFont="1" applyFill="1" applyBorder="1" applyAlignment="1">
      <alignment horizontal="center"/>
    </xf>
    <xf numFmtId="0" fontId="159" fillId="59" borderId="34" xfId="97" applyFont="1" applyFill="1" applyBorder="1" applyAlignment="1">
      <alignment horizontal="center"/>
    </xf>
    <xf numFmtId="0" fontId="86" fillId="0" borderId="90" xfId="0" applyFont="1" applyBorder="1" applyAlignment="1">
      <alignment horizontal="center"/>
    </xf>
    <xf numFmtId="0" fontId="86" fillId="54" borderId="90" xfId="97" applyFont="1" applyFill="1" applyBorder="1" applyAlignment="1">
      <alignment horizontal="center"/>
    </xf>
    <xf numFmtId="2" fontId="126" fillId="30" borderId="93" xfId="97" applyNumberFormat="1" applyFont="1" applyFill="1" applyBorder="1" applyAlignment="1">
      <alignment horizontal="center"/>
    </xf>
    <xf numFmtId="2" fontId="126" fillId="30" borderId="69" xfId="97" applyNumberFormat="1" applyFont="1" applyFill="1" applyBorder="1" applyAlignment="1">
      <alignment horizontal="center"/>
    </xf>
    <xf numFmtId="2" fontId="126" fillId="30" borderId="68" xfId="97" applyNumberFormat="1" applyFont="1" applyFill="1" applyBorder="1" applyAlignment="1">
      <alignment horizontal="center"/>
    </xf>
    <xf numFmtId="0" fontId="174" fillId="99" borderId="0" xfId="97" applyFont="1" applyFill="1" applyAlignment="1">
      <alignment horizontal="center"/>
    </xf>
    <xf numFmtId="0" fontId="86" fillId="54" borderId="34" xfId="97" applyFont="1" applyFill="1" applyBorder="1" applyAlignment="1">
      <alignment horizontal="center" vertical="center"/>
    </xf>
    <xf numFmtId="0" fontId="142" fillId="59" borderId="34" xfId="97" applyFont="1" applyFill="1" applyBorder="1" applyAlignment="1">
      <alignment horizontal="center" vertical="center"/>
    </xf>
    <xf numFmtId="0" fontId="138" fillId="30" borderId="34" xfId="97" applyFont="1" applyFill="1" applyBorder="1" applyAlignment="1">
      <alignment horizontal="center"/>
    </xf>
    <xf numFmtId="0" fontId="157" fillId="59" borderId="35" xfId="97" applyFont="1" applyFill="1" applyBorder="1" applyAlignment="1">
      <alignment horizontal="center"/>
    </xf>
    <xf numFmtId="0" fontId="157" fillId="59" borderId="45" xfId="97" applyFont="1" applyFill="1" applyBorder="1" applyAlignment="1">
      <alignment horizontal="center"/>
    </xf>
    <xf numFmtId="0" fontId="157" fillId="59" borderId="36" xfId="97" applyFont="1" applyFill="1" applyBorder="1" applyAlignment="1">
      <alignment horizontal="center"/>
    </xf>
    <xf numFmtId="0" fontId="152" fillId="54" borderId="0" xfId="99" applyFont="1" applyFill="1" applyBorder="1" applyAlignment="1">
      <alignment horizontal="center"/>
    </xf>
    <xf numFmtId="2" fontId="108" fillId="0" borderId="46" xfId="99" applyNumberFormat="1" applyFont="1" applyFill="1" applyBorder="1" applyAlignment="1">
      <alignment horizontal="center" vertical="center"/>
    </xf>
    <xf numFmtId="2" fontId="108" fillId="0" borderId="69" xfId="99" applyNumberFormat="1" applyFont="1" applyFill="1" applyBorder="1" applyAlignment="1">
      <alignment horizontal="center" vertical="center"/>
    </xf>
    <xf numFmtId="0" fontId="97" fillId="0" borderId="34" xfId="97" applyFont="1" applyBorder="1" applyAlignment="1">
      <alignment horizontal="center"/>
    </xf>
    <xf numFmtId="0" fontId="97" fillId="0" borderId="43" xfId="97" applyFont="1" applyBorder="1" applyAlignment="1">
      <alignment horizontal="right"/>
    </xf>
    <xf numFmtId="2" fontId="106" fillId="0" borderId="46" xfId="99" applyNumberFormat="1" applyFont="1" applyFill="1" applyBorder="1" applyAlignment="1">
      <alignment horizontal="center" vertical="center"/>
    </xf>
    <xf numFmtId="2" fontId="106" fillId="0" borderId="69" xfId="99" applyNumberFormat="1" applyFont="1" applyFill="1" applyBorder="1" applyAlignment="1">
      <alignment horizontal="center" vertical="center"/>
    </xf>
    <xf numFmtId="0" fontId="97" fillId="0" borderId="35" xfId="97" applyFont="1" applyBorder="1" applyAlignment="1">
      <alignment horizontal="center" wrapText="1"/>
    </xf>
    <xf numFmtId="0" fontId="97" fillId="0" borderId="45" xfId="97" applyFont="1" applyBorder="1" applyAlignment="1">
      <alignment horizontal="center" wrapText="1"/>
    </xf>
    <xf numFmtId="0" fontId="97" fillId="0" borderId="36" xfId="97" applyFont="1" applyBorder="1" applyAlignment="1">
      <alignment horizontal="center" wrapText="1"/>
    </xf>
    <xf numFmtId="0" fontId="19" fillId="0" borderId="35" xfId="97" applyBorder="1" applyAlignment="1">
      <alignment horizontal="center"/>
    </xf>
    <xf numFmtId="0" fontId="19" fillId="0" borderId="45" xfId="97" applyBorder="1" applyAlignment="1">
      <alignment horizontal="center"/>
    </xf>
    <xf numFmtId="0" fontId="19" fillId="0" borderId="36" xfId="97" applyBorder="1" applyAlignment="1">
      <alignment horizontal="center"/>
    </xf>
    <xf numFmtId="2" fontId="106" fillId="0" borderId="34" xfId="99" applyNumberFormat="1" applyFont="1" applyFill="1" applyBorder="1" applyAlignment="1">
      <alignment horizontal="center" vertical="center"/>
    </xf>
    <xf numFmtId="191" fontId="158" fillId="0" borderId="35" xfId="99" applyNumberFormat="1" applyFont="1" applyBorder="1" applyAlignment="1">
      <alignment horizontal="center"/>
    </xf>
    <xf numFmtId="191" fontId="158" fillId="0" borderId="45" xfId="99" applyNumberFormat="1" applyFont="1" applyBorder="1" applyAlignment="1">
      <alignment horizontal="center"/>
    </xf>
    <xf numFmtId="191" fontId="158" fillId="0" borderId="36" xfId="99" applyNumberFormat="1" applyFont="1" applyBorder="1" applyAlignment="1">
      <alignment horizontal="center"/>
    </xf>
    <xf numFmtId="2" fontId="106" fillId="0" borderId="68" xfId="99" applyNumberFormat="1" applyFont="1" applyFill="1" applyBorder="1" applyAlignment="1">
      <alignment horizontal="center" vertical="center"/>
    </xf>
    <xf numFmtId="0" fontId="138" fillId="30" borderId="35" xfId="97" applyFont="1" applyFill="1" applyBorder="1" applyAlignment="1">
      <alignment horizontal="center"/>
    </xf>
    <xf numFmtId="0" fontId="138" fillId="30" borderId="36" xfId="97" applyFont="1" applyFill="1" applyBorder="1" applyAlignment="1">
      <alignment horizontal="center"/>
    </xf>
    <xf numFmtId="0" fontId="152" fillId="54" borderId="99" xfId="99" applyFont="1" applyFill="1" applyBorder="1" applyAlignment="1">
      <alignment horizontal="center"/>
    </xf>
    <xf numFmtId="2" fontId="106" fillId="33" borderId="46" xfId="99" applyNumberFormat="1" applyFont="1" applyFill="1" applyBorder="1" applyAlignment="1">
      <alignment horizontal="center" vertical="center"/>
    </xf>
    <xf numFmtId="2" fontId="106" fillId="33" borderId="69" xfId="99" applyNumberFormat="1" applyFont="1" applyFill="1" applyBorder="1" applyAlignment="1">
      <alignment horizontal="center" vertical="center"/>
    </xf>
    <xf numFmtId="2" fontId="106" fillId="33" borderId="68" xfId="99" applyNumberFormat="1" applyFont="1" applyFill="1" applyBorder="1" applyAlignment="1">
      <alignment horizontal="center" vertical="center"/>
    </xf>
    <xf numFmtId="0" fontId="142" fillId="54" borderId="0" xfId="99" applyFont="1" applyFill="1" applyBorder="1" applyAlignment="1">
      <alignment horizontal="center"/>
    </xf>
    <xf numFmtId="0" fontId="86" fillId="54" borderId="0" xfId="97" applyFont="1" applyFill="1" applyBorder="1" applyAlignment="1">
      <alignment horizontal="center"/>
    </xf>
    <xf numFmtId="2" fontId="97" fillId="0" borderId="34" xfId="97" applyNumberFormat="1" applyFont="1" applyBorder="1" applyAlignment="1">
      <alignment horizontal="center" vertical="center"/>
    </xf>
    <xf numFmtId="2" fontId="97" fillId="46" borderId="93" xfId="97" applyNumberFormat="1" applyFont="1" applyFill="1" applyBorder="1" applyAlignment="1">
      <alignment horizontal="center" vertical="center"/>
    </xf>
    <xf numFmtId="2" fontId="97" fillId="46" borderId="69" xfId="97" applyNumberFormat="1" applyFont="1" applyFill="1" applyBorder="1" applyAlignment="1">
      <alignment horizontal="center" vertical="center"/>
    </xf>
    <xf numFmtId="2" fontId="97" fillId="46" borderId="68" xfId="97" applyNumberFormat="1" applyFont="1" applyFill="1" applyBorder="1" applyAlignment="1">
      <alignment horizontal="center" vertical="center"/>
    </xf>
    <xf numFmtId="2" fontId="97" fillId="0" borderId="93" xfId="97" applyNumberFormat="1" applyFont="1" applyFill="1" applyBorder="1" applyAlignment="1">
      <alignment horizontal="center" vertical="center"/>
    </xf>
    <xf numFmtId="2" fontId="97" fillId="0" borderId="69" xfId="97" applyNumberFormat="1" applyFont="1" applyFill="1" applyBorder="1" applyAlignment="1">
      <alignment horizontal="center" vertical="center"/>
    </xf>
    <xf numFmtId="2" fontId="86" fillId="0" borderId="93" xfId="97" applyNumberFormat="1" applyFont="1" applyBorder="1" applyAlignment="1">
      <alignment horizontal="center" vertical="center"/>
    </xf>
    <xf numFmtId="2" fontId="86" fillId="0" borderId="69" xfId="97" applyNumberFormat="1" applyFont="1" applyBorder="1" applyAlignment="1">
      <alignment horizontal="center" vertical="center"/>
    </xf>
    <xf numFmtId="2" fontId="86" fillId="0" borderId="68" xfId="97" applyNumberFormat="1" applyFont="1" applyBorder="1" applyAlignment="1">
      <alignment horizontal="center" vertical="center"/>
    </xf>
    <xf numFmtId="0" fontId="86" fillId="57" borderId="90" xfId="97" applyFont="1" applyFill="1" applyBorder="1" applyAlignment="1">
      <alignment horizontal="center"/>
    </xf>
    <xf numFmtId="0" fontId="138" fillId="30" borderId="113" xfId="97" applyFont="1" applyFill="1" applyBorder="1" applyAlignment="1">
      <alignment horizontal="center"/>
    </xf>
    <xf numFmtId="0" fontId="138" fillId="30" borderId="112" xfId="97" applyFont="1" applyFill="1" applyBorder="1" applyAlignment="1">
      <alignment horizontal="center"/>
    </xf>
    <xf numFmtId="0" fontId="157" fillId="59" borderId="113" xfId="97" applyFont="1" applyFill="1" applyBorder="1" applyAlignment="1">
      <alignment horizontal="center"/>
    </xf>
    <xf numFmtId="0" fontId="157" fillId="59" borderId="132" xfId="97" applyFont="1" applyFill="1" applyBorder="1" applyAlignment="1">
      <alignment horizontal="center"/>
    </xf>
    <xf numFmtId="0" fontId="157" fillId="59" borderId="112" xfId="97" applyFont="1" applyFill="1" applyBorder="1" applyAlignment="1">
      <alignment horizontal="center"/>
    </xf>
    <xf numFmtId="0" fontId="19" fillId="0" borderId="46" xfId="97" applyFill="1" applyBorder="1" applyAlignment="1">
      <alignment horizontal="center" vertical="center"/>
    </xf>
    <xf numFmtId="0" fontId="19" fillId="0" borderId="68" xfId="97" applyFill="1" applyBorder="1" applyAlignment="1">
      <alignment horizontal="center" vertical="center"/>
    </xf>
    <xf numFmtId="2" fontId="126" fillId="0" borderId="93" xfId="97" applyNumberFormat="1" applyFont="1" applyBorder="1" applyAlignment="1">
      <alignment horizontal="center"/>
    </xf>
    <xf numFmtId="2" fontId="126" fillId="0" borderId="69" xfId="97" applyNumberFormat="1" applyFont="1" applyBorder="1" applyAlignment="1">
      <alignment horizontal="center"/>
    </xf>
    <xf numFmtId="2" fontId="126" fillId="0" borderId="68" xfId="97" applyNumberFormat="1" applyFont="1" applyBorder="1" applyAlignment="1">
      <alignment horizontal="center"/>
    </xf>
    <xf numFmtId="0" fontId="86" fillId="30" borderId="90" xfId="97" applyFont="1" applyFill="1" applyBorder="1" applyAlignment="1">
      <alignment horizontal="center"/>
    </xf>
  </cellXfs>
  <cellStyles count="229">
    <cellStyle name="20% - Accent1" xfId="100"/>
    <cellStyle name="20% - Accent2" xfId="101"/>
    <cellStyle name="20% - Accent3" xfId="102"/>
    <cellStyle name="20% - Accent4" xfId="103"/>
    <cellStyle name="20% - Accent5" xfId="104"/>
    <cellStyle name="20% - Accent6" xfId="105"/>
    <cellStyle name="20% - Énfasis1 2" xfId="106"/>
    <cellStyle name="20% - Énfasis2 2" xfId="107"/>
    <cellStyle name="20% - Énfasis3 2" xfId="108"/>
    <cellStyle name="20% - Énfasis4 2" xfId="109"/>
    <cellStyle name="20% - Énfasis5 2" xfId="110"/>
    <cellStyle name="20% - Énfasis6 2" xfId="111"/>
    <cellStyle name="40% - Accent1" xfId="112"/>
    <cellStyle name="40% - Accent2" xfId="113"/>
    <cellStyle name="40% - Accent3" xfId="114"/>
    <cellStyle name="40% - Accent4" xfId="115"/>
    <cellStyle name="40% - Accent5" xfId="116"/>
    <cellStyle name="40% - Accent6" xfId="117"/>
    <cellStyle name="40% - Énfasis1 2" xfId="118"/>
    <cellStyle name="40% - Énfasis2 2" xfId="119"/>
    <cellStyle name="40% - Énfasis3 2" xfId="120"/>
    <cellStyle name="40% - Énfasis4 2" xfId="121"/>
    <cellStyle name="40% - Énfasis5 2" xfId="122"/>
    <cellStyle name="40% - Énfasis6 2" xfId="123"/>
    <cellStyle name="60% - Accent1" xfId="124"/>
    <cellStyle name="60% - Accent2" xfId="125"/>
    <cellStyle name="60% - Accent3" xfId="126"/>
    <cellStyle name="60% - Accent4" xfId="127"/>
    <cellStyle name="60% - Accent5" xfId="128"/>
    <cellStyle name="60% - Accent6" xfId="129"/>
    <cellStyle name="60% - Énfasis1 2" xfId="130"/>
    <cellStyle name="60% - Énfasis2 2" xfId="131"/>
    <cellStyle name="60% - Énfasis3 2" xfId="132"/>
    <cellStyle name="60% - Énfasis4 2" xfId="133"/>
    <cellStyle name="60% - Énfasis5 2" xfId="134"/>
    <cellStyle name="60% - Énfasis6 2" xfId="135"/>
    <cellStyle name="Accent1" xfId="6"/>
    <cellStyle name="Accent1 - 20%" xfId="136"/>
    <cellStyle name="Accent1 - 40%" xfId="137"/>
    <cellStyle name="Accent1 - 60%" xfId="138"/>
    <cellStyle name="Accent1_Almacen Agregados Planta de Dovelas" xfId="139"/>
    <cellStyle name="Accent2" xfId="10"/>
    <cellStyle name="Accent2 - 20%" xfId="140"/>
    <cellStyle name="Accent2 - 40%" xfId="141"/>
    <cellStyle name="Accent2 - 60%" xfId="142"/>
    <cellStyle name="Accent2_Almacen Agregados Planta de Dovelas" xfId="143"/>
    <cellStyle name="Accent3" xfId="14"/>
    <cellStyle name="Accent3 - 20%" xfId="144"/>
    <cellStyle name="Accent3 - 40%" xfId="145"/>
    <cellStyle name="Accent3 - 60%" xfId="146"/>
    <cellStyle name="Accent3_Almacen Agregados Planta de Dovelas" xfId="147"/>
    <cellStyle name="Accent4" xfId="18"/>
    <cellStyle name="Accent4 - 20%" xfId="148"/>
    <cellStyle name="Accent4 - 40%" xfId="149"/>
    <cellStyle name="Accent4 - 60%" xfId="150"/>
    <cellStyle name="Accent4_Almacen Agregados Planta de Dovelas" xfId="151"/>
    <cellStyle name="Accent5" xfId="22"/>
    <cellStyle name="Accent5 - 20%" xfId="152"/>
    <cellStyle name="Accent5 - 40%" xfId="153"/>
    <cellStyle name="Accent5 - 60%" xfId="154"/>
    <cellStyle name="Accent5_Almacen Agregados Planta de Dovelas" xfId="155"/>
    <cellStyle name="Accent6" xfId="26"/>
    <cellStyle name="Accent6 - 20%" xfId="156"/>
    <cellStyle name="Accent6 - 40%" xfId="157"/>
    <cellStyle name="Accent6 - 60%" xfId="158"/>
    <cellStyle name="Accent6_Almacen Agregados Planta de Dovelas" xfId="159"/>
    <cellStyle name="Bad" xfId="31"/>
    <cellStyle name="Bueno" xfId="178" builtinId="26" customBuiltin="1"/>
    <cellStyle name="Calculation" xfId="1"/>
    <cellStyle name="Cálculo 2" xfId="160"/>
    <cellStyle name="Celda de comprobación" xfId="163" builtinId="23" customBuiltin="1"/>
    <cellStyle name="Celda de comprobación 2" xfId="161"/>
    <cellStyle name="Celda vinculada" xfId="183" builtinId="24" customBuiltin="1"/>
    <cellStyle name="Celda vinculada 2" xfId="162"/>
    <cellStyle name="Comma 2" xfId="164"/>
    <cellStyle name="Comma 2 2" xfId="90"/>
    <cellStyle name="Comma 3" xfId="2"/>
    <cellStyle name="Currency_PRESUPUESTOS Y ANALISIS FINAL CMEIs SANT. BARH. L.V." xfId="77"/>
    <cellStyle name="Emphasis 1" xfId="165"/>
    <cellStyle name="Emphasis 2" xfId="166"/>
    <cellStyle name="Emphasis 3" xfId="167"/>
    <cellStyle name="Encabezado 1" xfId="179" builtinId="16" customBuiltin="1"/>
    <cellStyle name="Encabezado 4" xfId="180" builtinId="19" customBuiltin="1"/>
    <cellStyle name="Encabezado 4 2" xfId="168"/>
    <cellStyle name="Énfasis 1" xfId="3"/>
    <cellStyle name="Énfasis 2" xfId="4"/>
    <cellStyle name="Énfasis 3" xfId="5"/>
    <cellStyle name="Énfasis1 - 20%" xfId="7"/>
    <cellStyle name="Énfasis1 - 40%" xfId="8"/>
    <cellStyle name="Énfasis1 - 60%" xfId="9"/>
    <cellStyle name="Énfasis1 2" xfId="169"/>
    <cellStyle name="Énfasis2 - 20%" xfId="11"/>
    <cellStyle name="Énfasis2 - 40%" xfId="12"/>
    <cellStyle name="Énfasis2 - 60%" xfId="13"/>
    <cellStyle name="Énfasis2 2" xfId="170"/>
    <cellStyle name="Énfasis3 - 20%" xfId="15"/>
    <cellStyle name="Énfasis3 - 40%" xfId="16"/>
    <cellStyle name="Énfasis3 - 60%" xfId="17"/>
    <cellStyle name="Énfasis3 2" xfId="171"/>
    <cellStyle name="Énfasis4 - 20%" xfId="19"/>
    <cellStyle name="Énfasis4 - 40%" xfId="20"/>
    <cellStyle name="Énfasis4 - 60%" xfId="21"/>
    <cellStyle name="Énfasis4 2" xfId="172"/>
    <cellStyle name="Énfasis5 - 20%" xfId="23"/>
    <cellStyle name="Énfasis5 - 40%" xfId="24"/>
    <cellStyle name="Énfasis5 - 60%" xfId="25"/>
    <cellStyle name="Énfasis5 2" xfId="173"/>
    <cellStyle name="Énfasis6 - 20%" xfId="27"/>
    <cellStyle name="Énfasis6 - 40%" xfId="28"/>
    <cellStyle name="Énfasis6 - 60%" xfId="29"/>
    <cellStyle name="Énfasis6 2" xfId="174"/>
    <cellStyle name="Entrada" xfId="182" builtinId="20" customBuiltin="1"/>
    <cellStyle name="Entrada 2" xfId="175"/>
    <cellStyle name="Euro" xfId="30"/>
    <cellStyle name="Euro 2" xfId="176"/>
    <cellStyle name="Explanatory Text" xfId="177"/>
    <cellStyle name="Heading 2" xfId="72"/>
    <cellStyle name="Heading 3" xfId="73"/>
    <cellStyle name="Incorrecto 2" xfId="181"/>
    <cellStyle name="Millares" xfId="32" builtinId="3"/>
    <cellStyle name="Millares [0] 2" xfId="33"/>
    <cellStyle name="Millares [0] 5" xfId="34"/>
    <cellStyle name="Millares [0] 6" xfId="35"/>
    <cellStyle name="Millares 10" xfId="36"/>
    <cellStyle name="Millares 11" xfId="37"/>
    <cellStyle name="Millares 12" xfId="85"/>
    <cellStyle name="Millares 12 2" xfId="38"/>
    <cellStyle name="Millares 13" xfId="93"/>
    <cellStyle name="Millares 18" xfId="87"/>
    <cellStyle name="Millares 18 2" xfId="96"/>
    <cellStyle name="Millares 2" xfId="39"/>
    <cellStyle name="Millares 2 2" xfId="40"/>
    <cellStyle name="Millares 2 2 2" xfId="186"/>
    <cellStyle name="Millares 2 2 3" xfId="185"/>
    <cellStyle name="Millares 2 2_Almacen Agregados Planta de Dovelas" xfId="187"/>
    <cellStyle name="Millares 2 3" xfId="41"/>
    <cellStyle name="Millares 2 4" xfId="83"/>
    <cellStyle name="Millares 2 5" xfId="184"/>
    <cellStyle name="Millares 2_Almacen Agregados Planta de Dovelas" xfId="188"/>
    <cellStyle name="Millares 3" xfId="42"/>
    <cellStyle name="Millares 3 2" xfId="43"/>
    <cellStyle name="Millares 3 2 2" xfId="190"/>
    <cellStyle name="Millares 3 3" xfId="191"/>
    <cellStyle name="Millares 3 4" xfId="189"/>
    <cellStyle name="Millares 3_Almacen Agregados Planta de Dovelas" xfId="192"/>
    <cellStyle name="Millares 4" xfId="44"/>
    <cellStyle name="Millares 4 2" xfId="193"/>
    <cellStyle name="Millares 5" xfId="45"/>
    <cellStyle name="Millares 5 2" xfId="46"/>
    <cellStyle name="Millares 5 3" xfId="47"/>
    <cellStyle name="Millares 5 4" xfId="194"/>
    <cellStyle name="Millares 6" xfId="48"/>
    <cellStyle name="Millares 6 2" xfId="195"/>
    <cellStyle name="Millares 7" xfId="49"/>
    <cellStyle name="Millares 7 2" xfId="196"/>
    <cellStyle name="Millares 8" xfId="50"/>
    <cellStyle name="Millares 8 2" xfId="197"/>
    <cellStyle name="Millares 9" xfId="51"/>
    <cellStyle name="Millares_Sanitaria torre Las Canelas 02 2" xfId="52"/>
    <cellStyle name="Moneda" xfId="228" builtinId="4"/>
    <cellStyle name="Moneda 2" xfId="53"/>
    <cellStyle name="Moneda 2 2" xfId="54"/>
    <cellStyle name="Moneda 2 2 2" xfId="79"/>
    <cellStyle name="Moneda 2 2 3" xfId="199"/>
    <cellStyle name="Moneda 2 3" xfId="198"/>
    <cellStyle name="Moneda 2_Almacen Agregados Planta de Dovelas" xfId="200"/>
    <cellStyle name="Moneda 3" xfId="55"/>
    <cellStyle name="Moneda 3 2" xfId="201"/>
    <cellStyle name="Moneda 4" xfId="88"/>
    <cellStyle name="Neutral" xfId="56" builtinId="28" customBuiltin="1"/>
    <cellStyle name="Neutral 2" xfId="202"/>
    <cellStyle name="No-definido" xfId="203"/>
    <cellStyle name="Normal" xfId="0" builtinId="0"/>
    <cellStyle name="Normal - Style1" xfId="204"/>
    <cellStyle name="Normal 2" xfId="57"/>
    <cellStyle name="Normal 2 2" xfId="58"/>
    <cellStyle name="Normal 2 2 2" xfId="205"/>
    <cellStyle name="Normal 2 2 2 2" xfId="59"/>
    <cellStyle name="Normal 2 3" xfId="60"/>
    <cellStyle name="Normal 2 4" xfId="61"/>
    <cellStyle name="Normal 2 5" xfId="82"/>
    <cellStyle name="Normal 2 5 2 2" xfId="80"/>
    <cellStyle name="Normal 3" xfId="62"/>
    <cellStyle name="Normal 3 2" xfId="63"/>
    <cellStyle name="Normal 3 2 2" xfId="207"/>
    <cellStyle name="Normal 3 3" xfId="206"/>
    <cellStyle name="Normal 3_PRESUPUESTO OBRA CIVIL NAVE SAN CRISTOBAL 04-06-2010" xfId="208"/>
    <cellStyle name="Normal 4" xfId="64"/>
    <cellStyle name="Normal 4 2" xfId="209"/>
    <cellStyle name="Normal 5" xfId="84"/>
    <cellStyle name="Normal 5 18 2" xfId="95"/>
    <cellStyle name="Normal 5 2" xfId="92"/>
    <cellStyle name="Normal 6" xfId="89"/>
    <cellStyle name="Normal 6 2" xfId="91"/>
    <cellStyle name="Normal 6 3" xfId="210"/>
    <cellStyle name="Normal 7" xfId="94"/>
    <cellStyle name="Normal 8" xfId="97"/>
    <cellStyle name="Normal 9 2" xfId="76"/>
    <cellStyle name="Normal_ANALISIS DE COSTO EN EDIFICACIONES JUNIO 2006" xfId="78"/>
    <cellStyle name="Normal_BAVARO SUN BEACH RESIDENCIAL" xfId="98"/>
    <cellStyle name="Normal_OBRA CIVIL Y TERMINACION EST 22   LINEA 2B mayo 2015" xfId="99"/>
    <cellStyle name="Normal_Presup-borrador 2" xfId="81"/>
    <cellStyle name="Normal_Sanitaria torre Las Canelas 02" xfId="65"/>
    <cellStyle name="Notas" xfId="212" builtinId="10" customBuiltin="1"/>
    <cellStyle name="Notas 2" xfId="211"/>
    <cellStyle name="Output" xfId="71"/>
    <cellStyle name="Porcentaje" xfId="66" builtinId="5"/>
    <cellStyle name="Porcentaje 2" xfId="86"/>
    <cellStyle name="Porcentual 2" xfId="67"/>
    <cellStyle name="Porcentual 2 2" xfId="214"/>
    <cellStyle name="Porcentual 2 3" xfId="213"/>
    <cellStyle name="Porcentual 2_ANALISIS COSTOS PORTICOS GRAN TECHO" xfId="215"/>
    <cellStyle name="Porcentual 3" xfId="68"/>
    <cellStyle name="Porcentual 3 2" xfId="216"/>
    <cellStyle name="Porcentual 4" xfId="69"/>
    <cellStyle name="Porcentual 4 2" xfId="217"/>
    <cellStyle name="Porcentual 5" xfId="70"/>
    <cellStyle name="Porcentual 5 2" xfId="218"/>
    <cellStyle name="Salida 2" xfId="219"/>
    <cellStyle name="Sheet Title" xfId="220"/>
    <cellStyle name="Texto de advertencia" xfId="227" builtinId="11" customBuiltin="1"/>
    <cellStyle name="Texto explicativo 2" xfId="221"/>
    <cellStyle name="Title" xfId="222"/>
    <cellStyle name="Título 2 2" xfId="224"/>
    <cellStyle name="Título 3 2" xfId="225"/>
    <cellStyle name="Título 4" xfId="223"/>
    <cellStyle name="Título de hoja" xfId="74"/>
    <cellStyle name="Total" xfId="75" builtinId="25" customBuiltin="1"/>
    <cellStyle name="Total 2" xfId="226"/>
  </cellStyles>
  <dxfs count="0"/>
  <tableStyles count="0" defaultTableStyle="TableStyleMedium9" defaultPivotStyle="PivotStyleLight16"/>
  <colors>
    <mruColors>
      <color rgb="FFCCCC00"/>
      <color rgb="FFF5F38B"/>
      <color rgb="FF99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676275</xdr:colOff>
          <xdr:row>5</xdr:row>
          <xdr:rowOff>76200</xdr:rowOff>
        </xdr:from>
        <xdr:to>
          <xdr:col>13</xdr:col>
          <xdr:colOff>19050</xdr:colOff>
          <xdr:row>19</xdr:row>
          <xdr:rowOff>161925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11</xdr:col>
          <xdr:colOff>809625</xdr:colOff>
          <xdr:row>131</xdr:row>
          <xdr:rowOff>180975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134</xdr:row>
          <xdr:rowOff>0</xdr:rowOff>
        </xdr:from>
        <xdr:to>
          <xdr:col>12</xdr:col>
          <xdr:colOff>657225</xdr:colOff>
          <xdr:row>256</xdr:row>
          <xdr:rowOff>142875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219076</xdr:colOff>
      <xdr:row>0</xdr:row>
      <xdr:rowOff>133350</xdr:rowOff>
    </xdr:from>
    <xdr:to>
      <xdr:col>1</xdr:col>
      <xdr:colOff>2162176</xdr:colOff>
      <xdr:row>2</xdr:row>
      <xdr:rowOff>51244</xdr:rowOff>
    </xdr:to>
    <xdr:pic>
      <xdr:nvPicPr>
        <xdr:cNvPr id="3" name="2 Imagen" descr="Resultado de imagen para logo ministerio publico republica dominican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l="41766" t="36172" r="32526" b="36678"/>
        <a:stretch>
          <a:fillRect/>
        </a:stretch>
      </xdr:blipFill>
      <xdr:spPr bwMode="auto">
        <a:xfrm>
          <a:off x="666751" y="133350"/>
          <a:ext cx="1943100" cy="66084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c\Costos\Proyectos\En%20Ejecucion\Puentes%20HGeorge\Cubicaciones\Trabajos\Proyectos\Costos\Proyectos\Galerias\presu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_PC\Costos\Proyectos\En%20Ejecucion\Puentes%20HGeorge\Cubicaciones\Trabajos\Proyectos\Costos\Proyectos\Galerias\presu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c\costos\TRABAJOS\Tony\Costos\Proyectos\Galerias\presu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Indira%20Vasquez\Desktop\Ingenieria%20jenny\Edificio%20alojamiento\SAN%20LUIS\EDIFICIO%20DE%20CELDAS%20(%20Presupuesto)%2009%20junio%20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ivasquez\Desktop\Ingnieria%20Jose\ciudad%20ni&#241;o\presup%202%20ciudad%20ni&#241;o\ESCALAMIENTO%20DE%20PRECIOS%20CIUDAD%20DEL%20NI&#209;O%20(REVISADA%20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isbeth.rodriguez.SEDE\Desktop\Lisbeth%20Teresa%20Rodriguez%20Cruz\Desktop\PRESUPUESTOS%20DE%20LNV\Lote%201\PRESUPUESTO%20CUADRANTE%20A%20La%20Nueva%20Victo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Daniel%20Camarena\Dropbox\PROYECTO%20LAS%20COLINAS\Cubicacion\CUBICACION%20%236%20VILLA%20LAS%20COLIN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isbeth.rodriguez\Downloads\Presupuesto%20administrativo%20anamuy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ivasquez\Desktop\ESCALAMIENTO%20DE%20PRECIOS%20CIUDAD%20DEL%20NI&#209;O%20(REVISADA%20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ngenieria%20wendy\analisis%20hu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c\Costos\Proyectos\En%20Ejecucion\Puentes%20HGeorge\Cubicaciones\Costos\Proyectos\Unicentro\Unicentro%20Pl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ector%20Santos\Reconstruccion%20%20Autopista%20Duarte%20Vieja\Reconstruccion%20%20Autopista%20Duarte%20Vieja\Presupuesto%20Reconstruccion%20Duarte%20santiago-Sto%20Dgo%20comple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an%20Francisco%20de%20Macoris\Analisis%20de%20Precios%20Unit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Raul%20N.%20%20Rizek\My%20Documents\Carretera%20Sto.%20Dgo.%20-%20Samana\Precios%20Rincon%20de%20Molinill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21-22-9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Desktop\Constanza\Presupuestos\Oferta%20Constanz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isbeth.rodriguez.SEDE\Downloads\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Trabajos Generales"/>
      <sheetName val="Meses"/>
      <sheetName val="ANALPRECIO"/>
      <sheetName val="Labor FD1"/>
      <sheetName val="med.mov.de tierras"/>
      <sheetName val="Materiales"/>
      <sheetName val="MO"/>
      <sheetName val="Salarios"/>
      <sheetName val="Gastos_Generales"/>
      <sheetName val="Cub__01"/>
      <sheetName val="Analisis_Costo"/>
      <sheetName val="Senalizacion"/>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FCC-005 ANDAMIOS"/>
      <sheetName val="FCC-002 ACERO"/>
      <sheetName val="FCC-004 CALZOS"/>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lanco"/>
      <sheetName val="Sheet2"/>
      <sheetName val="POriginal"/>
      <sheetName val="PActualizado"/>
      <sheetName val="Comparación"/>
      <sheetName val="Gastos Generales"/>
      <sheetName val="Cub. 01"/>
      <sheetName val="Adicional"/>
      <sheetName val="Analisis Costo"/>
      <sheetName val="Precios"/>
      <sheetName val="FCC-005 ANDAMIOS"/>
      <sheetName val="FCC-002 ACERO"/>
      <sheetName val="FCC-004 CALZOS"/>
      <sheetName val="Trabajos Generales"/>
      <sheetName val="Meses"/>
      <sheetName val="ANALPRECIO"/>
      <sheetName val="Labor FD1"/>
      <sheetName val="med.mov.de tierras"/>
      <sheetName val="Materiales"/>
      <sheetName val="MO"/>
      <sheetName val="Salarios"/>
      <sheetName val="Gastos_Generales"/>
      <sheetName val="Cub__01"/>
      <sheetName val="Analisis_Costo"/>
      <sheetName val="Senaliz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v>0</v>
          </cell>
          <cell r="F5">
            <v>0</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v>0</v>
          </cell>
          <cell r="F16">
            <v>0</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cell r="D68">
            <v>0</v>
          </cell>
          <cell r="F68">
            <v>0</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v>0</v>
          </cell>
          <cell r="F81">
            <v>0</v>
          </cell>
        </row>
        <row r="82">
          <cell r="A82" t="str">
            <v>BF01.</v>
          </cell>
          <cell r="B82" t="str">
            <v>Baños</v>
          </cell>
          <cell r="D82">
            <v>0</v>
          </cell>
          <cell r="F82">
            <v>0</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v>0</v>
          </cell>
          <cell r="F104">
            <v>0</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v>0</v>
          </cell>
          <cell r="F108">
            <v>0</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v>0</v>
          </cell>
          <cell r="F117">
            <v>0</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v>0</v>
          </cell>
          <cell r="F171">
            <v>0</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v>0</v>
          </cell>
          <cell r="F177">
            <v>0</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v>0</v>
          </cell>
          <cell r="F204">
            <v>0</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v>0</v>
          </cell>
          <cell r="F207">
            <v>0</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cell r="D218">
            <v>0</v>
          </cell>
          <cell r="F218">
            <v>0</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v>0</v>
          </cell>
          <cell r="F225">
            <v>0</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v>0</v>
          </cell>
          <cell r="F232">
            <v>0</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v>0</v>
          </cell>
          <cell r="F247">
            <v>0</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v>0</v>
          </cell>
          <cell r="F286">
            <v>0</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v>0</v>
          </cell>
          <cell r="F305">
            <v>0</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v>0</v>
          </cell>
          <cell r="F326">
            <v>0</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v>0</v>
          </cell>
          <cell r="F336">
            <v>0</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v>0</v>
          </cell>
          <cell r="F339">
            <v>0</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cell r="D368">
            <v>0</v>
          </cell>
          <cell r="F368">
            <v>0</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v>0</v>
          </cell>
          <cell r="F389">
            <v>0</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v>0</v>
          </cell>
          <cell r="F417">
            <v>0</v>
          </cell>
        </row>
        <row r="418">
          <cell r="A418" t="str">
            <v>TP01.</v>
          </cell>
          <cell r="B418" t="str">
            <v>Tuberías y Piezas PVC Drenaje</v>
          </cell>
          <cell r="D418">
            <v>0</v>
          </cell>
          <cell r="F418">
            <v>0</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v>0</v>
          </cell>
          <cell r="F476">
            <v>0</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v>0</v>
          </cell>
          <cell r="F549">
            <v>0</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v>0</v>
          </cell>
          <cell r="F610">
            <v>0</v>
          </cell>
        </row>
        <row r="611">
          <cell r="A611" t="str">
            <v>PZ01.</v>
          </cell>
          <cell r="B611" t="str">
            <v>Piso y Zócalos</v>
          </cell>
          <cell r="D611">
            <v>0</v>
          </cell>
          <cell r="F611">
            <v>0</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v>0</v>
          </cell>
          <cell r="F642">
            <v>0</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v>0</v>
          </cell>
          <cell r="F648">
            <v>0</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v>0</v>
          </cell>
          <cell r="F653">
            <v>0</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v>0</v>
          </cell>
          <cell r="F707">
            <v>0</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 xml:space="preserve">MANO DE OBRA </v>
          </cell>
          <cell r="D716">
            <v>0</v>
          </cell>
          <cell r="F716">
            <v>0</v>
          </cell>
        </row>
        <row r="717">
          <cell r="A717" t="str">
            <v>MO01-30.</v>
          </cell>
          <cell r="B717" t="str">
            <v>Albañileria</v>
          </cell>
          <cell r="D717">
            <v>0</v>
          </cell>
          <cell r="F717">
            <v>0</v>
          </cell>
        </row>
        <row r="718">
          <cell r="A718" t="str">
            <v>MO01.</v>
          </cell>
          <cell r="B718" t="str">
            <v>Colocacion de Bloques</v>
          </cell>
          <cell r="D718">
            <v>0</v>
          </cell>
          <cell r="F718">
            <v>0</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v>0</v>
          </cell>
          <cell r="F723">
            <v>0</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v>0</v>
          </cell>
          <cell r="F733">
            <v>0</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v>0</v>
          </cell>
          <cell r="F738">
            <v>0</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v>0</v>
          </cell>
          <cell r="F760">
            <v>0</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v>0</v>
          </cell>
          <cell r="F769">
            <v>0</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v>0</v>
          </cell>
          <cell r="F775">
            <v>0</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v>0</v>
          </cell>
          <cell r="F777">
            <v>0</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v>0</v>
          </cell>
          <cell r="F780">
            <v>0</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v>0</v>
          </cell>
          <cell r="F783">
            <v>0</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v>0</v>
          </cell>
          <cell r="F801">
            <v>0</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v>0</v>
          </cell>
          <cell r="F822">
            <v>0</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v>0</v>
          </cell>
          <cell r="F838">
            <v>0</v>
          </cell>
        </row>
        <row r="839">
          <cell r="A839" t="str">
            <v>MO41.</v>
          </cell>
          <cell r="B839" t="str">
            <v>Montura Bidet,Inodoros y Orinales</v>
          </cell>
          <cell r="D839">
            <v>0</v>
          </cell>
          <cell r="F839">
            <v>0</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v>0</v>
          </cell>
          <cell r="F841">
            <v>0</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v>0</v>
          </cell>
          <cell r="F843">
            <v>0</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v>0</v>
          </cell>
          <cell r="F851">
            <v>0</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v>0</v>
          </cell>
          <cell r="F853">
            <v>0</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v>0</v>
          </cell>
          <cell r="F855">
            <v>0</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v>0</v>
          </cell>
          <cell r="F858">
            <v>0</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v>0</v>
          </cell>
          <cell r="F864">
            <v>0</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v>0</v>
          </cell>
          <cell r="F867">
            <v>0</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v>0</v>
          </cell>
          <cell r="F869">
            <v>0</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v>0</v>
          </cell>
          <cell r="F871">
            <v>0</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v>0</v>
          </cell>
          <cell r="F873">
            <v>0</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v>0</v>
          </cell>
          <cell r="F876">
            <v>0</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v>0</v>
          </cell>
          <cell r="F878">
            <v>0</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v>0</v>
          </cell>
          <cell r="F880">
            <v>0</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v>0</v>
          </cell>
          <cell r="F882">
            <v>0</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v>0</v>
          </cell>
          <cell r="F884">
            <v>0</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v>0</v>
          </cell>
          <cell r="F886">
            <v>0</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v>0</v>
          </cell>
          <cell r="F888">
            <v>0</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v>0</v>
          </cell>
          <cell r="F890">
            <v>0</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v>0</v>
          </cell>
          <cell r="F894">
            <v>0</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cell r="F919">
            <v>0</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Brig"/>
      <sheetName val="Mdet Basico"/>
      <sheetName val="Ingenieria y Campamento"/>
      <sheetName val="Acero"/>
      <sheetName val="Madera"/>
      <sheetName val="Hormigon edif celdas"/>
      <sheetName val="Bloques"/>
      <sheetName val="Mort."/>
      <sheetName val="Alba±"/>
      <sheetName val="Revest"/>
      <sheetName val="Pisos"/>
      <sheetName val="Techos"/>
      <sheetName val="Pintura"/>
      <sheetName val="Escal"/>
      <sheetName val="Exter"/>
      <sheetName val="resumen presupuestos"/>
      <sheetName val="Presup P Estimado"/>
      <sheetName val="CELDAS 1ER"/>
      <sheetName val="CELDAS 2,3 Y 4"/>
      <sheetName val="CELDAS TECHO ESC"/>
      <sheetName val="TORRE SEGURIDAD"/>
      <sheetName val="=="/>
      <sheetName val="Hoja2"/>
      <sheetName val="desc puerta"/>
      <sheetName val="Resumen 12 junio"/>
      <sheetName val="MOBILIARIO"/>
      <sheetName val="Hoja1"/>
      <sheetName val="area zapatas "/>
      <sheetName val="Resumen"/>
      <sheetName val="Sheet2"/>
    </sheetNames>
    <sheetDataSet>
      <sheetData sheetId="0">
        <row r="13">
          <cell r="E13">
            <v>60.374999999999993</v>
          </cell>
        </row>
        <row r="16">
          <cell r="E16">
            <v>113.74999999999999</v>
          </cell>
        </row>
        <row r="18">
          <cell r="E18">
            <v>89.424999999999997</v>
          </cell>
        </row>
        <row r="22">
          <cell r="E22">
            <v>145.25</v>
          </cell>
        </row>
        <row r="23">
          <cell r="E23">
            <v>111.82499999999999</v>
          </cell>
        </row>
        <row r="24">
          <cell r="E24">
            <v>89.424999999999997</v>
          </cell>
        </row>
        <row r="26">
          <cell r="E26">
            <v>70.433999999999997</v>
          </cell>
        </row>
        <row r="34">
          <cell r="E34">
            <v>46.999580360889638</v>
          </cell>
        </row>
        <row r="35">
          <cell r="E35">
            <v>50.315999999999995</v>
          </cell>
        </row>
        <row r="42">
          <cell r="E42">
            <v>62.999999999999993</v>
          </cell>
        </row>
        <row r="43">
          <cell r="E43">
            <v>111.82499999999999</v>
          </cell>
        </row>
        <row r="44">
          <cell r="E44">
            <v>24.961999999999996</v>
          </cell>
        </row>
        <row r="47">
          <cell r="E47">
            <v>24.961999999999996</v>
          </cell>
        </row>
        <row r="48">
          <cell r="E48">
            <v>27.146000000000001</v>
          </cell>
        </row>
        <row r="49">
          <cell r="E49">
            <v>23.323999999999998</v>
          </cell>
        </row>
        <row r="50">
          <cell r="E50">
            <v>8.26</v>
          </cell>
        </row>
        <row r="69">
          <cell r="D69">
            <v>145</v>
          </cell>
        </row>
        <row r="114">
          <cell r="D114">
            <v>40</v>
          </cell>
        </row>
        <row r="137">
          <cell r="D137">
            <v>350</v>
          </cell>
        </row>
        <row r="260">
          <cell r="D260">
            <v>21.81</v>
          </cell>
        </row>
        <row r="387">
          <cell r="D387">
            <v>675</v>
          </cell>
        </row>
        <row r="389">
          <cell r="D389">
            <v>150</v>
          </cell>
        </row>
        <row r="390">
          <cell r="D390">
            <v>140</v>
          </cell>
        </row>
        <row r="399">
          <cell r="B399" t="str">
            <v>Labores auxiliares</v>
          </cell>
          <cell r="D399">
            <v>0.01</v>
          </cell>
        </row>
        <row r="400">
          <cell r="B400" t="str">
            <v>Herramientas y equipos</v>
          </cell>
          <cell r="D400">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MIENTO DE PRECIOS"/>
      <sheetName val="MEMORIA CUBICACION #4"/>
      <sheetName val="ANALISIS DE COSTOS"/>
      <sheetName val="LISTADO DE RECURSOS "/>
      <sheetName val="MANO DE OBRA"/>
      <sheetName val="CALCULO DE CUANTIA"/>
      <sheetName val="MEMORIA DE CALCULO"/>
      <sheetName val="MEMORIA SOSA"/>
      <sheetName val="RESUMEN CUNTIA GENERAL"/>
      <sheetName val="Calculo Cuantía"/>
      <sheetName val="HORA DE EQUIPOS"/>
      <sheetName val="Presupuesto Contratado"/>
    </sheetNames>
    <sheetDataSet>
      <sheetData sheetId="0"/>
      <sheetData sheetId="1"/>
      <sheetData sheetId="2"/>
      <sheetData sheetId="3">
        <row r="317">
          <cell r="D317">
            <v>55</v>
          </cell>
        </row>
      </sheetData>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sheetName val="apu"/>
      <sheetName val="LISTADO DE MATERIALES"/>
    </sheetNames>
    <sheetDataSet>
      <sheetData sheetId="0"/>
      <sheetData sheetId="1">
        <row r="8">
          <cell r="F8">
            <v>1552747.5</v>
          </cell>
        </row>
      </sheetData>
      <sheetData sheetId="2">
        <row r="7">
          <cell r="G7">
            <v>295.89</v>
          </cell>
        </row>
        <row r="9">
          <cell r="G9">
            <v>2270.68345323741</v>
          </cell>
        </row>
        <row r="10">
          <cell r="G10">
            <v>106.92</v>
          </cell>
        </row>
        <row r="11">
          <cell r="G11">
            <v>136.79999999999998</v>
          </cell>
        </row>
        <row r="12">
          <cell r="G12">
            <v>54.6</v>
          </cell>
        </row>
        <row r="13">
          <cell r="G13">
            <v>33.6</v>
          </cell>
        </row>
        <row r="14">
          <cell r="G14">
            <v>52</v>
          </cell>
        </row>
        <row r="16">
          <cell r="G16">
            <v>28.749999999999996</v>
          </cell>
        </row>
        <row r="17">
          <cell r="G17">
            <v>29.9</v>
          </cell>
        </row>
        <row r="18">
          <cell r="G18">
            <v>37.949999999999996</v>
          </cell>
        </row>
        <row r="20">
          <cell r="G20">
            <v>6480</v>
          </cell>
        </row>
        <row r="22">
          <cell r="G22">
            <v>5980</v>
          </cell>
        </row>
        <row r="23">
          <cell r="G23">
            <v>5430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precios"/>
      <sheetName val=" Mano de Obra"/>
      <sheetName val="Mov.tierra"/>
      <sheetName val="Mezclas"/>
      <sheetName val="Anal.Horm."/>
      <sheetName val="Anal.Horm. (2)"/>
      <sheetName val="Bloques"/>
      <sheetName val="Term.Super."/>
      <sheetName val="Pisos"/>
      <sheetName val="Escalones"/>
      <sheetName val="Revest.-pintura"/>
      <sheetName val="Techos, Finos"/>
      <sheetName val="Portaje_plafones"/>
      <sheetName val="Varios"/>
      <sheetName val="Hoja1"/>
    </sheetNames>
    <sheetDataSet>
      <sheetData sheetId="0"/>
      <sheetData sheetId="1">
        <row r="41">
          <cell r="B41" t="str">
            <v>Acero 0 3/8" grado 40 y/o 60</v>
          </cell>
        </row>
      </sheetData>
      <sheetData sheetId="2">
        <row r="191">
          <cell r="D191">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tarifas actualizad"/>
      <sheetName val="Brig"/>
      <sheetName val="madera"/>
      <sheetName val="caseta materiales"/>
      <sheetName val="horm.ymez."/>
      <sheetName val="otros"/>
      <sheetName val="ana A1"/>
      <sheetName val="Prec."/>
      <sheetName val="Ana.term"/>
      <sheetName val="administrativo"/>
      <sheetName val="porcientos"/>
      <sheetName val="volumen"/>
    </sheetNames>
    <sheetDataSet>
      <sheetData sheetId="0"/>
      <sheetData sheetId="1"/>
      <sheetData sheetId="2"/>
      <sheetData sheetId="3"/>
      <sheetData sheetId="4"/>
      <sheetData sheetId="5"/>
      <sheetData sheetId="6"/>
      <sheetData sheetId="7"/>
      <sheetData sheetId="8">
        <row r="8065">
          <cell r="D8065">
            <v>14000</v>
          </cell>
        </row>
        <row r="8066">
          <cell r="D8066">
            <v>486.5</v>
          </cell>
        </row>
        <row r="8067">
          <cell r="D8067">
            <v>486.5</v>
          </cell>
        </row>
        <row r="8068">
          <cell r="D8068">
            <v>486.5</v>
          </cell>
        </row>
        <row r="8071">
          <cell r="D8071">
            <v>3200</v>
          </cell>
        </row>
        <row r="8072">
          <cell r="D8072">
            <v>3200</v>
          </cell>
        </row>
        <row r="8073">
          <cell r="D8073">
            <v>486.5</v>
          </cell>
        </row>
        <row r="8076">
          <cell r="D8076">
            <v>3200</v>
          </cell>
        </row>
        <row r="8077">
          <cell r="D8077">
            <v>3200</v>
          </cell>
        </row>
        <row r="8078">
          <cell r="D8078">
            <v>199.5</v>
          </cell>
        </row>
        <row r="8079">
          <cell r="D8079">
            <v>60</v>
          </cell>
        </row>
        <row r="8080">
          <cell r="D8080">
            <v>486.5</v>
          </cell>
        </row>
        <row r="8081">
          <cell r="D8081">
            <v>254</v>
          </cell>
        </row>
      </sheetData>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MIENTO DE PRECIOS"/>
      <sheetName val="MEMORIA CUBICACION #4"/>
      <sheetName val="ANALISIS DE COSTOS"/>
      <sheetName val="LISTADO DE RECURSOS "/>
      <sheetName val="MANO DE OBRA"/>
      <sheetName val="CALCULO DE CUANTIA"/>
      <sheetName val="MEMORIA DE CALCULO"/>
      <sheetName val="MEMORIA SOSA"/>
      <sheetName val="RESUMEN CUNTIA GENERAL"/>
      <sheetName val="Calculo Cuantía"/>
      <sheetName val="HORA DE EQUIPOS"/>
      <sheetName val="Presupuesto Contratado"/>
    </sheetNames>
    <sheetDataSet>
      <sheetData sheetId="0"/>
      <sheetData sheetId="1"/>
      <sheetData sheetId="2"/>
      <sheetData sheetId="3">
        <row r="43">
          <cell r="D43">
            <v>200.1</v>
          </cell>
        </row>
      </sheetData>
      <sheetData sheetId="4">
        <row r="161">
          <cell r="D161">
            <v>110</v>
          </cell>
        </row>
        <row r="169">
          <cell r="D169">
            <v>55</v>
          </cell>
        </row>
      </sheetData>
      <sheetData sheetId="5"/>
      <sheetData sheetId="6"/>
      <sheetData sheetId="7"/>
      <sheetData sheetId="8"/>
      <sheetData sheetId="9"/>
      <sheetData sheetId="10">
        <row r="40">
          <cell r="E40">
            <v>3937.6363999999999</v>
          </cell>
        </row>
      </sheetData>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g"/>
      <sheetName val="madera"/>
      <sheetName val="mano de obra tarifas actualizad"/>
      <sheetName val="Listado de precios"/>
      <sheetName val="caseta materiales"/>
      <sheetName val="Acero"/>
      <sheetName val="Morteros y horm"/>
      <sheetName val="bloques"/>
      <sheetName val="albañileria"/>
      <sheetName val="exteriores"/>
      <sheetName val="piso"/>
      <sheetName val="techo"/>
      <sheetName val="pintura"/>
      <sheetName val="Hormigon armado"/>
      <sheetName val="otros"/>
      <sheetName val="vol ext y HA"/>
      <sheetName val="1erN"/>
      <sheetName val="2doN"/>
      <sheetName val="3erN"/>
      <sheetName val="4toN"/>
      <sheetName val="caja escalera"/>
      <sheetName val="presupuesto "/>
      <sheetName val="VERJA UVG MONTECRISTI"/>
      <sheetName val="UVG MONTE CRISTI inc mobiliario"/>
      <sheetName val="porci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9">
          <cell r="C29">
            <v>482.98</v>
          </cell>
        </row>
        <row r="36">
          <cell r="G36">
            <v>167091.78</v>
          </cell>
        </row>
        <row r="84">
          <cell r="G84" t="e">
            <v>#VALUE!</v>
          </cell>
        </row>
        <row r="87">
          <cell r="G87" t="e">
            <v>#VALUE!</v>
          </cell>
        </row>
        <row r="93">
          <cell r="G93" t="e">
            <v>#VALUE!</v>
          </cell>
        </row>
        <row r="98">
          <cell r="G98" t="e">
            <v>#VALUE!</v>
          </cell>
        </row>
        <row r="100">
          <cell r="G100">
            <v>237558.23</v>
          </cell>
        </row>
        <row r="103">
          <cell r="G103" t="e">
            <v>#VALUE!</v>
          </cell>
        </row>
        <row r="107">
          <cell r="G107">
            <v>1211376.3500000001</v>
          </cell>
        </row>
        <row r="109">
          <cell r="G109">
            <v>18000</v>
          </cell>
        </row>
        <row r="112">
          <cell r="G112">
            <v>193108.64</v>
          </cell>
        </row>
        <row r="117">
          <cell r="G117" t="e">
            <v>#VALUE!</v>
          </cell>
        </row>
        <row r="176">
          <cell r="G176" t="e">
            <v>#VALUE!</v>
          </cell>
        </row>
        <row r="179">
          <cell r="G179" t="e">
            <v>#VALUE!</v>
          </cell>
        </row>
        <row r="185">
          <cell r="G185" t="e">
            <v>#VALUE!</v>
          </cell>
        </row>
        <row r="189">
          <cell r="G189" t="e">
            <v>#VALUE!</v>
          </cell>
        </row>
        <row r="191">
          <cell r="G191">
            <v>219401.91</v>
          </cell>
        </row>
        <row r="194">
          <cell r="G194" t="e">
            <v>#VALUE!</v>
          </cell>
        </row>
        <row r="198">
          <cell r="G198">
            <v>1097056.69</v>
          </cell>
        </row>
        <row r="200">
          <cell r="G200">
            <v>36000</v>
          </cell>
        </row>
        <row r="203">
          <cell r="G203">
            <v>202907.4</v>
          </cell>
        </row>
        <row r="208">
          <cell r="G208" t="e">
            <v>#VALUE!</v>
          </cell>
        </row>
        <row r="257">
          <cell r="G257" t="e">
            <v>#VALUE!</v>
          </cell>
        </row>
        <row r="260">
          <cell r="G260" t="e">
            <v>#VALUE!</v>
          </cell>
        </row>
        <row r="266">
          <cell r="G266" t="e">
            <v>#VALUE!</v>
          </cell>
        </row>
        <row r="270">
          <cell r="G270" t="e">
            <v>#VALUE!</v>
          </cell>
        </row>
        <row r="272">
          <cell r="G272">
            <v>219401.91</v>
          </cell>
        </row>
        <row r="275">
          <cell r="G275" t="e">
            <v>#VALUE!</v>
          </cell>
        </row>
        <row r="279">
          <cell r="G279">
            <v>1097056.69</v>
          </cell>
        </row>
        <row r="281">
          <cell r="G281">
            <v>30000</v>
          </cell>
        </row>
        <row r="284">
          <cell r="G284">
            <v>202907.4</v>
          </cell>
        </row>
        <row r="289">
          <cell r="G289" t="e">
            <v>#VALUE!</v>
          </cell>
        </row>
        <row r="337">
          <cell r="G337" t="e">
            <v>#VALUE!</v>
          </cell>
        </row>
        <row r="340">
          <cell r="G340" t="e">
            <v>#VALUE!</v>
          </cell>
        </row>
        <row r="346">
          <cell r="G346" t="e">
            <v>#VALUE!</v>
          </cell>
        </row>
        <row r="350">
          <cell r="G350" t="e">
            <v>#VALUE!</v>
          </cell>
        </row>
        <row r="352">
          <cell r="G352">
            <v>219401.91</v>
          </cell>
        </row>
        <row r="355">
          <cell r="G355" t="e">
            <v>#VALUE!</v>
          </cell>
        </row>
        <row r="359">
          <cell r="G359">
            <v>1141109.3700000001</v>
          </cell>
        </row>
        <row r="361">
          <cell r="G361">
            <v>18000</v>
          </cell>
        </row>
        <row r="364">
          <cell r="G364">
            <v>249274.39</v>
          </cell>
        </row>
        <row r="369">
          <cell r="G369" t="e">
            <v>#VALUE!</v>
          </cell>
        </row>
        <row r="389">
          <cell r="G389" t="e">
            <v>#VALUE!</v>
          </cell>
        </row>
        <row r="391">
          <cell r="G391" t="e">
            <v>#VALUE!</v>
          </cell>
        </row>
        <row r="396">
          <cell r="G396" t="e">
            <v>#VALUE!</v>
          </cell>
        </row>
        <row r="398">
          <cell r="G398">
            <v>14661.26</v>
          </cell>
        </row>
        <row r="406">
          <cell r="G406" t="e">
            <v>#VALUE!</v>
          </cell>
        </row>
        <row r="499">
          <cell r="G499">
            <v>4643170.28</v>
          </cell>
        </row>
        <row r="538">
          <cell r="G538">
            <v>1762490.3400000003</v>
          </cell>
        </row>
        <row r="541">
          <cell r="G541" t="e">
            <v>#VALUE!</v>
          </cell>
        </row>
        <row r="552">
          <cell r="G552">
            <v>391587.24</v>
          </cell>
        </row>
        <row r="585">
          <cell r="G585">
            <v>2334071.2800000003</v>
          </cell>
        </row>
        <row r="591">
          <cell r="G591" t="e">
            <v>#VALUE!</v>
          </cell>
        </row>
        <row r="598">
          <cell r="G598" t="e">
            <v>#VALUE!</v>
          </cell>
        </row>
        <row r="604">
          <cell r="G604" t="e">
            <v>#VALUE!</v>
          </cell>
        </row>
        <row r="606">
          <cell r="G606">
            <v>318557.33</v>
          </cell>
        </row>
        <row r="611">
          <cell r="G611">
            <v>225775</v>
          </cell>
        </row>
        <row r="613">
          <cell r="F613">
            <v>54000</v>
          </cell>
        </row>
        <row r="614">
          <cell r="F614">
            <v>49226.87</v>
          </cell>
        </row>
        <row r="615">
          <cell r="F615">
            <v>532015.15</v>
          </cell>
        </row>
        <row r="616">
          <cell r="F616">
            <v>180961.78</v>
          </cell>
        </row>
        <row r="617">
          <cell r="F617">
            <v>41726.68</v>
          </cell>
        </row>
        <row r="622">
          <cell r="G622">
            <v>200742.66</v>
          </cell>
        </row>
        <row r="627">
          <cell r="G627" t="e">
            <v>#VALUE!</v>
          </cell>
        </row>
        <row r="631">
          <cell r="G631" t="e">
            <v>#VALUE!</v>
          </cell>
        </row>
        <row r="678">
          <cell r="G678">
            <v>724049.09</v>
          </cell>
        </row>
        <row r="695">
          <cell r="G695">
            <v>421762.88</v>
          </cell>
        </row>
        <row r="698">
          <cell r="G698" t="e">
            <v>#VALUE!</v>
          </cell>
        </row>
        <row r="703">
          <cell r="F703">
            <v>13034</v>
          </cell>
        </row>
        <row r="704">
          <cell r="F704">
            <v>3930.25</v>
          </cell>
        </row>
        <row r="705">
          <cell r="F705">
            <v>13650</v>
          </cell>
        </row>
        <row r="706">
          <cell r="F706">
            <v>76291.7</v>
          </cell>
        </row>
        <row r="707">
          <cell r="F707">
            <v>181883.01</v>
          </cell>
        </row>
        <row r="708">
          <cell r="F708">
            <v>2648.11</v>
          </cell>
        </row>
        <row r="709">
          <cell r="F709">
            <v>69879.48</v>
          </cell>
        </row>
        <row r="710">
          <cell r="F710">
            <v>3823.4</v>
          </cell>
        </row>
        <row r="711">
          <cell r="F711">
            <v>100885.12</v>
          </cell>
        </row>
        <row r="712">
          <cell r="F712">
            <v>31006.1</v>
          </cell>
        </row>
        <row r="713">
          <cell r="F713">
            <v>19413.73</v>
          </cell>
        </row>
        <row r="714">
          <cell r="F714">
            <v>64253.7</v>
          </cell>
        </row>
        <row r="715">
          <cell r="F715" t="e">
            <v>#VALUE!</v>
          </cell>
        </row>
        <row r="716">
          <cell r="F716" t="e">
            <v>#VALUE!</v>
          </cell>
        </row>
        <row r="717">
          <cell r="F717" t="e">
            <v>#VALUE!</v>
          </cell>
        </row>
        <row r="718">
          <cell r="F718" t="e">
            <v>#VALUE!</v>
          </cell>
        </row>
        <row r="719">
          <cell r="F719">
            <v>24997.38</v>
          </cell>
        </row>
        <row r="720">
          <cell r="F720" t="e">
            <v>#VALUE!</v>
          </cell>
        </row>
        <row r="721">
          <cell r="F721" t="e">
            <v>#VALUE!</v>
          </cell>
        </row>
        <row r="722">
          <cell r="F722">
            <v>3084.55</v>
          </cell>
        </row>
        <row r="723">
          <cell r="F723" t="e">
            <v>#VALUE!</v>
          </cell>
        </row>
        <row r="724">
          <cell r="G724" t="e">
            <v>#VALUE!</v>
          </cell>
        </row>
      </sheetData>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centro Plaza"/>
      <sheetName val="Precios"/>
      <sheetName val="DATA Staff"/>
      <sheetName val="Operating Cost Summary T 5.20"/>
      <sheetName val="Senalizacion"/>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analisis de soporte"/>
      <sheetName val="Costo horario equipos"/>
      <sheetName val="Movimiento de tierra"/>
      <sheetName val="tarifa equipos"/>
      <sheetName val="Km12 a Km150"/>
      <sheetName val="TARIFA EQUIPO"/>
      <sheetName val="Trabajos Generales"/>
      <sheetName val="Fresado"/>
      <sheetName val="Capa de Rodadura"/>
      <sheetName val="Bcheo Tecnico"/>
      <sheetName val="Base granular"/>
      <sheetName val="Obras Complementarias"/>
      <sheetName val="Drenajes"/>
      <sheetName val="Muro Gaviones"/>
      <sheetName val="Canalizacion"/>
      <sheetName val="Limpieza canaleta lateral"/>
      <sheetName val="Señalización"/>
      <sheetName val="Relevamiento de fallas"/>
      <sheetName val="Limpieza Final"/>
      <sheetName val="Limpieza material fres"/>
      <sheetName val="costo real asfalto"/>
      <sheetName val="MEMO CUB-1VOL. FRESADO"/>
      <sheetName val="MEMO CUB-1 AREA FRESADA"/>
      <sheetName val="MEMO CUB-1 AREA CHAPEO"/>
      <sheetName val="CUBICACION No 1"/>
      <sheetName val="MEMO CUB-2VOL. FRESADO"/>
      <sheetName val="MEMO CUB-2 AREA FRESADA"/>
      <sheetName val="CUBICACION No 2"/>
      <sheetName val="plan para cubicar por mes"/>
      <sheetName val="Ins"/>
      <sheetName val="M.O."/>
      <sheetName val="Precios"/>
      <sheetName val="RESUMEN BARAHONA (JULIO 2019)"/>
      <sheetName val="RESUMEN BARAHONA (JUNIO 2019)"/>
      <sheetName val="RESUMEN BARAHONA (MAYO 2019)"/>
      <sheetName val="CUB. #03 BARAHONA (JULIO 2019)"/>
      <sheetName val="CUB. #02 BARAHONA (JUNIO 2019)"/>
      <sheetName val="O.C.  CUB. #1 (MAYO 2019) "/>
      <sheetName val="O.C.  CUB. #2 (JUNIO 2019)"/>
      <sheetName val="SUST. VIVIENDA #3 (JUNIO 2019)"/>
      <sheetName val="SUST. VIVIENDA #2 (JUNIO 2019)"/>
      <sheetName val=" EDUCATIVO JUNIO  2019 "/>
      <sheetName val="O.C.  CUB. #3 (JULIO 2019)"/>
      <sheetName val="SUST. IMPREVISTOS (JUNIO 2019"/>
      <sheetName val="SUST. IMPREVISTOS (JULIO 2019)"/>
      <sheetName val="SUST. VERJA EXT. (JULIO 2019)"/>
      <sheetName val="Educativo (JULIO 2019)"/>
      <sheetName val="Administrativo (JULIO 2019)"/>
      <sheetName val="Administrativo (JUNIO 2019) "/>
      <sheetName val="Taller (JULIO 2019)"/>
      <sheetName val="SUST. VIVIENDA #1 (AGOSTO 2019)"/>
      <sheetName val="SUST. VIVIENDA #2 (AGOSTO 2019)"/>
      <sheetName val="SUST. VIVIENDA #3 (AGOSTO 2019)"/>
      <sheetName val="SUST. VIVIENDA #1 (JUNIO 2019)"/>
      <sheetName val="SUST. VERJA EXT. (JUNIO 2019)"/>
      <sheetName val="Administrativo (Mayo 2019)"/>
      <sheetName val="Taller (Mayo 2019) "/>
      <sheetName val="CUB. #01 BARAHONA (Mayo 2019) "/>
      <sheetName val="SUST. IMPREVISTOS (MAYO 2019)"/>
      <sheetName val="SEGUROS Y FIANZAS (MAYO 2019)"/>
      <sheetName val="SUST. MOV. TIERRA MAYO 2019"/>
      <sheetName val="SUST. VERJA EXT. (MAYO 2019)"/>
      <sheetName val="Educativo (Mayo 2019)"/>
      <sheetName val="SUST. VIVIENDA #3 (Mayo. 2019)"/>
      <sheetName val="SUST. VIVIENDA #2 (Mayo. 2019)"/>
      <sheetName val="SUST. VIVIENDA #1 (Mayo. 2019)"/>
      <sheetName val="SCHEDULE D1- Equipment Rates"/>
      <sheetName val="SCHEDULE C1 All Inclusive Labor"/>
      <sheetName val="C.I."/>
      <sheetName val="Precios de Insumos"/>
      <sheetName val="Combustibles"/>
      <sheetName val="SCHEDULE D1 Equipment Rates"/>
      <sheetName val="TRACTOR D6R"/>
    </sheetNames>
    <sheetDataSet>
      <sheetData sheetId="0"/>
      <sheetData sheetId="1"/>
      <sheetData sheetId="2"/>
      <sheetData sheetId="3"/>
      <sheetData sheetId="4"/>
      <sheetData sheetId="5"/>
      <sheetData sheetId="6"/>
      <sheetData sheetId="7">
        <row r="4">
          <cell r="F4" t="str">
            <v>FECHA: SEPTIEMBRE DEL 2004</v>
          </cell>
        </row>
        <row r="8">
          <cell r="C8" t="str">
            <v>: SANTO DOMINGO - SANTIAGO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ow r="4">
          <cell r="F4">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 Equipos a utilizar"/>
      <sheetName val="Analisis de Precios Unitarios"/>
      <sheetName val="Hoja3"/>
    </sheetNames>
    <sheetDataSet>
      <sheetData sheetId="0" refreshError="1"/>
      <sheetData sheetId="1">
        <row r="11">
          <cell r="I11">
            <v>1863.7719999999999</v>
          </cell>
        </row>
        <row r="12">
          <cell r="I12">
            <v>1720.396</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Analisis"/>
      <sheetName val="Listado Equipos a utilizar"/>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G7">
            <v>281</v>
          </cell>
        </row>
        <row r="10">
          <cell r="G10">
            <v>6.45</v>
          </cell>
        </row>
        <row r="11">
          <cell r="G11">
            <v>250</v>
          </cell>
        </row>
        <row r="12">
          <cell r="G12">
            <v>220</v>
          </cell>
        </row>
        <row r="13">
          <cell r="G13">
            <v>250</v>
          </cell>
        </row>
        <row r="17">
          <cell r="G17">
            <v>70</v>
          </cell>
        </row>
        <row r="32">
          <cell r="G32">
            <v>5800</v>
          </cell>
        </row>
        <row r="33">
          <cell r="G33">
            <v>12.5</v>
          </cell>
        </row>
      </sheetData>
      <sheetData sheetId="12" refreshError="1">
        <row r="43">
          <cell r="F43">
            <v>30</v>
          </cell>
        </row>
        <row r="67">
          <cell r="F67">
            <v>3100</v>
          </cell>
        </row>
        <row r="72">
          <cell r="F72">
            <v>43.4</v>
          </cell>
        </row>
        <row r="74">
          <cell r="F74">
            <v>43.4</v>
          </cell>
        </row>
        <row r="75">
          <cell r="F75">
            <v>37.200000000000003</v>
          </cell>
        </row>
        <row r="76">
          <cell r="F76">
            <v>43.4</v>
          </cell>
        </row>
        <row r="77">
          <cell r="F77">
            <v>43.4</v>
          </cell>
        </row>
        <row r="79">
          <cell r="F79">
            <v>20.09</v>
          </cell>
        </row>
        <row r="81">
          <cell r="F81">
            <v>29.26</v>
          </cell>
        </row>
      </sheetData>
      <sheetData sheetId="13" refreshError="1">
        <row r="8">
          <cell r="I8">
            <v>726.05</v>
          </cell>
        </row>
        <row r="9">
          <cell r="I9">
            <v>512.15</v>
          </cell>
        </row>
        <row r="11">
          <cell r="I11">
            <v>344.75</v>
          </cell>
        </row>
        <row r="13">
          <cell r="I13">
            <v>316.84999999999997</v>
          </cell>
        </row>
        <row r="14">
          <cell r="I14">
            <v>414.5</v>
          </cell>
        </row>
        <row r="15">
          <cell r="I15">
            <v>414.5</v>
          </cell>
        </row>
        <row r="16">
          <cell r="I16">
            <v>791.15</v>
          </cell>
        </row>
        <row r="19">
          <cell r="I19">
            <v>279</v>
          </cell>
        </row>
        <row r="21">
          <cell r="I21">
            <v>58.13</v>
          </cell>
        </row>
        <row r="25">
          <cell r="I25">
            <v>1.7799999999999998</v>
          </cell>
        </row>
        <row r="28">
          <cell r="I28">
            <v>105.75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TOR D9T"/>
      <sheetName val="TRACTOR D8T "/>
      <sheetName val="TRACTOR D6R"/>
      <sheetName val="PALA 950G"/>
      <sheetName val="Motoniveladora 140H"/>
      <sheetName val="Compactador CS533E"/>
      <sheetName val="Excavadora Cat. 325C"/>
      <sheetName val="Resumen Precio Equipos"/>
      <sheetName val="Comparacion precios unitarios"/>
      <sheetName val="Detalle Partidas"/>
      <sheetName val="Observaciones "/>
      <sheetName val="P.U. Samana"/>
      <sheetName val="BASICO"/>
      <sheetName val="Listado Equipos Propios"/>
      <sheetName val="Materiales"/>
      <sheetName val="O.M. y Salarios"/>
      <sheetName val="Posesion Camion"/>
      <sheetName val="Posesion Camion Empirico OK"/>
      <sheetName val="Posesion RM 250 Julio"/>
      <sheetName val="TRACTOR D7H"/>
      <sheetName val="PALA 950E"/>
      <sheetName val="GRADER 12G"/>
      <sheetName val="Modelo de P.U."/>
      <sheetName val="Costo Horario D9N"/>
      <sheetName val="Determinación de Rendimientos"/>
      <sheetName val="Determinación de Rendimient (2)"/>
      <sheetName val="Determinación de Rendimient (3)"/>
      <sheetName val="P.U. Excavación Roca con Ripper"/>
    </sheetNames>
    <sheetDataSet>
      <sheetData sheetId="0">
        <row r="13">
          <cell r="I13">
            <v>5208.2</v>
          </cell>
        </row>
      </sheetData>
      <sheetData sheetId="1">
        <row r="39">
          <cell r="G39">
            <v>37.200000000000003</v>
          </cell>
        </row>
      </sheetData>
      <sheetData sheetId="2"/>
      <sheetData sheetId="3">
        <row r="13">
          <cell r="I13">
            <v>5208.2</v>
          </cell>
        </row>
      </sheetData>
      <sheetData sheetId="4">
        <row r="13">
          <cell r="I13">
            <v>5208.2</v>
          </cell>
        </row>
      </sheetData>
      <sheetData sheetId="5"/>
      <sheetData sheetId="6">
        <row r="13">
          <cell r="I13">
            <v>5208.2</v>
          </cell>
        </row>
      </sheetData>
      <sheetData sheetId="7">
        <row r="13">
          <cell r="I13">
            <v>5208.2</v>
          </cell>
        </row>
        <row r="16">
          <cell r="I16">
            <v>2686.62</v>
          </cell>
        </row>
        <row r="27">
          <cell r="C27">
            <v>0.08</v>
          </cell>
        </row>
        <row r="28">
          <cell r="C28">
            <v>0.04</v>
          </cell>
        </row>
        <row r="30">
          <cell r="C30">
            <v>0.01</v>
          </cell>
        </row>
      </sheetData>
      <sheetData sheetId="8"/>
      <sheetData sheetId="9">
        <row r="13">
          <cell r="I13">
            <v>5208.2</v>
          </cell>
        </row>
      </sheetData>
      <sheetData sheetId="10"/>
      <sheetData sheetId="11"/>
      <sheetData sheetId="12"/>
      <sheetData sheetId="13">
        <row r="39">
          <cell r="G39">
            <v>37.200000000000003</v>
          </cell>
        </row>
      </sheetData>
      <sheetData sheetId="14"/>
      <sheetData sheetId="15">
        <row r="39">
          <cell r="G39">
            <v>37.200000000000003</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PU"/>
      <sheetName val="SERVICIOS"/>
      <sheetName val="Presupuesto"/>
      <sheetName val="Programa de Trabajo"/>
      <sheetName val="Graficas"/>
      <sheetName val="Uso de Equipos"/>
      <sheetName val="Hoja8"/>
      <sheetName val="Hoja9"/>
      <sheetName val="Hoja10"/>
      <sheetName val="Hoja11"/>
      <sheetName val="Hoja12"/>
      <sheetName val="Hoja13"/>
      <sheetName val="Hoja14"/>
      <sheetName val="Hoja15"/>
      <sheetName val="Hoja16"/>
      <sheetName val="SALARIOS"/>
      <sheetName val="MATERIALES"/>
      <sheetName val="Analisis BC"/>
      <sheetName val="O.M. y Salarios"/>
      <sheetName val="Gastos Generales y Factores"/>
      <sheetName val="Listado Mano de Obra"/>
      <sheetName val="Listado Completo de Equipos"/>
      <sheetName val="Progr. Mensual"/>
      <sheetName val="Lista de Materiales"/>
      <sheetName val="Ingenieria"/>
      <sheetName val="Lista de Insumos K-CC 146-148"/>
      <sheetName val="Pres. Nav. Pto Plata"/>
      <sheetName val="PLANTA 150-200 TPH"/>
      <sheetName val="PRECIOS_ELE"/>
      <sheetName val="MO"/>
      <sheetName val="Trabajos Generales"/>
      <sheetName val="Programa_de_Trabajo"/>
      <sheetName val="Uso_de_Equipos"/>
      <sheetName val="Cargas Sociales"/>
      <sheetName val="Analisis Unit. "/>
      <sheetName val="Analisis Unitarios"/>
      <sheetName val="Tarifas de Alquiler de Equipo"/>
      <sheetName val="ANALISIS HORMIGON ARMADO"/>
    </sheetNames>
    <sheetDataSet>
      <sheetData sheetId="0" refreshError="1">
        <row r="13">
          <cell r="D13">
            <v>500</v>
          </cell>
        </row>
        <row r="14">
          <cell r="D14">
            <v>990</v>
          </cell>
        </row>
        <row r="27">
          <cell r="D27">
            <v>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PRESENTACION (2)"/>
      <sheetName val="PRESUPUESTO (2)"/>
      <sheetName val="P.U. Const"/>
      <sheetName val="Materiales"/>
      <sheetName val="Salarios"/>
      <sheetName val="Precios"/>
      <sheetName val="COSTO INDIRECTO"/>
      <sheetName val="OPERADORES EQUIPOS"/>
      <sheetName val="EQUIPOS"/>
      <sheetName val="PRESENTACION_(2)"/>
      <sheetName val="PRESUPUESTO_(2)"/>
      <sheetName val="P_U__Const"/>
      <sheetName val="Analisis"/>
      <sheetName val="Insumos (2)"/>
      <sheetName val="M.O."/>
      <sheetName val="Insumos"/>
      <sheetName val="Análisis"/>
      <sheetName val="via"/>
    </sheetNames>
    <sheetDataSet>
      <sheetData sheetId="0" refreshError="1"/>
      <sheetData sheetId="1" refreshError="1"/>
      <sheetData sheetId="2" refreshError="1"/>
      <sheetData sheetId="3" refreshError="1"/>
      <sheetData sheetId="4" refreshError="1">
        <row r="15">
          <cell r="K15">
            <v>145</v>
          </cell>
        </row>
      </sheetData>
      <sheetData sheetId="5" refreshError="1">
        <row r="14">
          <cell r="D14">
            <v>45</v>
          </cell>
        </row>
        <row r="16">
          <cell r="D16">
            <v>45</v>
          </cell>
        </row>
      </sheetData>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NAS ADMIN"/>
      <sheetName val="Analisis Comunes"/>
      <sheetName val="APU Hormigón Armado O. ADMIN"/>
    </sheetNames>
    <sheetDataSet>
      <sheetData sheetId="0"/>
      <sheetData sheetId="1">
        <row r="4">
          <cell r="A4" t="str">
            <v>01</v>
          </cell>
          <cell r="B4" t="str">
            <v>Capítulo</v>
          </cell>
          <cell r="C4" t="str">
            <v>ANALISIS UNITARIOS COMUNES:</v>
          </cell>
          <cell r="D4">
            <v>0</v>
          </cell>
          <cell r="E4" t="str">
            <v/>
          </cell>
          <cell r="F4">
            <v>0</v>
          </cell>
          <cell r="G4">
            <v>0</v>
          </cell>
          <cell r="H4">
            <v>0</v>
          </cell>
          <cell r="I4">
            <v>0</v>
          </cell>
        </row>
        <row r="5">
          <cell r="A5" t="str">
            <v>01.01</v>
          </cell>
          <cell r="B5" t="str">
            <v>Capítulo</v>
          </cell>
          <cell r="C5" t="str">
            <v>PRELIMINARES:</v>
          </cell>
          <cell r="D5">
            <v>0</v>
          </cell>
          <cell r="E5" t="str">
            <v/>
          </cell>
          <cell r="F5">
            <v>0</v>
          </cell>
          <cell r="G5">
            <v>0</v>
          </cell>
          <cell r="H5">
            <v>0</v>
          </cell>
          <cell r="I5">
            <v>0</v>
          </cell>
        </row>
        <row r="6">
          <cell r="A6" t="str">
            <v>01.01.01</v>
          </cell>
          <cell r="B6" t="str">
            <v>Partida</v>
          </cell>
          <cell r="C6" t="str">
            <v>Fumigación área de Construcción</v>
          </cell>
          <cell r="D6">
            <v>1</v>
          </cell>
          <cell r="E6" t="str">
            <v>m²</v>
          </cell>
          <cell r="F6">
            <v>0</v>
          </cell>
          <cell r="G6">
            <v>20.650000000000002</v>
          </cell>
          <cell r="H6">
            <v>2.8079999999999998</v>
          </cell>
          <cell r="I6">
            <v>23.458000000000002</v>
          </cell>
        </row>
        <row r="7">
          <cell r="A7" t="str">
            <v>P2402189</v>
          </cell>
          <cell r="B7" t="str">
            <v>Material</v>
          </cell>
          <cell r="C7" t="str">
            <v>Plaguicida/Insecticida marca LORBAN</v>
          </cell>
          <cell r="D7">
            <v>0.02</v>
          </cell>
          <cell r="E7" t="str">
            <v>lt</v>
          </cell>
          <cell r="F7">
            <v>780</v>
          </cell>
          <cell r="G7">
            <v>15.6</v>
          </cell>
          <cell r="H7">
            <v>2.8079999999999998</v>
          </cell>
          <cell r="I7">
            <v>18.408000000000001</v>
          </cell>
        </row>
        <row r="8">
          <cell r="A8" t="str">
            <v>H2402189</v>
          </cell>
          <cell r="B8" t="str">
            <v>Mano de obra</v>
          </cell>
          <cell r="C8" t="str">
            <v>M.O. Fumigación de superficie</v>
          </cell>
          <cell r="D8">
            <v>1</v>
          </cell>
          <cell r="E8" t="str">
            <v>m²</v>
          </cell>
          <cell r="F8">
            <v>5</v>
          </cell>
          <cell r="G8">
            <v>5</v>
          </cell>
          <cell r="H8">
            <v>0</v>
          </cell>
          <cell r="I8">
            <v>5</v>
          </cell>
        </row>
        <row r="9">
          <cell r="A9" t="str">
            <v>H%FH</v>
          </cell>
          <cell r="B9" t="str">
            <v>Otros</v>
          </cell>
          <cell r="C9" t="str">
            <v>Factor Herramientas</v>
          </cell>
          <cell r="D9">
            <v>1</v>
          </cell>
          <cell r="E9" t="str">
            <v>%</v>
          </cell>
          <cell r="F9">
            <v>5</v>
          </cell>
          <cell r="G9">
            <v>0.05</v>
          </cell>
          <cell r="H9">
            <v>0</v>
          </cell>
          <cell r="I9">
            <v>0.05</v>
          </cell>
        </row>
        <row r="10">
          <cell r="A10">
            <v>0</v>
          </cell>
          <cell r="B10">
            <v>0</v>
          </cell>
          <cell r="C10" t="str">
            <v>Total 01.01.01</v>
          </cell>
          <cell r="D10">
            <v>1</v>
          </cell>
          <cell r="E10">
            <v>0</v>
          </cell>
          <cell r="G10">
            <v>20.650000000000002</v>
          </cell>
          <cell r="H10">
            <v>2.8079999999999998</v>
          </cell>
          <cell r="I10">
            <v>23.458000000000002</v>
          </cell>
        </row>
        <row r="11">
          <cell r="A11">
            <v>0</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v>0</v>
          </cell>
          <cell r="B13">
            <v>0</v>
          </cell>
          <cell r="C13">
            <v>0</v>
          </cell>
          <cell r="D13">
            <v>0</v>
          </cell>
          <cell r="E13">
            <v>0</v>
          </cell>
          <cell r="F13">
            <v>0</v>
          </cell>
          <cell r="G13">
            <v>0</v>
          </cell>
          <cell r="H13">
            <v>0</v>
          </cell>
          <cell r="I13">
            <v>0</v>
          </cell>
        </row>
        <row r="14">
          <cell r="A14" t="str">
            <v>01.02</v>
          </cell>
          <cell r="B14" t="str">
            <v>Capítulo</v>
          </cell>
          <cell r="C14" t="str">
            <v>MOVIMIMIENTO DE TIERRA:</v>
          </cell>
          <cell r="D14">
            <v>0</v>
          </cell>
          <cell r="E14" t="str">
            <v/>
          </cell>
          <cell r="F14">
            <v>0</v>
          </cell>
          <cell r="G14">
            <v>0</v>
          </cell>
          <cell r="H14">
            <v>0</v>
          </cell>
          <cell r="I14">
            <v>0</v>
          </cell>
        </row>
        <row r="15">
          <cell r="A15" t="str">
            <v>01.02.01</v>
          </cell>
          <cell r="B15" t="str">
            <v>Partida</v>
          </cell>
          <cell r="C15" t="str">
            <v>Bote de Materiales a 5 km</v>
          </cell>
          <cell r="D15">
            <v>1</v>
          </cell>
          <cell r="E15" t="str">
            <v>m³e</v>
          </cell>
          <cell r="F15">
            <v>0</v>
          </cell>
          <cell r="G15">
            <v>267.76271186440675</v>
          </cell>
          <cell r="H15">
            <v>0</v>
          </cell>
          <cell r="I15">
            <v>267.76271186440675</v>
          </cell>
        </row>
        <row r="16">
          <cell r="A16" t="str">
            <v>SCMT003</v>
          </cell>
          <cell r="B16" t="str">
            <v>Otros</v>
          </cell>
          <cell r="C16" t="str">
            <v>Sub-Contrato Bote de Material Producto de Excavación @5 Km</v>
          </cell>
          <cell r="D16">
            <v>1</v>
          </cell>
          <cell r="E16" t="str">
            <v>m³</v>
          </cell>
          <cell r="F16">
            <v>267.76271186440675</v>
          </cell>
          <cell r="G16">
            <v>267.76271186440675</v>
          </cell>
          <cell r="H16">
            <v>0</v>
          </cell>
          <cell r="I16">
            <v>267.76271186440675</v>
          </cell>
        </row>
        <row r="17">
          <cell r="A17">
            <v>0</v>
          </cell>
          <cell r="B17">
            <v>0</v>
          </cell>
          <cell r="C17" t="str">
            <v>Total 01.02.01</v>
          </cell>
          <cell r="D17">
            <v>1</v>
          </cell>
          <cell r="E17">
            <v>0</v>
          </cell>
          <cell r="G17">
            <v>267.76271186440675</v>
          </cell>
          <cell r="H17">
            <v>0</v>
          </cell>
          <cell r="I17">
            <v>267.76271186440675</v>
          </cell>
        </row>
        <row r="18">
          <cell r="A18">
            <v>0</v>
          </cell>
          <cell r="B18">
            <v>0</v>
          </cell>
          <cell r="C18">
            <v>0</v>
          </cell>
          <cell r="D18">
            <v>0</v>
          </cell>
          <cell r="E18">
            <v>0</v>
          </cell>
          <cell r="F18">
            <v>0</v>
          </cell>
          <cell r="G18">
            <v>0</v>
          </cell>
          <cell r="H18">
            <v>0</v>
          </cell>
          <cell r="I18">
            <v>0</v>
          </cell>
        </row>
        <row r="19">
          <cell r="A19" t="str">
            <v>01.02.02</v>
          </cell>
          <cell r="B19" t="str">
            <v>Partida</v>
          </cell>
          <cell r="C19" t="str">
            <v>Capa de material granular con finos no plásticos. Capa con espesor de 0.20m, en fondo de excavación</v>
          </cell>
          <cell r="D19">
            <v>1</v>
          </cell>
          <cell r="E19" t="str">
            <v>m³c</v>
          </cell>
          <cell r="F19">
            <v>0</v>
          </cell>
          <cell r="G19">
            <v>958</v>
          </cell>
          <cell r="H19">
            <v>0</v>
          </cell>
          <cell r="I19">
            <v>958</v>
          </cell>
        </row>
        <row r="20">
          <cell r="A20" t="str">
            <v>SCMT004</v>
          </cell>
          <cell r="B20" t="str">
            <v>Otros</v>
          </cell>
          <cell r="C20" t="str">
            <v>Sub-Contrato Relleno Compactado c/ Capa de Material Granular</v>
          </cell>
          <cell r="D20">
            <v>1</v>
          </cell>
          <cell r="E20" t="str">
            <v>m³c</v>
          </cell>
          <cell r="F20">
            <v>958</v>
          </cell>
          <cell r="G20">
            <v>958</v>
          </cell>
          <cell r="H20">
            <v>0</v>
          </cell>
          <cell r="I20">
            <v>958</v>
          </cell>
        </row>
        <row r="21">
          <cell r="A21">
            <v>0</v>
          </cell>
          <cell r="B21">
            <v>0</v>
          </cell>
          <cell r="C21" t="str">
            <v>Total 01.02.02</v>
          </cell>
          <cell r="D21">
            <v>1</v>
          </cell>
          <cell r="E21">
            <v>0</v>
          </cell>
          <cell r="G21">
            <v>958</v>
          </cell>
          <cell r="H21">
            <v>0</v>
          </cell>
          <cell r="I21">
            <v>958</v>
          </cell>
        </row>
        <row r="22">
          <cell r="A22">
            <v>0</v>
          </cell>
          <cell r="B22">
            <v>0</v>
          </cell>
          <cell r="C22">
            <v>0</v>
          </cell>
          <cell r="D22">
            <v>0</v>
          </cell>
          <cell r="E22">
            <v>0</v>
          </cell>
          <cell r="F22">
            <v>0</v>
          </cell>
          <cell r="G22">
            <v>0</v>
          </cell>
          <cell r="H22">
            <v>0</v>
          </cell>
          <cell r="I22">
            <v>0</v>
          </cell>
        </row>
        <row r="23">
          <cell r="A23" t="str">
            <v>01.02.03</v>
          </cell>
          <cell r="B23" t="str">
            <v>Partida</v>
          </cell>
          <cell r="C23" t="str">
            <v>Base granular natural, estabilizada con cemento gris a un 3%</v>
          </cell>
          <cell r="D23">
            <v>1</v>
          </cell>
          <cell r="E23" t="str">
            <v>m³c</v>
          </cell>
          <cell r="F23">
            <v>0</v>
          </cell>
          <cell r="G23">
            <v>1824</v>
          </cell>
          <cell r="H23">
            <v>0</v>
          </cell>
          <cell r="I23">
            <v>1824</v>
          </cell>
        </row>
        <row r="24">
          <cell r="A24" t="str">
            <v>SCMT005</v>
          </cell>
          <cell r="B24" t="str">
            <v>Otros</v>
          </cell>
          <cell r="C24" t="str">
            <v>Sub-Contrato Construcción Base Granular Estabilizada c/Cemento @3%</v>
          </cell>
          <cell r="D24">
            <v>1</v>
          </cell>
          <cell r="E24" t="str">
            <v>m³c</v>
          </cell>
          <cell r="F24">
            <v>1824</v>
          </cell>
          <cell r="G24">
            <v>1824</v>
          </cell>
          <cell r="H24">
            <v>0</v>
          </cell>
          <cell r="I24">
            <v>1824</v>
          </cell>
        </row>
        <row r="25">
          <cell r="A25">
            <v>0</v>
          </cell>
          <cell r="B25">
            <v>0</v>
          </cell>
          <cell r="C25" t="str">
            <v>Total 01.02.03</v>
          </cell>
          <cell r="D25">
            <v>1</v>
          </cell>
          <cell r="E25">
            <v>0</v>
          </cell>
          <cell r="G25">
            <v>1824</v>
          </cell>
          <cell r="H25">
            <v>0</v>
          </cell>
          <cell r="I25">
            <v>1824</v>
          </cell>
        </row>
        <row r="26">
          <cell r="A26">
            <v>0</v>
          </cell>
          <cell r="B26">
            <v>0</v>
          </cell>
          <cell r="C26">
            <v>0</v>
          </cell>
          <cell r="D26">
            <v>0</v>
          </cell>
          <cell r="E26">
            <v>0</v>
          </cell>
          <cell r="F26">
            <v>0</v>
          </cell>
          <cell r="G26">
            <v>0</v>
          </cell>
          <cell r="H26">
            <v>0</v>
          </cell>
          <cell r="I26">
            <v>0</v>
          </cell>
        </row>
        <row r="27">
          <cell r="A27" t="str">
            <v>01.02.04</v>
          </cell>
          <cell r="B27" t="str">
            <v>Partida</v>
          </cell>
          <cell r="C27" t="str">
            <v>Escarificacion de superfice</v>
          </cell>
          <cell r="D27">
            <v>1</v>
          </cell>
          <cell r="E27" t="str">
            <v>m²</v>
          </cell>
          <cell r="F27">
            <v>0</v>
          </cell>
          <cell r="G27">
            <v>20</v>
          </cell>
          <cell r="H27">
            <v>0</v>
          </cell>
          <cell r="I27">
            <v>20</v>
          </cell>
        </row>
        <row r="28">
          <cell r="A28" t="str">
            <v>SCMT006</v>
          </cell>
          <cell r="B28" t="str">
            <v>Otros</v>
          </cell>
          <cell r="C28" t="str">
            <v>Sub-Contrato Escarificación de Superficie</v>
          </cell>
          <cell r="D28">
            <v>1</v>
          </cell>
          <cell r="E28" t="str">
            <v>m²</v>
          </cell>
          <cell r="F28">
            <v>20</v>
          </cell>
          <cell r="G28">
            <v>20</v>
          </cell>
          <cell r="H28">
            <v>0</v>
          </cell>
          <cell r="I28">
            <v>20</v>
          </cell>
        </row>
        <row r="29">
          <cell r="A29">
            <v>0</v>
          </cell>
          <cell r="B29">
            <v>0</v>
          </cell>
          <cell r="C29" t="str">
            <v>Total 01.02.04</v>
          </cell>
          <cell r="D29">
            <v>1</v>
          </cell>
          <cell r="E29">
            <v>0</v>
          </cell>
          <cell r="G29">
            <v>20</v>
          </cell>
          <cell r="H29">
            <v>0</v>
          </cell>
          <cell r="I29">
            <v>20</v>
          </cell>
        </row>
        <row r="30">
          <cell r="A30">
            <v>0</v>
          </cell>
          <cell r="B30">
            <v>0</v>
          </cell>
          <cell r="C30">
            <v>0</v>
          </cell>
          <cell r="D30">
            <v>0</v>
          </cell>
          <cell r="E30">
            <v>0</v>
          </cell>
          <cell r="F30">
            <v>0</v>
          </cell>
          <cell r="G30">
            <v>0</v>
          </cell>
          <cell r="H30">
            <v>0</v>
          </cell>
          <cell r="I30">
            <v>0</v>
          </cell>
        </row>
        <row r="31">
          <cell r="A31" t="str">
            <v>01.02.05</v>
          </cell>
          <cell r="B31" t="str">
            <v>Partida</v>
          </cell>
          <cell r="C31" t="str">
            <v>Excavación de Fundaciones</v>
          </cell>
          <cell r="D31">
            <v>1</v>
          </cell>
          <cell r="E31" t="str">
            <v>m³</v>
          </cell>
          <cell r="F31">
            <v>0</v>
          </cell>
          <cell r="G31">
            <v>1300</v>
          </cell>
          <cell r="H31">
            <v>0</v>
          </cell>
          <cell r="I31">
            <v>1300</v>
          </cell>
        </row>
        <row r="32">
          <cell r="A32" t="str">
            <v>SCMT007</v>
          </cell>
          <cell r="B32" t="str">
            <v>Otros</v>
          </cell>
          <cell r="C32" t="str">
            <v>Sub-Contrato Excavación de Zapatas c/ Compresor</v>
          </cell>
          <cell r="D32">
            <v>1</v>
          </cell>
          <cell r="E32" t="str">
            <v>m³</v>
          </cell>
          <cell r="F32">
            <v>1300</v>
          </cell>
          <cell r="G32">
            <v>1300</v>
          </cell>
          <cell r="H32">
            <v>0</v>
          </cell>
          <cell r="I32">
            <v>1300</v>
          </cell>
        </row>
        <row r="33">
          <cell r="A33">
            <v>0</v>
          </cell>
          <cell r="B33">
            <v>0</v>
          </cell>
          <cell r="C33" t="str">
            <v>Total 01.02.05</v>
          </cell>
          <cell r="D33">
            <v>1</v>
          </cell>
          <cell r="E33">
            <v>0</v>
          </cell>
          <cell r="G33">
            <v>1300</v>
          </cell>
          <cell r="H33">
            <v>0</v>
          </cell>
          <cell r="I33">
            <v>1300</v>
          </cell>
        </row>
        <row r="34">
          <cell r="A34">
            <v>0</v>
          </cell>
          <cell r="B34">
            <v>0</v>
          </cell>
          <cell r="C34">
            <v>0</v>
          </cell>
          <cell r="D34">
            <v>0</v>
          </cell>
          <cell r="E34">
            <v>0</v>
          </cell>
          <cell r="F34">
            <v>0</v>
          </cell>
          <cell r="G34">
            <v>0</v>
          </cell>
          <cell r="H34">
            <v>0</v>
          </cell>
          <cell r="I34">
            <v>0</v>
          </cell>
        </row>
        <row r="35">
          <cell r="A35" t="str">
            <v>01.02.06</v>
          </cell>
          <cell r="B35" t="str">
            <v>Partida</v>
          </cell>
          <cell r="C35" t="str">
            <v>Excavación con Retroexcavadora para zapata de muros de 6", H=1.50 mts de ancho=0.60 mts, espesor=0.25 mts</v>
          </cell>
          <cell r="D35">
            <v>1</v>
          </cell>
          <cell r="E35" t="str">
            <v>m³n</v>
          </cell>
          <cell r="F35">
            <v>0</v>
          </cell>
          <cell r="G35">
            <v>625</v>
          </cell>
          <cell r="H35">
            <v>0</v>
          </cell>
          <cell r="I35">
            <v>625</v>
          </cell>
        </row>
        <row r="36">
          <cell r="A36" t="str">
            <v>SCMT008</v>
          </cell>
          <cell r="B36" t="str">
            <v>Otros</v>
          </cell>
          <cell r="C36" t="str">
            <v>Sub-Contrato Excavación con Retroexcavadora</v>
          </cell>
          <cell r="D36">
            <v>1</v>
          </cell>
          <cell r="E36" t="str">
            <v>m³</v>
          </cell>
          <cell r="F36">
            <v>625</v>
          </cell>
          <cell r="G36">
            <v>625</v>
          </cell>
          <cell r="H36">
            <v>0</v>
          </cell>
          <cell r="I36">
            <v>625</v>
          </cell>
        </row>
        <row r="37">
          <cell r="A37">
            <v>0</v>
          </cell>
          <cell r="B37">
            <v>0</v>
          </cell>
          <cell r="C37" t="str">
            <v>Total 01.02.06</v>
          </cell>
          <cell r="D37">
            <v>1</v>
          </cell>
          <cell r="E37">
            <v>0</v>
          </cell>
          <cell r="G37">
            <v>625</v>
          </cell>
          <cell r="H37">
            <v>0</v>
          </cell>
          <cell r="I37">
            <v>625</v>
          </cell>
        </row>
        <row r="38">
          <cell r="A38">
            <v>0</v>
          </cell>
          <cell r="B38">
            <v>0</v>
          </cell>
          <cell r="C38">
            <v>0</v>
          </cell>
          <cell r="D38">
            <v>0</v>
          </cell>
          <cell r="E38">
            <v>0</v>
          </cell>
          <cell r="F38">
            <v>0</v>
          </cell>
          <cell r="G38">
            <v>0</v>
          </cell>
          <cell r="H38">
            <v>0</v>
          </cell>
          <cell r="I38">
            <v>0</v>
          </cell>
        </row>
        <row r="39">
          <cell r="A39" t="str">
            <v>01.02.08</v>
          </cell>
          <cell r="B39" t="str">
            <v>Partida</v>
          </cell>
          <cell r="C39" t="str">
            <v>Relleno compactado c/Material Granular</v>
          </cell>
          <cell r="D39">
            <v>1</v>
          </cell>
          <cell r="E39" t="str">
            <v>m³</v>
          </cell>
          <cell r="F39">
            <v>958</v>
          </cell>
          <cell r="G39">
            <v>0</v>
          </cell>
          <cell r="H39">
            <v>0</v>
          </cell>
          <cell r="I39">
            <v>958</v>
          </cell>
        </row>
        <row r="40">
          <cell r="A40" t="str">
            <v>SCMT009</v>
          </cell>
          <cell r="B40" t="str">
            <v>Otros</v>
          </cell>
          <cell r="C40" t="str">
            <v>Sub-Contrato Relleno Compactado c/Material Granular</v>
          </cell>
          <cell r="D40">
            <v>1</v>
          </cell>
          <cell r="E40" t="str">
            <v>m³</v>
          </cell>
          <cell r="F40">
            <v>958</v>
          </cell>
          <cell r="G40">
            <v>958</v>
          </cell>
          <cell r="H40">
            <v>0</v>
          </cell>
          <cell r="I40">
            <v>958</v>
          </cell>
        </row>
        <row r="41">
          <cell r="A41">
            <v>0</v>
          </cell>
          <cell r="B41">
            <v>0</v>
          </cell>
          <cell r="C41" t="str">
            <v>Total 01.02.08</v>
          </cell>
          <cell r="D41">
            <v>1</v>
          </cell>
          <cell r="E41">
            <v>0</v>
          </cell>
          <cell r="F41">
            <v>958</v>
          </cell>
          <cell r="G41">
            <v>0</v>
          </cell>
          <cell r="H41">
            <v>0</v>
          </cell>
          <cell r="I41">
            <v>958</v>
          </cell>
        </row>
        <row r="42">
          <cell r="A42">
            <v>0</v>
          </cell>
          <cell r="B42">
            <v>0</v>
          </cell>
          <cell r="C42">
            <v>0</v>
          </cell>
          <cell r="D42">
            <v>0</v>
          </cell>
          <cell r="E42">
            <v>0</v>
          </cell>
          <cell r="F42">
            <v>0</v>
          </cell>
          <cell r="G42">
            <v>0</v>
          </cell>
          <cell r="H42">
            <v>0</v>
          </cell>
          <cell r="I42">
            <v>0</v>
          </cell>
        </row>
        <row r="43">
          <cell r="A43" t="str">
            <v>01.02.09</v>
          </cell>
          <cell r="B43" t="str">
            <v>Partida</v>
          </cell>
          <cell r="C43" t="str">
            <v>Relleno de reposicion</v>
          </cell>
          <cell r="D43">
            <v>1</v>
          </cell>
          <cell r="E43" t="str">
            <v>m³</v>
          </cell>
          <cell r="F43">
            <v>0</v>
          </cell>
          <cell r="G43">
            <v>861.49392999999998</v>
          </cell>
          <cell r="H43">
            <v>56.528567999999993</v>
          </cell>
          <cell r="I43">
            <v>918.02249800000004</v>
          </cell>
        </row>
        <row r="44">
          <cell r="A44" t="str">
            <v>P0203002</v>
          </cell>
          <cell r="B44" t="str">
            <v>Material</v>
          </cell>
          <cell r="C44" t="str">
            <v>Caliche</v>
          </cell>
          <cell r="D44">
            <v>1</v>
          </cell>
          <cell r="E44" t="str">
            <v>m³</v>
          </cell>
          <cell r="F44">
            <v>290</v>
          </cell>
          <cell r="G44">
            <v>290</v>
          </cell>
          <cell r="H44">
            <v>52.199999999999996</v>
          </cell>
          <cell r="I44">
            <v>342.2</v>
          </cell>
        </row>
        <row r="45">
          <cell r="A45" t="str">
            <v>P2403199</v>
          </cell>
          <cell r="B45" t="str">
            <v>Material</v>
          </cell>
          <cell r="C45" t="str">
            <v>Agua</v>
          </cell>
          <cell r="D45">
            <v>15.22</v>
          </cell>
          <cell r="E45" t="str">
            <v>gl</v>
          </cell>
          <cell r="F45">
            <v>1.58</v>
          </cell>
          <cell r="G45">
            <v>24.047600000000003</v>
          </cell>
          <cell r="H45">
            <v>4.3285680000000006</v>
          </cell>
          <cell r="I45">
            <v>28.376168000000003</v>
          </cell>
        </row>
        <row r="46">
          <cell r="A46" t="str">
            <v>H0105056</v>
          </cell>
          <cell r="B46" t="str">
            <v>Mano de obra</v>
          </cell>
          <cell r="C46" t="str">
            <v>M.O. Ayudante o Peon</v>
          </cell>
          <cell r="D46">
            <v>0.06</v>
          </cell>
          <cell r="E46" t="str">
            <v>d</v>
          </cell>
          <cell r="F46">
            <v>650.54999999999995</v>
          </cell>
          <cell r="G46">
            <v>39.032999999999994</v>
          </cell>
          <cell r="H46">
            <v>0</v>
          </cell>
          <cell r="I46">
            <v>39.032999999999994</v>
          </cell>
        </row>
        <row r="47">
          <cell r="A47" t="str">
            <v>H0220210</v>
          </cell>
          <cell r="B47" t="str">
            <v>Mano de obra</v>
          </cell>
          <cell r="C47" t="str">
            <v>M.O. Operador Compactador Manual</v>
          </cell>
          <cell r="D47">
            <v>0.15</v>
          </cell>
          <cell r="E47" t="str">
            <v>d</v>
          </cell>
          <cell r="F47">
            <v>831.45</v>
          </cell>
          <cell r="G47">
            <v>124.7175</v>
          </cell>
          <cell r="H47">
            <v>0</v>
          </cell>
          <cell r="I47">
            <v>124.7175</v>
          </cell>
        </row>
        <row r="48">
          <cell r="A48" t="str">
            <v>H0105058</v>
          </cell>
          <cell r="B48" t="str">
            <v>Mano de obra</v>
          </cell>
          <cell r="C48" t="str">
            <v>M.O. Ayudante compatador</v>
          </cell>
          <cell r="D48">
            <v>0.15</v>
          </cell>
          <cell r="E48" t="str">
            <v>d</v>
          </cell>
          <cell r="F48">
            <v>650.54999999999995</v>
          </cell>
          <cell r="G48">
            <v>97.582499999999996</v>
          </cell>
          <cell r="H48">
            <v>0</v>
          </cell>
          <cell r="I48">
            <v>97.582499999999996</v>
          </cell>
        </row>
        <row r="49">
          <cell r="A49" t="str">
            <v>M152125</v>
          </cell>
          <cell r="B49" t="str">
            <v>Maquinaria</v>
          </cell>
          <cell r="C49" t="str">
            <v>Compactador manual Wacker. Incluye combustible</v>
          </cell>
          <cell r="D49">
            <v>0.63</v>
          </cell>
          <cell r="E49" t="str">
            <v>h</v>
          </cell>
          <cell r="F49">
            <v>450</v>
          </cell>
          <cell r="G49">
            <v>283.5</v>
          </cell>
          <cell r="H49">
            <v>0</v>
          </cell>
          <cell r="I49">
            <v>283.5</v>
          </cell>
        </row>
        <row r="50">
          <cell r="A50" t="str">
            <v>H%FH</v>
          </cell>
          <cell r="B50" t="str">
            <v>Otros</v>
          </cell>
          <cell r="C50" t="str">
            <v>Factor Herramientas</v>
          </cell>
          <cell r="D50">
            <v>1</v>
          </cell>
          <cell r="E50" t="str">
            <v>%</v>
          </cell>
          <cell r="F50">
            <v>261.33299999999997</v>
          </cell>
          <cell r="G50">
            <v>2.6133299999999999</v>
          </cell>
          <cell r="H50">
            <v>0</v>
          </cell>
          <cell r="I50">
            <v>2.6133299999999999</v>
          </cell>
        </row>
        <row r="51">
          <cell r="A51">
            <v>0</v>
          </cell>
          <cell r="B51">
            <v>0</v>
          </cell>
          <cell r="C51" t="str">
            <v>Total 01.02.09</v>
          </cell>
          <cell r="D51">
            <v>1</v>
          </cell>
          <cell r="E51">
            <v>0</v>
          </cell>
          <cell r="G51">
            <v>861.49392999999998</v>
          </cell>
          <cell r="H51">
            <v>56.528567999999993</v>
          </cell>
          <cell r="I51">
            <v>918.02249800000004</v>
          </cell>
        </row>
        <row r="52">
          <cell r="A52">
            <v>0</v>
          </cell>
          <cell r="B52">
            <v>0</v>
          </cell>
          <cell r="C52">
            <v>0</v>
          </cell>
          <cell r="D52">
            <v>0</v>
          </cell>
          <cell r="E52">
            <v>0</v>
          </cell>
          <cell r="F52">
            <v>0</v>
          </cell>
          <cell r="G52">
            <v>0</v>
          </cell>
          <cell r="H52">
            <v>0</v>
          </cell>
          <cell r="I52">
            <v>0</v>
          </cell>
        </row>
        <row r="53">
          <cell r="A53" t="str">
            <v>01.02.11</v>
          </cell>
          <cell r="B53" t="str">
            <v>Partida</v>
          </cell>
          <cell r="C53" t="str">
            <v>Relleno mezcla 65-35% limo y/o arcilla con arena itabo: Suministro, regado, nivelado y compactado, con equipos, e=
0.10 mts. Ap</v>
          </cell>
          <cell r="D53">
            <v>1</v>
          </cell>
          <cell r="E53" t="str">
            <v>m³c</v>
          </cell>
          <cell r="F53">
            <v>0</v>
          </cell>
          <cell r="G53">
            <v>1312.5</v>
          </cell>
          <cell r="H53">
            <v>0</v>
          </cell>
          <cell r="I53">
            <v>1312.5</v>
          </cell>
        </row>
        <row r="54">
          <cell r="A54" t="str">
            <v>SCMT010</v>
          </cell>
          <cell r="B54" t="str">
            <v>Otros</v>
          </cell>
          <cell r="C54" t="str">
            <v>Sub-Contrato Relleno Compactado c/Mezcla 65-35% limo y/o arcilla con Arena Itabo</v>
          </cell>
          <cell r="D54">
            <v>1</v>
          </cell>
          <cell r="E54" t="str">
            <v>m³</v>
          </cell>
          <cell r="F54">
            <v>1312.5</v>
          </cell>
          <cell r="G54">
            <v>1312.5</v>
          </cell>
          <cell r="H54">
            <v>0</v>
          </cell>
          <cell r="I54">
            <v>1312.5</v>
          </cell>
        </row>
        <row r="55">
          <cell r="A55">
            <v>0</v>
          </cell>
          <cell r="B55">
            <v>0</v>
          </cell>
          <cell r="C55" t="str">
            <v>Total 01.02.11</v>
          </cell>
          <cell r="D55">
            <v>1</v>
          </cell>
          <cell r="E55">
            <v>0</v>
          </cell>
          <cell r="G55">
            <v>1312.5</v>
          </cell>
          <cell r="H55">
            <v>0</v>
          </cell>
          <cell r="I55">
            <v>1312.5</v>
          </cell>
        </row>
        <row r="56">
          <cell r="A56">
            <v>0</v>
          </cell>
          <cell r="B56">
            <v>0</v>
          </cell>
          <cell r="C56">
            <v>0</v>
          </cell>
          <cell r="D56">
            <v>0</v>
          </cell>
          <cell r="E56">
            <v>0</v>
          </cell>
          <cell r="F56">
            <v>0</v>
          </cell>
          <cell r="G56">
            <v>0</v>
          </cell>
          <cell r="H56">
            <v>0</v>
          </cell>
          <cell r="I56">
            <v>0</v>
          </cell>
        </row>
        <row r="57">
          <cell r="A57" t="str">
            <v>01.02.12</v>
          </cell>
          <cell r="B57" t="str">
            <v>Partida</v>
          </cell>
          <cell r="C57" t="str">
            <v>Sub-base granular natural, e=0.28 mts.</v>
          </cell>
          <cell r="D57">
            <v>1</v>
          </cell>
          <cell r="E57" t="str">
            <v>m³c</v>
          </cell>
          <cell r="F57">
            <v>0</v>
          </cell>
          <cell r="G57">
            <v>958</v>
          </cell>
          <cell r="H57">
            <v>0</v>
          </cell>
          <cell r="I57">
            <v>958</v>
          </cell>
        </row>
        <row r="58">
          <cell r="A58" t="str">
            <v>SCMT009</v>
          </cell>
          <cell r="B58" t="str">
            <v>Otros</v>
          </cell>
          <cell r="C58" t="str">
            <v>Sub-Contrato Relleno Compactado c/Material Granular</v>
          </cell>
          <cell r="D58">
            <v>1</v>
          </cell>
          <cell r="E58" t="str">
            <v>m³</v>
          </cell>
          <cell r="F58">
            <v>958</v>
          </cell>
          <cell r="G58">
            <v>958</v>
          </cell>
          <cell r="H58">
            <v>0</v>
          </cell>
          <cell r="I58">
            <v>958</v>
          </cell>
        </row>
        <row r="59">
          <cell r="A59">
            <v>0</v>
          </cell>
          <cell r="B59">
            <v>0</v>
          </cell>
          <cell r="C59" t="str">
            <v>Total 01.02.12</v>
          </cell>
          <cell r="D59">
            <v>1</v>
          </cell>
          <cell r="E59">
            <v>0</v>
          </cell>
          <cell r="G59">
            <v>958</v>
          </cell>
          <cell r="H59">
            <v>0</v>
          </cell>
          <cell r="I59">
            <v>958</v>
          </cell>
        </row>
        <row r="60">
          <cell r="A60">
            <v>0</v>
          </cell>
          <cell r="B60">
            <v>0</v>
          </cell>
          <cell r="C60">
            <v>0</v>
          </cell>
          <cell r="D60">
            <v>0</v>
          </cell>
          <cell r="E60">
            <v>0</v>
          </cell>
          <cell r="F60">
            <v>0</v>
          </cell>
          <cell r="G60">
            <v>0</v>
          </cell>
          <cell r="H60">
            <v>0</v>
          </cell>
          <cell r="I60">
            <v>0</v>
          </cell>
        </row>
        <row r="61">
          <cell r="A61" t="str">
            <v>01.02.13</v>
          </cell>
          <cell r="B61" t="str">
            <v>Partida</v>
          </cell>
          <cell r="C61" t="str">
            <v>Suministro Grava (1/2") regado y nivelado e= 0.20 mts</v>
          </cell>
          <cell r="D61">
            <v>1</v>
          </cell>
          <cell r="E61" t="str">
            <v>m³</v>
          </cell>
          <cell r="F61">
            <v>0</v>
          </cell>
          <cell r="G61">
            <v>1937.5</v>
          </cell>
          <cell r="H61">
            <v>0</v>
          </cell>
          <cell r="I61">
            <v>1937.5</v>
          </cell>
        </row>
        <row r="62">
          <cell r="A62" t="str">
            <v>SCMT011</v>
          </cell>
          <cell r="B62" t="str">
            <v>Otros</v>
          </cell>
          <cell r="C62" t="str">
            <v>Sub-Contrato Suministro, Regado y Nivelado de Grava (1/2")</v>
          </cell>
          <cell r="D62">
            <v>1</v>
          </cell>
          <cell r="E62" t="str">
            <v>m³</v>
          </cell>
          <cell r="F62">
            <v>1937.5</v>
          </cell>
          <cell r="G62">
            <v>1937.5</v>
          </cell>
          <cell r="H62">
            <v>0</v>
          </cell>
          <cell r="I62">
            <v>1937.5</v>
          </cell>
        </row>
        <row r="63">
          <cell r="A63">
            <v>0</v>
          </cell>
          <cell r="B63">
            <v>0</v>
          </cell>
          <cell r="C63" t="str">
            <v>Total 01.02.13</v>
          </cell>
          <cell r="D63">
            <v>1</v>
          </cell>
          <cell r="E63">
            <v>0</v>
          </cell>
          <cell r="G63">
            <v>1937.5</v>
          </cell>
          <cell r="H63">
            <v>0</v>
          </cell>
          <cell r="I63">
            <v>1937.5</v>
          </cell>
        </row>
        <row r="64">
          <cell r="A64">
            <v>0</v>
          </cell>
          <cell r="B64">
            <v>0</v>
          </cell>
          <cell r="C64">
            <v>0</v>
          </cell>
          <cell r="D64">
            <v>0</v>
          </cell>
          <cell r="E64">
            <v>0</v>
          </cell>
          <cell r="F64">
            <v>0</v>
          </cell>
          <cell r="G64">
            <v>0</v>
          </cell>
          <cell r="H64">
            <v>0</v>
          </cell>
          <cell r="I64">
            <v>0</v>
          </cell>
        </row>
        <row r="65">
          <cell r="A65" t="str">
            <v>01.02.14</v>
          </cell>
          <cell r="B65" t="str">
            <v>Partida</v>
          </cell>
          <cell r="C65" t="str">
            <v>Suministro Grava (3/4") regado y nivelado e= 0.20 mts</v>
          </cell>
          <cell r="D65">
            <v>1</v>
          </cell>
          <cell r="E65" t="str">
            <v>m³</v>
          </cell>
          <cell r="F65">
            <v>1937.5</v>
          </cell>
          <cell r="G65">
            <v>0</v>
          </cell>
          <cell r="H65">
            <v>0</v>
          </cell>
          <cell r="I65">
            <v>1937.5</v>
          </cell>
        </row>
        <row r="66">
          <cell r="A66" t="str">
            <v>SCMT012</v>
          </cell>
          <cell r="B66" t="str">
            <v>Otros</v>
          </cell>
          <cell r="C66" t="str">
            <v>Sub-Contrato Suministro, Regado y Nivelado de Grava (3/4")</v>
          </cell>
          <cell r="D66">
            <v>1</v>
          </cell>
          <cell r="E66" t="str">
            <v>m³</v>
          </cell>
          <cell r="F66">
            <v>1937.5</v>
          </cell>
          <cell r="G66">
            <v>1937.5</v>
          </cell>
          <cell r="H66">
            <v>0</v>
          </cell>
          <cell r="I66">
            <v>1937.5</v>
          </cell>
        </row>
        <row r="67">
          <cell r="A67">
            <v>0</v>
          </cell>
          <cell r="B67">
            <v>0</v>
          </cell>
          <cell r="C67" t="str">
            <v>Total 01.02.14</v>
          </cell>
          <cell r="D67">
            <v>1</v>
          </cell>
          <cell r="E67">
            <v>0</v>
          </cell>
          <cell r="F67">
            <v>1937.5</v>
          </cell>
          <cell r="G67">
            <v>0</v>
          </cell>
          <cell r="H67">
            <v>0</v>
          </cell>
          <cell r="I67">
            <v>1937.5</v>
          </cell>
        </row>
        <row r="68">
          <cell r="A68">
            <v>0</v>
          </cell>
          <cell r="B68">
            <v>0</v>
          </cell>
          <cell r="C68">
            <v>0</v>
          </cell>
          <cell r="D68">
            <v>0</v>
          </cell>
          <cell r="E68">
            <v>0</v>
          </cell>
          <cell r="F68">
            <v>0</v>
          </cell>
          <cell r="G68">
            <v>0</v>
          </cell>
          <cell r="H68">
            <v>0</v>
          </cell>
          <cell r="I68">
            <v>0</v>
          </cell>
        </row>
        <row r="69">
          <cell r="A69" t="str">
            <v>01.02.15</v>
          </cell>
          <cell r="B69" t="str">
            <v>Partida</v>
          </cell>
          <cell r="C69" t="str">
            <v>Suministro arena itabo, regado y nivelado e= 0.20 mts</v>
          </cell>
          <cell r="D69">
            <v>1</v>
          </cell>
          <cell r="E69" t="str">
            <v>m³</v>
          </cell>
          <cell r="F69">
            <v>0</v>
          </cell>
          <cell r="G69">
            <v>1312.5</v>
          </cell>
          <cell r="H69">
            <v>0</v>
          </cell>
          <cell r="I69">
            <v>1312.5</v>
          </cell>
        </row>
        <row r="70">
          <cell r="A70" t="str">
            <v>SCMT013</v>
          </cell>
          <cell r="B70" t="str">
            <v>Otros</v>
          </cell>
          <cell r="C70" t="str">
            <v>Sub-Contrato Suministro, Regado y Nivelado de Arena Itabo</v>
          </cell>
          <cell r="D70">
            <v>1</v>
          </cell>
          <cell r="E70" t="str">
            <v>m³</v>
          </cell>
          <cell r="F70">
            <v>1312.5</v>
          </cell>
          <cell r="G70">
            <v>1312.5</v>
          </cell>
          <cell r="H70">
            <v>0</v>
          </cell>
          <cell r="I70">
            <v>1312.5</v>
          </cell>
        </row>
        <row r="71">
          <cell r="A71">
            <v>0</v>
          </cell>
          <cell r="B71">
            <v>0</v>
          </cell>
          <cell r="C71" t="str">
            <v>Total 01.02.15</v>
          </cell>
          <cell r="D71">
            <v>1</v>
          </cell>
          <cell r="E71">
            <v>0</v>
          </cell>
          <cell r="G71">
            <v>1312.5</v>
          </cell>
          <cell r="H71">
            <v>0</v>
          </cell>
          <cell r="I71">
            <v>1312.5</v>
          </cell>
        </row>
        <row r="72">
          <cell r="A72">
            <v>0</v>
          </cell>
          <cell r="B72">
            <v>0</v>
          </cell>
          <cell r="C72">
            <v>0</v>
          </cell>
          <cell r="D72">
            <v>0</v>
          </cell>
          <cell r="E72">
            <v>0</v>
          </cell>
          <cell r="F72">
            <v>0</v>
          </cell>
          <cell r="G72">
            <v>0</v>
          </cell>
          <cell r="H72">
            <v>0</v>
          </cell>
          <cell r="I72">
            <v>0</v>
          </cell>
        </row>
        <row r="73">
          <cell r="A73" t="str">
            <v>01.02.16</v>
          </cell>
          <cell r="B73" t="str">
            <v>Partida</v>
          </cell>
          <cell r="C73" t="str">
            <v>Terminación de sub-rasante</v>
          </cell>
          <cell r="D73">
            <v>1</v>
          </cell>
          <cell r="E73" t="str">
            <v>m²</v>
          </cell>
          <cell r="F73">
            <v>0</v>
          </cell>
          <cell r="G73">
            <v>20</v>
          </cell>
          <cell r="H73">
            <v>0</v>
          </cell>
          <cell r="I73">
            <v>20</v>
          </cell>
        </row>
        <row r="74">
          <cell r="A74" t="str">
            <v>SCMT014</v>
          </cell>
          <cell r="B74" t="str">
            <v>Otros</v>
          </cell>
          <cell r="C74" t="str">
            <v>Sub-Contrato Terminación de Sub-rasante</v>
          </cell>
          <cell r="D74">
            <v>1</v>
          </cell>
          <cell r="E74" t="str">
            <v>m²</v>
          </cell>
          <cell r="F74">
            <v>20</v>
          </cell>
          <cell r="G74">
            <v>20</v>
          </cell>
          <cell r="H74">
            <v>0</v>
          </cell>
          <cell r="I74">
            <v>20</v>
          </cell>
        </row>
        <row r="75">
          <cell r="A75">
            <v>0</v>
          </cell>
          <cell r="B75">
            <v>0</v>
          </cell>
          <cell r="C75" t="str">
            <v>Total 01.02.16</v>
          </cell>
          <cell r="D75">
            <v>1</v>
          </cell>
          <cell r="E75">
            <v>0</v>
          </cell>
          <cell r="G75">
            <v>20</v>
          </cell>
          <cell r="H75">
            <v>0</v>
          </cell>
          <cell r="I75">
            <v>20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01.03</v>
          </cell>
          <cell r="B79" t="str">
            <v>Capítulo</v>
          </cell>
          <cell r="C79" t="str">
            <v>HORMIGON:</v>
          </cell>
          <cell r="D79">
            <v>0</v>
          </cell>
          <cell r="E79" t="str">
            <v/>
          </cell>
          <cell r="F79">
            <v>0</v>
          </cell>
          <cell r="G79">
            <v>0</v>
          </cell>
          <cell r="H79">
            <v>0</v>
          </cell>
          <cell r="I79">
            <v>0</v>
          </cell>
        </row>
        <row r="80">
          <cell r="A80" t="str">
            <v>01.03.09</v>
          </cell>
          <cell r="B80" t="str">
            <v>Partida</v>
          </cell>
          <cell r="C80" t="str">
            <v>Hormigón de Nivelacion 140 kg/cm2 , e=0.05 m</v>
          </cell>
          <cell r="D80">
            <v>1</v>
          </cell>
          <cell r="E80" t="str">
            <v>m³</v>
          </cell>
          <cell r="F80">
            <v>0</v>
          </cell>
          <cell r="G80">
            <v>4853.5190000000002</v>
          </cell>
          <cell r="H80">
            <v>873.63342</v>
          </cell>
          <cell r="I80">
            <v>5727.1524200000003</v>
          </cell>
        </row>
        <row r="81">
          <cell r="A81" t="str">
            <v>P0602005</v>
          </cell>
          <cell r="B81" t="str">
            <v>Material</v>
          </cell>
          <cell r="C81" t="str">
            <v>Hormigón Industrial H140 kg/cm2, Bombeado</v>
          </cell>
          <cell r="D81">
            <v>1.1000000000000001</v>
          </cell>
          <cell r="E81" t="str">
            <v>m³</v>
          </cell>
          <cell r="F81">
            <v>4412.29</v>
          </cell>
          <cell r="G81">
            <v>4853.5190000000002</v>
          </cell>
          <cell r="H81">
            <v>873.63342</v>
          </cell>
          <cell r="I81">
            <v>5727.1524200000003</v>
          </cell>
        </row>
        <row r="82">
          <cell r="A82">
            <v>0</v>
          </cell>
          <cell r="B82">
            <v>0</v>
          </cell>
          <cell r="C82" t="str">
            <v>Total 01.03.09</v>
          </cell>
          <cell r="D82">
            <v>1</v>
          </cell>
          <cell r="E82">
            <v>0</v>
          </cell>
          <cell r="G82">
            <v>4853.5190000000002</v>
          </cell>
          <cell r="H82">
            <v>873.63342</v>
          </cell>
          <cell r="I82">
            <v>5727.1524200000003</v>
          </cell>
        </row>
        <row r="83">
          <cell r="A83">
            <v>0</v>
          </cell>
          <cell r="B83">
            <v>0</v>
          </cell>
          <cell r="C83">
            <v>0</v>
          </cell>
          <cell r="D83">
            <v>0</v>
          </cell>
          <cell r="E83">
            <v>0</v>
          </cell>
          <cell r="F83">
            <v>0</v>
          </cell>
          <cell r="G83">
            <v>0</v>
          </cell>
          <cell r="H83">
            <v>0</v>
          </cell>
          <cell r="I83">
            <v>0</v>
          </cell>
        </row>
        <row r="84">
          <cell r="A84">
            <v>0</v>
          </cell>
          <cell r="B84">
            <v>0</v>
          </cell>
          <cell r="C84">
            <v>0</v>
          </cell>
          <cell r="D84">
            <v>0</v>
          </cell>
          <cell r="E84">
            <v>0</v>
          </cell>
          <cell r="F84">
            <v>0</v>
          </cell>
          <cell r="G84">
            <v>0</v>
          </cell>
          <cell r="H84">
            <v>0</v>
          </cell>
          <cell r="I84">
            <v>0</v>
          </cell>
        </row>
        <row r="85">
          <cell r="A85">
            <v>0</v>
          </cell>
          <cell r="B85">
            <v>0</v>
          </cell>
          <cell r="C85">
            <v>0</v>
          </cell>
          <cell r="D85">
            <v>0</v>
          </cell>
          <cell r="E85">
            <v>0</v>
          </cell>
          <cell r="F85">
            <v>0</v>
          </cell>
          <cell r="G85">
            <v>0</v>
          </cell>
          <cell r="H85">
            <v>0</v>
          </cell>
          <cell r="I85">
            <v>0</v>
          </cell>
        </row>
        <row r="86">
          <cell r="A86" t="str">
            <v>01.04</v>
          </cell>
          <cell r="B86" t="str">
            <v>Capítulo</v>
          </cell>
          <cell r="C86" t="str">
            <v>MUROS Y DIVISIONES:</v>
          </cell>
          <cell r="D86">
            <v>0</v>
          </cell>
          <cell r="E86" t="str">
            <v/>
          </cell>
          <cell r="F86">
            <v>0</v>
          </cell>
          <cell r="G86">
            <v>0</v>
          </cell>
          <cell r="H86">
            <v>0</v>
          </cell>
          <cell r="I86">
            <v>0</v>
          </cell>
        </row>
        <row r="87">
          <cell r="A87" t="str">
            <v>01.04.01</v>
          </cell>
          <cell r="B87" t="str">
            <v>Partida</v>
          </cell>
          <cell r="C87" t="str">
            <v>Blocks en Antepecho 3/8 a @0.80mt</v>
          </cell>
          <cell r="D87">
            <v>1</v>
          </cell>
          <cell r="E87" t="str">
            <v>m²</v>
          </cell>
          <cell r="F87">
            <v>0</v>
          </cell>
          <cell r="G87">
            <v>794.01794200000006</v>
          </cell>
          <cell r="H87">
            <v>100.22884955999999</v>
          </cell>
          <cell r="I87">
            <v>894.24679156000002</v>
          </cell>
        </row>
        <row r="88">
          <cell r="A88" t="str">
            <v>P1805011</v>
          </cell>
          <cell r="B88" t="str">
            <v>Material</v>
          </cell>
          <cell r="C88" t="str">
            <v>Bloque de hormigón de 6"</v>
          </cell>
          <cell r="D88">
            <v>13.125</v>
          </cell>
          <cell r="E88" t="str">
            <v>u</v>
          </cell>
          <cell r="F88">
            <v>23.52</v>
          </cell>
          <cell r="G88">
            <v>308.7</v>
          </cell>
          <cell r="H88">
            <v>55.565999999999995</v>
          </cell>
          <cell r="I88">
            <v>364.26599999999996</v>
          </cell>
        </row>
        <row r="89">
          <cell r="A89" t="str">
            <v>P0201008</v>
          </cell>
          <cell r="B89" t="str">
            <v>Material</v>
          </cell>
          <cell r="C89" t="str">
            <v>Arena Itabo Lavada</v>
          </cell>
          <cell r="D89">
            <v>3.49E-2</v>
          </cell>
          <cell r="E89" t="str">
            <v>m³</v>
          </cell>
          <cell r="F89">
            <v>930.76</v>
          </cell>
          <cell r="G89">
            <v>32.483524000000003</v>
          </cell>
          <cell r="H89">
            <v>5.8470343200000006</v>
          </cell>
          <cell r="I89">
            <v>38.330558320000002</v>
          </cell>
        </row>
        <row r="90">
          <cell r="A90" t="str">
            <v>P0601003</v>
          </cell>
          <cell r="B90" t="str">
            <v>Material</v>
          </cell>
          <cell r="C90" t="str">
            <v>Cemento Gris 94 lbs. Tipo Portland</v>
          </cell>
          <cell r="D90">
            <v>0.30049999999999999</v>
          </cell>
          <cell r="E90" t="str">
            <v>fd</v>
          </cell>
          <cell r="F90">
            <v>295</v>
          </cell>
          <cell r="G90">
            <v>88.647499999999994</v>
          </cell>
          <cell r="H90">
            <v>15.956549999999998</v>
          </cell>
          <cell r="I90">
            <v>104.60404999999999</v>
          </cell>
        </row>
        <row r="91">
          <cell r="A91" t="str">
            <v>P2403199</v>
          </cell>
          <cell r="B91" t="str">
            <v>Material</v>
          </cell>
          <cell r="C91" t="str">
            <v>Agua</v>
          </cell>
          <cell r="D91">
            <v>1.8720000000000001</v>
          </cell>
          <cell r="E91" t="str">
            <v>gl</v>
          </cell>
          <cell r="F91">
            <v>1.58</v>
          </cell>
          <cell r="G91">
            <v>2.9577600000000004</v>
          </cell>
          <cell r="H91">
            <v>0.5323968</v>
          </cell>
          <cell r="I91">
            <v>3.4901568000000003</v>
          </cell>
        </row>
        <row r="92">
          <cell r="A92" t="str">
            <v>P0109018</v>
          </cell>
          <cell r="B92" t="str">
            <v>Auxiliar</v>
          </cell>
          <cell r="C92" t="str">
            <v>Hormigón In Situ fc=120Kg/Cm²  Agreg 3/8@1/2</v>
          </cell>
          <cell r="D92">
            <v>2.3E-2</v>
          </cell>
          <cell r="E92" t="str">
            <v>m³</v>
          </cell>
          <cell r="F92">
            <v>4435.2180000000008</v>
          </cell>
          <cell r="G92">
            <v>102.01001400000001</v>
          </cell>
          <cell r="H92">
            <v>12.772802519999997</v>
          </cell>
          <cell r="I92">
            <v>114.78281652000001</v>
          </cell>
        </row>
        <row r="93">
          <cell r="A93" t="str">
            <v>P0401066</v>
          </cell>
          <cell r="B93" t="str">
            <v>Material</v>
          </cell>
          <cell r="C93" t="str">
            <v>Acero G-60, Long. Variable</v>
          </cell>
          <cell r="D93">
            <v>2.24E-2</v>
          </cell>
          <cell r="E93" t="str">
            <v>qq</v>
          </cell>
          <cell r="F93">
            <v>2285</v>
          </cell>
          <cell r="G93">
            <v>51.183999999999997</v>
          </cell>
          <cell r="H93">
            <v>9.21312</v>
          </cell>
          <cell r="I93">
            <v>60.397120000000001</v>
          </cell>
        </row>
        <row r="94">
          <cell r="A94" t="str">
            <v>P0418006</v>
          </cell>
          <cell r="B94" t="str">
            <v>Material</v>
          </cell>
          <cell r="C94" t="str">
            <v>Alambre galvanizado liso #18</v>
          </cell>
          <cell r="D94">
            <v>4.48E-2</v>
          </cell>
          <cell r="E94" t="str">
            <v>lb</v>
          </cell>
          <cell r="F94">
            <v>42.28</v>
          </cell>
          <cell r="G94">
            <v>1.894144</v>
          </cell>
          <cell r="H94">
            <v>0.34094592000000001</v>
          </cell>
          <cell r="I94">
            <v>2.2350899200000001</v>
          </cell>
        </row>
        <row r="95">
          <cell r="A95" t="str">
            <v>H0320201</v>
          </cell>
          <cell r="B95" t="str">
            <v>Mano de obra</v>
          </cell>
          <cell r="C95" t="str">
            <v>M.O. Alb. Colocación Bloques de 6" (Inc. Llenado y Acero)</v>
          </cell>
          <cell r="D95">
            <v>13</v>
          </cell>
          <cell r="E95" t="str">
            <v>u</v>
          </cell>
          <cell r="F95">
            <v>15.7</v>
          </cell>
          <cell r="G95">
            <v>204.1</v>
          </cell>
          <cell r="H95">
            <v>0</v>
          </cell>
          <cell r="I95">
            <v>204.1</v>
          </cell>
        </row>
        <row r="96">
          <cell r="A96" t="str">
            <v>H%FH</v>
          </cell>
          <cell r="B96" t="str">
            <v>Otros</v>
          </cell>
          <cell r="C96" t="str">
            <v>Factor Herramientas</v>
          </cell>
          <cell r="D96">
            <v>1</v>
          </cell>
          <cell r="E96" t="str">
            <v>%</v>
          </cell>
          <cell r="F96">
            <v>204.1</v>
          </cell>
          <cell r="G96">
            <v>2.0409999999999999</v>
          </cell>
          <cell r="H96">
            <v>0</v>
          </cell>
          <cell r="I96">
            <v>2.0409999999999999</v>
          </cell>
        </row>
        <row r="97">
          <cell r="A97">
            <v>0</v>
          </cell>
          <cell r="B97">
            <v>0</v>
          </cell>
          <cell r="C97" t="str">
            <v>Total 01.04.01</v>
          </cell>
          <cell r="D97">
            <v>1</v>
          </cell>
          <cell r="E97">
            <v>0</v>
          </cell>
          <cell r="F97">
            <v>0</v>
          </cell>
          <cell r="G97">
            <v>794.01794200000006</v>
          </cell>
          <cell r="H97">
            <v>100.22884955999999</v>
          </cell>
          <cell r="I97">
            <v>894.24679156000002</v>
          </cell>
        </row>
        <row r="98">
          <cell r="A98">
            <v>0</v>
          </cell>
          <cell r="B98">
            <v>0</v>
          </cell>
          <cell r="C98">
            <v>0</v>
          </cell>
          <cell r="D98">
            <v>0</v>
          </cell>
          <cell r="E98">
            <v>0</v>
          </cell>
          <cell r="F98">
            <v>0</v>
          </cell>
          <cell r="G98">
            <v>0</v>
          </cell>
          <cell r="H98">
            <v>0</v>
          </cell>
          <cell r="I98">
            <v>0</v>
          </cell>
        </row>
        <row r="99">
          <cell r="A99" t="str">
            <v>01.04.02</v>
          </cell>
          <cell r="B99" t="str">
            <v>Partida</v>
          </cell>
          <cell r="C99" t="str">
            <v>Bloques de 4" SNP 3/8@ 0.80mt</v>
          </cell>
          <cell r="D99">
            <v>1</v>
          </cell>
          <cell r="E99" t="str">
            <v>m²</v>
          </cell>
          <cell r="F99">
            <v>0</v>
          </cell>
          <cell r="G99">
            <v>660.27864719999991</v>
          </cell>
          <cell r="H99">
            <v>82.972376495999995</v>
          </cell>
          <cell r="I99">
            <v>743.25102369599995</v>
          </cell>
        </row>
        <row r="100">
          <cell r="A100" t="str">
            <v>P1805010</v>
          </cell>
          <cell r="B100" t="str">
            <v>Material</v>
          </cell>
          <cell r="C100" t="str">
            <v>Bloque de hormigón de 4"</v>
          </cell>
          <cell r="D100">
            <v>14.375</v>
          </cell>
          <cell r="E100" t="str">
            <v>u</v>
          </cell>
          <cell r="F100">
            <v>22.88</v>
          </cell>
          <cell r="G100">
            <v>328.9</v>
          </cell>
          <cell r="H100">
            <v>59.201999999999991</v>
          </cell>
          <cell r="I100">
            <v>388.10199999999998</v>
          </cell>
        </row>
        <row r="101">
          <cell r="A101" t="str">
            <v>P0201008</v>
          </cell>
          <cell r="B101" t="str">
            <v>Material</v>
          </cell>
          <cell r="C101" t="str">
            <v>Arena Itabo Lavada</v>
          </cell>
          <cell r="D101">
            <v>1.34E-2</v>
          </cell>
          <cell r="E101" t="str">
            <v>m³</v>
          </cell>
          <cell r="F101">
            <v>930.76</v>
          </cell>
          <cell r="G101">
            <v>12.472184</v>
          </cell>
          <cell r="H101">
            <v>2.2449931200000002</v>
          </cell>
          <cell r="I101">
            <v>14.717177120000001</v>
          </cell>
        </row>
        <row r="102">
          <cell r="A102" t="str">
            <v>P0601003</v>
          </cell>
          <cell r="B102" t="str">
            <v>Material</v>
          </cell>
          <cell r="C102" t="str">
            <v>Cemento Gris 94 lbs. Tipo Portland</v>
          </cell>
          <cell r="D102">
            <v>0.11559999999999999</v>
          </cell>
          <cell r="E102" t="str">
            <v>fd</v>
          </cell>
          <cell r="F102">
            <v>295</v>
          </cell>
          <cell r="G102">
            <v>34.101999999999997</v>
          </cell>
          <cell r="H102">
            <v>6.1383599999999996</v>
          </cell>
          <cell r="I102">
            <v>40.240359999999995</v>
          </cell>
        </row>
        <row r="103">
          <cell r="A103" t="str">
            <v>P2403199</v>
          </cell>
          <cell r="B103" t="str">
            <v>Material</v>
          </cell>
          <cell r="C103" t="str">
            <v>Agua</v>
          </cell>
          <cell r="D103">
            <v>0.72</v>
          </cell>
          <cell r="E103" t="str">
            <v>gl</v>
          </cell>
          <cell r="F103">
            <v>1.58</v>
          </cell>
          <cell r="G103">
            <v>1.1375999999999999</v>
          </cell>
          <cell r="H103">
            <v>0.20476799999999998</v>
          </cell>
          <cell r="I103">
            <v>1.342368</v>
          </cell>
        </row>
        <row r="104">
          <cell r="A104" t="str">
            <v>P0109018</v>
          </cell>
          <cell r="B104" t="str">
            <v>Auxiliar</v>
          </cell>
          <cell r="C104" t="str">
            <v>Hormigón In Situ fc=120Kg/Cm²  Agreg 3/8@1/2</v>
          </cell>
          <cell r="D104">
            <v>1.44E-2</v>
          </cell>
          <cell r="E104" t="str">
            <v>m³</v>
          </cell>
          <cell r="F104">
            <v>4435.2180000000008</v>
          </cell>
          <cell r="G104">
            <v>63.867139200000011</v>
          </cell>
          <cell r="H104">
            <v>7.9968850559999982</v>
          </cell>
          <cell r="I104">
            <v>71.864024256000008</v>
          </cell>
        </row>
        <row r="105">
          <cell r="A105" t="str">
            <v>P0401066</v>
          </cell>
          <cell r="B105" t="str">
            <v>Material</v>
          </cell>
          <cell r="C105" t="str">
            <v>Acero G-60, Long. Variable</v>
          </cell>
          <cell r="D105">
            <v>1.6899999999999998E-2</v>
          </cell>
          <cell r="E105" t="str">
            <v>qq</v>
          </cell>
          <cell r="F105">
            <v>2285</v>
          </cell>
          <cell r="G105">
            <v>38.616499999999995</v>
          </cell>
          <cell r="H105">
            <v>6.950969999999999</v>
          </cell>
          <cell r="I105">
            <v>45.567469999999993</v>
          </cell>
        </row>
        <row r="106">
          <cell r="A106" t="str">
            <v>P0418006</v>
          </cell>
          <cell r="B106" t="str">
            <v>Material</v>
          </cell>
          <cell r="C106" t="str">
            <v>Alambre galvanizado liso #18</v>
          </cell>
          <cell r="D106">
            <v>3.0800000000000001E-2</v>
          </cell>
          <cell r="E106" t="str">
            <v>lb</v>
          </cell>
          <cell r="F106">
            <v>42.28</v>
          </cell>
          <cell r="G106">
            <v>1.302224</v>
          </cell>
          <cell r="H106">
            <v>0.23440032</v>
          </cell>
          <cell r="I106">
            <v>1.53662432</v>
          </cell>
        </row>
        <row r="107">
          <cell r="A107" t="str">
            <v>H0320202</v>
          </cell>
          <cell r="B107" t="str">
            <v>Mano de obra</v>
          </cell>
          <cell r="C107" t="str">
            <v>M.O. Alb colocación bloques de 4" (Inc. Llenado y Acero)</v>
          </cell>
          <cell r="D107">
            <v>13</v>
          </cell>
          <cell r="E107" t="str">
            <v>u</v>
          </cell>
          <cell r="F107">
            <v>13.7</v>
          </cell>
          <cell r="G107">
            <v>178.1</v>
          </cell>
          <cell r="H107">
            <v>0</v>
          </cell>
          <cell r="I107">
            <v>178.1</v>
          </cell>
        </row>
        <row r="108">
          <cell r="A108" t="str">
            <v>H%FH</v>
          </cell>
          <cell r="B108" t="str">
            <v>Otros</v>
          </cell>
          <cell r="C108" t="str">
            <v>Factor Herramientas</v>
          </cell>
          <cell r="D108">
            <v>1</v>
          </cell>
          <cell r="E108" t="str">
            <v>%</v>
          </cell>
          <cell r="F108">
            <v>178.1</v>
          </cell>
          <cell r="G108">
            <v>1.7809999999999999</v>
          </cell>
          <cell r="H108">
            <v>0</v>
          </cell>
          <cell r="I108">
            <v>1.7809999999999999</v>
          </cell>
        </row>
        <row r="109">
          <cell r="A109">
            <v>0</v>
          </cell>
          <cell r="B109">
            <v>0</v>
          </cell>
          <cell r="C109" t="str">
            <v>Total 01.04.02</v>
          </cell>
          <cell r="D109">
            <v>1</v>
          </cell>
          <cell r="E109">
            <v>0</v>
          </cell>
          <cell r="F109">
            <v>0</v>
          </cell>
          <cell r="G109">
            <v>660.27864719999991</v>
          </cell>
          <cell r="H109">
            <v>82.972376495999995</v>
          </cell>
          <cell r="I109">
            <v>743.25102369599995</v>
          </cell>
        </row>
        <row r="110">
          <cell r="A110">
            <v>0</v>
          </cell>
          <cell r="B110">
            <v>0</v>
          </cell>
          <cell r="C110">
            <v>0</v>
          </cell>
          <cell r="D110">
            <v>0</v>
          </cell>
          <cell r="E110">
            <v>0</v>
          </cell>
          <cell r="F110">
            <v>0</v>
          </cell>
          <cell r="G110">
            <v>0</v>
          </cell>
          <cell r="H110">
            <v>0</v>
          </cell>
          <cell r="I110">
            <v>0</v>
          </cell>
        </row>
        <row r="111">
          <cell r="A111" t="str">
            <v>01.04.03</v>
          </cell>
          <cell r="B111" t="str">
            <v>Partida</v>
          </cell>
          <cell r="C111" t="str">
            <v>Bloques de 6" BNP Ø 3/8 @ 0.60</v>
          </cell>
          <cell r="D111">
            <v>1</v>
          </cell>
          <cell r="E111" t="str">
            <v>m²</v>
          </cell>
          <cell r="F111">
            <v>0</v>
          </cell>
          <cell r="G111">
            <v>845.94082060000005</v>
          </cell>
          <cell r="H111">
            <v>107.70386770799999</v>
          </cell>
          <cell r="I111">
            <v>953.64468830800013</v>
          </cell>
        </row>
        <row r="112">
          <cell r="A112" t="str">
            <v>P1805011</v>
          </cell>
          <cell r="B112" t="str">
            <v>Material</v>
          </cell>
          <cell r="C112" t="str">
            <v>Bloque de hormigón de 6"</v>
          </cell>
          <cell r="D112">
            <v>13.125</v>
          </cell>
          <cell r="E112" t="str">
            <v>u</v>
          </cell>
          <cell r="F112">
            <v>23.52</v>
          </cell>
          <cell r="G112">
            <v>308.7</v>
          </cell>
          <cell r="H112">
            <v>55.565999999999995</v>
          </cell>
          <cell r="I112">
            <v>364.26599999999996</v>
          </cell>
        </row>
        <row r="113">
          <cell r="A113" t="str">
            <v>P0201008</v>
          </cell>
          <cell r="B113" t="str">
            <v>Material</v>
          </cell>
          <cell r="C113" t="str">
            <v>Arena Itabo Lavada</v>
          </cell>
          <cell r="D113">
            <v>3.49E-2</v>
          </cell>
          <cell r="E113" t="str">
            <v>m³</v>
          </cell>
          <cell r="F113">
            <v>930.76</v>
          </cell>
          <cell r="G113">
            <v>32.483524000000003</v>
          </cell>
          <cell r="H113">
            <v>5.8470343200000006</v>
          </cell>
          <cell r="I113">
            <v>38.330558320000002</v>
          </cell>
        </row>
        <row r="114">
          <cell r="A114" t="str">
            <v>P0601003</v>
          </cell>
          <cell r="B114" t="str">
            <v>Material</v>
          </cell>
          <cell r="C114" t="str">
            <v>Cemento Gris 94 lbs. Tipo Portland</v>
          </cell>
          <cell r="D114">
            <v>0.30049999999999999</v>
          </cell>
          <cell r="E114" t="str">
            <v>fd</v>
          </cell>
          <cell r="F114">
            <v>295</v>
          </cell>
          <cell r="G114">
            <v>88.647499999999994</v>
          </cell>
          <cell r="H114">
            <v>15.956549999999998</v>
          </cell>
          <cell r="I114">
            <v>104.60404999999999</v>
          </cell>
        </row>
        <row r="115">
          <cell r="A115" t="str">
            <v>P2403199</v>
          </cell>
          <cell r="B115" t="str">
            <v>Material</v>
          </cell>
          <cell r="C115" t="str">
            <v>Agua</v>
          </cell>
          <cell r="D115">
            <v>1.8720000000000001</v>
          </cell>
          <cell r="E115" t="str">
            <v>gl</v>
          </cell>
          <cell r="F115">
            <v>1.58</v>
          </cell>
          <cell r="G115">
            <v>2.9577600000000004</v>
          </cell>
          <cell r="H115">
            <v>0.5323968</v>
          </cell>
          <cell r="I115">
            <v>3.4901568000000003</v>
          </cell>
        </row>
        <row r="116">
          <cell r="A116" t="str">
            <v>P0109018</v>
          </cell>
          <cell r="B116" t="str">
            <v>Auxiliar</v>
          </cell>
          <cell r="C116" t="str">
            <v>Hormigón In Situ fc=120Kg/Cm²  Agreg 3/8@1/2</v>
          </cell>
          <cell r="D116">
            <v>3.0700000000000002E-2</v>
          </cell>
          <cell r="E116" t="str">
            <v>m³</v>
          </cell>
          <cell r="F116">
            <v>4435.2180000000008</v>
          </cell>
          <cell r="G116">
            <v>136.16119260000002</v>
          </cell>
          <cell r="H116">
            <v>17.048914667999998</v>
          </cell>
          <cell r="I116">
            <v>153.21010726800003</v>
          </cell>
        </row>
        <row r="117">
          <cell r="A117" t="str">
            <v>P0401066</v>
          </cell>
          <cell r="B117" t="str">
            <v>Material</v>
          </cell>
          <cell r="C117" t="str">
            <v>Acero G-60, Long. Variable</v>
          </cell>
          <cell r="D117">
            <v>2.9899999999999999E-2</v>
          </cell>
          <cell r="E117" t="str">
            <v>qq</v>
          </cell>
          <cell r="F117">
            <v>2285</v>
          </cell>
          <cell r="G117">
            <v>68.3215</v>
          </cell>
          <cell r="H117">
            <v>12.29787</v>
          </cell>
          <cell r="I117">
            <v>80.619370000000004</v>
          </cell>
        </row>
        <row r="118">
          <cell r="A118" t="str">
            <v>P0418006</v>
          </cell>
          <cell r="B118" t="str">
            <v>Material</v>
          </cell>
          <cell r="C118" t="str">
            <v>Alambre galvanizado liso #18</v>
          </cell>
          <cell r="D118">
            <v>5.9799999999999999E-2</v>
          </cell>
          <cell r="E118" t="str">
            <v>lb</v>
          </cell>
          <cell r="F118">
            <v>42.28</v>
          </cell>
          <cell r="G118">
            <v>2.5283440000000001</v>
          </cell>
          <cell r="H118">
            <v>0.45510191999999999</v>
          </cell>
          <cell r="I118">
            <v>2.9834459200000003</v>
          </cell>
        </row>
        <row r="119">
          <cell r="A119" t="str">
            <v>H0320201</v>
          </cell>
          <cell r="B119" t="str">
            <v>Mano de obra</v>
          </cell>
          <cell r="C119" t="str">
            <v>M.O. Alb. Colocación Bloques de 6" (Inc. Llenado y Acero)</v>
          </cell>
          <cell r="D119">
            <v>13</v>
          </cell>
          <cell r="E119" t="str">
            <v>u</v>
          </cell>
          <cell r="F119">
            <v>15.7</v>
          </cell>
          <cell r="G119">
            <v>204.1</v>
          </cell>
          <cell r="H119">
            <v>0</v>
          </cell>
          <cell r="I119">
            <v>204.1</v>
          </cell>
        </row>
        <row r="120">
          <cell r="A120" t="str">
            <v>H%FH</v>
          </cell>
          <cell r="B120" t="str">
            <v>Otros</v>
          </cell>
          <cell r="C120" t="str">
            <v>Factor Herramientas</v>
          </cell>
          <cell r="D120">
            <v>1</v>
          </cell>
          <cell r="E120" t="str">
            <v>%</v>
          </cell>
          <cell r="F120">
            <v>204.1</v>
          </cell>
          <cell r="G120">
            <v>2.0409999999999999</v>
          </cell>
          <cell r="H120">
            <v>0</v>
          </cell>
          <cell r="I120">
            <v>2.0409999999999999</v>
          </cell>
        </row>
        <row r="121">
          <cell r="A121">
            <v>0</v>
          </cell>
          <cell r="B121">
            <v>0</v>
          </cell>
          <cell r="C121" t="str">
            <v>Total 01.04.03</v>
          </cell>
          <cell r="D121">
            <v>1</v>
          </cell>
          <cell r="E121">
            <v>0</v>
          </cell>
          <cell r="F121">
            <v>0</v>
          </cell>
          <cell r="G121">
            <v>845.94082060000005</v>
          </cell>
          <cell r="H121">
            <v>107.70386770799999</v>
          </cell>
          <cell r="I121">
            <v>953.64468830800013</v>
          </cell>
        </row>
        <row r="122">
          <cell r="A122">
            <v>0</v>
          </cell>
          <cell r="B122">
            <v>0</v>
          </cell>
          <cell r="C122">
            <v>0</v>
          </cell>
          <cell r="D122">
            <v>0</v>
          </cell>
          <cell r="E122">
            <v>0</v>
          </cell>
          <cell r="F122">
            <v>0</v>
          </cell>
          <cell r="G122">
            <v>0</v>
          </cell>
          <cell r="H122">
            <v>0</v>
          </cell>
          <cell r="I122">
            <v>0</v>
          </cell>
        </row>
        <row r="123">
          <cell r="A123" t="str">
            <v>01.04.04</v>
          </cell>
          <cell r="B123" t="str">
            <v>Partida</v>
          </cell>
          <cell r="C123" t="str">
            <v>Bloques de 6" BNP Ø 3/8 @ 0.60 con serpentina cada 3 líneas</v>
          </cell>
          <cell r="D123">
            <v>1</v>
          </cell>
          <cell r="E123" t="str">
            <v>m²</v>
          </cell>
          <cell r="F123">
            <v>0</v>
          </cell>
          <cell r="G123">
            <v>916.79066460000013</v>
          </cell>
          <cell r="H123">
            <v>120.45683962799997</v>
          </cell>
          <cell r="I123">
            <v>1037.247504228</v>
          </cell>
        </row>
        <row r="124">
          <cell r="A124" t="str">
            <v>P1805011</v>
          </cell>
          <cell r="B124" t="str">
            <v>Material</v>
          </cell>
          <cell r="C124" t="str">
            <v>Bloque de hormigón de 6"</v>
          </cell>
          <cell r="D124">
            <v>13.125</v>
          </cell>
          <cell r="E124" t="str">
            <v>u</v>
          </cell>
          <cell r="F124">
            <v>23.52</v>
          </cell>
          <cell r="G124">
            <v>308.7</v>
          </cell>
          <cell r="H124">
            <v>55.565999999999995</v>
          </cell>
          <cell r="I124">
            <v>364.26599999999996</v>
          </cell>
        </row>
        <row r="125">
          <cell r="A125" t="str">
            <v>P0201008</v>
          </cell>
          <cell r="B125" t="str">
            <v>Material</v>
          </cell>
          <cell r="C125" t="str">
            <v>Arena Itabo Lavada</v>
          </cell>
          <cell r="D125">
            <v>3.49E-2</v>
          </cell>
          <cell r="E125" t="str">
            <v>m³</v>
          </cell>
          <cell r="F125">
            <v>930.76</v>
          </cell>
          <cell r="G125">
            <v>32.483524000000003</v>
          </cell>
          <cell r="H125">
            <v>5.8470343200000006</v>
          </cell>
          <cell r="I125">
            <v>38.330558320000002</v>
          </cell>
        </row>
        <row r="126">
          <cell r="A126" t="str">
            <v>P0601003</v>
          </cell>
          <cell r="B126" t="str">
            <v>Material</v>
          </cell>
          <cell r="C126" t="str">
            <v>Cemento Gris 94 lbs. Tipo Portland</v>
          </cell>
          <cell r="D126">
            <v>0.30049999999999999</v>
          </cell>
          <cell r="E126" t="str">
            <v>fd</v>
          </cell>
          <cell r="F126">
            <v>295</v>
          </cell>
          <cell r="G126">
            <v>88.647499999999994</v>
          </cell>
          <cell r="H126">
            <v>15.956549999999998</v>
          </cell>
          <cell r="I126">
            <v>104.60404999999999</v>
          </cell>
        </row>
        <row r="127">
          <cell r="A127" t="str">
            <v>P2403199</v>
          </cell>
          <cell r="B127" t="str">
            <v>Material</v>
          </cell>
          <cell r="C127" t="str">
            <v>Agua</v>
          </cell>
          <cell r="D127">
            <v>1.8720000000000001</v>
          </cell>
          <cell r="E127" t="str">
            <v>gl</v>
          </cell>
          <cell r="F127">
            <v>1.58</v>
          </cell>
          <cell r="G127">
            <v>2.9577600000000004</v>
          </cell>
          <cell r="H127">
            <v>0.5323968</v>
          </cell>
          <cell r="I127">
            <v>3.4901568000000003</v>
          </cell>
        </row>
        <row r="128">
          <cell r="A128" t="str">
            <v>P0109018</v>
          </cell>
          <cell r="B128" t="str">
            <v>Auxiliar</v>
          </cell>
          <cell r="C128" t="str">
            <v>Hormigón In Situ fc=120Kg/Cm²  Agreg 3/8@1/2</v>
          </cell>
          <cell r="D128">
            <v>3.0700000000000002E-2</v>
          </cell>
          <cell r="E128" t="str">
            <v>m³</v>
          </cell>
          <cell r="F128">
            <v>4435.2180000000008</v>
          </cell>
          <cell r="G128">
            <v>136.16119260000002</v>
          </cell>
          <cell r="H128">
            <v>17.048914667999998</v>
          </cell>
          <cell r="I128">
            <v>153.21010726800003</v>
          </cell>
        </row>
        <row r="129">
          <cell r="A129" t="str">
            <v>P0401066</v>
          </cell>
          <cell r="B129" t="str">
            <v>Material</v>
          </cell>
          <cell r="C129" t="str">
            <v>Acero G-60, Long. Variable</v>
          </cell>
          <cell r="D129">
            <v>5.9799999999999999E-2</v>
          </cell>
          <cell r="E129" t="str">
            <v>qq</v>
          </cell>
          <cell r="F129">
            <v>2285</v>
          </cell>
          <cell r="G129">
            <v>136.643</v>
          </cell>
          <cell r="H129">
            <v>24.595739999999999</v>
          </cell>
          <cell r="I129">
            <v>161.23874000000001</v>
          </cell>
        </row>
        <row r="130">
          <cell r="A130" t="str">
            <v>P0418006</v>
          </cell>
          <cell r="B130" t="str">
            <v>Material</v>
          </cell>
          <cell r="C130" t="str">
            <v>Alambre galvanizado liso #18</v>
          </cell>
          <cell r="D130">
            <v>0.1196</v>
          </cell>
          <cell r="E130" t="str">
            <v>lb</v>
          </cell>
          <cell r="F130">
            <v>42.28</v>
          </cell>
          <cell r="G130">
            <v>5.0566880000000003</v>
          </cell>
          <cell r="H130">
            <v>0.91020383999999999</v>
          </cell>
          <cell r="I130">
            <v>5.9668918400000006</v>
          </cell>
        </row>
        <row r="131">
          <cell r="A131" t="str">
            <v>H0320201</v>
          </cell>
          <cell r="B131" t="str">
            <v>Mano de obra</v>
          </cell>
          <cell r="C131" t="str">
            <v>M.O. Alb. Colocación Bloques de 6" (Inc. Llenado y Acero)</v>
          </cell>
          <cell r="D131">
            <v>13</v>
          </cell>
          <cell r="E131" t="str">
            <v>u</v>
          </cell>
          <cell r="F131">
            <v>15.7</v>
          </cell>
          <cell r="G131">
            <v>204.1</v>
          </cell>
          <cell r="H131">
            <v>0</v>
          </cell>
          <cell r="I131">
            <v>204.1</v>
          </cell>
        </row>
        <row r="132">
          <cell r="A132" t="str">
            <v>H%FH</v>
          </cell>
          <cell r="B132" t="str">
            <v>Otros</v>
          </cell>
          <cell r="C132" t="str">
            <v>Factor Herramientas</v>
          </cell>
          <cell r="D132">
            <v>1</v>
          </cell>
          <cell r="E132" t="str">
            <v>%</v>
          </cell>
          <cell r="F132">
            <v>204.1</v>
          </cell>
          <cell r="G132">
            <v>2.0409999999999999</v>
          </cell>
          <cell r="H132">
            <v>0</v>
          </cell>
          <cell r="I132">
            <v>2.0409999999999999</v>
          </cell>
        </row>
        <row r="133">
          <cell r="A133">
            <v>0</v>
          </cell>
          <cell r="B133">
            <v>0</v>
          </cell>
          <cell r="C133" t="str">
            <v>Total 01.04.04</v>
          </cell>
          <cell r="D133">
            <v>1</v>
          </cell>
          <cell r="E133">
            <v>0</v>
          </cell>
          <cell r="F133">
            <v>0</v>
          </cell>
          <cell r="G133">
            <v>916.79066460000013</v>
          </cell>
          <cell r="H133">
            <v>120.45683962799997</v>
          </cell>
          <cell r="I133">
            <v>1037.247504228</v>
          </cell>
        </row>
        <row r="134">
          <cell r="A134">
            <v>0</v>
          </cell>
          <cell r="B134">
            <v>0</v>
          </cell>
          <cell r="C134">
            <v>0</v>
          </cell>
          <cell r="D134">
            <v>0</v>
          </cell>
          <cell r="E134">
            <v>0</v>
          </cell>
          <cell r="F134">
            <v>0</v>
          </cell>
          <cell r="G134">
            <v>0</v>
          </cell>
          <cell r="H134">
            <v>0</v>
          </cell>
          <cell r="I134">
            <v>0</v>
          </cell>
        </row>
        <row r="135">
          <cell r="A135" t="str">
            <v>01.04.05</v>
          </cell>
          <cell r="B135" t="str">
            <v>Partida</v>
          </cell>
          <cell r="C135" t="str">
            <v>Bloques de 6" BNP Ø 3/8@ 0.60, todas las cámaras llenas</v>
          </cell>
          <cell r="D135">
            <v>1</v>
          </cell>
          <cell r="E135" t="str">
            <v>m²</v>
          </cell>
          <cell r="F135">
            <v>0</v>
          </cell>
          <cell r="G135">
            <v>1117.8196839999998</v>
          </cell>
          <cell r="H135">
            <v>141.74616311999998</v>
          </cell>
          <cell r="I135">
            <v>1259.5658471199999</v>
          </cell>
        </row>
        <row r="136">
          <cell r="A136" t="str">
            <v>P1805011</v>
          </cell>
          <cell r="B136" t="str">
            <v>Material</v>
          </cell>
          <cell r="C136" t="str">
            <v>Bloque de hormigón de 6"</v>
          </cell>
          <cell r="D136">
            <v>13.125</v>
          </cell>
          <cell r="E136" t="str">
            <v>u</v>
          </cell>
          <cell r="F136">
            <v>23.52</v>
          </cell>
          <cell r="G136">
            <v>308.7</v>
          </cell>
          <cell r="H136">
            <v>55.565999999999995</v>
          </cell>
          <cell r="I136">
            <v>364.26599999999996</v>
          </cell>
        </row>
        <row r="137">
          <cell r="A137" t="str">
            <v>P0201008</v>
          </cell>
          <cell r="B137" t="str">
            <v>Material</v>
          </cell>
          <cell r="C137" t="str">
            <v>Arena Itabo Lavada</v>
          </cell>
          <cell r="D137">
            <v>3.49E-2</v>
          </cell>
          <cell r="E137" t="str">
            <v>m³</v>
          </cell>
          <cell r="F137">
            <v>930.76</v>
          </cell>
          <cell r="G137">
            <v>32.483524000000003</v>
          </cell>
          <cell r="H137">
            <v>5.8470343200000006</v>
          </cell>
          <cell r="I137">
            <v>38.330558320000002</v>
          </cell>
        </row>
        <row r="138">
          <cell r="A138" t="str">
            <v>P0601003</v>
          </cell>
          <cell r="B138" t="str">
            <v>Material</v>
          </cell>
          <cell r="C138" t="str">
            <v>Cemento Gris 94 lbs. Tipo Portland</v>
          </cell>
          <cell r="D138">
            <v>0.30049999999999999</v>
          </cell>
          <cell r="E138" t="str">
            <v>fd</v>
          </cell>
          <cell r="F138">
            <v>295</v>
          </cell>
          <cell r="G138">
            <v>88.647499999999994</v>
          </cell>
          <cell r="H138">
            <v>15.956549999999998</v>
          </cell>
          <cell r="I138">
            <v>104.60404999999999</v>
          </cell>
        </row>
        <row r="139">
          <cell r="A139" t="str">
            <v>P2403199</v>
          </cell>
          <cell r="B139" t="str">
            <v>Material</v>
          </cell>
          <cell r="C139" t="str">
            <v>Agua</v>
          </cell>
          <cell r="D139">
            <v>1.8720000000000001</v>
          </cell>
          <cell r="E139" t="str">
            <v>gl</v>
          </cell>
          <cell r="F139">
            <v>1.58</v>
          </cell>
          <cell r="G139">
            <v>2.9577600000000004</v>
          </cell>
          <cell r="H139">
            <v>0.5323968</v>
          </cell>
          <cell r="I139">
            <v>3.4901568000000003</v>
          </cell>
        </row>
        <row r="140">
          <cell r="A140" t="str">
            <v>P0109018</v>
          </cell>
          <cell r="B140" t="str">
            <v>Auxiliar</v>
          </cell>
          <cell r="C140" t="str">
            <v>Hormigón In Situ fc=120Kg/Cm²  Agreg 3/8@1/2</v>
          </cell>
          <cell r="D140">
            <v>9.1999999999999998E-2</v>
          </cell>
          <cell r="E140" t="str">
            <v>m³</v>
          </cell>
          <cell r="F140">
            <v>4435.2180000000008</v>
          </cell>
          <cell r="G140">
            <v>408.04005600000005</v>
          </cell>
          <cell r="H140">
            <v>51.091210079999989</v>
          </cell>
          <cell r="I140">
            <v>459.13126608000005</v>
          </cell>
        </row>
        <row r="141">
          <cell r="A141" t="str">
            <v>P0401066</v>
          </cell>
          <cell r="B141" t="str">
            <v>Material</v>
          </cell>
          <cell r="C141" t="str">
            <v>Acero G-60, Long. Variable</v>
          </cell>
          <cell r="D141">
            <v>2.9899999999999999E-2</v>
          </cell>
          <cell r="E141" t="str">
            <v>qq</v>
          </cell>
          <cell r="F141">
            <v>2285</v>
          </cell>
          <cell r="G141">
            <v>68.3215</v>
          </cell>
          <cell r="H141">
            <v>12.29787</v>
          </cell>
          <cell r="I141">
            <v>80.619370000000004</v>
          </cell>
        </row>
        <row r="142">
          <cell r="A142" t="str">
            <v>P0418006</v>
          </cell>
          <cell r="B142" t="str">
            <v>Material</v>
          </cell>
          <cell r="C142" t="str">
            <v>Alambre galvanizado liso #18</v>
          </cell>
          <cell r="D142">
            <v>5.9799999999999999E-2</v>
          </cell>
          <cell r="E142" t="str">
            <v>lb</v>
          </cell>
          <cell r="F142">
            <v>42.28</v>
          </cell>
          <cell r="G142">
            <v>2.5283440000000001</v>
          </cell>
          <cell r="H142">
            <v>0.45510191999999999</v>
          </cell>
          <cell r="I142">
            <v>2.9834459200000003</v>
          </cell>
        </row>
        <row r="143">
          <cell r="A143" t="str">
            <v>H0320201</v>
          </cell>
          <cell r="B143" t="str">
            <v>Mano de obra</v>
          </cell>
          <cell r="C143" t="str">
            <v>M.O. Alb. Colocación Bloques de 6" (Inc. Llenado y Acero)</v>
          </cell>
          <cell r="D143">
            <v>13</v>
          </cell>
          <cell r="E143" t="str">
            <v>u</v>
          </cell>
          <cell r="F143">
            <v>15.7</v>
          </cell>
          <cell r="G143">
            <v>204.1</v>
          </cell>
          <cell r="H143">
            <v>0</v>
          </cell>
          <cell r="I143">
            <v>204.1</v>
          </cell>
        </row>
        <row r="144">
          <cell r="A144" t="str">
            <v>H%FH</v>
          </cell>
          <cell r="B144" t="str">
            <v>Otros</v>
          </cell>
          <cell r="C144" t="str">
            <v>Factor Herramientas</v>
          </cell>
          <cell r="D144">
            <v>1</v>
          </cell>
          <cell r="E144" t="str">
            <v>%</v>
          </cell>
          <cell r="F144">
            <v>204.1</v>
          </cell>
          <cell r="G144">
            <v>2.0409999999999999</v>
          </cell>
          <cell r="H144">
            <v>0</v>
          </cell>
          <cell r="I144">
            <v>2.0409999999999999</v>
          </cell>
        </row>
        <row r="145">
          <cell r="A145">
            <v>0</v>
          </cell>
          <cell r="B145">
            <v>0</v>
          </cell>
          <cell r="C145" t="str">
            <v>Total 01.04.05</v>
          </cell>
          <cell r="D145">
            <v>1</v>
          </cell>
          <cell r="E145">
            <v>0</v>
          </cell>
          <cell r="F145">
            <v>0</v>
          </cell>
          <cell r="G145">
            <v>1117.8196839999998</v>
          </cell>
          <cell r="H145">
            <v>141.74616311999998</v>
          </cell>
          <cell r="I145">
            <v>1259.5658471199999</v>
          </cell>
        </row>
        <row r="146">
          <cell r="A146">
            <v>0</v>
          </cell>
          <cell r="B146">
            <v>0</v>
          </cell>
          <cell r="C146">
            <v>0</v>
          </cell>
          <cell r="D146">
            <v>0</v>
          </cell>
          <cell r="E146">
            <v>0</v>
          </cell>
          <cell r="F146">
            <v>0</v>
          </cell>
          <cell r="G146">
            <v>0</v>
          </cell>
          <cell r="H146">
            <v>0</v>
          </cell>
          <cell r="I146">
            <v>0</v>
          </cell>
        </row>
        <row r="147">
          <cell r="A147" t="str">
            <v>01.04.06</v>
          </cell>
          <cell r="B147" t="str">
            <v>Partida</v>
          </cell>
          <cell r="C147" t="str">
            <v>Bloques de 6" Ø3/8 @ 0.40 BNP y cámaras llenas</v>
          </cell>
          <cell r="D147">
            <v>1</v>
          </cell>
          <cell r="E147" t="str">
            <v>m²</v>
          </cell>
          <cell r="F147">
            <v>0</v>
          </cell>
          <cell r="G147">
            <v>1192.9063039499999</v>
          </cell>
          <cell r="H147">
            <v>148.14397511999996</v>
          </cell>
          <cell r="I147">
            <v>1341.05027907</v>
          </cell>
        </row>
        <row r="148">
          <cell r="A148" t="str">
            <v>P1805011</v>
          </cell>
          <cell r="B148" t="str">
            <v>Material</v>
          </cell>
          <cell r="C148" t="str">
            <v>Bloque de hormigón de 6"</v>
          </cell>
          <cell r="D148">
            <v>13.125</v>
          </cell>
          <cell r="E148" t="str">
            <v>u</v>
          </cell>
          <cell r="F148">
            <v>23.52</v>
          </cell>
          <cell r="G148">
            <v>308.7</v>
          </cell>
          <cell r="H148">
            <v>55.565999999999995</v>
          </cell>
          <cell r="I148">
            <v>364.26599999999996</v>
          </cell>
        </row>
        <row r="149">
          <cell r="A149" t="str">
            <v>P0201008</v>
          </cell>
          <cell r="B149" t="str">
            <v>Material</v>
          </cell>
          <cell r="C149" t="str">
            <v>Arena Itabo Lavada</v>
          </cell>
          <cell r="D149">
            <v>3.49E-2</v>
          </cell>
          <cell r="E149" t="str">
            <v>m³</v>
          </cell>
          <cell r="F149">
            <v>930.76</v>
          </cell>
          <cell r="G149">
            <v>32.483524000000003</v>
          </cell>
          <cell r="H149">
            <v>5.8470343200000006</v>
          </cell>
          <cell r="I149">
            <v>38.330558320000002</v>
          </cell>
        </row>
        <row r="150">
          <cell r="A150" t="str">
            <v>P0601003</v>
          </cell>
          <cell r="B150" t="str">
            <v>Material</v>
          </cell>
          <cell r="C150" t="str">
            <v>Cemento Gris 94 lbs. Tipo Portland</v>
          </cell>
          <cell r="D150">
            <v>0.30049999999999999</v>
          </cell>
          <cell r="E150" t="str">
            <v>fd</v>
          </cell>
          <cell r="F150">
            <v>295</v>
          </cell>
          <cell r="G150">
            <v>88.647499999999994</v>
          </cell>
          <cell r="H150">
            <v>15.956549999999998</v>
          </cell>
          <cell r="I150">
            <v>104.60404999999999</v>
          </cell>
        </row>
        <row r="151">
          <cell r="A151" t="str">
            <v>P2403199</v>
          </cell>
          <cell r="B151" t="str">
            <v>Material</v>
          </cell>
          <cell r="C151" t="str">
            <v>Agua</v>
          </cell>
          <cell r="D151">
            <v>1.8720000000000001</v>
          </cell>
          <cell r="E151" t="str">
            <v>gl</v>
          </cell>
          <cell r="F151">
            <v>1.58</v>
          </cell>
          <cell r="G151">
            <v>2.9577600000000004</v>
          </cell>
          <cell r="H151">
            <v>0.5323968</v>
          </cell>
          <cell r="I151">
            <v>3.4901568000000003</v>
          </cell>
        </row>
        <row r="152">
          <cell r="A152" t="str">
            <v>P0109018</v>
          </cell>
          <cell r="B152" t="str">
            <v>Auxiliar</v>
          </cell>
          <cell r="C152" t="str">
            <v>Hormigón In Situ fc=120Kg/Cm²  Agreg 3/8@1/2</v>
          </cell>
          <cell r="D152">
            <v>9.1999999999999998E-2</v>
          </cell>
          <cell r="E152" t="str">
            <v>m³</v>
          </cell>
          <cell r="F152">
            <v>4435.2180000000008</v>
          </cell>
          <cell r="G152">
            <v>408.04005600000005</v>
          </cell>
          <cell r="H152">
            <v>51.091210079999989</v>
          </cell>
          <cell r="I152">
            <v>459.13126608000005</v>
          </cell>
        </row>
        <row r="153">
          <cell r="A153" t="str">
            <v>P0401066</v>
          </cell>
          <cell r="B153" t="str">
            <v>Material</v>
          </cell>
          <cell r="C153" t="str">
            <v>Acero G-60, Long. Variable</v>
          </cell>
          <cell r="D153">
            <v>4.4900000000000002E-2</v>
          </cell>
          <cell r="E153" t="str">
            <v>qq</v>
          </cell>
          <cell r="F153">
            <v>2285</v>
          </cell>
          <cell r="G153">
            <v>102.59650000000001</v>
          </cell>
          <cell r="H153">
            <v>18.467369999999999</v>
          </cell>
          <cell r="I153">
            <v>121.06387000000001</v>
          </cell>
        </row>
        <row r="154">
          <cell r="A154" t="str">
            <v>P0418006</v>
          </cell>
          <cell r="B154" t="str">
            <v>Material</v>
          </cell>
          <cell r="C154" t="str">
            <v>Alambre galvanizado liso #18</v>
          </cell>
          <cell r="D154">
            <v>8.9800000000000005E-2</v>
          </cell>
          <cell r="E154" t="str">
            <v>lb</v>
          </cell>
          <cell r="F154">
            <v>42.28</v>
          </cell>
          <cell r="G154">
            <v>3.7967440000000003</v>
          </cell>
          <cell r="H154">
            <v>0.68341392000000001</v>
          </cell>
          <cell r="I154">
            <v>4.4801579199999999</v>
          </cell>
        </row>
        <row r="155">
          <cell r="A155" t="str">
            <v>H0320201</v>
          </cell>
          <cell r="B155" t="str">
            <v>Mano de obra</v>
          </cell>
          <cell r="C155" t="str">
            <v>M.O. Alb. Colocación Bloques de 6" (Inc. Llenado y Acero)</v>
          </cell>
          <cell r="D155">
            <v>13</v>
          </cell>
          <cell r="E155" t="str">
            <v>u</v>
          </cell>
          <cell r="F155">
            <v>15.7</v>
          </cell>
          <cell r="G155">
            <v>204.1</v>
          </cell>
          <cell r="H155">
            <v>0</v>
          </cell>
          <cell r="I155">
            <v>204.1</v>
          </cell>
        </row>
        <row r="156">
          <cell r="A156" t="str">
            <v>H0325001</v>
          </cell>
          <cell r="B156" t="str">
            <v>Auxiliar</v>
          </cell>
          <cell r="C156" t="str">
            <v>M.O. Resanes de Albañilería p/ Instalaciones</v>
          </cell>
          <cell r="D156">
            <v>1</v>
          </cell>
          <cell r="E156" t="str">
            <v>m²</v>
          </cell>
          <cell r="F156">
            <v>41.172494999999998</v>
          </cell>
          <cell r="G156">
            <v>41.172494999999998</v>
          </cell>
          <cell r="H156">
            <v>0</v>
          </cell>
          <cell r="I156">
            <v>41.172494999999998</v>
          </cell>
        </row>
        <row r="157">
          <cell r="A157" t="str">
            <v>H%FH</v>
          </cell>
          <cell r="B157" t="str">
            <v>Otros</v>
          </cell>
          <cell r="C157" t="str">
            <v>Factor Herramientas</v>
          </cell>
          <cell r="D157">
            <v>1</v>
          </cell>
          <cell r="E157" t="str">
            <v>%</v>
          </cell>
          <cell r="F157">
            <v>41.172494999999998</v>
          </cell>
          <cell r="G157">
            <v>0.41172494999999998</v>
          </cell>
          <cell r="H157">
            <v>0</v>
          </cell>
          <cell r="I157">
            <v>0.41172494999999998</v>
          </cell>
        </row>
        <row r="158">
          <cell r="A158">
            <v>0</v>
          </cell>
          <cell r="B158">
            <v>0</v>
          </cell>
          <cell r="C158" t="str">
            <v>Total 01.04.06</v>
          </cell>
          <cell r="D158">
            <v>1</v>
          </cell>
          <cell r="E158">
            <v>0</v>
          </cell>
          <cell r="F158">
            <v>0</v>
          </cell>
          <cell r="G158">
            <v>1192.9063039499999</v>
          </cell>
          <cell r="H158">
            <v>148.14397511999996</v>
          </cell>
          <cell r="I158">
            <v>1341.05027907</v>
          </cell>
        </row>
        <row r="159">
          <cell r="A159">
            <v>0</v>
          </cell>
          <cell r="B159">
            <v>0</v>
          </cell>
          <cell r="C159">
            <v>0</v>
          </cell>
          <cell r="D159">
            <v>0</v>
          </cell>
          <cell r="E159">
            <v>0</v>
          </cell>
          <cell r="F159">
            <v>0</v>
          </cell>
          <cell r="G159">
            <v>0</v>
          </cell>
          <cell r="H159">
            <v>0</v>
          </cell>
          <cell r="I159">
            <v>0</v>
          </cell>
        </row>
        <row r="160">
          <cell r="A160" t="str">
            <v>01.04.07</v>
          </cell>
          <cell r="B160" t="str">
            <v>Partida</v>
          </cell>
          <cell r="C160" t="str">
            <v>Bloques de 6" SNP Ø 3/8 @ 0.80</v>
          </cell>
          <cell r="D160">
            <v>1</v>
          </cell>
          <cell r="E160" t="str">
            <v>m²</v>
          </cell>
          <cell r="F160">
            <v>0</v>
          </cell>
          <cell r="G160">
            <v>833.56116195000004</v>
          </cell>
          <cell r="H160">
            <v>100.22884955999999</v>
          </cell>
          <cell r="I160">
            <v>933.79001151</v>
          </cell>
        </row>
        <row r="161">
          <cell r="A161" t="str">
            <v>P1805011</v>
          </cell>
          <cell r="B161" t="str">
            <v>Material</v>
          </cell>
          <cell r="C161" t="str">
            <v>Bloque de hormigón de 6"</v>
          </cell>
          <cell r="D161">
            <v>13.125</v>
          </cell>
          <cell r="E161" t="str">
            <v>u</v>
          </cell>
          <cell r="F161">
            <v>23.52</v>
          </cell>
          <cell r="G161">
            <v>308.7</v>
          </cell>
          <cell r="H161">
            <v>55.565999999999995</v>
          </cell>
          <cell r="I161">
            <v>364.26599999999996</v>
          </cell>
        </row>
        <row r="162">
          <cell r="A162" t="str">
            <v>P0201008</v>
          </cell>
          <cell r="B162" t="str">
            <v>Material</v>
          </cell>
          <cell r="C162" t="str">
            <v>Arena Itabo Lavada</v>
          </cell>
          <cell r="D162">
            <v>3.49E-2</v>
          </cell>
          <cell r="E162" t="str">
            <v>m³</v>
          </cell>
          <cell r="F162">
            <v>930.76</v>
          </cell>
          <cell r="G162">
            <v>32.483524000000003</v>
          </cell>
          <cell r="H162">
            <v>5.8470343200000006</v>
          </cell>
          <cell r="I162">
            <v>38.330558320000002</v>
          </cell>
        </row>
        <row r="163">
          <cell r="A163" t="str">
            <v>P0601003</v>
          </cell>
          <cell r="B163" t="str">
            <v>Material</v>
          </cell>
          <cell r="C163" t="str">
            <v>Cemento Gris 94 lbs. Tipo Portland</v>
          </cell>
          <cell r="D163">
            <v>0.30049999999999999</v>
          </cell>
          <cell r="E163" t="str">
            <v>fd</v>
          </cell>
          <cell r="F163">
            <v>295</v>
          </cell>
          <cell r="G163">
            <v>88.647499999999994</v>
          </cell>
          <cell r="H163">
            <v>15.956549999999998</v>
          </cell>
          <cell r="I163">
            <v>104.60404999999999</v>
          </cell>
        </row>
        <row r="164">
          <cell r="A164" t="str">
            <v>P2403199</v>
          </cell>
          <cell r="B164" t="str">
            <v>Material</v>
          </cell>
          <cell r="C164" t="str">
            <v>Agua</v>
          </cell>
          <cell r="D164">
            <v>1.8720000000000001</v>
          </cell>
          <cell r="E164" t="str">
            <v>gl</v>
          </cell>
          <cell r="F164">
            <v>1.58</v>
          </cell>
          <cell r="G164">
            <v>2.9577600000000004</v>
          </cell>
          <cell r="H164">
            <v>0.5323968</v>
          </cell>
          <cell r="I164">
            <v>3.4901568000000003</v>
          </cell>
        </row>
        <row r="165">
          <cell r="A165" t="str">
            <v>P0109018</v>
          </cell>
          <cell r="B165" t="str">
            <v>Auxiliar</v>
          </cell>
          <cell r="C165" t="str">
            <v>Hormigón In Situ fc=120Kg/Cm²  Agreg 3/8@1/2</v>
          </cell>
          <cell r="D165">
            <v>2.3E-2</v>
          </cell>
          <cell r="E165" t="str">
            <v>m³</v>
          </cell>
          <cell r="F165">
            <v>4435.2180000000008</v>
          </cell>
          <cell r="G165">
            <v>102.01001400000001</v>
          </cell>
          <cell r="H165">
            <v>12.772802519999997</v>
          </cell>
          <cell r="I165">
            <v>114.78281652000001</v>
          </cell>
        </row>
        <row r="166">
          <cell r="A166" t="str">
            <v>P0401066</v>
          </cell>
          <cell r="B166" t="str">
            <v>Material</v>
          </cell>
          <cell r="C166" t="str">
            <v>Acero G-60, Long. Variable</v>
          </cell>
          <cell r="D166">
            <v>2.24E-2</v>
          </cell>
          <cell r="E166" t="str">
            <v>qq</v>
          </cell>
          <cell r="F166">
            <v>2285</v>
          </cell>
          <cell r="G166">
            <v>51.183999999999997</v>
          </cell>
          <cell r="H166">
            <v>9.21312</v>
          </cell>
          <cell r="I166">
            <v>60.397120000000001</v>
          </cell>
        </row>
        <row r="167">
          <cell r="A167" t="str">
            <v>P0418006</v>
          </cell>
          <cell r="B167" t="str">
            <v>Material</v>
          </cell>
          <cell r="C167" t="str">
            <v>Alambre galvanizado liso #18</v>
          </cell>
          <cell r="D167">
            <v>4.48E-2</v>
          </cell>
          <cell r="E167" t="str">
            <v>lb</v>
          </cell>
          <cell r="F167">
            <v>42.28</v>
          </cell>
          <cell r="G167">
            <v>1.894144</v>
          </cell>
          <cell r="H167">
            <v>0.34094592000000001</v>
          </cell>
          <cell r="I167">
            <v>2.2350899200000001</v>
          </cell>
        </row>
        <row r="168">
          <cell r="A168" t="str">
            <v>H0320201</v>
          </cell>
          <cell r="B168" t="str">
            <v>Mano de obra</v>
          </cell>
          <cell r="C168" t="str">
            <v>M.O. Alb. Colocación Bloques de 6" (Inc. Llenado y Acero)</v>
          </cell>
          <cell r="D168">
            <v>13</v>
          </cell>
          <cell r="E168" t="str">
            <v>u</v>
          </cell>
          <cell r="F168">
            <v>15.7</v>
          </cell>
          <cell r="G168">
            <v>204.1</v>
          </cell>
          <cell r="H168">
            <v>0</v>
          </cell>
          <cell r="I168">
            <v>204.1</v>
          </cell>
        </row>
        <row r="169">
          <cell r="A169" t="str">
            <v>H0325001</v>
          </cell>
          <cell r="B169" t="str">
            <v>Auxiliar</v>
          </cell>
          <cell r="C169" t="str">
            <v>M.O. Resanes de Albañilería p/ Instalaciones</v>
          </cell>
          <cell r="D169">
            <v>1</v>
          </cell>
          <cell r="E169" t="str">
            <v>m²</v>
          </cell>
          <cell r="F169">
            <v>41.172494999999998</v>
          </cell>
          <cell r="G169">
            <v>41.172494999999998</v>
          </cell>
          <cell r="H169">
            <v>0</v>
          </cell>
          <cell r="I169">
            <v>41.172494999999998</v>
          </cell>
        </row>
        <row r="170">
          <cell r="A170" t="str">
            <v>H%FH</v>
          </cell>
          <cell r="B170" t="str">
            <v>Otros</v>
          </cell>
          <cell r="C170" t="str">
            <v>Factor Herramientas</v>
          </cell>
          <cell r="D170">
            <v>1</v>
          </cell>
          <cell r="E170" t="str">
            <v>%</v>
          </cell>
          <cell r="F170">
            <v>41.172494999999998</v>
          </cell>
          <cell r="G170">
            <v>0.41172494999999998</v>
          </cell>
          <cell r="H170">
            <v>0</v>
          </cell>
          <cell r="I170">
            <v>0.41172494999999998</v>
          </cell>
        </row>
        <row r="171">
          <cell r="A171">
            <v>0</v>
          </cell>
          <cell r="B171">
            <v>0</v>
          </cell>
          <cell r="C171" t="str">
            <v>Total 01.04.07</v>
          </cell>
          <cell r="D171">
            <v>1</v>
          </cell>
          <cell r="E171">
            <v>0</v>
          </cell>
          <cell r="F171">
            <v>0</v>
          </cell>
          <cell r="G171">
            <v>833.56116195000004</v>
          </cell>
          <cell r="H171">
            <v>100.22884955999999</v>
          </cell>
          <cell r="I171">
            <v>933.79001151</v>
          </cell>
        </row>
        <row r="172">
          <cell r="A172">
            <v>0</v>
          </cell>
          <cell r="B172">
            <v>0</v>
          </cell>
          <cell r="C172">
            <v>0</v>
          </cell>
          <cell r="D172">
            <v>0</v>
          </cell>
          <cell r="E172">
            <v>0</v>
          </cell>
          <cell r="F172">
            <v>0</v>
          </cell>
          <cell r="G172">
            <v>0</v>
          </cell>
          <cell r="H172">
            <v>0</v>
          </cell>
          <cell r="I172">
            <v>0</v>
          </cell>
        </row>
        <row r="173">
          <cell r="A173" t="str">
            <v>01.04.08</v>
          </cell>
          <cell r="B173" t="str">
            <v>Partida</v>
          </cell>
          <cell r="C173" t="str">
            <v>Bloques de 6" SNP Ø 3/8@ 0.20</v>
          </cell>
          <cell r="D173">
            <v>1</v>
          </cell>
          <cell r="E173" t="str">
            <v>m²</v>
          </cell>
          <cell r="F173">
            <v>0</v>
          </cell>
          <cell r="G173">
            <v>1299.0625919499998</v>
          </cell>
          <cell r="H173">
            <v>167.25210695999999</v>
          </cell>
          <cell r="I173">
            <v>1466.3146989099998</v>
          </cell>
        </row>
        <row r="174">
          <cell r="A174" t="str">
            <v>P1805011</v>
          </cell>
          <cell r="B174" t="str">
            <v>Material</v>
          </cell>
          <cell r="C174" t="str">
            <v>Bloque de hormigón de 6"</v>
          </cell>
          <cell r="D174">
            <v>13.125</v>
          </cell>
          <cell r="E174" t="str">
            <v>u</v>
          </cell>
          <cell r="F174">
            <v>23.52</v>
          </cell>
          <cell r="G174">
            <v>308.7</v>
          </cell>
          <cell r="H174">
            <v>55.565999999999995</v>
          </cell>
          <cell r="I174">
            <v>364.26599999999996</v>
          </cell>
        </row>
        <row r="175">
          <cell r="A175" t="str">
            <v>P0201008</v>
          </cell>
          <cell r="B175" t="str">
            <v>Material</v>
          </cell>
          <cell r="C175" t="str">
            <v>Arena Itabo Lavada</v>
          </cell>
          <cell r="D175">
            <v>3.49E-2</v>
          </cell>
          <cell r="E175" t="str">
            <v>m³</v>
          </cell>
          <cell r="F175">
            <v>930.76</v>
          </cell>
          <cell r="G175">
            <v>32.483524000000003</v>
          </cell>
          <cell r="H175">
            <v>5.8470343200000006</v>
          </cell>
          <cell r="I175">
            <v>38.330558320000002</v>
          </cell>
        </row>
        <row r="176">
          <cell r="A176" t="str">
            <v>P0601003</v>
          </cell>
          <cell r="B176" t="str">
            <v>Material</v>
          </cell>
          <cell r="C176" t="str">
            <v>Cemento Gris 94 lbs. Tipo Portland</v>
          </cell>
          <cell r="D176">
            <v>0.30049999999999999</v>
          </cell>
          <cell r="E176" t="str">
            <v>fd</v>
          </cell>
          <cell r="F176">
            <v>295</v>
          </cell>
          <cell r="G176">
            <v>88.647499999999994</v>
          </cell>
          <cell r="H176">
            <v>15.956549999999998</v>
          </cell>
          <cell r="I176">
            <v>104.60404999999999</v>
          </cell>
        </row>
        <row r="177">
          <cell r="A177" t="str">
            <v>P2403199</v>
          </cell>
          <cell r="B177" t="str">
            <v>Material</v>
          </cell>
          <cell r="C177" t="str">
            <v>Agua</v>
          </cell>
          <cell r="D177">
            <v>1.8720000000000001</v>
          </cell>
          <cell r="E177" t="str">
            <v>gl</v>
          </cell>
          <cell r="F177">
            <v>1.58</v>
          </cell>
          <cell r="G177">
            <v>2.9577600000000004</v>
          </cell>
          <cell r="H177">
            <v>0.5323968</v>
          </cell>
          <cell r="I177">
            <v>3.4901568000000003</v>
          </cell>
        </row>
        <row r="178">
          <cell r="A178" t="str">
            <v>P0109018</v>
          </cell>
          <cell r="B178" t="str">
            <v>Auxiliar</v>
          </cell>
          <cell r="C178" t="str">
            <v>Hormigón In Situ fc=120Kg/Cm²  Agreg 3/8@1/2</v>
          </cell>
          <cell r="D178">
            <v>9.1999999999999998E-2</v>
          </cell>
          <cell r="E178" t="str">
            <v>m³</v>
          </cell>
          <cell r="F178">
            <v>4435.2180000000008</v>
          </cell>
          <cell r="G178">
            <v>408.04005600000005</v>
          </cell>
          <cell r="H178">
            <v>51.091210079999989</v>
          </cell>
          <cell r="I178">
            <v>459.13126608000005</v>
          </cell>
        </row>
        <row r="179">
          <cell r="A179" t="str">
            <v>P0401066</v>
          </cell>
          <cell r="B179" t="str">
            <v>Material</v>
          </cell>
          <cell r="C179" t="str">
            <v>Acero G-60, Long. Variable</v>
          </cell>
          <cell r="D179">
            <v>8.9700000000000002E-2</v>
          </cell>
          <cell r="E179" t="str">
            <v>qq</v>
          </cell>
          <cell r="F179">
            <v>2285</v>
          </cell>
          <cell r="G179">
            <v>204.96450000000002</v>
          </cell>
          <cell r="H179">
            <v>36.893610000000002</v>
          </cell>
          <cell r="I179">
            <v>241.85811000000001</v>
          </cell>
        </row>
        <row r="180">
          <cell r="A180" t="str">
            <v>P0418006</v>
          </cell>
          <cell r="B180" t="str">
            <v>Material</v>
          </cell>
          <cell r="C180" t="str">
            <v>Alambre galvanizado liso #18</v>
          </cell>
          <cell r="D180">
            <v>0.1794</v>
          </cell>
          <cell r="E180" t="str">
            <v>lb</v>
          </cell>
          <cell r="F180">
            <v>42.28</v>
          </cell>
          <cell r="G180">
            <v>7.585032</v>
          </cell>
          <cell r="H180">
            <v>1.36530576</v>
          </cell>
          <cell r="I180">
            <v>8.95033776</v>
          </cell>
        </row>
        <row r="181">
          <cell r="A181" t="str">
            <v>H0320201</v>
          </cell>
          <cell r="B181" t="str">
            <v>Mano de obra</v>
          </cell>
          <cell r="C181" t="str">
            <v>M.O. Alb. Colocación Bloques de 6" (Inc. Llenado y Acero)</v>
          </cell>
          <cell r="D181">
            <v>13</v>
          </cell>
          <cell r="E181" t="str">
            <v>u</v>
          </cell>
          <cell r="F181">
            <v>15.7</v>
          </cell>
          <cell r="G181">
            <v>204.1</v>
          </cell>
          <cell r="H181">
            <v>0</v>
          </cell>
          <cell r="I181">
            <v>204.1</v>
          </cell>
        </row>
        <row r="182">
          <cell r="A182" t="str">
            <v>H0325001</v>
          </cell>
          <cell r="B182" t="str">
            <v>Auxiliar</v>
          </cell>
          <cell r="C182" t="str">
            <v>M.O. Resanes de Albañilería p/ Instalaciones</v>
          </cell>
          <cell r="D182">
            <v>1</v>
          </cell>
          <cell r="E182" t="str">
            <v>m²</v>
          </cell>
          <cell r="F182">
            <v>41.172494999999998</v>
          </cell>
          <cell r="G182">
            <v>41.172494999999998</v>
          </cell>
          <cell r="H182">
            <v>0</v>
          </cell>
          <cell r="I182">
            <v>41.172494999999998</v>
          </cell>
        </row>
        <row r="183">
          <cell r="A183" t="str">
            <v>H%FH</v>
          </cell>
          <cell r="B183" t="str">
            <v>Otros</v>
          </cell>
          <cell r="C183" t="str">
            <v>Factor Herramientas</v>
          </cell>
          <cell r="D183">
            <v>1</v>
          </cell>
          <cell r="E183" t="str">
            <v>%</v>
          </cell>
          <cell r="F183">
            <v>41.172494999999998</v>
          </cell>
          <cell r="G183">
            <v>0.41172494999999998</v>
          </cell>
          <cell r="H183">
            <v>0</v>
          </cell>
          <cell r="I183">
            <v>0.41172494999999998</v>
          </cell>
        </row>
        <row r="184">
          <cell r="A184">
            <v>0</v>
          </cell>
          <cell r="B184">
            <v>0</v>
          </cell>
          <cell r="C184" t="str">
            <v>Total 01.04.08</v>
          </cell>
          <cell r="D184">
            <v>1</v>
          </cell>
          <cell r="E184">
            <v>0</v>
          </cell>
          <cell r="F184">
            <v>0</v>
          </cell>
          <cell r="G184">
            <v>1299.0625919499998</v>
          </cell>
          <cell r="H184">
            <v>167.25210695999999</v>
          </cell>
          <cell r="I184">
            <v>1466.3146989099998</v>
          </cell>
        </row>
        <row r="185">
          <cell r="A185">
            <v>0</v>
          </cell>
          <cell r="B185">
            <v>0</v>
          </cell>
          <cell r="C185">
            <v>0</v>
          </cell>
          <cell r="D185">
            <v>0</v>
          </cell>
          <cell r="E185">
            <v>0</v>
          </cell>
          <cell r="F185">
            <v>0</v>
          </cell>
          <cell r="G185">
            <v>0</v>
          </cell>
          <cell r="H185">
            <v>0</v>
          </cell>
          <cell r="I185">
            <v>0</v>
          </cell>
        </row>
        <row r="186">
          <cell r="A186" t="str">
            <v>01.04.09</v>
          </cell>
          <cell r="B186" t="str">
            <v>Partida</v>
          </cell>
          <cell r="C186" t="str">
            <v>Bloques de 6" SNP Ø 3/8@ 0.40</v>
          </cell>
          <cell r="D186">
            <v>1</v>
          </cell>
          <cell r="E186" t="str">
            <v>m²</v>
          </cell>
          <cell r="F186">
            <v>0</v>
          </cell>
          <cell r="G186">
            <v>988.88627595000003</v>
          </cell>
          <cell r="H186">
            <v>122.59837008</v>
          </cell>
          <cell r="I186">
            <v>1111.48464603</v>
          </cell>
        </row>
        <row r="187">
          <cell r="A187" t="str">
            <v>P1805011</v>
          </cell>
          <cell r="B187" t="str">
            <v>Material</v>
          </cell>
          <cell r="C187" t="str">
            <v>Bloque de hormigón de 6"</v>
          </cell>
          <cell r="D187">
            <v>13.125</v>
          </cell>
          <cell r="E187" t="str">
            <v>u</v>
          </cell>
          <cell r="F187">
            <v>23.52</v>
          </cell>
          <cell r="G187">
            <v>308.7</v>
          </cell>
          <cell r="H187">
            <v>55.565999999999995</v>
          </cell>
          <cell r="I187">
            <v>364.26599999999996</v>
          </cell>
        </row>
        <row r="188">
          <cell r="A188" t="str">
            <v>P0201008</v>
          </cell>
          <cell r="B188" t="str">
            <v>Material</v>
          </cell>
          <cell r="C188" t="str">
            <v>Arena Itabo Lavada</v>
          </cell>
          <cell r="D188">
            <v>3.49E-2</v>
          </cell>
          <cell r="E188" t="str">
            <v>m³</v>
          </cell>
          <cell r="F188">
            <v>930.76</v>
          </cell>
          <cell r="G188">
            <v>32.483524000000003</v>
          </cell>
          <cell r="H188">
            <v>5.8470343200000006</v>
          </cell>
          <cell r="I188">
            <v>38.330558320000002</v>
          </cell>
        </row>
        <row r="189">
          <cell r="A189" t="str">
            <v>P0601003</v>
          </cell>
          <cell r="B189" t="str">
            <v>Material</v>
          </cell>
          <cell r="C189" t="str">
            <v>Cemento Gris 94 lbs. Tipo Portland</v>
          </cell>
          <cell r="D189">
            <v>0.30049999999999999</v>
          </cell>
          <cell r="E189" t="str">
            <v>fd</v>
          </cell>
          <cell r="F189">
            <v>295</v>
          </cell>
          <cell r="G189">
            <v>88.647499999999994</v>
          </cell>
          <cell r="H189">
            <v>15.956549999999998</v>
          </cell>
          <cell r="I189">
            <v>104.60404999999999</v>
          </cell>
        </row>
        <row r="190">
          <cell r="A190" t="str">
            <v>P2403199</v>
          </cell>
          <cell r="B190" t="str">
            <v>Material</v>
          </cell>
          <cell r="C190" t="str">
            <v>Agua</v>
          </cell>
          <cell r="D190">
            <v>1.8720000000000001</v>
          </cell>
          <cell r="E190" t="str">
            <v>gl</v>
          </cell>
          <cell r="F190">
            <v>1.58</v>
          </cell>
          <cell r="G190">
            <v>2.9577600000000004</v>
          </cell>
          <cell r="H190">
            <v>0.5323968</v>
          </cell>
          <cell r="I190">
            <v>3.4901568000000003</v>
          </cell>
        </row>
        <row r="191">
          <cell r="A191" t="str">
            <v>P0109018</v>
          </cell>
          <cell r="B191" t="str">
            <v>Auxiliar</v>
          </cell>
          <cell r="C191" t="str">
            <v>Hormigón In Situ fc=120Kg/Cm²  Agreg 3/8@1/2</v>
          </cell>
          <cell r="D191">
            <v>4.5999999999999999E-2</v>
          </cell>
          <cell r="E191" t="str">
            <v>m³</v>
          </cell>
          <cell r="F191">
            <v>4435.2180000000008</v>
          </cell>
          <cell r="G191">
            <v>204.02002800000002</v>
          </cell>
          <cell r="H191">
            <v>25.545605039999995</v>
          </cell>
          <cell r="I191">
            <v>229.56563304000002</v>
          </cell>
        </row>
        <row r="192">
          <cell r="A192" t="str">
            <v>P0401066</v>
          </cell>
          <cell r="B192" t="str">
            <v>Material</v>
          </cell>
          <cell r="C192" t="str">
            <v>Acero G-60, Long. Variable</v>
          </cell>
          <cell r="D192">
            <v>4.4900000000000002E-2</v>
          </cell>
          <cell r="E192" t="str">
            <v>qq</v>
          </cell>
          <cell r="F192">
            <v>2285</v>
          </cell>
          <cell r="G192">
            <v>102.59650000000001</v>
          </cell>
          <cell r="H192">
            <v>18.467369999999999</v>
          </cell>
          <cell r="I192">
            <v>121.06387000000001</v>
          </cell>
        </row>
        <row r="193">
          <cell r="A193" t="str">
            <v>P0418006</v>
          </cell>
          <cell r="B193" t="str">
            <v>Material</v>
          </cell>
          <cell r="C193" t="str">
            <v>Alambre galvanizado liso #18</v>
          </cell>
          <cell r="D193">
            <v>8.9800000000000005E-2</v>
          </cell>
          <cell r="E193" t="str">
            <v>lb</v>
          </cell>
          <cell r="F193">
            <v>42.28</v>
          </cell>
          <cell r="G193">
            <v>3.7967440000000003</v>
          </cell>
          <cell r="H193">
            <v>0.68341392000000001</v>
          </cell>
          <cell r="I193">
            <v>4.4801579199999999</v>
          </cell>
        </row>
        <row r="194">
          <cell r="A194" t="str">
            <v>H0320201</v>
          </cell>
          <cell r="B194" t="str">
            <v>Mano de obra</v>
          </cell>
          <cell r="C194" t="str">
            <v>M.O. Alb. Colocación Bloques de 6" (Inc. Llenado y Acero)</v>
          </cell>
          <cell r="D194">
            <v>13</v>
          </cell>
          <cell r="E194" t="str">
            <v>u</v>
          </cell>
          <cell r="F194">
            <v>15.7</v>
          </cell>
          <cell r="G194">
            <v>204.1</v>
          </cell>
          <cell r="H194">
            <v>0</v>
          </cell>
          <cell r="I194">
            <v>204.1</v>
          </cell>
        </row>
        <row r="195">
          <cell r="A195" t="str">
            <v>H0325001</v>
          </cell>
          <cell r="B195" t="str">
            <v>Auxiliar</v>
          </cell>
          <cell r="C195" t="str">
            <v>M.O. Resanes de Albañilería p/ Instalaciones</v>
          </cell>
          <cell r="D195">
            <v>1</v>
          </cell>
          <cell r="E195" t="str">
            <v>m²</v>
          </cell>
          <cell r="F195">
            <v>41.172494999999998</v>
          </cell>
          <cell r="G195">
            <v>41.172494999999998</v>
          </cell>
          <cell r="H195">
            <v>0</v>
          </cell>
          <cell r="I195">
            <v>41.172494999999998</v>
          </cell>
        </row>
        <row r="196">
          <cell r="A196" t="str">
            <v>H%FH</v>
          </cell>
          <cell r="B196" t="str">
            <v>Otros</v>
          </cell>
          <cell r="C196" t="str">
            <v>Factor Herramientas</v>
          </cell>
          <cell r="D196">
            <v>1</v>
          </cell>
          <cell r="E196" t="str">
            <v>%</v>
          </cell>
          <cell r="F196">
            <v>41.172494999999998</v>
          </cell>
          <cell r="G196">
            <v>0.41172494999999998</v>
          </cell>
          <cell r="H196">
            <v>0</v>
          </cell>
          <cell r="I196">
            <v>0.41172494999999998</v>
          </cell>
        </row>
        <row r="197">
          <cell r="A197">
            <v>0</v>
          </cell>
          <cell r="B197">
            <v>0</v>
          </cell>
          <cell r="C197" t="str">
            <v>Total 01.04.09</v>
          </cell>
          <cell r="D197">
            <v>1</v>
          </cell>
          <cell r="E197">
            <v>0</v>
          </cell>
          <cell r="F197">
            <v>0</v>
          </cell>
          <cell r="G197">
            <v>988.88627595000003</v>
          </cell>
          <cell r="H197">
            <v>122.59837008</v>
          </cell>
          <cell r="I197">
            <v>1111.48464603</v>
          </cell>
        </row>
        <row r="198">
          <cell r="A198">
            <v>0</v>
          </cell>
          <cell r="B198">
            <v>0</v>
          </cell>
          <cell r="C198">
            <v>0</v>
          </cell>
          <cell r="D198">
            <v>0</v>
          </cell>
          <cell r="E198">
            <v>0</v>
          </cell>
          <cell r="F198">
            <v>0</v>
          </cell>
          <cell r="G198">
            <v>0</v>
          </cell>
          <cell r="H198">
            <v>0</v>
          </cell>
          <cell r="I198">
            <v>0</v>
          </cell>
        </row>
        <row r="199">
          <cell r="A199" t="str">
            <v>01.04.10</v>
          </cell>
          <cell r="B199" t="str">
            <v>Partida</v>
          </cell>
          <cell r="C199" t="str">
            <v>Bloques de 8" BNP Ø 3/8@ 0.60, con 1 serpentina @ 0.40 mts. Todas las cámaras llenas.</v>
          </cell>
          <cell r="D199">
            <v>1</v>
          </cell>
          <cell r="E199" t="str">
            <v>m²</v>
          </cell>
          <cell r="F199">
            <v>0</v>
          </cell>
          <cell r="G199">
            <v>1579.4244820000004</v>
          </cell>
          <cell r="H199">
            <v>212.59349676000002</v>
          </cell>
          <cell r="I199">
            <v>1792.0179787600002</v>
          </cell>
        </row>
        <row r="200">
          <cell r="A200" t="str">
            <v>P1805012</v>
          </cell>
          <cell r="B200" t="str">
            <v>Material</v>
          </cell>
          <cell r="C200" t="str">
            <v>Bloque de hormigón de 8"</v>
          </cell>
          <cell r="D200">
            <v>13.125</v>
          </cell>
          <cell r="E200" t="str">
            <v>u</v>
          </cell>
          <cell r="F200">
            <v>29.97</v>
          </cell>
          <cell r="G200">
            <v>393.35624999999999</v>
          </cell>
          <cell r="H200">
            <v>70.804124999999999</v>
          </cell>
          <cell r="I200">
            <v>464.16037499999999</v>
          </cell>
        </row>
        <row r="201">
          <cell r="A201" t="str">
            <v>P0201008</v>
          </cell>
          <cell r="B201" t="str">
            <v>Material</v>
          </cell>
          <cell r="C201" t="str">
            <v>Arena Itabo Lavada</v>
          </cell>
          <cell r="D201">
            <v>5.6000000000000001E-2</v>
          </cell>
          <cell r="E201" t="str">
            <v>m³</v>
          </cell>
          <cell r="F201">
            <v>930.76</v>
          </cell>
          <cell r="G201">
            <v>52.12256</v>
          </cell>
          <cell r="H201">
            <v>9.3820607999999996</v>
          </cell>
          <cell r="I201">
            <v>61.504620799999998</v>
          </cell>
        </row>
        <row r="202">
          <cell r="A202" t="str">
            <v>P0601003</v>
          </cell>
          <cell r="B202" t="str">
            <v>Material</v>
          </cell>
          <cell r="C202" t="str">
            <v>Cemento Gris 94 lbs. Tipo Portland</v>
          </cell>
          <cell r="D202">
            <v>0.43340000000000001</v>
          </cell>
          <cell r="E202" t="str">
            <v>fd</v>
          </cell>
          <cell r="F202">
            <v>295</v>
          </cell>
          <cell r="G202">
            <v>127.85300000000001</v>
          </cell>
          <cell r="H202">
            <v>23.013539999999999</v>
          </cell>
          <cell r="I202">
            <v>150.86654000000001</v>
          </cell>
        </row>
        <row r="203">
          <cell r="A203" t="str">
            <v>P2403199</v>
          </cell>
          <cell r="B203" t="str">
            <v>Material</v>
          </cell>
          <cell r="C203" t="str">
            <v>Agua</v>
          </cell>
          <cell r="D203">
            <v>3</v>
          </cell>
          <cell r="E203" t="str">
            <v>gl</v>
          </cell>
          <cell r="F203">
            <v>1.58</v>
          </cell>
          <cell r="G203">
            <v>4.74</v>
          </cell>
          <cell r="H203">
            <v>0.85319999999999996</v>
          </cell>
          <cell r="I203">
            <v>5.5932000000000004</v>
          </cell>
        </row>
        <row r="204">
          <cell r="A204" t="str">
            <v>P0109018</v>
          </cell>
          <cell r="B204" t="str">
            <v>Auxiliar</v>
          </cell>
          <cell r="C204" t="str">
            <v>Hormigón In Situ fc=120Kg/Cm²  Agreg 3/8@1/2</v>
          </cell>
          <cell r="D204">
            <v>0.13800000000000001</v>
          </cell>
          <cell r="E204" t="str">
            <v>m³</v>
          </cell>
          <cell r="F204">
            <v>4435.2180000000008</v>
          </cell>
          <cell r="G204">
            <v>612.06008400000019</v>
          </cell>
          <cell r="H204">
            <v>76.636815119999994</v>
          </cell>
          <cell r="I204">
            <v>688.69689912000013</v>
          </cell>
        </row>
        <row r="205">
          <cell r="A205" t="str">
            <v>P0401066</v>
          </cell>
          <cell r="B205" t="str">
            <v>Material</v>
          </cell>
          <cell r="C205" t="str">
            <v>Acero G-60, Long. Variable</v>
          </cell>
          <cell r="D205">
            <v>7.4800000000000005E-2</v>
          </cell>
          <cell r="E205" t="str">
            <v>qq</v>
          </cell>
          <cell r="F205">
            <v>2285</v>
          </cell>
          <cell r="G205">
            <v>170.91800000000001</v>
          </cell>
          <cell r="H205">
            <v>30.765239999999999</v>
          </cell>
          <cell r="I205">
            <v>201.68324000000001</v>
          </cell>
        </row>
        <row r="206">
          <cell r="A206" t="str">
            <v>P0418006</v>
          </cell>
          <cell r="B206" t="str">
            <v>Material</v>
          </cell>
          <cell r="C206" t="str">
            <v>Alambre galvanizado liso #18</v>
          </cell>
          <cell r="D206">
            <v>0.14960000000000001</v>
          </cell>
          <cell r="E206" t="str">
            <v>lb</v>
          </cell>
          <cell r="F206">
            <v>42.28</v>
          </cell>
          <cell r="G206">
            <v>6.3250880000000009</v>
          </cell>
          <cell r="H206">
            <v>1.1385158400000002</v>
          </cell>
          <cell r="I206">
            <v>7.4636038400000011</v>
          </cell>
        </row>
        <row r="207">
          <cell r="A207" t="str">
            <v>H0320204</v>
          </cell>
          <cell r="B207" t="str">
            <v>Mano de obra</v>
          </cell>
          <cell r="C207" t="str">
            <v>M.O. Alb colocación bloques de 8" (Inc. Llenado y Acero)</v>
          </cell>
          <cell r="D207">
            <v>13</v>
          </cell>
          <cell r="E207" t="str">
            <v>u</v>
          </cell>
          <cell r="F207">
            <v>16.149999999999999</v>
          </cell>
          <cell r="G207">
            <v>209.95</v>
          </cell>
          <cell r="H207">
            <v>0</v>
          </cell>
          <cell r="I207">
            <v>209.95</v>
          </cell>
        </row>
        <row r="208">
          <cell r="A208" t="str">
            <v>H%FH</v>
          </cell>
          <cell r="B208" t="str">
            <v>Otros</v>
          </cell>
          <cell r="C208" t="str">
            <v>Factor Herramientas</v>
          </cell>
          <cell r="D208">
            <v>1</v>
          </cell>
          <cell r="E208" t="str">
            <v>%</v>
          </cell>
          <cell r="F208">
            <v>209.95</v>
          </cell>
          <cell r="G208">
            <v>2.0994999999999999</v>
          </cell>
          <cell r="H208">
            <v>0</v>
          </cell>
          <cell r="I208">
            <v>2.0994999999999999</v>
          </cell>
        </row>
        <row r="209">
          <cell r="A209">
            <v>0</v>
          </cell>
          <cell r="B209">
            <v>0</v>
          </cell>
          <cell r="C209" t="str">
            <v>Total 01.04.10</v>
          </cell>
          <cell r="D209">
            <v>1</v>
          </cell>
          <cell r="E209">
            <v>0</v>
          </cell>
          <cell r="F209">
            <v>0</v>
          </cell>
          <cell r="G209">
            <v>1579.4244820000004</v>
          </cell>
          <cell r="H209">
            <v>212.59349676000002</v>
          </cell>
          <cell r="I209">
            <v>1792.0179787600002</v>
          </cell>
        </row>
        <row r="210">
          <cell r="A210">
            <v>0</v>
          </cell>
          <cell r="B210">
            <v>0</v>
          </cell>
          <cell r="C210">
            <v>0</v>
          </cell>
          <cell r="D210">
            <v>0</v>
          </cell>
          <cell r="E210">
            <v>0</v>
          </cell>
          <cell r="F210">
            <v>0</v>
          </cell>
          <cell r="G210">
            <v>0</v>
          </cell>
          <cell r="H210">
            <v>0</v>
          </cell>
          <cell r="I210">
            <v>0</v>
          </cell>
        </row>
        <row r="211">
          <cell r="A211" t="str">
            <v>01.04.11</v>
          </cell>
          <cell r="B211" t="str">
            <v>Partida</v>
          </cell>
          <cell r="C211" t="str">
            <v>Bloques de 8" BNP y SNP Ø 3/8@ 0.60mt</v>
          </cell>
          <cell r="D211">
            <v>1</v>
          </cell>
          <cell r="E211" t="str">
            <v>m²</v>
          </cell>
          <cell r="F211">
            <v>0</v>
          </cell>
          <cell r="G211">
            <v>1064.991182</v>
          </cell>
          <cell r="H211">
            <v>142.35150275999999</v>
          </cell>
          <cell r="I211">
            <v>1207.3426847600001</v>
          </cell>
        </row>
        <row r="212">
          <cell r="A212" t="str">
            <v>P1805012</v>
          </cell>
          <cell r="B212" t="str">
            <v>Material</v>
          </cell>
          <cell r="C212" t="str">
            <v>Bloque de hormigón de 8"</v>
          </cell>
          <cell r="D212">
            <v>13.125</v>
          </cell>
          <cell r="E212" t="str">
            <v>u</v>
          </cell>
          <cell r="F212">
            <v>29.97</v>
          </cell>
          <cell r="G212">
            <v>393.35624999999999</v>
          </cell>
          <cell r="H212">
            <v>70.804124999999999</v>
          </cell>
          <cell r="I212">
            <v>464.16037499999999</v>
          </cell>
        </row>
        <row r="213">
          <cell r="A213" t="str">
            <v>P0201008</v>
          </cell>
          <cell r="B213" t="str">
            <v>Material</v>
          </cell>
          <cell r="C213" t="str">
            <v>Arena Itabo Lavada</v>
          </cell>
          <cell r="D213">
            <v>5.6000000000000001E-2</v>
          </cell>
          <cell r="E213" t="str">
            <v>m³</v>
          </cell>
          <cell r="F213">
            <v>930.76</v>
          </cell>
          <cell r="G213">
            <v>52.12256</v>
          </cell>
          <cell r="H213">
            <v>9.3820607999999996</v>
          </cell>
          <cell r="I213">
            <v>61.504620799999998</v>
          </cell>
        </row>
        <row r="214">
          <cell r="A214" t="str">
            <v>P0601003</v>
          </cell>
          <cell r="B214" t="str">
            <v>Material</v>
          </cell>
          <cell r="C214" t="str">
            <v>Cemento Gris 94 lbs. Tipo Portland</v>
          </cell>
          <cell r="D214">
            <v>0.43340000000000001</v>
          </cell>
          <cell r="E214" t="str">
            <v>fd</v>
          </cell>
          <cell r="F214">
            <v>295</v>
          </cell>
          <cell r="G214">
            <v>127.85300000000001</v>
          </cell>
          <cell r="H214">
            <v>23.013539999999999</v>
          </cell>
          <cell r="I214">
            <v>150.86654000000001</v>
          </cell>
        </row>
        <row r="215">
          <cell r="A215" t="str">
            <v>P2403199</v>
          </cell>
          <cell r="B215" t="str">
            <v>Material</v>
          </cell>
          <cell r="C215" t="str">
            <v>Agua</v>
          </cell>
          <cell r="D215">
            <v>3</v>
          </cell>
          <cell r="E215" t="str">
            <v>gl</v>
          </cell>
          <cell r="F215">
            <v>1.58</v>
          </cell>
          <cell r="G215">
            <v>4.74</v>
          </cell>
          <cell r="H215">
            <v>0.85319999999999996</v>
          </cell>
          <cell r="I215">
            <v>5.5932000000000004</v>
          </cell>
        </row>
        <row r="216">
          <cell r="A216" t="str">
            <v>P0109018</v>
          </cell>
          <cell r="B216" t="str">
            <v>Auxiliar</v>
          </cell>
          <cell r="C216" t="str">
            <v>Hormigón In Situ fc=120Kg/Cm²  Agreg 3/8@1/2</v>
          </cell>
          <cell r="D216">
            <v>4.5999999999999999E-2</v>
          </cell>
          <cell r="E216" t="str">
            <v>m³</v>
          </cell>
          <cell r="F216">
            <v>4435.2180000000008</v>
          </cell>
          <cell r="G216">
            <v>204.02002800000002</v>
          </cell>
          <cell r="H216">
            <v>25.545605039999995</v>
          </cell>
          <cell r="I216">
            <v>229.56563304000002</v>
          </cell>
        </row>
        <row r="217">
          <cell r="A217" t="str">
            <v>P0401066</v>
          </cell>
          <cell r="B217" t="str">
            <v>Material</v>
          </cell>
          <cell r="C217" t="str">
            <v>Acero G-60, Long. Variable</v>
          </cell>
          <cell r="D217">
            <v>2.9899999999999999E-2</v>
          </cell>
          <cell r="E217" t="str">
            <v>qq</v>
          </cell>
          <cell r="F217">
            <v>2285</v>
          </cell>
          <cell r="G217">
            <v>68.3215</v>
          </cell>
          <cell r="H217">
            <v>12.29787</v>
          </cell>
          <cell r="I217">
            <v>80.619370000000004</v>
          </cell>
        </row>
        <row r="218">
          <cell r="A218" t="str">
            <v>P0418006</v>
          </cell>
          <cell r="B218" t="str">
            <v>Material</v>
          </cell>
          <cell r="C218" t="str">
            <v>Alambre galvanizado liso #18</v>
          </cell>
          <cell r="D218">
            <v>5.9799999999999999E-2</v>
          </cell>
          <cell r="E218" t="str">
            <v>lb</v>
          </cell>
          <cell r="F218">
            <v>42.28</v>
          </cell>
          <cell r="G218">
            <v>2.5283440000000001</v>
          </cell>
          <cell r="H218">
            <v>0.45510191999999999</v>
          </cell>
          <cell r="I218">
            <v>2.9834459200000003</v>
          </cell>
        </row>
        <row r="219">
          <cell r="A219" t="str">
            <v>H0320204</v>
          </cell>
          <cell r="B219" t="str">
            <v>Mano de obra</v>
          </cell>
          <cell r="C219" t="str">
            <v>M.O. Alb colocación bloques de 8" (Inc. Llenado y Acero)</v>
          </cell>
          <cell r="D219">
            <v>13</v>
          </cell>
          <cell r="E219" t="str">
            <v>u</v>
          </cell>
          <cell r="F219">
            <v>16.149999999999999</v>
          </cell>
          <cell r="G219">
            <v>209.95</v>
          </cell>
          <cell r="H219">
            <v>0</v>
          </cell>
          <cell r="I219">
            <v>209.95</v>
          </cell>
        </row>
        <row r="220">
          <cell r="A220" t="str">
            <v>H%FH</v>
          </cell>
          <cell r="B220" t="str">
            <v>Otros</v>
          </cell>
          <cell r="C220" t="str">
            <v>Factor Herramientas</v>
          </cell>
          <cell r="D220">
            <v>1</v>
          </cell>
          <cell r="E220" t="str">
            <v>%</v>
          </cell>
          <cell r="F220">
            <v>209.95</v>
          </cell>
          <cell r="G220">
            <v>2.0994999999999999</v>
          </cell>
          <cell r="H220">
            <v>0</v>
          </cell>
          <cell r="I220">
            <v>2.0994999999999999</v>
          </cell>
        </row>
        <row r="221">
          <cell r="A221">
            <v>0</v>
          </cell>
          <cell r="B221">
            <v>0</v>
          </cell>
          <cell r="C221" t="str">
            <v>Total 01.04.11</v>
          </cell>
          <cell r="D221">
            <v>1</v>
          </cell>
          <cell r="E221">
            <v>0</v>
          </cell>
          <cell r="F221">
            <v>0</v>
          </cell>
          <cell r="G221">
            <v>1064.991182</v>
          </cell>
          <cell r="H221">
            <v>142.35150275999999</v>
          </cell>
          <cell r="I221">
            <v>1207.3426847600001</v>
          </cell>
        </row>
        <row r="222">
          <cell r="A222">
            <v>0</v>
          </cell>
          <cell r="B222">
            <v>0</v>
          </cell>
          <cell r="C222">
            <v>0</v>
          </cell>
          <cell r="D222">
            <v>0</v>
          </cell>
          <cell r="E222">
            <v>0</v>
          </cell>
          <cell r="F222">
            <v>0</v>
          </cell>
          <cell r="G222">
            <v>0</v>
          </cell>
          <cell r="H222">
            <v>0</v>
          </cell>
          <cell r="I222">
            <v>0</v>
          </cell>
        </row>
        <row r="223">
          <cell r="A223" t="str">
            <v>01.04.12</v>
          </cell>
          <cell r="B223" t="str">
            <v>Partida</v>
          </cell>
          <cell r="C223" t="str">
            <v>Bloques de 8" Mampostería M3. SNP Ø 3/8@ 0.60 con 2 serpentina cada 2 lineas</v>
          </cell>
          <cell r="D223">
            <v>1</v>
          </cell>
          <cell r="E223" t="str">
            <v>m²</v>
          </cell>
          <cell r="F223">
            <v>0</v>
          </cell>
          <cell r="G223">
            <v>1317.2623899500002</v>
          </cell>
          <cell r="H223">
            <v>180.65307059999998</v>
          </cell>
          <cell r="I223">
            <v>1497.91546055</v>
          </cell>
        </row>
        <row r="224">
          <cell r="A224" t="str">
            <v>P1805012</v>
          </cell>
          <cell r="B224" t="str">
            <v>Material</v>
          </cell>
          <cell r="C224" t="str">
            <v>Bloque de hormigón de 8"</v>
          </cell>
          <cell r="D224">
            <v>13.125</v>
          </cell>
          <cell r="E224" t="str">
            <v>u</v>
          </cell>
          <cell r="F224">
            <v>29.97</v>
          </cell>
          <cell r="G224">
            <v>393.35624999999999</v>
          </cell>
          <cell r="H224">
            <v>70.804124999999999</v>
          </cell>
          <cell r="I224">
            <v>464.16037499999999</v>
          </cell>
        </row>
        <row r="225">
          <cell r="A225" t="str">
            <v>P0201008</v>
          </cell>
          <cell r="B225" t="str">
            <v>Material</v>
          </cell>
          <cell r="C225" t="str">
            <v>Arena Itabo Lavada</v>
          </cell>
          <cell r="D225">
            <v>5.6000000000000001E-2</v>
          </cell>
          <cell r="E225" t="str">
            <v>m³</v>
          </cell>
          <cell r="F225">
            <v>930.76</v>
          </cell>
          <cell r="G225">
            <v>52.12256</v>
          </cell>
          <cell r="H225">
            <v>9.3820607999999996</v>
          </cell>
          <cell r="I225">
            <v>61.504620799999998</v>
          </cell>
        </row>
        <row r="226">
          <cell r="A226" t="str">
            <v>P0601003</v>
          </cell>
          <cell r="B226" t="str">
            <v>Material</v>
          </cell>
          <cell r="C226" t="str">
            <v>Cemento Gris 94 lbs. Tipo Portland</v>
          </cell>
          <cell r="D226">
            <v>0.43340000000000001</v>
          </cell>
          <cell r="E226" t="str">
            <v>fd</v>
          </cell>
          <cell r="F226">
            <v>295</v>
          </cell>
          <cell r="G226">
            <v>127.85300000000001</v>
          </cell>
          <cell r="H226">
            <v>23.013539999999999</v>
          </cell>
          <cell r="I226">
            <v>150.86654000000001</v>
          </cell>
        </row>
        <row r="227">
          <cell r="A227" t="str">
            <v>P2403199</v>
          </cell>
          <cell r="B227" t="str">
            <v>Material</v>
          </cell>
          <cell r="C227" t="str">
            <v>Agua</v>
          </cell>
          <cell r="D227">
            <v>3</v>
          </cell>
          <cell r="E227" t="str">
            <v>gl</v>
          </cell>
          <cell r="F227">
            <v>1.58</v>
          </cell>
          <cell r="G227">
            <v>4.74</v>
          </cell>
          <cell r="H227">
            <v>0.85319999999999996</v>
          </cell>
          <cell r="I227">
            <v>5.5932000000000004</v>
          </cell>
        </row>
        <row r="228">
          <cell r="A228" t="str">
            <v>P0109018</v>
          </cell>
          <cell r="B228" t="str">
            <v>Auxiliar</v>
          </cell>
          <cell r="C228" t="str">
            <v>Hormigón In Situ fc=120Kg/Cm²  Agreg 3/8@1/2</v>
          </cell>
          <cell r="D228">
            <v>4.5999999999999999E-2</v>
          </cell>
          <cell r="E228" t="str">
            <v>m³</v>
          </cell>
          <cell r="F228">
            <v>4435.2180000000008</v>
          </cell>
          <cell r="G228">
            <v>204.02002800000002</v>
          </cell>
          <cell r="H228">
            <v>25.545605039999995</v>
          </cell>
          <cell r="I228">
            <v>229.56563304000002</v>
          </cell>
        </row>
        <row r="229">
          <cell r="A229" t="str">
            <v>P0401066</v>
          </cell>
          <cell r="B229" t="str">
            <v>Material</v>
          </cell>
          <cell r="C229" t="str">
            <v>Acero G-60, Long. Variable</v>
          </cell>
          <cell r="D229">
            <v>0.1197</v>
          </cell>
          <cell r="E229" t="str">
            <v>qq</v>
          </cell>
          <cell r="F229">
            <v>2285</v>
          </cell>
          <cell r="G229">
            <v>273.5145</v>
          </cell>
          <cell r="H229">
            <v>49.232610000000001</v>
          </cell>
          <cell r="I229">
            <v>322.74711000000002</v>
          </cell>
        </row>
        <row r="230">
          <cell r="A230" t="str">
            <v>P0418006</v>
          </cell>
          <cell r="B230" t="str">
            <v>Material</v>
          </cell>
          <cell r="C230" t="str">
            <v>Alambre galvanizado liso #18</v>
          </cell>
          <cell r="D230">
            <v>0.2394</v>
          </cell>
          <cell r="E230" t="str">
            <v>lb</v>
          </cell>
          <cell r="F230">
            <v>42.28</v>
          </cell>
          <cell r="G230">
            <v>10.121831999999999</v>
          </cell>
          <cell r="H230">
            <v>1.8219297599999997</v>
          </cell>
          <cell r="I230">
            <v>11.943761759999999</v>
          </cell>
        </row>
        <row r="231">
          <cell r="A231" t="str">
            <v>H0320204</v>
          </cell>
          <cell r="B231" t="str">
            <v>Mano de obra</v>
          </cell>
          <cell r="C231" t="str">
            <v>M.O. Alb colocación bloques de 8" (Inc. Llenado y Acero)</v>
          </cell>
          <cell r="D231">
            <v>13</v>
          </cell>
          <cell r="E231" t="str">
            <v>u</v>
          </cell>
          <cell r="F231">
            <v>16.149999999999999</v>
          </cell>
          <cell r="G231">
            <v>209.95</v>
          </cell>
          <cell r="H231">
            <v>0</v>
          </cell>
          <cell r="I231">
            <v>209.95</v>
          </cell>
        </row>
        <row r="232">
          <cell r="A232" t="str">
            <v>H0325001</v>
          </cell>
          <cell r="B232" t="str">
            <v>Auxiliar</v>
          </cell>
          <cell r="C232" t="str">
            <v>M.O. Resanes de Albañilería p/ Instalaciones</v>
          </cell>
          <cell r="D232">
            <v>1</v>
          </cell>
          <cell r="E232" t="str">
            <v>m²</v>
          </cell>
          <cell r="F232">
            <v>41.172494999999998</v>
          </cell>
          <cell r="G232">
            <v>41.172494999999998</v>
          </cell>
          <cell r="H232">
            <v>0</v>
          </cell>
          <cell r="I232">
            <v>41.172494999999998</v>
          </cell>
        </row>
        <row r="233">
          <cell r="A233" t="str">
            <v>H%FH</v>
          </cell>
          <cell r="B233" t="str">
            <v>Otros</v>
          </cell>
          <cell r="C233" t="str">
            <v>Factor Herramientas</v>
          </cell>
          <cell r="D233">
            <v>1</v>
          </cell>
          <cell r="E233" t="str">
            <v>%</v>
          </cell>
          <cell r="F233">
            <v>41.172494999999998</v>
          </cell>
          <cell r="G233">
            <v>0.41172494999999998</v>
          </cell>
          <cell r="H233">
            <v>0</v>
          </cell>
          <cell r="I233">
            <v>0.41172494999999998</v>
          </cell>
        </row>
        <row r="234">
          <cell r="A234">
            <v>0</v>
          </cell>
          <cell r="B234">
            <v>0</v>
          </cell>
          <cell r="C234" t="str">
            <v>Total 01.04.12</v>
          </cell>
          <cell r="D234">
            <v>1</v>
          </cell>
          <cell r="E234">
            <v>0</v>
          </cell>
          <cell r="F234">
            <v>0</v>
          </cell>
          <cell r="G234">
            <v>1317.2623899500002</v>
          </cell>
          <cell r="H234">
            <v>180.65307059999998</v>
          </cell>
          <cell r="I234">
            <v>1497.91546055</v>
          </cell>
        </row>
        <row r="235">
          <cell r="A235">
            <v>0</v>
          </cell>
          <cell r="B235">
            <v>0</v>
          </cell>
          <cell r="C235">
            <v>0</v>
          </cell>
          <cell r="D235">
            <v>0</v>
          </cell>
          <cell r="E235">
            <v>0</v>
          </cell>
          <cell r="F235">
            <v>0</v>
          </cell>
          <cell r="G235">
            <v>0</v>
          </cell>
          <cell r="H235">
            <v>0</v>
          </cell>
          <cell r="I235">
            <v>0</v>
          </cell>
        </row>
        <row r="236">
          <cell r="A236" t="str">
            <v>01.04.13</v>
          </cell>
          <cell r="B236" t="str">
            <v>Partida</v>
          </cell>
          <cell r="C236" t="str">
            <v>Bloques de 8" SNP Ø 3/8@ 0.60</v>
          </cell>
          <cell r="D236">
            <v>1</v>
          </cell>
          <cell r="E236" t="str">
            <v>m²</v>
          </cell>
          <cell r="F236">
            <v>0</v>
          </cell>
          <cell r="G236">
            <v>1104.47590195</v>
          </cell>
          <cell r="H236">
            <v>142.35150275999999</v>
          </cell>
          <cell r="I236">
            <v>1246.8274047100001</v>
          </cell>
        </row>
        <row r="237">
          <cell r="A237" t="str">
            <v>P1805012</v>
          </cell>
          <cell r="B237" t="str">
            <v>Material</v>
          </cell>
          <cell r="C237" t="str">
            <v>Bloque de hormigón de 8"</v>
          </cell>
          <cell r="D237">
            <v>13.125</v>
          </cell>
          <cell r="E237" t="str">
            <v>u</v>
          </cell>
          <cell r="F237">
            <v>29.97</v>
          </cell>
          <cell r="G237">
            <v>393.35624999999999</v>
          </cell>
          <cell r="H237">
            <v>70.804124999999999</v>
          </cell>
          <cell r="I237">
            <v>464.16037499999999</v>
          </cell>
        </row>
        <row r="238">
          <cell r="A238" t="str">
            <v>P0201008</v>
          </cell>
          <cell r="B238" t="str">
            <v>Material</v>
          </cell>
          <cell r="C238" t="str">
            <v>Arena Itabo Lavada</v>
          </cell>
          <cell r="D238">
            <v>5.6000000000000001E-2</v>
          </cell>
          <cell r="E238" t="str">
            <v>m³</v>
          </cell>
          <cell r="F238">
            <v>930.76</v>
          </cell>
          <cell r="G238">
            <v>52.12256</v>
          </cell>
          <cell r="H238">
            <v>9.3820607999999996</v>
          </cell>
          <cell r="I238">
            <v>61.504620799999998</v>
          </cell>
        </row>
        <row r="239">
          <cell r="A239" t="str">
            <v>P0601003</v>
          </cell>
          <cell r="B239" t="str">
            <v>Material</v>
          </cell>
          <cell r="C239" t="str">
            <v>Cemento Gris 94 lbs. Tipo Portland</v>
          </cell>
          <cell r="D239">
            <v>0.43340000000000001</v>
          </cell>
          <cell r="E239" t="str">
            <v>fd</v>
          </cell>
          <cell r="F239">
            <v>295</v>
          </cell>
          <cell r="G239">
            <v>127.85300000000001</v>
          </cell>
          <cell r="H239">
            <v>23.013539999999999</v>
          </cell>
          <cell r="I239">
            <v>150.86654000000001</v>
          </cell>
        </row>
        <row r="240">
          <cell r="A240" t="str">
            <v>P2403199</v>
          </cell>
          <cell r="B240" t="str">
            <v>Material</v>
          </cell>
          <cell r="C240" t="str">
            <v>Agua</v>
          </cell>
          <cell r="D240">
            <v>3</v>
          </cell>
          <cell r="E240" t="str">
            <v>gl</v>
          </cell>
          <cell r="F240">
            <v>1.58</v>
          </cell>
          <cell r="G240">
            <v>4.74</v>
          </cell>
          <cell r="H240">
            <v>0.85319999999999996</v>
          </cell>
          <cell r="I240">
            <v>5.5932000000000004</v>
          </cell>
        </row>
        <row r="241">
          <cell r="A241" t="str">
            <v>P0109018</v>
          </cell>
          <cell r="B241" t="str">
            <v>Auxiliar</v>
          </cell>
          <cell r="C241" t="str">
            <v>Hormigón In Situ fc=120Kg/Cm²  Agreg 3/8@1/2</v>
          </cell>
          <cell r="D241">
            <v>4.5999999999999999E-2</v>
          </cell>
          <cell r="E241" t="str">
            <v>m³</v>
          </cell>
          <cell r="F241">
            <v>4435.2180000000008</v>
          </cell>
          <cell r="G241">
            <v>204.02002800000002</v>
          </cell>
          <cell r="H241">
            <v>25.545605039999995</v>
          </cell>
          <cell r="I241">
            <v>229.56563304000002</v>
          </cell>
        </row>
        <row r="242">
          <cell r="A242" t="str">
            <v>P0401066</v>
          </cell>
          <cell r="B242" t="str">
            <v>Material</v>
          </cell>
          <cell r="C242" t="str">
            <v>Acero G-60, Long. Variable</v>
          </cell>
          <cell r="D242">
            <v>2.9899999999999999E-2</v>
          </cell>
          <cell r="E242" t="str">
            <v>qq</v>
          </cell>
          <cell r="F242">
            <v>2285</v>
          </cell>
          <cell r="G242">
            <v>68.3215</v>
          </cell>
          <cell r="H242">
            <v>12.29787</v>
          </cell>
          <cell r="I242">
            <v>80.619370000000004</v>
          </cell>
        </row>
        <row r="243">
          <cell r="A243" t="str">
            <v>P0418006</v>
          </cell>
          <cell r="B243" t="str">
            <v>Material</v>
          </cell>
          <cell r="C243" t="str">
            <v>Alambre galvanizado liso #18</v>
          </cell>
          <cell r="D243">
            <v>5.9799999999999999E-2</v>
          </cell>
          <cell r="E243" t="str">
            <v>lb</v>
          </cell>
          <cell r="F243">
            <v>42.28</v>
          </cell>
          <cell r="G243">
            <v>2.5283440000000001</v>
          </cell>
          <cell r="H243">
            <v>0.45510191999999999</v>
          </cell>
          <cell r="I243">
            <v>2.9834459200000003</v>
          </cell>
        </row>
        <row r="244">
          <cell r="A244" t="str">
            <v>H0320204</v>
          </cell>
          <cell r="B244" t="str">
            <v>Mano de obra</v>
          </cell>
          <cell r="C244" t="str">
            <v>M.O. Alb colocación bloques de 8" (Inc. Llenado y Acero)</v>
          </cell>
          <cell r="D244">
            <v>13</v>
          </cell>
          <cell r="E244" t="str">
            <v>u</v>
          </cell>
          <cell r="F244">
            <v>16.149999999999999</v>
          </cell>
          <cell r="G244">
            <v>209.95</v>
          </cell>
          <cell r="H244">
            <v>0</v>
          </cell>
          <cell r="I244">
            <v>209.95</v>
          </cell>
        </row>
        <row r="245">
          <cell r="A245" t="str">
            <v>H0325001</v>
          </cell>
          <cell r="B245" t="str">
            <v>Auxiliar</v>
          </cell>
          <cell r="C245" t="str">
            <v>M.O. Resanes de Albañilería p/ Instalaciones</v>
          </cell>
          <cell r="D245">
            <v>1</v>
          </cell>
          <cell r="E245" t="str">
            <v>m²</v>
          </cell>
          <cell r="F245">
            <v>41.172494999999998</v>
          </cell>
          <cell r="G245">
            <v>41.172494999999998</v>
          </cell>
          <cell r="H245">
            <v>0</v>
          </cell>
          <cell r="I245">
            <v>41.172494999999998</v>
          </cell>
        </row>
        <row r="246">
          <cell r="A246" t="str">
            <v>H%FH</v>
          </cell>
          <cell r="B246" t="str">
            <v>Otros</v>
          </cell>
          <cell r="C246" t="str">
            <v>Factor Herramientas</v>
          </cell>
          <cell r="D246">
            <v>1</v>
          </cell>
          <cell r="E246" t="str">
            <v>%</v>
          </cell>
          <cell r="F246">
            <v>41.172494999999998</v>
          </cell>
          <cell r="G246">
            <v>0.41172494999999998</v>
          </cell>
          <cell r="H246">
            <v>0</v>
          </cell>
          <cell r="I246">
            <v>0.41172494999999998</v>
          </cell>
        </row>
        <row r="247">
          <cell r="A247">
            <v>0</v>
          </cell>
          <cell r="B247">
            <v>0</v>
          </cell>
          <cell r="C247" t="str">
            <v>Total 01.04.13</v>
          </cell>
          <cell r="D247">
            <v>1</v>
          </cell>
          <cell r="E247">
            <v>0</v>
          </cell>
          <cell r="F247">
            <v>0</v>
          </cell>
          <cell r="G247">
            <v>1104.47590195</v>
          </cell>
          <cell r="H247">
            <v>142.35150275999999</v>
          </cell>
          <cell r="I247">
            <v>1246.8274047100001</v>
          </cell>
        </row>
        <row r="248">
          <cell r="A248">
            <v>0</v>
          </cell>
          <cell r="B248">
            <v>0</v>
          </cell>
          <cell r="C248">
            <v>0</v>
          </cell>
          <cell r="D248">
            <v>0</v>
          </cell>
          <cell r="E248">
            <v>0</v>
          </cell>
          <cell r="F248">
            <v>0</v>
          </cell>
          <cell r="G248">
            <v>0</v>
          </cell>
          <cell r="H248">
            <v>0</v>
          </cell>
          <cell r="I248">
            <v>0</v>
          </cell>
        </row>
        <row r="249">
          <cell r="A249" t="str">
            <v>01.04.14</v>
          </cell>
          <cell r="B249" t="str">
            <v>Partida</v>
          </cell>
          <cell r="C249" t="str">
            <v>Bloques Texturizados de 8" SNP Ø 3/8@ 0.60</v>
          </cell>
          <cell r="D249">
            <v>1</v>
          </cell>
          <cell r="E249" t="str">
            <v>m²</v>
          </cell>
          <cell r="F249">
            <v>0</v>
          </cell>
          <cell r="G249">
            <v>1064.991182</v>
          </cell>
          <cell r="H249">
            <v>142.35150275999999</v>
          </cell>
          <cell r="I249">
            <v>1207.3426847600001</v>
          </cell>
        </row>
        <row r="250">
          <cell r="A250" t="str">
            <v>P1805012</v>
          </cell>
          <cell r="B250" t="str">
            <v>Material</v>
          </cell>
          <cell r="C250" t="str">
            <v>Bloque de hormigón de 8"</v>
          </cell>
          <cell r="D250">
            <v>13.125</v>
          </cell>
          <cell r="E250" t="str">
            <v>u</v>
          </cell>
          <cell r="F250">
            <v>29.97</v>
          </cell>
          <cell r="G250">
            <v>393.35624999999999</v>
          </cell>
          <cell r="H250">
            <v>70.804124999999999</v>
          </cell>
          <cell r="I250">
            <v>464.16037499999999</v>
          </cell>
        </row>
        <row r="251">
          <cell r="A251" t="str">
            <v>P0201008</v>
          </cell>
          <cell r="B251" t="str">
            <v>Material</v>
          </cell>
          <cell r="C251" t="str">
            <v>Arena Itabo Lavada</v>
          </cell>
          <cell r="D251">
            <v>5.6000000000000001E-2</v>
          </cell>
          <cell r="E251" t="str">
            <v>m³</v>
          </cell>
          <cell r="F251">
            <v>930.76</v>
          </cell>
          <cell r="G251">
            <v>52.12256</v>
          </cell>
          <cell r="H251">
            <v>9.3820607999999996</v>
          </cell>
          <cell r="I251">
            <v>61.504620799999998</v>
          </cell>
        </row>
        <row r="252">
          <cell r="A252" t="str">
            <v>P0601003</v>
          </cell>
          <cell r="B252" t="str">
            <v>Material</v>
          </cell>
          <cell r="C252" t="str">
            <v>Cemento Gris 94 lbs. Tipo Portland</v>
          </cell>
          <cell r="D252">
            <v>0.43340000000000001</v>
          </cell>
          <cell r="E252" t="str">
            <v>fd</v>
          </cell>
          <cell r="F252">
            <v>295</v>
          </cell>
          <cell r="G252">
            <v>127.85300000000001</v>
          </cell>
          <cell r="H252">
            <v>23.013539999999999</v>
          </cell>
          <cell r="I252">
            <v>150.86654000000001</v>
          </cell>
        </row>
        <row r="253">
          <cell r="A253" t="str">
            <v>P2403199</v>
          </cell>
          <cell r="B253" t="str">
            <v>Material</v>
          </cell>
          <cell r="C253" t="str">
            <v>Agua</v>
          </cell>
          <cell r="D253">
            <v>3</v>
          </cell>
          <cell r="E253" t="str">
            <v>gl</v>
          </cell>
          <cell r="F253">
            <v>1.58</v>
          </cell>
          <cell r="G253">
            <v>4.74</v>
          </cell>
          <cell r="H253">
            <v>0.85319999999999996</v>
          </cell>
          <cell r="I253">
            <v>5.5932000000000004</v>
          </cell>
        </row>
        <row r="254">
          <cell r="A254" t="str">
            <v>P0109018</v>
          </cell>
          <cell r="B254" t="str">
            <v>Auxiliar</v>
          </cell>
          <cell r="C254" t="str">
            <v>Hormigón In Situ fc=120Kg/Cm²  Agreg 3/8@1/2</v>
          </cell>
          <cell r="D254">
            <v>4.5999999999999999E-2</v>
          </cell>
          <cell r="E254" t="str">
            <v>m³</v>
          </cell>
          <cell r="F254">
            <v>4435.2180000000008</v>
          </cell>
          <cell r="G254">
            <v>204.02002800000002</v>
          </cell>
          <cell r="H254">
            <v>25.545605039999995</v>
          </cell>
          <cell r="I254">
            <v>229.56563304000002</v>
          </cell>
        </row>
        <row r="255">
          <cell r="A255" t="str">
            <v>P0401066</v>
          </cell>
          <cell r="B255" t="str">
            <v>Material</v>
          </cell>
          <cell r="C255" t="str">
            <v>Acero G-60, Long. Variable</v>
          </cell>
          <cell r="D255">
            <v>2.9899999999999999E-2</v>
          </cell>
          <cell r="E255" t="str">
            <v>qq</v>
          </cell>
          <cell r="F255">
            <v>2285</v>
          </cell>
          <cell r="G255">
            <v>68.3215</v>
          </cell>
          <cell r="H255">
            <v>12.29787</v>
          </cell>
          <cell r="I255">
            <v>80.619370000000004</v>
          </cell>
        </row>
        <row r="256">
          <cell r="A256" t="str">
            <v>P0418006</v>
          </cell>
          <cell r="B256" t="str">
            <v>Material</v>
          </cell>
          <cell r="C256" t="str">
            <v>Alambre galvanizado liso #18</v>
          </cell>
          <cell r="D256">
            <v>5.9799999999999999E-2</v>
          </cell>
          <cell r="E256" t="str">
            <v>lb</v>
          </cell>
          <cell r="F256">
            <v>42.28</v>
          </cell>
          <cell r="G256">
            <v>2.5283440000000001</v>
          </cell>
          <cell r="H256">
            <v>0.45510191999999999</v>
          </cell>
          <cell r="I256">
            <v>2.9834459200000003</v>
          </cell>
        </row>
        <row r="257">
          <cell r="A257" t="str">
            <v>H0320204</v>
          </cell>
          <cell r="B257" t="str">
            <v>Mano de obra</v>
          </cell>
          <cell r="C257" t="str">
            <v>M.O. Alb colocación bloques de 8" (Inc. Llenado y Acero)</v>
          </cell>
          <cell r="D257">
            <v>13</v>
          </cell>
          <cell r="E257" t="str">
            <v>u</v>
          </cell>
          <cell r="F257">
            <v>16.149999999999999</v>
          </cell>
          <cell r="G257">
            <v>209.95</v>
          </cell>
          <cell r="H257">
            <v>0</v>
          </cell>
          <cell r="I257">
            <v>209.95</v>
          </cell>
        </row>
        <row r="258">
          <cell r="A258" t="str">
            <v>H%FH</v>
          </cell>
          <cell r="B258" t="str">
            <v>Otros</v>
          </cell>
          <cell r="C258" t="str">
            <v>Factor Herramientas</v>
          </cell>
          <cell r="D258">
            <v>1</v>
          </cell>
          <cell r="E258" t="str">
            <v>%</v>
          </cell>
          <cell r="F258">
            <v>209.95</v>
          </cell>
          <cell r="G258">
            <v>2.0994999999999999</v>
          </cell>
          <cell r="H258">
            <v>0</v>
          </cell>
          <cell r="I258">
            <v>2.0994999999999999</v>
          </cell>
        </row>
        <row r="259">
          <cell r="A259">
            <v>0</v>
          </cell>
          <cell r="B259">
            <v>0</v>
          </cell>
          <cell r="C259" t="str">
            <v>Total 01.04.14</v>
          </cell>
          <cell r="D259">
            <v>1</v>
          </cell>
          <cell r="E259">
            <v>0</v>
          </cell>
          <cell r="F259">
            <v>0</v>
          </cell>
          <cell r="G259">
            <v>1064.991182</v>
          </cell>
          <cell r="H259">
            <v>142.35150275999999</v>
          </cell>
          <cell r="I259">
            <v>1207.3426847600001</v>
          </cell>
        </row>
        <row r="260">
          <cell r="A260" t="str">
            <v>01.04.15</v>
          </cell>
          <cell r="B260" t="str">
            <v>Partida</v>
          </cell>
          <cell r="C260" t="str">
            <v>Bloques de 4" SNP 3/8@ 0.40mt</v>
          </cell>
          <cell r="D260">
            <v>1</v>
          </cell>
          <cell r="E260" t="str">
            <v>m²</v>
          </cell>
          <cell r="F260">
            <v>0</v>
          </cell>
          <cell r="G260">
            <v>764.31819039999993</v>
          </cell>
          <cell r="H260">
            <v>82.206524159999987</v>
          </cell>
          <cell r="I260">
            <v>846.52471456000001</v>
          </cell>
        </row>
        <row r="261">
          <cell r="A261" t="str">
            <v>P1805010</v>
          </cell>
          <cell r="B261" t="str">
            <v>Material</v>
          </cell>
          <cell r="C261" t="str">
            <v>Bloque de hormigón de 4"</v>
          </cell>
          <cell r="D261">
            <v>14.375</v>
          </cell>
          <cell r="E261" t="str">
            <v>u</v>
          </cell>
          <cell r="F261">
            <v>22.88</v>
          </cell>
          <cell r="G261">
            <v>328.9</v>
          </cell>
          <cell r="H261">
            <v>59.201999999999991</v>
          </cell>
          <cell r="I261">
            <v>388.10199999999998</v>
          </cell>
        </row>
        <row r="262">
          <cell r="A262" t="str">
            <v>P0201008</v>
          </cell>
          <cell r="B262" t="str">
            <v>Material</v>
          </cell>
          <cell r="C262" t="str">
            <v>Arena Itabo Lavada</v>
          </cell>
          <cell r="D262">
            <v>1.34E-2</v>
          </cell>
          <cell r="E262" t="str">
            <v>m³</v>
          </cell>
          <cell r="F262">
            <v>930.76</v>
          </cell>
          <cell r="G262">
            <v>12.472184</v>
          </cell>
          <cell r="H262">
            <v>2.2449931200000002</v>
          </cell>
          <cell r="I262">
            <v>14.717177120000001</v>
          </cell>
        </row>
        <row r="263">
          <cell r="A263" t="str">
            <v>P0601003</v>
          </cell>
          <cell r="B263" t="str">
            <v>Material</v>
          </cell>
          <cell r="C263" t="str">
            <v>Cemento Gris 94 lbs. Tipo Portland</v>
          </cell>
          <cell r="D263">
            <v>0.11559999999999999</v>
          </cell>
          <cell r="E263" t="str">
            <v>fd</v>
          </cell>
          <cell r="F263">
            <v>295</v>
          </cell>
          <cell r="G263">
            <v>34.101999999999997</v>
          </cell>
          <cell r="H263">
            <v>6.1383599999999996</v>
          </cell>
          <cell r="I263">
            <v>40.240359999999995</v>
          </cell>
        </row>
        <row r="264">
          <cell r="A264" t="str">
            <v>P2403199</v>
          </cell>
          <cell r="B264" t="str">
            <v>Material</v>
          </cell>
          <cell r="C264" t="str">
            <v>Agua</v>
          </cell>
          <cell r="D264">
            <v>0.72</v>
          </cell>
          <cell r="E264" t="str">
            <v>gl</v>
          </cell>
          <cell r="F264">
            <v>1.58</v>
          </cell>
          <cell r="G264">
            <v>1.1375999999999999</v>
          </cell>
          <cell r="H264">
            <v>0.20476799999999998</v>
          </cell>
          <cell r="I264">
            <v>1.342368</v>
          </cell>
        </row>
        <row r="265">
          <cell r="A265" t="str">
            <v>P0109018</v>
          </cell>
          <cell r="B265" t="str">
            <v>Auxiliar</v>
          </cell>
          <cell r="C265" t="str">
            <v>Hormigón In Situ fc=120Kg/Cm²  Agreg 3/8@1/2</v>
          </cell>
          <cell r="D265">
            <v>2.8799999999999999E-2</v>
          </cell>
          <cell r="E265" t="str">
            <v>m³</v>
          </cell>
          <cell r="F265">
            <v>4435.2180000000008</v>
          </cell>
          <cell r="G265">
            <v>127.73427840000002</v>
          </cell>
          <cell r="H265">
            <v>0</v>
          </cell>
          <cell r="I265">
            <v>127.73427840000002</v>
          </cell>
        </row>
        <row r="266">
          <cell r="A266" t="str">
            <v>P0401066</v>
          </cell>
          <cell r="B266" t="str">
            <v>Material</v>
          </cell>
          <cell r="C266" t="str">
            <v>Acero G-60, Long. Variable</v>
          </cell>
          <cell r="D266">
            <v>3.3799999999999997E-2</v>
          </cell>
          <cell r="E266" t="str">
            <v>qq</v>
          </cell>
          <cell r="F266">
            <v>2285</v>
          </cell>
          <cell r="G266">
            <v>77.23299999999999</v>
          </cell>
          <cell r="H266">
            <v>13.901939999999998</v>
          </cell>
          <cell r="I266">
            <v>91.134939999999986</v>
          </cell>
        </row>
        <row r="267">
          <cell r="A267" t="str">
            <v>P0418006</v>
          </cell>
          <cell r="B267" t="str">
            <v>Material</v>
          </cell>
          <cell r="C267" t="str">
            <v>Alambre galvanizado liso #18</v>
          </cell>
          <cell r="D267">
            <v>6.7599999999999993E-2</v>
          </cell>
          <cell r="E267" t="str">
            <v>lb</v>
          </cell>
          <cell r="F267">
            <v>42.28</v>
          </cell>
          <cell r="G267">
            <v>2.8581279999999998</v>
          </cell>
          <cell r="H267">
            <v>0.51446303999999998</v>
          </cell>
          <cell r="I267">
            <v>3.3725910399999997</v>
          </cell>
        </row>
        <row r="268">
          <cell r="A268" t="str">
            <v>H0320202</v>
          </cell>
          <cell r="B268" t="str">
            <v>Mano de obra</v>
          </cell>
          <cell r="C268" t="str">
            <v>M.O. Alb colocación bloques de 4" (Inc. Llenado y Acero)</v>
          </cell>
          <cell r="D268">
            <v>13</v>
          </cell>
          <cell r="E268" t="str">
            <v>u</v>
          </cell>
          <cell r="F268">
            <v>13.7</v>
          </cell>
          <cell r="G268">
            <v>178.1</v>
          </cell>
          <cell r="H268">
            <v>0</v>
          </cell>
          <cell r="I268">
            <v>178.1</v>
          </cell>
        </row>
        <row r="269">
          <cell r="A269" t="str">
            <v>H%FH</v>
          </cell>
          <cell r="B269" t="str">
            <v>Otros</v>
          </cell>
          <cell r="C269" t="str">
            <v>Factor Herramientas</v>
          </cell>
          <cell r="D269">
            <v>1</v>
          </cell>
          <cell r="E269" t="str">
            <v>%</v>
          </cell>
          <cell r="F269">
            <v>178.1</v>
          </cell>
          <cell r="G269">
            <v>1.7809999999999999</v>
          </cell>
          <cell r="H269">
            <v>0</v>
          </cell>
          <cell r="I269">
            <v>1.7809999999999999</v>
          </cell>
        </row>
        <row r="270">
          <cell r="A270">
            <v>0</v>
          </cell>
          <cell r="B270">
            <v>0</v>
          </cell>
          <cell r="C270" t="str">
            <v>Total 01.04.15</v>
          </cell>
          <cell r="D270">
            <v>1</v>
          </cell>
          <cell r="E270">
            <v>0</v>
          </cell>
          <cell r="F270">
            <v>0</v>
          </cell>
          <cell r="G270">
            <v>764.31819039999993</v>
          </cell>
          <cell r="H270">
            <v>82.206524159999987</v>
          </cell>
          <cell r="I270">
            <v>846.52471456000001</v>
          </cell>
        </row>
        <row r="271">
          <cell r="A271" t="str">
            <v>01.04.16</v>
          </cell>
          <cell r="B271" t="str">
            <v>Partida</v>
          </cell>
          <cell r="C271" t="str">
            <v>Bloques de 6" BNP y SNP Ø 3/8 @ 0.40 con serpentina 2Ø3/8 cada 3 lineas</v>
          </cell>
          <cell r="D271">
            <v>1</v>
          </cell>
          <cell r="E271" t="str">
            <v>m²</v>
          </cell>
          <cell r="F271">
            <v>0</v>
          </cell>
          <cell r="G271">
            <v>1263.2923244159999</v>
          </cell>
          <cell r="H271">
            <v>117.20740831488</v>
          </cell>
          <cell r="I271">
            <v>1380.4997327308799</v>
          </cell>
        </row>
        <row r="272">
          <cell r="A272" t="str">
            <v>P1805011</v>
          </cell>
          <cell r="B272" t="str">
            <v>Material</v>
          </cell>
          <cell r="C272" t="str">
            <v>Bloque de hormigón de 6"</v>
          </cell>
          <cell r="D272">
            <v>13.125</v>
          </cell>
          <cell r="E272" t="str">
            <v>u</v>
          </cell>
          <cell r="F272">
            <v>23.52</v>
          </cell>
          <cell r="G272">
            <v>308.7</v>
          </cell>
          <cell r="H272">
            <v>55.565999999999995</v>
          </cell>
          <cell r="I272">
            <v>364.26599999999996</v>
          </cell>
        </row>
        <row r="273">
          <cell r="A273" t="str">
            <v>P0201008</v>
          </cell>
          <cell r="B273" t="str">
            <v>Material</v>
          </cell>
          <cell r="C273" t="str">
            <v>Arena Itabo Lavada</v>
          </cell>
          <cell r="D273">
            <v>3.49E-2</v>
          </cell>
          <cell r="E273" t="str">
            <v>m³</v>
          </cell>
          <cell r="F273">
            <v>930.76</v>
          </cell>
          <cell r="G273">
            <v>32.483524000000003</v>
          </cell>
          <cell r="H273">
            <v>5.8470343200000006</v>
          </cell>
          <cell r="I273">
            <v>38.330558320000002</v>
          </cell>
        </row>
        <row r="274">
          <cell r="A274" t="str">
            <v>P0601003</v>
          </cell>
          <cell r="B274" t="str">
            <v>Material</v>
          </cell>
          <cell r="C274" t="str">
            <v>Cemento Gris 94 lbs. Tipo Portland</v>
          </cell>
          <cell r="D274">
            <v>0.30049999999999999</v>
          </cell>
          <cell r="E274" t="str">
            <v>fd</v>
          </cell>
          <cell r="F274">
            <v>295</v>
          </cell>
          <cell r="G274">
            <v>88.647499999999994</v>
          </cell>
          <cell r="H274">
            <v>15.956549999999998</v>
          </cell>
          <cell r="I274">
            <v>104.60404999999999</v>
          </cell>
        </row>
        <row r="275">
          <cell r="A275" t="str">
            <v>P2403199</v>
          </cell>
          <cell r="B275" t="str">
            <v>Material</v>
          </cell>
          <cell r="C275" t="str">
            <v>Agua</v>
          </cell>
          <cell r="D275">
            <v>1.8720000000000001</v>
          </cell>
          <cell r="E275" t="str">
            <v>gl</v>
          </cell>
          <cell r="F275">
            <v>1.58</v>
          </cell>
          <cell r="G275">
            <v>2.9577600000000004</v>
          </cell>
          <cell r="H275">
            <v>0.5323968</v>
          </cell>
          <cell r="I275">
            <v>3.4901568000000003</v>
          </cell>
        </row>
        <row r="276">
          <cell r="A276" t="str">
            <v>P0109018</v>
          </cell>
          <cell r="B276" t="str">
            <v>Auxiliar</v>
          </cell>
          <cell r="C276" t="str">
            <v>Hormigón In Situ fc=120Kg/Cm²  Agreg 3/8@1/2</v>
          </cell>
          <cell r="D276">
            <v>9.1999999999999998E-2</v>
          </cell>
          <cell r="E276" t="str">
            <v>m³</v>
          </cell>
          <cell r="F276">
            <v>4435.2180000000008</v>
          </cell>
          <cell r="G276">
            <v>408.04005600000005</v>
          </cell>
          <cell r="H276">
            <v>0</v>
          </cell>
          <cell r="I276">
            <v>408.04005600000005</v>
          </cell>
        </row>
        <row r="277">
          <cell r="A277" t="str">
            <v>P0401066</v>
          </cell>
          <cell r="B277" t="str">
            <v>Material</v>
          </cell>
          <cell r="C277" t="str">
            <v>Acero G-60, Long. Variable</v>
          </cell>
          <cell r="D277">
            <v>9.2153600000000016E-2</v>
          </cell>
          <cell r="E277" t="str">
            <v>qq</v>
          </cell>
          <cell r="F277">
            <v>2285</v>
          </cell>
          <cell r="G277">
            <v>210.57097600000003</v>
          </cell>
          <cell r="H277">
            <v>37.902775680000005</v>
          </cell>
          <cell r="I277">
            <v>248.47375168000002</v>
          </cell>
        </row>
        <row r="278">
          <cell r="A278" t="str">
            <v>P0418006</v>
          </cell>
          <cell r="B278" t="str">
            <v>Material</v>
          </cell>
          <cell r="C278" t="str">
            <v>Alambre galvanizado liso #18</v>
          </cell>
          <cell r="D278">
            <v>0.18430720000000003</v>
          </cell>
          <cell r="E278" t="str">
            <v>lb</v>
          </cell>
          <cell r="F278">
            <v>42.28</v>
          </cell>
          <cell r="G278">
            <v>7.7925084160000013</v>
          </cell>
          <cell r="H278">
            <v>1.4026515148800003</v>
          </cell>
          <cell r="I278">
            <v>9.1951599308800009</v>
          </cell>
        </row>
        <row r="279">
          <cell r="A279" t="str">
            <v>H0320201</v>
          </cell>
          <cell r="B279" t="str">
            <v>Mano de obra</v>
          </cell>
          <cell r="C279" t="str">
            <v>M.O. Alb. Colocación Bloques de 6" (Inc. Llenado y Acero)</v>
          </cell>
          <cell r="D279">
            <v>13</v>
          </cell>
          <cell r="E279" t="str">
            <v>u</v>
          </cell>
          <cell r="F279">
            <v>15.7</v>
          </cell>
          <cell r="G279">
            <v>204.1</v>
          </cell>
          <cell r="H279">
            <v>0</v>
          </cell>
          <cell r="I279">
            <v>204.1</v>
          </cell>
        </row>
        <row r="280">
          <cell r="A280" t="str">
            <v>H0325001</v>
          </cell>
          <cell r="B280" t="str">
            <v>Auxiliar</v>
          </cell>
          <cell r="C280" t="str">
            <v>M.O. Resanes de Albañilería p/ Instalaciones</v>
          </cell>
          <cell r="D280">
            <v>1</v>
          </cell>
          <cell r="E280" t="str">
            <v>m²</v>
          </cell>
          <cell r="F280">
            <v>0</v>
          </cell>
          <cell r="G280">
            <v>0</v>
          </cell>
          <cell r="H280">
            <v>0</v>
          </cell>
          <cell r="I280">
            <v>0</v>
          </cell>
        </row>
        <row r="281">
          <cell r="A281" t="str">
            <v>H%FH</v>
          </cell>
          <cell r="B281" t="str">
            <v>Otros</v>
          </cell>
          <cell r="C281" t="str">
            <v>Factor Herramientas</v>
          </cell>
          <cell r="D281">
            <v>1</v>
          </cell>
          <cell r="E281" t="str">
            <v>%</v>
          </cell>
          <cell r="F281">
            <v>0</v>
          </cell>
          <cell r="G281">
            <v>0</v>
          </cell>
          <cell r="H281">
            <v>0</v>
          </cell>
          <cell r="I281">
            <v>0</v>
          </cell>
        </row>
        <row r="282">
          <cell r="A282">
            <v>0</v>
          </cell>
          <cell r="B282">
            <v>0</v>
          </cell>
          <cell r="C282" t="str">
            <v>Total 01.04.16</v>
          </cell>
          <cell r="D282">
            <v>1</v>
          </cell>
          <cell r="E282">
            <v>0</v>
          </cell>
          <cell r="F282">
            <v>0</v>
          </cell>
          <cell r="G282">
            <v>1263.2923244159999</v>
          </cell>
          <cell r="H282">
            <v>117.20740831488</v>
          </cell>
          <cell r="I282">
            <v>1380.4997327308799</v>
          </cell>
        </row>
        <row r="283">
          <cell r="A283" t="str">
            <v>01.04.17</v>
          </cell>
          <cell r="B283" t="str">
            <v>Partida</v>
          </cell>
          <cell r="C283" t="str">
            <v>Bloques de 8" BNP Ø 3/8@ 0.20mt cámaras llenas con serpentina @0.40mt</v>
          </cell>
          <cell r="D283">
            <v>1</v>
          </cell>
          <cell r="E283" t="str">
            <v>m²</v>
          </cell>
          <cell r="F283">
            <v>0</v>
          </cell>
          <cell r="G283">
            <v>1634.9916629440002</v>
          </cell>
          <cell r="H283">
            <v>168.79127647391999</v>
          </cell>
          <cell r="I283">
            <v>1803.7829394179203</v>
          </cell>
        </row>
        <row r="284">
          <cell r="A284" t="str">
            <v>P1805012</v>
          </cell>
          <cell r="B284" t="str">
            <v>Material</v>
          </cell>
          <cell r="C284" t="str">
            <v>Bloque de hormigón de 8"</v>
          </cell>
          <cell r="D284">
            <v>13.125</v>
          </cell>
          <cell r="E284" t="str">
            <v>u</v>
          </cell>
          <cell r="F284">
            <v>29.97</v>
          </cell>
          <cell r="G284">
            <v>393.35624999999999</v>
          </cell>
          <cell r="H284">
            <v>70.804124999999999</v>
          </cell>
          <cell r="I284">
            <v>464.16037499999999</v>
          </cell>
        </row>
        <row r="285">
          <cell r="A285" t="str">
            <v>P0201008</v>
          </cell>
          <cell r="B285" t="str">
            <v>Material</v>
          </cell>
          <cell r="C285" t="str">
            <v>Arena Itabo Lavada</v>
          </cell>
          <cell r="D285">
            <v>5.6000000000000001E-2</v>
          </cell>
          <cell r="E285" t="str">
            <v>m³</v>
          </cell>
          <cell r="F285">
            <v>930.76</v>
          </cell>
          <cell r="G285">
            <v>52.12256</v>
          </cell>
          <cell r="H285">
            <v>9.3820607999999996</v>
          </cell>
          <cell r="I285">
            <v>61.504620799999998</v>
          </cell>
        </row>
        <row r="286">
          <cell r="A286" t="str">
            <v>P0601003</v>
          </cell>
          <cell r="B286" t="str">
            <v>Material</v>
          </cell>
          <cell r="C286" t="str">
            <v>Cemento Gris 94 lbs. Tipo Portland</v>
          </cell>
          <cell r="D286">
            <v>0.43340000000000001</v>
          </cell>
          <cell r="E286" t="str">
            <v>fd</v>
          </cell>
          <cell r="F286">
            <v>295</v>
          </cell>
          <cell r="G286">
            <v>127.85300000000001</v>
          </cell>
          <cell r="H286">
            <v>23.013539999999999</v>
          </cell>
          <cell r="I286">
            <v>150.86654000000001</v>
          </cell>
        </row>
        <row r="287">
          <cell r="A287" t="str">
            <v>P2403199</v>
          </cell>
          <cell r="B287" t="str">
            <v>Material</v>
          </cell>
          <cell r="C287" t="str">
            <v>Agua</v>
          </cell>
          <cell r="D287">
            <v>3</v>
          </cell>
          <cell r="E287" t="str">
            <v>gl</v>
          </cell>
          <cell r="F287">
            <v>1.58</v>
          </cell>
          <cell r="G287">
            <v>4.74</v>
          </cell>
          <cell r="H287">
            <v>0.85319999999999996</v>
          </cell>
          <cell r="I287">
            <v>5.5932000000000004</v>
          </cell>
        </row>
        <row r="288">
          <cell r="A288" t="str">
            <v>P0109018</v>
          </cell>
          <cell r="B288" t="str">
            <v>Auxiliar</v>
          </cell>
          <cell r="C288" t="str">
            <v>Hormigón In Situ fc=120Kg/Cm²  Agreg 3/8@1/2</v>
          </cell>
          <cell r="D288">
            <v>0.1094</v>
          </cell>
          <cell r="E288" t="str">
            <v>m³</v>
          </cell>
          <cell r="F288">
            <v>4435.2180000000008</v>
          </cell>
          <cell r="G288">
            <v>485.21284920000005</v>
          </cell>
          <cell r="H288">
            <v>0</v>
          </cell>
          <cell r="I288">
            <v>485.21284920000005</v>
          </cell>
        </row>
        <row r="289">
          <cell r="A289" t="str">
            <v>P0401066</v>
          </cell>
          <cell r="B289" t="str">
            <v>Material</v>
          </cell>
          <cell r="C289" t="str">
            <v>Acero G-60, Long. Variable</v>
          </cell>
          <cell r="D289">
            <v>0.15178240000000001</v>
          </cell>
          <cell r="E289" t="str">
            <v>qq</v>
          </cell>
          <cell r="F289">
            <v>2285</v>
          </cell>
          <cell r="G289">
            <v>346.82278400000001</v>
          </cell>
          <cell r="H289">
            <v>62.428101120000001</v>
          </cell>
          <cell r="I289">
            <v>409.25088512000002</v>
          </cell>
        </row>
        <row r="290">
          <cell r="A290" t="str">
            <v>P0418006</v>
          </cell>
          <cell r="B290" t="str">
            <v>Material</v>
          </cell>
          <cell r="C290" t="str">
            <v>Alambre galvanizado liso #18</v>
          </cell>
          <cell r="D290">
            <v>0.30356480000000002</v>
          </cell>
          <cell r="E290" t="str">
            <v>lb</v>
          </cell>
          <cell r="F290">
            <v>42.28</v>
          </cell>
          <cell r="G290">
            <v>12.834719744000001</v>
          </cell>
          <cell r="H290">
            <v>2.3102495539199999</v>
          </cell>
          <cell r="I290">
            <v>15.144969297920001</v>
          </cell>
        </row>
        <row r="291">
          <cell r="A291" t="str">
            <v>H0320204</v>
          </cell>
          <cell r="B291" t="str">
            <v>Mano de obra</v>
          </cell>
          <cell r="C291" t="str">
            <v>M.O. Alb colocación bloques de 8" (Inc. Llenado y Acero)</v>
          </cell>
          <cell r="D291">
            <v>13</v>
          </cell>
          <cell r="E291" t="str">
            <v>u</v>
          </cell>
          <cell r="F291">
            <v>16.149999999999999</v>
          </cell>
          <cell r="G291">
            <v>209.95</v>
          </cell>
          <cell r="H291">
            <v>0</v>
          </cell>
          <cell r="I291">
            <v>209.95</v>
          </cell>
        </row>
        <row r="292">
          <cell r="A292" t="str">
            <v>H%FH</v>
          </cell>
          <cell r="B292" t="str">
            <v>Otros</v>
          </cell>
          <cell r="C292" t="str">
            <v>Factor Herramientas</v>
          </cell>
          <cell r="D292">
            <v>1</v>
          </cell>
          <cell r="E292" t="str">
            <v>%</v>
          </cell>
          <cell r="F292">
            <v>209.95</v>
          </cell>
          <cell r="G292">
            <v>2.0994999999999999</v>
          </cell>
          <cell r="H292">
            <v>0</v>
          </cell>
          <cell r="I292">
            <v>2.0994999999999999</v>
          </cell>
        </row>
        <row r="293">
          <cell r="A293">
            <v>0</v>
          </cell>
          <cell r="B293">
            <v>0</v>
          </cell>
          <cell r="C293" t="str">
            <v>Total 01.04.17</v>
          </cell>
          <cell r="D293">
            <v>1</v>
          </cell>
          <cell r="E293">
            <v>0</v>
          </cell>
          <cell r="F293">
            <v>0</v>
          </cell>
          <cell r="G293">
            <v>1634.9916629440002</v>
          </cell>
          <cell r="H293">
            <v>168.79127647391999</v>
          </cell>
          <cell r="I293">
            <v>1803.7829394179203</v>
          </cell>
        </row>
        <row r="294">
          <cell r="A294" t="str">
            <v>01.04.18</v>
          </cell>
          <cell r="B294" t="str">
            <v>Partida</v>
          </cell>
          <cell r="C294" t="str">
            <v>Bloques de 8" BNP y SNP Ø 3/8 @ 0.20 con serpentina 2Ø3/8 cada 3 lineas</v>
          </cell>
          <cell r="D294">
            <v>1</v>
          </cell>
          <cell r="E294" t="str">
            <v>m²</v>
          </cell>
          <cell r="F294">
            <v>0</v>
          </cell>
          <cell r="G294">
            <v>1570.7671087040001</v>
          </cell>
          <cell r="H294">
            <v>157.23085671071999</v>
          </cell>
          <cell r="I294">
            <v>1727.9979654147203</v>
          </cell>
        </row>
        <row r="295">
          <cell r="A295" t="str">
            <v>P1805012</v>
          </cell>
          <cell r="B295" t="str">
            <v>Material</v>
          </cell>
          <cell r="C295" t="str">
            <v>Bloque de hormigón de 8"</v>
          </cell>
          <cell r="D295">
            <v>13.125</v>
          </cell>
          <cell r="E295" t="str">
            <v>u</v>
          </cell>
          <cell r="F295">
            <v>29.97</v>
          </cell>
          <cell r="G295">
            <v>393.35624999999999</v>
          </cell>
          <cell r="H295">
            <v>70.804124999999999</v>
          </cell>
          <cell r="I295">
            <v>464.16037499999999</v>
          </cell>
        </row>
        <row r="296">
          <cell r="A296" t="str">
            <v>P0201008</v>
          </cell>
          <cell r="B296" t="str">
            <v>Material</v>
          </cell>
          <cell r="C296" t="str">
            <v>Arena Itabo Lavada</v>
          </cell>
          <cell r="D296">
            <v>5.6000000000000001E-2</v>
          </cell>
          <cell r="E296" t="str">
            <v>m³</v>
          </cell>
          <cell r="F296">
            <v>930.76</v>
          </cell>
          <cell r="G296">
            <v>52.12256</v>
          </cell>
          <cell r="H296">
            <v>9.3820607999999996</v>
          </cell>
          <cell r="I296">
            <v>61.504620799999998</v>
          </cell>
        </row>
        <row r="297">
          <cell r="A297" t="str">
            <v>P0601003</v>
          </cell>
          <cell r="B297" t="str">
            <v>Material</v>
          </cell>
          <cell r="C297" t="str">
            <v>Cemento Gris 94 lbs. Tipo Portland</v>
          </cell>
          <cell r="D297">
            <v>0.43340000000000001</v>
          </cell>
          <cell r="E297" t="str">
            <v>fd</v>
          </cell>
          <cell r="F297">
            <v>295</v>
          </cell>
          <cell r="G297">
            <v>127.85300000000001</v>
          </cell>
          <cell r="H297">
            <v>23.013539999999999</v>
          </cell>
          <cell r="I297">
            <v>150.86654000000001</v>
          </cell>
        </row>
        <row r="298">
          <cell r="A298" t="str">
            <v>P2403199</v>
          </cell>
          <cell r="B298" t="str">
            <v>Material</v>
          </cell>
          <cell r="C298" t="str">
            <v>Agua</v>
          </cell>
          <cell r="D298">
            <v>3</v>
          </cell>
          <cell r="E298" t="str">
            <v>gl</v>
          </cell>
          <cell r="F298">
            <v>1.58</v>
          </cell>
          <cell r="G298">
            <v>4.74</v>
          </cell>
          <cell r="H298">
            <v>0.85319999999999996</v>
          </cell>
          <cell r="I298">
            <v>5.5932000000000004</v>
          </cell>
        </row>
        <row r="299">
          <cell r="A299" t="str">
            <v>P0109018</v>
          </cell>
          <cell r="B299" t="str">
            <v>Auxiliar</v>
          </cell>
          <cell r="C299" t="str">
            <v>Hormigón In Situ fc=120Kg/Cm²  Agreg 3/8@1/2</v>
          </cell>
          <cell r="D299">
            <v>0.1094</v>
          </cell>
          <cell r="E299" t="str">
            <v>m³</v>
          </cell>
          <cell r="F299">
            <v>4435.2180000000008</v>
          </cell>
          <cell r="G299">
            <v>485.21284920000005</v>
          </cell>
          <cell r="H299">
            <v>0</v>
          </cell>
          <cell r="I299">
            <v>485.21284920000005</v>
          </cell>
        </row>
        <row r="300">
          <cell r="A300" t="str">
            <v>P0401066</v>
          </cell>
          <cell r="B300" t="str">
            <v>Material</v>
          </cell>
          <cell r="C300" t="str">
            <v>Acero G-60, Long. Variable</v>
          </cell>
          <cell r="D300">
            <v>0.12467839999999999</v>
          </cell>
          <cell r="E300" t="str">
            <v>qq</v>
          </cell>
          <cell r="F300">
            <v>2285</v>
          </cell>
          <cell r="G300">
            <v>284.89014399999996</v>
          </cell>
          <cell r="H300">
            <v>51.280225919999992</v>
          </cell>
          <cell r="I300">
            <v>336.17036991999998</v>
          </cell>
        </row>
        <row r="301">
          <cell r="A301" t="str">
            <v>P0418006</v>
          </cell>
          <cell r="B301" t="str">
            <v>Material</v>
          </cell>
          <cell r="C301" t="str">
            <v>Alambre galvanizado liso #18</v>
          </cell>
          <cell r="D301">
            <v>0.24935679999999999</v>
          </cell>
          <cell r="E301" t="str">
            <v>lb</v>
          </cell>
          <cell r="F301">
            <v>42.28</v>
          </cell>
          <cell r="G301">
            <v>10.542805504</v>
          </cell>
          <cell r="H301">
            <v>1.8977049907200001</v>
          </cell>
          <cell r="I301">
            <v>12.44051049472</v>
          </cell>
        </row>
        <row r="302">
          <cell r="A302" t="str">
            <v>H0320204</v>
          </cell>
          <cell r="B302" t="str">
            <v>Mano de obra</v>
          </cell>
          <cell r="C302" t="str">
            <v>M.O. Alb colocación bloques de 8" (Inc. Llenado y Acero)</v>
          </cell>
          <cell r="D302">
            <v>13</v>
          </cell>
          <cell r="E302" t="str">
            <v>u</v>
          </cell>
          <cell r="F302">
            <v>16.149999999999999</v>
          </cell>
          <cell r="G302">
            <v>209.95</v>
          </cell>
          <cell r="H302">
            <v>0</v>
          </cell>
          <cell r="I302">
            <v>209.95</v>
          </cell>
        </row>
        <row r="303">
          <cell r="A303" t="str">
            <v>H%FH</v>
          </cell>
          <cell r="B303" t="str">
            <v>Otros</v>
          </cell>
          <cell r="C303" t="str">
            <v>Factor Herramientas</v>
          </cell>
          <cell r="D303">
            <v>1</v>
          </cell>
          <cell r="E303" t="str">
            <v>%</v>
          </cell>
          <cell r="F303">
            <v>209.95</v>
          </cell>
          <cell r="G303">
            <v>2.0994999999999999</v>
          </cell>
          <cell r="H303">
            <v>0</v>
          </cell>
          <cell r="I303">
            <v>2.0994999999999999</v>
          </cell>
        </row>
        <row r="304">
          <cell r="A304">
            <v>0</v>
          </cell>
          <cell r="B304">
            <v>0</v>
          </cell>
          <cell r="C304" t="str">
            <v>Total 01.04.18</v>
          </cell>
          <cell r="D304">
            <v>1</v>
          </cell>
          <cell r="E304">
            <v>0</v>
          </cell>
          <cell r="F304">
            <v>0</v>
          </cell>
          <cell r="G304">
            <v>1570.7671087040001</v>
          </cell>
          <cell r="H304">
            <v>157.23085671071999</v>
          </cell>
          <cell r="I304">
            <v>1727.9979654147203</v>
          </cell>
        </row>
        <row r="305">
          <cell r="A305" t="str">
            <v>01.04.19</v>
          </cell>
          <cell r="B305" t="str">
            <v>Partida</v>
          </cell>
          <cell r="C305" t="str">
            <v>Bloques de 8" BNP y SNP Ø 3/8 @ 0.40 con serpentina</v>
          </cell>
          <cell r="D305">
            <v>1</v>
          </cell>
          <cell r="E305" t="str">
            <v>m²</v>
          </cell>
          <cell r="F305">
            <v>0</v>
          </cell>
          <cell r="G305">
            <v>1255.9699588160001</v>
          </cell>
          <cell r="H305">
            <v>143.35835299488002</v>
          </cell>
          <cell r="I305">
            <v>1399.3283118108802</v>
          </cell>
        </row>
        <row r="306">
          <cell r="A306" t="str">
            <v>P1805012</v>
          </cell>
          <cell r="B306" t="str">
            <v>Material</v>
          </cell>
          <cell r="C306" t="str">
            <v>Bloque de hormigón de 8"</v>
          </cell>
          <cell r="D306">
            <v>13.125</v>
          </cell>
          <cell r="E306" t="str">
            <v>u</v>
          </cell>
          <cell r="F306">
            <v>29.97</v>
          </cell>
          <cell r="G306">
            <v>393.35624999999999</v>
          </cell>
          <cell r="H306">
            <v>70.804124999999999</v>
          </cell>
          <cell r="I306">
            <v>464.16037499999999</v>
          </cell>
        </row>
        <row r="307">
          <cell r="A307" t="str">
            <v>P0201008</v>
          </cell>
          <cell r="B307" t="str">
            <v>Material</v>
          </cell>
          <cell r="C307" t="str">
            <v>Arena Itabo Lavada</v>
          </cell>
          <cell r="D307">
            <v>5.6000000000000001E-2</v>
          </cell>
          <cell r="E307" t="str">
            <v>m³</v>
          </cell>
          <cell r="F307">
            <v>930.76</v>
          </cell>
          <cell r="G307">
            <v>52.12256</v>
          </cell>
          <cell r="H307">
            <v>9.3820607999999996</v>
          </cell>
          <cell r="I307">
            <v>61.504620799999998</v>
          </cell>
        </row>
        <row r="308">
          <cell r="A308" t="str">
            <v>P0601003</v>
          </cell>
          <cell r="B308" t="str">
            <v>Material</v>
          </cell>
          <cell r="C308" t="str">
            <v>Cemento Gris 94 lbs. Tipo Portland</v>
          </cell>
          <cell r="D308">
            <v>0.43340000000000001</v>
          </cell>
          <cell r="E308" t="str">
            <v>fd</v>
          </cell>
          <cell r="F308">
            <v>295</v>
          </cell>
          <cell r="G308">
            <v>127.85300000000001</v>
          </cell>
          <cell r="H308">
            <v>23.013539999999999</v>
          </cell>
          <cell r="I308">
            <v>150.86654000000001</v>
          </cell>
        </row>
        <row r="309">
          <cell r="A309" t="str">
            <v>P2403199</v>
          </cell>
          <cell r="B309" t="str">
            <v>Material</v>
          </cell>
          <cell r="C309" t="str">
            <v>Agua</v>
          </cell>
          <cell r="D309">
            <v>3</v>
          </cell>
          <cell r="E309" t="str">
            <v>gl</v>
          </cell>
          <cell r="F309">
            <v>1.58</v>
          </cell>
          <cell r="G309">
            <v>4.74</v>
          </cell>
          <cell r="H309">
            <v>0.85319999999999996</v>
          </cell>
          <cell r="I309">
            <v>5.5932000000000004</v>
          </cell>
        </row>
        <row r="310">
          <cell r="A310" t="str">
            <v>P0109018</v>
          </cell>
          <cell r="B310" t="str">
            <v>Auxiliar</v>
          </cell>
          <cell r="C310" t="str">
            <v>Hormigón In Situ fc=120Kg/Cm²  Agreg 3/8@1/2</v>
          </cell>
          <cell r="D310">
            <v>5.5800000000000002E-2</v>
          </cell>
          <cell r="E310" t="str">
            <v>m³</v>
          </cell>
          <cell r="F310">
            <v>4435.2180000000008</v>
          </cell>
          <cell r="G310">
            <v>247.48516440000006</v>
          </cell>
          <cell r="H310">
            <v>0</v>
          </cell>
          <cell r="I310">
            <v>247.48516440000006</v>
          </cell>
        </row>
        <row r="311">
          <cell r="A311" t="str">
            <v>P0401066</v>
          </cell>
          <cell r="B311" t="str">
            <v>Material</v>
          </cell>
          <cell r="C311" t="str">
            <v>Acero G-60, Long. Variable</v>
          </cell>
          <cell r="D311">
            <v>9.2153600000000016E-2</v>
          </cell>
          <cell r="E311" t="str">
            <v>qq</v>
          </cell>
          <cell r="F311">
            <v>2285</v>
          </cell>
          <cell r="G311">
            <v>210.57097600000003</v>
          </cell>
          <cell r="H311">
            <v>37.902775680000005</v>
          </cell>
          <cell r="I311">
            <v>248.47375168000002</v>
          </cell>
        </row>
        <row r="312">
          <cell r="A312" t="str">
            <v>P0418006</v>
          </cell>
          <cell r="B312" t="str">
            <v>Material</v>
          </cell>
          <cell r="C312" t="str">
            <v>Alambre galvanizado liso #18</v>
          </cell>
          <cell r="D312">
            <v>0.18430720000000003</v>
          </cell>
          <cell r="E312" t="str">
            <v>lb</v>
          </cell>
          <cell r="F312">
            <v>42.28</v>
          </cell>
          <cell r="G312">
            <v>7.7925084160000013</v>
          </cell>
          <cell r="H312">
            <v>1.4026515148800003</v>
          </cell>
          <cell r="I312">
            <v>9.1951599308800009</v>
          </cell>
        </row>
        <row r="313">
          <cell r="A313" t="str">
            <v>H0320204</v>
          </cell>
          <cell r="B313" t="str">
            <v>Mano de obra</v>
          </cell>
          <cell r="C313" t="str">
            <v>M.O. Alb colocación bloques de 8" (Inc. Llenado y Acero)</v>
          </cell>
          <cell r="D313">
            <v>13</v>
          </cell>
          <cell r="E313" t="str">
            <v>u</v>
          </cell>
          <cell r="F313">
            <v>16.149999999999999</v>
          </cell>
          <cell r="G313">
            <v>209.95</v>
          </cell>
          <cell r="H313">
            <v>0</v>
          </cell>
          <cell r="I313">
            <v>209.95</v>
          </cell>
        </row>
        <row r="314">
          <cell r="A314" t="str">
            <v>H%FH</v>
          </cell>
          <cell r="B314" t="str">
            <v>Otros</v>
          </cell>
          <cell r="C314" t="str">
            <v>Factor Herramientas</v>
          </cell>
          <cell r="D314">
            <v>1</v>
          </cell>
          <cell r="E314" t="str">
            <v>%</v>
          </cell>
          <cell r="F314">
            <v>209.95</v>
          </cell>
          <cell r="G314">
            <v>2.0994999999999999</v>
          </cell>
          <cell r="H314">
            <v>0</v>
          </cell>
          <cell r="I314">
            <v>2.0994999999999999</v>
          </cell>
        </row>
        <row r="315">
          <cell r="A315">
            <v>0</v>
          </cell>
          <cell r="B315">
            <v>0</v>
          </cell>
          <cell r="C315" t="str">
            <v>Total 01.04.19</v>
          </cell>
          <cell r="D315">
            <v>1</v>
          </cell>
          <cell r="E315">
            <v>0</v>
          </cell>
          <cell r="F315">
            <v>0</v>
          </cell>
          <cell r="G315">
            <v>1255.9699588160001</v>
          </cell>
          <cell r="H315">
            <v>143.35835299488002</v>
          </cell>
          <cell r="I315">
            <v>1399.3283118108802</v>
          </cell>
        </row>
        <row r="316">
          <cell r="A316" t="str">
            <v>01.04.20</v>
          </cell>
          <cell r="B316" t="str">
            <v>Partida</v>
          </cell>
          <cell r="C316" t="str">
            <v>Bloques de 8" BNP y SNP Ø 3/8 @ 0.60 con serpentina cada 3 lineas</v>
          </cell>
          <cell r="D316">
            <v>1</v>
          </cell>
          <cell r="E316" t="str">
            <v>m²</v>
          </cell>
          <cell r="F316">
            <v>0</v>
          </cell>
          <cell r="G316">
            <v>1150.8897349199999</v>
          </cell>
          <cell r="H316">
            <v>138.7341850896</v>
          </cell>
          <cell r="I316">
            <v>1289.6239200096004</v>
          </cell>
        </row>
        <row r="317">
          <cell r="A317" t="str">
            <v>P1805012</v>
          </cell>
          <cell r="B317" t="str">
            <v>Material</v>
          </cell>
          <cell r="C317" t="str">
            <v>Bloque de hormigón de 8"</v>
          </cell>
          <cell r="D317">
            <v>13.125</v>
          </cell>
          <cell r="E317" t="str">
            <v>u</v>
          </cell>
          <cell r="F317">
            <v>29.97</v>
          </cell>
          <cell r="G317">
            <v>393.35624999999999</v>
          </cell>
          <cell r="H317">
            <v>70.804124999999999</v>
          </cell>
          <cell r="I317">
            <v>464.16037499999999</v>
          </cell>
        </row>
        <row r="318">
          <cell r="A318" t="str">
            <v>P0201008</v>
          </cell>
          <cell r="B318" t="str">
            <v>Material</v>
          </cell>
          <cell r="C318" t="str">
            <v>Arena Itabo Lavada</v>
          </cell>
          <cell r="D318">
            <v>5.6000000000000001E-2</v>
          </cell>
          <cell r="E318" t="str">
            <v>m³</v>
          </cell>
          <cell r="F318">
            <v>930.76</v>
          </cell>
          <cell r="G318">
            <v>52.12256</v>
          </cell>
          <cell r="H318">
            <v>9.3820607999999996</v>
          </cell>
          <cell r="I318">
            <v>61.504620799999998</v>
          </cell>
        </row>
        <row r="319">
          <cell r="A319" t="str">
            <v>P0601003</v>
          </cell>
          <cell r="B319" t="str">
            <v>Material</v>
          </cell>
          <cell r="C319" t="str">
            <v>Cemento Gris 94 lbs. Tipo Portland</v>
          </cell>
          <cell r="D319">
            <v>0.43340000000000001</v>
          </cell>
          <cell r="E319" t="str">
            <v>fd</v>
          </cell>
          <cell r="F319">
            <v>295</v>
          </cell>
          <cell r="G319">
            <v>127.85300000000001</v>
          </cell>
          <cell r="H319">
            <v>23.013539999999999</v>
          </cell>
          <cell r="I319">
            <v>150.86654000000001</v>
          </cell>
        </row>
        <row r="320">
          <cell r="A320" t="str">
            <v>P2403199</v>
          </cell>
          <cell r="B320" t="str">
            <v>Material</v>
          </cell>
          <cell r="C320" t="str">
            <v>Agua</v>
          </cell>
          <cell r="D320">
            <v>3</v>
          </cell>
          <cell r="E320" t="str">
            <v>gl</v>
          </cell>
          <cell r="F320">
            <v>1.58</v>
          </cell>
          <cell r="G320">
            <v>4.74</v>
          </cell>
          <cell r="H320">
            <v>0.85319999999999996</v>
          </cell>
          <cell r="I320">
            <v>5.5932000000000004</v>
          </cell>
        </row>
        <row r="321">
          <cell r="A321" t="str">
            <v>P0109018</v>
          </cell>
          <cell r="B321" t="str">
            <v>Auxiliar</v>
          </cell>
          <cell r="C321" t="str">
            <v>Hormigón In Situ fc=120Kg/Cm²  Agreg 3/8@1/2</v>
          </cell>
          <cell r="D321">
            <v>3.7900000000000003E-2</v>
          </cell>
          <cell r="E321" t="str">
            <v>m³</v>
          </cell>
          <cell r="F321">
            <v>4435.2180000000008</v>
          </cell>
          <cell r="G321">
            <v>168.09476220000005</v>
          </cell>
          <cell r="H321">
            <v>0</v>
          </cell>
          <cell r="I321">
            <v>168.09476220000005</v>
          </cell>
        </row>
        <row r="322">
          <cell r="A322" t="str">
            <v>P0401066</v>
          </cell>
          <cell r="B322" t="str">
            <v>Material</v>
          </cell>
          <cell r="C322" t="str">
            <v>Acero G-60, Long. Variable</v>
          </cell>
          <cell r="D322">
            <v>8.1312000000000009E-2</v>
          </cell>
          <cell r="E322" t="str">
            <v>qq</v>
          </cell>
          <cell r="F322">
            <v>2285</v>
          </cell>
          <cell r="G322">
            <v>185.79792000000003</v>
          </cell>
          <cell r="H322">
            <v>33.443625600000004</v>
          </cell>
          <cell r="I322">
            <v>219.24154560000005</v>
          </cell>
        </row>
        <row r="323">
          <cell r="A323" t="str">
            <v>P0418006</v>
          </cell>
          <cell r="B323" t="str">
            <v>Material</v>
          </cell>
          <cell r="C323" t="str">
            <v>Alambre galvanizado liso #18</v>
          </cell>
          <cell r="D323">
            <v>0.16262400000000002</v>
          </cell>
          <cell r="E323" t="str">
            <v>lb</v>
          </cell>
          <cell r="F323">
            <v>42.28</v>
          </cell>
          <cell r="G323">
            <v>6.8757427200000008</v>
          </cell>
          <cell r="H323">
            <v>1.2376336896000002</v>
          </cell>
          <cell r="I323">
            <v>8.1133764096000007</v>
          </cell>
        </row>
        <row r="324">
          <cell r="A324" t="str">
            <v>H0320204</v>
          </cell>
          <cell r="B324" t="str">
            <v>Mano de obra</v>
          </cell>
          <cell r="C324" t="str">
            <v>M.O. Alb colocación bloques de 8" (Inc. Llenado y Acero)</v>
          </cell>
          <cell r="D324">
            <v>13</v>
          </cell>
          <cell r="E324" t="str">
            <v>u</v>
          </cell>
          <cell r="F324">
            <v>16.149999999999999</v>
          </cell>
          <cell r="G324">
            <v>209.95</v>
          </cell>
          <cell r="H324">
            <v>0</v>
          </cell>
          <cell r="I324">
            <v>209.95</v>
          </cell>
        </row>
        <row r="325">
          <cell r="A325" t="str">
            <v>H%FH</v>
          </cell>
          <cell r="B325" t="str">
            <v>Otros</v>
          </cell>
          <cell r="C325" t="str">
            <v>Factor Herramientas</v>
          </cell>
          <cell r="D325">
            <v>1</v>
          </cell>
          <cell r="E325" t="str">
            <v>%</v>
          </cell>
          <cell r="F325">
            <v>209.95</v>
          </cell>
          <cell r="G325">
            <v>2.0994999999999999</v>
          </cell>
          <cell r="H325">
            <v>0</v>
          </cell>
          <cell r="I325">
            <v>2.0994999999999999</v>
          </cell>
        </row>
        <row r="326">
          <cell r="A326">
            <v>0</v>
          </cell>
          <cell r="B326">
            <v>0</v>
          </cell>
          <cell r="C326" t="str">
            <v>Total 01.04.20</v>
          </cell>
          <cell r="D326">
            <v>1</v>
          </cell>
          <cell r="E326">
            <v>0</v>
          </cell>
          <cell r="F326">
            <v>0</v>
          </cell>
          <cell r="G326">
            <v>1150.8897349199999</v>
          </cell>
          <cell r="H326">
            <v>138.7341850896</v>
          </cell>
          <cell r="I326">
            <v>1289.6239200096004</v>
          </cell>
        </row>
        <row r="327">
          <cell r="A327" t="str">
            <v>01.04.21</v>
          </cell>
          <cell r="B327" t="str">
            <v>Partida</v>
          </cell>
          <cell r="C327" t="str">
            <v>Bloques de 8" BNP y SNP Ø 3/8 @ 0.80</v>
          </cell>
          <cell r="D327">
            <v>1</v>
          </cell>
          <cell r="E327" t="str">
            <v>m²</v>
          </cell>
          <cell r="F327">
            <v>0</v>
          </cell>
          <cell r="G327">
            <v>970.12227539200012</v>
          </cell>
          <cell r="H327">
            <v>113.30126161056002</v>
          </cell>
          <cell r="I327">
            <v>1083.4235370025601</v>
          </cell>
        </row>
        <row r="328">
          <cell r="A328" t="str">
            <v>P1805012</v>
          </cell>
          <cell r="B328" t="str">
            <v>Material</v>
          </cell>
          <cell r="C328" t="str">
            <v>Bloque de hormigón de 8"</v>
          </cell>
          <cell r="D328">
            <v>13.125</v>
          </cell>
          <cell r="E328" t="str">
            <v>u</v>
          </cell>
          <cell r="F328">
            <v>29.97</v>
          </cell>
          <cell r="G328">
            <v>393.35624999999999</v>
          </cell>
          <cell r="H328">
            <v>70.804124999999999</v>
          </cell>
          <cell r="I328">
            <v>464.16037499999999</v>
          </cell>
        </row>
        <row r="329">
          <cell r="A329" t="str">
            <v>P0201008</v>
          </cell>
          <cell r="B329" t="str">
            <v>Material</v>
          </cell>
          <cell r="C329" t="str">
            <v>Arena Itabo Lavada</v>
          </cell>
          <cell r="D329">
            <v>5.6000000000000001E-2</v>
          </cell>
          <cell r="E329" t="str">
            <v>m³</v>
          </cell>
          <cell r="F329">
            <v>930.76</v>
          </cell>
          <cell r="G329">
            <v>52.12256</v>
          </cell>
          <cell r="H329">
            <v>9.3820607999999996</v>
          </cell>
          <cell r="I329">
            <v>61.504620799999998</v>
          </cell>
        </row>
        <row r="330">
          <cell r="A330" t="str">
            <v>P0601003</v>
          </cell>
          <cell r="B330" t="str">
            <v>Material</v>
          </cell>
          <cell r="C330" t="str">
            <v>Cemento Gris 94 lbs. Tipo Portland</v>
          </cell>
          <cell r="D330">
            <v>0.43340000000000001</v>
          </cell>
          <cell r="E330" t="str">
            <v>fd</v>
          </cell>
          <cell r="F330">
            <v>295</v>
          </cell>
          <cell r="G330">
            <v>127.85300000000001</v>
          </cell>
          <cell r="H330">
            <v>23.013539999999999</v>
          </cell>
          <cell r="I330">
            <v>150.86654000000001</v>
          </cell>
        </row>
        <row r="331">
          <cell r="A331" t="str">
            <v>P2403199</v>
          </cell>
          <cell r="B331" t="str">
            <v>Material</v>
          </cell>
          <cell r="C331" t="str">
            <v>Agua</v>
          </cell>
          <cell r="D331">
            <v>3</v>
          </cell>
          <cell r="E331" t="str">
            <v>gl</v>
          </cell>
          <cell r="F331">
            <v>1.58</v>
          </cell>
          <cell r="G331">
            <v>4.74</v>
          </cell>
          <cell r="H331">
            <v>0.85319999999999996</v>
          </cell>
          <cell r="I331">
            <v>5.5932000000000004</v>
          </cell>
        </row>
        <row r="332">
          <cell r="A332" t="str">
            <v>P0109018</v>
          </cell>
          <cell r="B332" t="str">
            <v>Auxiliar</v>
          </cell>
          <cell r="C332" t="str">
            <v>Hormigón In Situ fc=120Kg/Cm²  Agreg 3/8@1/2</v>
          </cell>
          <cell r="D332">
            <v>2.9000000000000001E-2</v>
          </cell>
          <cell r="E332" t="str">
            <v>m³</v>
          </cell>
          <cell r="F332">
            <v>4435.2180000000008</v>
          </cell>
          <cell r="G332">
            <v>128.62132200000002</v>
          </cell>
          <cell r="H332">
            <v>0</v>
          </cell>
          <cell r="I332">
            <v>128.62132200000002</v>
          </cell>
        </row>
        <row r="333">
          <cell r="A333" t="str">
            <v>P0401066</v>
          </cell>
          <cell r="B333" t="str">
            <v>Material</v>
          </cell>
          <cell r="C333" t="str">
            <v>Acero G-60, Long. Variable</v>
          </cell>
          <cell r="D333">
            <v>2.1683200000000003E-2</v>
          </cell>
          <cell r="E333" t="str">
            <v>qq</v>
          </cell>
          <cell r="F333">
            <v>2285</v>
          </cell>
          <cell r="G333">
            <v>49.546112000000008</v>
          </cell>
          <cell r="H333">
            <v>8.9183001600000011</v>
          </cell>
          <cell r="I333">
            <v>58.464412160000009</v>
          </cell>
        </row>
        <row r="334">
          <cell r="A334" t="str">
            <v>P0418006</v>
          </cell>
          <cell r="B334" t="str">
            <v>Material</v>
          </cell>
          <cell r="C334" t="str">
            <v>Alambre galvanizado liso #18</v>
          </cell>
          <cell r="D334">
            <v>4.3366400000000006E-2</v>
          </cell>
          <cell r="E334" t="str">
            <v>lb</v>
          </cell>
          <cell r="F334">
            <v>42.28</v>
          </cell>
          <cell r="G334">
            <v>1.8335313920000003</v>
          </cell>
          <cell r="H334">
            <v>0.33003565056000006</v>
          </cell>
          <cell r="I334">
            <v>2.1635670425600004</v>
          </cell>
        </row>
        <row r="335">
          <cell r="A335" t="str">
            <v>H0320204</v>
          </cell>
          <cell r="B335" t="str">
            <v>Mano de obra</v>
          </cell>
          <cell r="C335" t="str">
            <v>M.O. Alb colocación bloques de 8" (Inc. Llenado y Acero)</v>
          </cell>
          <cell r="D335">
            <v>13</v>
          </cell>
          <cell r="E335" t="str">
            <v>u</v>
          </cell>
          <cell r="F335">
            <v>16.149999999999999</v>
          </cell>
          <cell r="G335">
            <v>209.95</v>
          </cell>
          <cell r="H335">
            <v>0</v>
          </cell>
          <cell r="I335">
            <v>209.95</v>
          </cell>
        </row>
        <row r="336">
          <cell r="A336" t="str">
            <v>H%FH</v>
          </cell>
          <cell r="B336" t="str">
            <v>Otros</v>
          </cell>
          <cell r="C336" t="str">
            <v>Factor Herramientas</v>
          </cell>
          <cell r="D336">
            <v>1</v>
          </cell>
          <cell r="E336" t="str">
            <v>%</v>
          </cell>
          <cell r="F336">
            <v>209.95</v>
          </cell>
          <cell r="G336">
            <v>2.0994999999999999</v>
          </cell>
          <cell r="H336">
            <v>0</v>
          </cell>
          <cell r="I336">
            <v>2.0994999999999999</v>
          </cell>
        </row>
        <row r="337">
          <cell r="A337">
            <v>0</v>
          </cell>
          <cell r="B337">
            <v>0</v>
          </cell>
          <cell r="C337" t="str">
            <v>Total 01.04.21</v>
          </cell>
          <cell r="D337">
            <v>1</v>
          </cell>
          <cell r="E337">
            <v>0</v>
          </cell>
          <cell r="F337">
            <v>0</v>
          </cell>
          <cell r="G337">
            <v>970.12227539200012</v>
          </cell>
          <cell r="H337">
            <v>113.30126161056002</v>
          </cell>
          <cell r="I337">
            <v>1083.4235370025601</v>
          </cell>
        </row>
        <row r="338">
          <cell r="A338" t="str">
            <v>01.04.22</v>
          </cell>
          <cell r="B338" t="str">
            <v>Partida</v>
          </cell>
          <cell r="C338" t="str">
            <v>Bloques de 8" SNP Ø 3/8 @ 0.20 con serpentina cada linea</v>
          </cell>
          <cell r="D338">
            <v>1</v>
          </cell>
          <cell r="E338" t="str">
            <v>m²</v>
          </cell>
          <cell r="F338">
            <v>0</v>
          </cell>
          <cell r="G338">
            <v>1784.848956170667</v>
          </cell>
          <cell r="H338">
            <v>195.76558925472</v>
          </cell>
          <cell r="I338">
            <v>1980.614545425387</v>
          </cell>
        </row>
        <row r="339">
          <cell r="A339" t="str">
            <v>P1805012</v>
          </cell>
          <cell r="B339" t="str">
            <v>Material</v>
          </cell>
          <cell r="C339" t="str">
            <v>Bloque de hormigón de 8"</v>
          </cell>
          <cell r="D339">
            <v>13.125</v>
          </cell>
          <cell r="E339" t="str">
            <v>u</v>
          </cell>
          <cell r="F339">
            <v>29.97</v>
          </cell>
          <cell r="G339">
            <v>393.35624999999999</v>
          </cell>
          <cell r="H339">
            <v>70.804124999999999</v>
          </cell>
          <cell r="I339">
            <v>464.16037499999999</v>
          </cell>
        </row>
        <row r="340">
          <cell r="A340" t="str">
            <v>P0201008</v>
          </cell>
          <cell r="B340" t="str">
            <v>Material</v>
          </cell>
          <cell r="C340" t="str">
            <v>Arena Itabo Lavada</v>
          </cell>
          <cell r="D340">
            <v>5.6000000000000001E-2</v>
          </cell>
          <cell r="E340" t="str">
            <v>m³</v>
          </cell>
          <cell r="F340">
            <v>930.76</v>
          </cell>
          <cell r="G340">
            <v>52.12256</v>
          </cell>
          <cell r="H340">
            <v>9.3820607999999996</v>
          </cell>
          <cell r="I340">
            <v>61.504620799999998</v>
          </cell>
        </row>
        <row r="341">
          <cell r="A341" t="str">
            <v>P0601003</v>
          </cell>
          <cell r="B341" t="str">
            <v>Material</v>
          </cell>
          <cell r="C341" t="str">
            <v>Cemento Gris 94 lbs. Tipo Portland</v>
          </cell>
          <cell r="D341">
            <v>0.43340000000000001</v>
          </cell>
          <cell r="E341" t="str">
            <v>fd</v>
          </cell>
          <cell r="F341">
            <v>295</v>
          </cell>
          <cell r="G341">
            <v>127.85300000000001</v>
          </cell>
          <cell r="H341">
            <v>23.013539999999999</v>
          </cell>
          <cell r="I341">
            <v>150.86654000000001</v>
          </cell>
        </row>
        <row r="342">
          <cell r="A342" t="str">
            <v>P2403199</v>
          </cell>
          <cell r="B342" t="str">
            <v>Material</v>
          </cell>
          <cell r="C342" t="str">
            <v>Agua</v>
          </cell>
          <cell r="D342">
            <v>3</v>
          </cell>
          <cell r="E342" t="str">
            <v>gl</v>
          </cell>
          <cell r="F342">
            <v>1.58</v>
          </cell>
          <cell r="G342">
            <v>4.74</v>
          </cell>
          <cell r="H342">
            <v>0.85319999999999996</v>
          </cell>
          <cell r="I342">
            <v>5.5932000000000004</v>
          </cell>
        </row>
        <row r="343">
          <cell r="A343" t="str">
            <v>P0109018</v>
          </cell>
          <cell r="B343" t="str">
            <v>Auxiliar</v>
          </cell>
          <cell r="C343" t="str">
            <v>Hormigón In Situ fc=120Kg/Cm²  Agreg 3/8@1/2</v>
          </cell>
          <cell r="D343">
            <v>0.1094</v>
          </cell>
          <cell r="E343" t="str">
            <v>m³</v>
          </cell>
          <cell r="F343">
            <v>4435.2180000000008</v>
          </cell>
          <cell r="G343">
            <v>485.21284920000005</v>
          </cell>
          <cell r="H343">
            <v>0</v>
          </cell>
          <cell r="I343">
            <v>485.21284920000005</v>
          </cell>
        </row>
        <row r="344">
          <cell r="A344" t="str">
            <v>P0401066</v>
          </cell>
          <cell r="B344" t="str">
            <v>Material</v>
          </cell>
          <cell r="C344" t="str">
            <v>Acero G-60, Long. Variable</v>
          </cell>
          <cell r="D344">
            <v>0.21502506666666665</v>
          </cell>
          <cell r="E344" t="str">
            <v>qq</v>
          </cell>
          <cell r="F344">
            <v>2285</v>
          </cell>
          <cell r="G344">
            <v>491.33227733333331</v>
          </cell>
          <cell r="H344">
            <v>88.439809919999988</v>
          </cell>
          <cell r="I344">
            <v>579.77208725333332</v>
          </cell>
        </row>
        <row r="345">
          <cell r="A345" t="str">
            <v>P0418006</v>
          </cell>
          <cell r="B345" t="str">
            <v>Material</v>
          </cell>
          <cell r="C345" t="str">
            <v>Alambre galvanizado liso #18</v>
          </cell>
          <cell r="D345">
            <v>0.43005013333333331</v>
          </cell>
          <cell r="E345" t="str">
            <v>lb</v>
          </cell>
          <cell r="F345">
            <v>42.28</v>
          </cell>
          <cell r="G345">
            <v>18.182519637333332</v>
          </cell>
          <cell r="H345">
            <v>3.2728535347199998</v>
          </cell>
          <cell r="I345">
            <v>21.455373172053331</v>
          </cell>
        </row>
        <row r="346">
          <cell r="A346" t="str">
            <v>H0320204</v>
          </cell>
          <cell r="B346" t="str">
            <v>Mano de obra</v>
          </cell>
          <cell r="C346" t="str">
            <v>M.O. Alb colocación bloques de 8" (Inc. Llenado y Acero)</v>
          </cell>
          <cell r="D346">
            <v>13</v>
          </cell>
          <cell r="E346" t="str">
            <v>u</v>
          </cell>
          <cell r="F346">
            <v>16.149999999999999</v>
          </cell>
          <cell r="G346">
            <v>209.95</v>
          </cell>
          <cell r="H346">
            <v>0</v>
          </cell>
          <cell r="I346">
            <v>209.95</v>
          </cell>
        </row>
        <row r="347">
          <cell r="A347" t="str">
            <v>H%FH</v>
          </cell>
          <cell r="B347" t="str">
            <v>Otros</v>
          </cell>
          <cell r="C347" t="str">
            <v>Factor Herramientas</v>
          </cell>
          <cell r="D347">
            <v>1</v>
          </cell>
          <cell r="E347" t="str">
            <v>%</v>
          </cell>
          <cell r="F347">
            <v>209.95</v>
          </cell>
          <cell r="G347">
            <v>2.0994999999999999</v>
          </cell>
          <cell r="H347">
            <v>0</v>
          </cell>
          <cell r="I347">
            <v>2.0994999999999999</v>
          </cell>
        </row>
        <row r="348">
          <cell r="A348">
            <v>0</v>
          </cell>
          <cell r="B348">
            <v>0</v>
          </cell>
          <cell r="C348" t="str">
            <v>Total 01.04.22</v>
          </cell>
          <cell r="D348">
            <v>1</v>
          </cell>
          <cell r="E348">
            <v>0</v>
          </cell>
          <cell r="F348">
            <v>0</v>
          </cell>
          <cell r="G348">
            <v>1784.848956170667</v>
          </cell>
          <cell r="H348">
            <v>195.76558925472</v>
          </cell>
          <cell r="I348">
            <v>1980.614545425387</v>
          </cell>
        </row>
        <row r="349">
          <cell r="A349" t="str">
            <v>01.04.23</v>
          </cell>
          <cell r="B349" t="str">
            <v>Partida</v>
          </cell>
          <cell r="C349" t="str">
            <v>Muros en sheetrock a dos caras</v>
          </cell>
          <cell r="D349">
            <v>1</v>
          </cell>
          <cell r="E349" t="str">
            <v>m²</v>
          </cell>
          <cell r="F349">
            <v>0</v>
          </cell>
          <cell r="G349">
            <v>850</v>
          </cell>
          <cell r="H349">
            <v>153</v>
          </cell>
          <cell r="I349">
            <v>1003</v>
          </cell>
        </row>
        <row r="350">
          <cell r="A350" t="str">
            <v>O451215</v>
          </cell>
          <cell r="B350" t="str">
            <v>Sub-contrato</v>
          </cell>
          <cell r="C350" t="str">
            <v>Instalación de Muros en sheetrock a dos caras TC</v>
          </cell>
          <cell r="D350">
            <v>1</v>
          </cell>
          <cell r="E350" t="str">
            <v>m²</v>
          </cell>
          <cell r="F350">
            <v>850</v>
          </cell>
          <cell r="G350">
            <v>850</v>
          </cell>
          <cell r="H350">
            <v>153</v>
          </cell>
          <cell r="I350">
            <v>1003</v>
          </cell>
        </row>
        <row r="351">
          <cell r="A351">
            <v>0</v>
          </cell>
          <cell r="B351">
            <v>0</v>
          </cell>
          <cell r="C351" t="str">
            <v>Total 01.04.23</v>
          </cell>
          <cell r="D351">
            <v>1</v>
          </cell>
          <cell r="E351">
            <v>0</v>
          </cell>
          <cell r="F351">
            <v>0</v>
          </cell>
          <cell r="G351">
            <v>850</v>
          </cell>
          <cell r="H351">
            <v>153</v>
          </cell>
          <cell r="I351">
            <v>1003</v>
          </cell>
        </row>
        <row r="352">
          <cell r="A352">
            <v>0</v>
          </cell>
          <cell r="B352">
            <v>0</v>
          </cell>
          <cell r="C352">
            <v>0</v>
          </cell>
          <cell r="D352">
            <v>0</v>
          </cell>
          <cell r="E352">
            <v>0</v>
          </cell>
          <cell r="F352">
            <v>0</v>
          </cell>
          <cell r="G352">
            <v>0</v>
          </cell>
          <cell r="H352">
            <v>0</v>
          </cell>
          <cell r="I352">
            <v>0</v>
          </cell>
        </row>
        <row r="353">
          <cell r="A353">
            <v>0</v>
          </cell>
          <cell r="B353">
            <v>0</v>
          </cell>
          <cell r="C353">
            <v>0</v>
          </cell>
          <cell r="D353">
            <v>0</v>
          </cell>
          <cell r="E353">
            <v>0</v>
          </cell>
          <cell r="F353">
            <v>0</v>
          </cell>
          <cell r="G353">
            <v>0</v>
          </cell>
          <cell r="H353">
            <v>0</v>
          </cell>
          <cell r="I353">
            <v>0</v>
          </cell>
        </row>
        <row r="354">
          <cell r="A354" t="str">
            <v>01.05</v>
          </cell>
          <cell r="B354" t="str">
            <v>Capítulo</v>
          </cell>
          <cell r="C354" t="str">
            <v>TERMINACION DE SUPERFICIE:</v>
          </cell>
          <cell r="D354">
            <v>0</v>
          </cell>
          <cell r="E354" t="str">
            <v/>
          </cell>
          <cell r="F354">
            <v>0</v>
          </cell>
          <cell r="G354">
            <v>0</v>
          </cell>
          <cell r="H354">
            <v>0</v>
          </cell>
          <cell r="I354">
            <v>0</v>
          </cell>
        </row>
        <row r="355">
          <cell r="A355" t="str">
            <v>01.05.01</v>
          </cell>
          <cell r="B355" t="str">
            <v>Partida</v>
          </cell>
          <cell r="C355" t="str">
            <v>Cantos</v>
          </cell>
          <cell r="D355">
            <v>1</v>
          </cell>
          <cell r="E355" t="str">
            <v>m</v>
          </cell>
          <cell r="F355">
            <v>0</v>
          </cell>
          <cell r="G355">
            <v>55.237954000000002</v>
          </cell>
          <cell r="H355">
            <v>1.7618317199999998</v>
          </cell>
          <cell r="I355">
            <v>56.999785720000006</v>
          </cell>
        </row>
        <row r="356">
          <cell r="A356" t="str">
            <v>P0603001</v>
          </cell>
          <cell r="B356" t="str">
            <v>Material</v>
          </cell>
          <cell r="C356" t="str">
            <v>Cal hidratada, funda de 50 Lbs</v>
          </cell>
          <cell r="D356">
            <v>1.1000000000000001E-3</v>
          </cell>
          <cell r="E356" t="str">
            <v>fd</v>
          </cell>
          <cell r="F356">
            <v>213.4</v>
          </cell>
          <cell r="G356">
            <v>0.23474000000000003</v>
          </cell>
          <cell r="H356">
            <v>4.2253200000000005E-2</v>
          </cell>
          <cell r="I356">
            <v>0.27699320000000005</v>
          </cell>
        </row>
        <row r="357">
          <cell r="A357" t="str">
            <v>P0601003</v>
          </cell>
          <cell r="B357" t="str">
            <v>Material</v>
          </cell>
          <cell r="C357" t="str">
            <v>Cemento Gris 94 lbs. Tipo Portland</v>
          </cell>
          <cell r="D357">
            <v>8.6999999999999994E-3</v>
          </cell>
          <cell r="E357" t="str">
            <v>fd</v>
          </cell>
          <cell r="F357">
            <v>295</v>
          </cell>
          <cell r="G357">
            <v>2.5665</v>
          </cell>
          <cell r="H357">
            <v>0.46196999999999999</v>
          </cell>
          <cell r="I357">
            <v>3.02847</v>
          </cell>
        </row>
        <row r="358">
          <cell r="A358" t="str">
            <v>P0201005</v>
          </cell>
          <cell r="B358" t="str">
            <v>Material</v>
          </cell>
          <cell r="C358" t="str">
            <v>Arena fina p/pañete</v>
          </cell>
          <cell r="D358">
            <v>5.9999999999999995E-4</v>
          </cell>
          <cell r="E358" t="str">
            <v>m³</v>
          </cell>
          <cell r="F358">
            <v>1200</v>
          </cell>
          <cell r="G358">
            <v>0.72</v>
          </cell>
          <cell r="H358">
            <v>0.12959999999999999</v>
          </cell>
          <cell r="I358">
            <v>0.84959999999999991</v>
          </cell>
        </row>
        <row r="359">
          <cell r="A359" t="str">
            <v>P2403199</v>
          </cell>
          <cell r="B359" t="str">
            <v>Material</v>
          </cell>
          <cell r="C359" t="str">
            <v>Agua</v>
          </cell>
          <cell r="D359">
            <v>1E-3</v>
          </cell>
          <cell r="E359" t="str">
            <v>gl</v>
          </cell>
          <cell r="F359">
            <v>1.58</v>
          </cell>
          <cell r="G359">
            <v>1.58E-3</v>
          </cell>
          <cell r="H359">
            <v>2.8439999999999997E-4</v>
          </cell>
          <cell r="I359">
            <v>1.8644E-3</v>
          </cell>
        </row>
        <row r="360">
          <cell r="A360" t="str">
            <v>P0420007</v>
          </cell>
          <cell r="B360" t="str">
            <v>Material</v>
          </cell>
          <cell r="C360" t="str">
            <v>Clavos de acero 3"</v>
          </cell>
          <cell r="D360">
            <v>0.1094</v>
          </cell>
          <cell r="E360" t="str">
            <v>lb</v>
          </cell>
          <cell r="F360">
            <v>46.61</v>
          </cell>
          <cell r="G360">
            <v>5.0991339999999994</v>
          </cell>
          <cell r="H360">
            <v>0.91784411999999982</v>
          </cell>
          <cell r="I360">
            <v>6.0169781199999992</v>
          </cell>
        </row>
        <row r="361">
          <cell r="A361" t="str">
            <v>P0701003</v>
          </cell>
          <cell r="B361" t="str">
            <v>Material</v>
          </cell>
          <cell r="C361" t="str">
            <v>Regla para pañete de PATC</v>
          </cell>
          <cell r="D361">
            <v>2.12E-2</v>
          </cell>
          <cell r="E361" t="str">
            <v>p²</v>
          </cell>
          <cell r="F361">
            <v>55.000000000000007</v>
          </cell>
          <cell r="G361">
            <v>1.1660000000000001</v>
          </cell>
          <cell r="H361">
            <v>0.20988000000000001</v>
          </cell>
          <cell r="I361">
            <v>1.3758800000000002</v>
          </cell>
        </row>
        <row r="362">
          <cell r="A362" t="str">
            <v>H0330310</v>
          </cell>
          <cell r="B362" t="str">
            <v>Mano de obra</v>
          </cell>
          <cell r="C362" t="str">
            <v>M.O. Cantos en general</v>
          </cell>
          <cell r="D362">
            <v>1</v>
          </cell>
          <cell r="E362" t="str">
            <v>m</v>
          </cell>
          <cell r="F362">
            <v>45</v>
          </cell>
          <cell r="G362">
            <v>45</v>
          </cell>
          <cell r="H362">
            <v>0</v>
          </cell>
          <cell r="I362">
            <v>45</v>
          </cell>
        </row>
        <row r="363">
          <cell r="A363" t="str">
            <v>H%FH</v>
          </cell>
          <cell r="B363" t="str">
            <v>Otros</v>
          </cell>
          <cell r="C363" t="str">
            <v>Factor Herramientas</v>
          </cell>
          <cell r="D363">
            <v>1</v>
          </cell>
          <cell r="E363" t="str">
            <v>%</v>
          </cell>
          <cell r="F363">
            <v>45</v>
          </cell>
          <cell r="G363">
            <v>0.45</v>
          </cell>
          <cell r="H363">
            <v>0</v>
          </cell>
          <cell r="I363">
            <v>0.45</v>
          </cell>
        </row>
        <row r="364">
          <cell r="A364">
            <v>0</v>
          </cell>
          <cell r="B364">
            <v>0</v>
          </cell>
          <cell r="C364" t="str">
            <v>Total 01.05.01</v>
          </cell>
          <cell r="D364">
            <v>1</v>
          </cell>
          <cell r="E364">
            <v>0</v>
          </cell>
          <cell r="G364">
            <v>55.237954000000002</v>
          </cell>
          <cell r="H364">
            <v>1.7618317199999998</v>
          </cell>
          <cell r="I364">
            <v>56.999785720000006</v>
          </cell>
        </row>
        <row r="365">
          <cell r="A365">
            <v>0</v>
          </cell>
          <cell r="B365">
            <v>0</v>
          </cell>
          <cell r="C365">
            <v>0</v>
          </cell>
          <cell r="D365">
            <v>0</v>
          </cell>
          <cell r="E365">
            <v>0</v>
          </cell>
          <cell r="F365">
            <v>0</v>
          </cell>
          <cell r="G365">
            <v>0</v>
          </cell>
          <cell r="H365">
            <v>0</v>
          </cell>
          <cell r="I365">
            <v>0</v>
          </cell>
        </row>
        <row r="366">
          <cell r="A366" t="str">
            <v>01.05.03</v>
          </cell>
          <cell r="B366" t="str">
            <v>Partida</v>
          </cell>
          <cell r="C366" t="str">
            <v>Careteo/ Fraguache</v>
          </cell>
          <cell r="D366">
            <v>1</v>
          </cell>
          <cell r="E366" t="str">
            <v>m²</v>
          </cell>
          <cell r="F366">
            <v>0</v>
          </cell>
          <cell r="G366">
            <v>104.267032</v>
          </cell>
          <cell r="H366">
            <v>11.49606576</v>
          </cell>
          <cell r="I366">
            <v>115.76309776000001</v>
          </cell>
        </row>
        <row r="367">
          <cell r="A367" t="str">
            <v>P0601003</v>
          </cell>
          <cell r="B367" t="str">
            <v>Material</v>
          </cell>
          <cell r="C367" t="str">
            <v>Cemento Gris 94 lbs. Tipo Portland</v>
          </cell>
          <cell r="D367">
            <v>6.6100000000000006E-2</v>
          </cell>
          <cell r="E367" t="str">
            <v>fd</v>
          </cell>
          <cell r="F367">
            <v>295</v>
          </cell>
          <cell r="G367">
            <v>19.499500000000001</v>
          </cell>
          <cell r="H367">
            <v>3.5099100000000001</v>
          </cell>
          <cell r="I367">
            <v>23.009410000000003</v>
          </cell>
        </row>
        <row r="368">
          <cell r="A368" t="str">
            <v>P0201008</v>
          </cell>
          <cell r="B368" t="str">
            <v>Material</v>
          </cell>
          <cell r="C368" t="str">
            <v>Arena Itabo Lavada</v>
          </cell>
          <cell r="D368">
            <v>4.7000000000000002E-3</v>
          </cell>
          <cell r="E368" t="str">
            <v>m³</v>
          </cell>
          <cell r="F368">
            <v>930.76</v>
          </cell>
          <cell r="G368">
            <v>4.3745720000000006</v>
          </cell>
          <cell r="H368">
            <v>0.78742296000000012</v>
          </cell>
          <cell r="I368">
            <v>5.1619949600000004</v>
          </cell>
        </row>
        <row r="369">
          <cell r="A369" t="str">
            <v>P2403199</v>
          </cell>
          <cell r="B369" t="str">
            <v>Material</v>
          </cell>
          <cell r="C369" t="str">
            <v>Agua</v>
          </cell>
          <cell r="D369">
            <v>0.312</v>
          </cell>
          <cell r="E369" t="str">
            <v>gl</v>
          </cell>
          <cell r="F369">
            <v>1.58</v>
          </cell>
          <cell r="G369">
            <v>0.49296000000000001</v>
          </cell>
          <cell r="H369">
            <v>8.8732800000000001E-2</v>
          </cell>
          <cell r="I369">
            <v>0.58169280000000001</v>
          </cell>
        </row>
        <row r="370">
          <cell r="A370" t="str">
            <v>P2465458</v>
          </cell>
          <cell r="B370" t="str">
            <v>Material</v>
          </cell>
          <cell r="C370" t="str">
            <v>Vinalbond/ Thorobond</v>
          </cell>
          <cell r="D370">
            <v>0.05</v>
          </cell>
          <cell r="E370" t="str">
            <v>gl</v>
          </cell>
          <cell r="F370">
            <v>790</v>
          </cell>
          <cell r="G370">
            <v>39.5</v>
          </cell>
          <cell r="H370">
            <v>7.1099999999999994</v>
          </cell>
          <cell r="I370">
            <v>46.61</v>
          </cell>
        </row>
        <row r="371">
          <cell r="A371" t="str">
            <v>H0330306</v>
          </cell>
          <cell r="B371" t="str">
            <v>Mano de obra</v>
          </cell>
          <cell r="C371" t="str">
            <v>M.O. Alb careteo/fraguache</v>
          </cell>
          <cell r="D371">
            <v>1</v>
          </cell>
          <cell r="E371" t="str">
            <v>m²</v>
          </cell>
          <cell r="F371">
            <v>20</v>
          </cell>
          <cell r="G371">
            <v>20</v>
          </cell>
          <cell r="H371">
            <v>0</v>
          </cell>
          <cell r="I371">
            <v>20</v>
          </cell>
        </row>
        <row r="372">
          <cell r="A372" t="str">
            <v>HM000200</v>
          </cell>
          <cell r="B372" t="str">
            <v>Mano de obra</v>
          </cell>
          <cell r="C372" t="str">
            <v>M.O. Aplicacion Thorobond</v>
          </cell>
          <cell r="D372">
            <v>1</v>
          </cell>
          <cell r="E372" t="str">
            <v>m²</v>
          </cell>
          <cell r="F372">
            <v>20</v>
          </cell>
          <cell r="G372">
            <v>20</v>
          </cell>
          <cell r="H372">
            <v>0</v>
          </cell>
          <cell r="I372">
            <v>20</v>
          </cell>
        </row>
        <row r="373">
          <cell r="A373" t="str">
            <v>H%FH</v>
          </cell>
          <cell r="B373" t="str">
            <v>Otros</v>
          </cell>
          <cell r="C373" t="str">
            <v>Factor Herramientas</v>
          </cell>
          <cell r="D373">
            <v>1</v>
          </cell>
          <cell r="E373" t="str">
            <v>%</v>
          </cell>
          <cell r="F373">
            <v>40</v>
          </cell>
          <cell r="G373">
            <v>0.4</v>
          </cell>
          <cell r="H373">
            <v>0</v>
          </cell>
          <cell r="I373">
            <v>0.4</v>
          </cell>
        </row>
        <row r="374">
          <cell r="A374">
            <v>0</v>
          </cell>
          <cell r="B374">
            <v>0</v>
          </cell>
          <cell r="C374" t="str">
            <v>Total 01.05.03</v>
          </cell>
          <cell r="D374">
            <v>1</v>
          </cell>
          <cell r="E374">
            <v>0</v>
          </cell>
          <cell r="G374">
            <v>104.267032</v>
          </cell>
          <cell r="H374">
            <v>11.49606576</v>
          </cell>
          <cell r="I374">
            <v>115.76309776000001</v>
          </cell>
        </row>
        <row r="375">
          <cell r="A375">
            <v>0</v>
          </cell>
          <cell r="B375">
            <v>0</v>
          </cell>
          <cell r="C375">
            <v>0</v>
          </cell>
          <cell r="D375">
            <v>0</v>
          </cell>
          <cell r="E375">
            <v>0</v>
          </cell>
          <cell r="F375">
            <v>0</v>
          </cell>
          <cell r="G375">
            <v>0</v>
          </cell>
          <cell r="H375">
            <v>0</v>
          </cell>
          <cell r="I375">
            <v>0</v>
          </cell>
        </row>
        <row r="376">
          <cell r="A376" t="str">
            <v>01.05.04</v>
          </cell>
          <cell r="B376" t="str">
            <v>Partida</v>
          </cell>
          <cell r="C376" t="str">
            <v>Estrías en superficie de Pared,  Fachada Exterior</v>
          </cell>
          <cell r="D376">
            <v>1</v>
          </cell>
          <cell r="E376" t="str">
            <v>m</v>
          </cell>
          <cell r="F376">
            <v>0</v>
          </cell>
          <cell r="G376">
            <v>121.956796</v>
          </cell>
          <cell r="H376">
            <v>6.4992232799999989</v>
          </cell>
          <cell r="I376">
            <v>128.45601927999999</v>
          </cell>
        </row>
        <row r="377">
          <cell r="A377" t="str">
            <v>P0603001</v>
          </cell>
          <cell r="B377" t="str">
            <v>Material</v>
          </cell>
          <cell r="C377" t="str">
            <v>Cal hidratada, funda de 50 Lbs</v>
          </cell>
          <cell r="D377">
            <v>3.2000000000000002E-3</v>
          </cell>
          <cell r="E377" t="str">
            <v>fd</v>
          </cell>
          <cell r="F377">
            <v>213.4</v>
          </cell>
          <cell r="G377">
            <v>0.68288000000000004</v>
          </cell>
          <cell r="H377">
            <v>0.1229184</v>
          </cell>
          <cell r="I377">
            <v>0.80579840000000003</v>
          </cell>
        </row>
        <row r="378">
          <cell r="A378" t="str">
            <v>P0601003</v>
          </cell>
          <cell r="B378" t="str">
            <v>Material</v>
          </cell>
          <cell r="C378" t="str">
            <v>Cemento Gris 94 lbs. Tipo Portland</v>
          </cell>
          <cell r="D378">
            <v>9.4999999999999998E-3</v>
          </cell>
          <cell r="E378" t="str">
            <v>fd</v>
          </cell>
          <cell r="F378">
            <v>295</v>
          </cell>
          <cell r="G378">
            <v>2.8024999999999998</v>
          </cell>
          <cell r="H378">
            <v>0.50444999999999995</v>
          </cell>
          <cell r="I378">
            <v>3.3069499999999996</v>
          </cell>
        </row>
        <row r="379">
          <cell r="A379" t="str">
            <v>P0201005</v>
          </cell>
          <cell r="B379" t="str">
            <v>Material</v>
          </cell>
          <cell r="C379" t="str">
            <v>Arena fina p/pañete</v>
          </cell>
          <cell r="D379">
            <v>1.1000000000000001E-3</v>
          </cell>
          <cell r="E379" t="str">
            <v>m³</v>
          </cell>
          <cell r="F379">
            <v>1200</v>
          </cell>
          <cell r="G379">
            <v>1.32</v>
          </cell>
          <cell r="H379">
            <v>0.23760000000000001</v>
          </cell>
          <cell r="I379">
            <v>1.5576000000000001</v>
          </cell>
        </row>
        <row r="380">
          <cell r="A380" t="str">
            <v>P2403199</v>
          </cell>
          <cell r="B380" t="str">
            <v>Material</v>
          </cell>
          <cell r="C380" t="str">
            <v>Agua</v>
          </cell>
          <cell r="D380">
            <v>4.5199999999999997E-2</v>
          </cell>
          <cell r="E380" t="str">
            <v>gl</v>
          </cell>
          <cell r="F380">
            <v>1.58</v>
          </cell>
          <cell r="G380">
            <v>7.1415999999999993E-2</v>
          </cell>
          <cell r="H380">
            <v>1.2854879999999999E-2</v>
          </cell>
          <cell r="I380">
            <v>8.4270879999999992E-2</v>
          </cell>
        </row>
        <row r="381">
          <cell r="A381" t="str">
            <v>P0301001</v>
          </cell>
          <cell r="B381" t="str">
            <v>Material</v>
          </cell>
          <cell r="C381" t="str">
            <v>Pino Americano Bruto 1"x4"</v>
          </cell>
          <cell r="D381">
            <v>0.03</v>
          </cell>
          <cell r="E381" t="str">
            <v>p²</v>
          </cell>
          <cell r="F381">
            <v>41</v>
          </cell>
          <cell r="G381">
            <v>1.23</v>
          </cell>
          <cell r="H381">
            <v>0.22139999999999999</v>
          </cell>
          <cell r="I381">
            <v>1.4514</v>
          </cell>
        </row>
        <row r="382">
          <cell r="A382" t="str">
            <v>P3402502</v>
          </cell>
          <cell r="B382" t="str">
            <v>Material</v>
          </cell>
          <cell r="C382" t="str">
            <v>Perfil "u" Aluminio 3/4"</v>
          </cell>
          <cell r="D382">
            <v>1</v>
          </cell>
          <cell r="E382" t="str">
            <v>m</v>
          </cell>
          <cell r="F382">
            <v>30</v>
          </cell>
          <cell r="G382">
            <v>30</v>
          </cell>
          <cell r="H382">
            <v>5.3999999999999995</v>
          </cell>
          <cell r="I382">
            <v>35.4</v>
          </cell>
        </row>
        <row r="383">
          <cell r="A383" t="str">
            <v>H0330312</v>
          </cell>
          <cell r="B383" t="str">
            <v>Mano de obra</v>
          </cell>
          <cell r="C383" t="str">
            <v>M.O. Construcción de Estrías en Fachada</v>
          </cell>
          <cell r="D383">
            <v>1</v>
          </cell>
          <cell r="E383" t="str">
            <v>m</v>
          </cell>
          <cell r="F383">
            <v>85</v>
          </cell>
          <cell r="G383">
            <v>85</v>
          </cell>
          <cell r="H383">
            <v>0</v>
          </cell>
          <cell r="I383">
            <v>85</v>
          </cell>
        </row>
        <row r="384">
          <cell r="A384" t="str">
            <v>H%FH</v>
          </cell>
          <cell r="B384" t="str">
            <v>Otros</v>
          </cell>
          <cell r="C384" t="str">
            <v>Factor Herramientas</v>
          </cell>
          <cell r="D384">
            <v>1</v>
          </cell>
          <cell r="E384" t="str">
            <v>%</v>
          </cell>
          <cell r="F384">
            <v>85</v>
          </cell>
          <cell r="G384">
            <v>0.85</v>
          </cell>
          <cell r="H384">
            <v>0</v>
          </cell>
          <cell r="I384">
            <v>0.85</v>
          </cell>
        </row>
        <row r="385">
          <cell r="A385">
            <v>0</v>
          </cell>
          <cell r="B385">
            <v>0</v>
          </cell>
          <cell r="C385" t="str">
            <v>Total 01.05.04</v>
          </cell>
          <cell r="D385">
            <v>1</v>
          </cell>
          <cell r="E385">
            <v>0</v>
          </cell>
          <cell r="F385">
            <v>0</v>
          </cell>
          <cell r="G385">
            <v>121.956796</v>
          </cell>
          <cell r="H385">
            <v>6.4992232799999989</v>
          </cell>
          <cell r="I385">
            <v>128.45601927999999</v>
          </cell>
        </row>
        <row r="386">
          <cell r="A386">
            <v>0</v>
          </cell>
          <cell r="B386">
            <v>0</v>
          </cell>
          <cell r="C386">
            <v>0</v>
          </cell>
          <cell r="D386">
            <v>0</v>
          </cell>
          <cell r="E386">
            <v>0</v>
          </cell>
          <cell r="F386">
            <v>0</v>
          </cell>
          <cell r="G386">
            <v>0</v>
          </cell>
          <cell r="H386">
            <v>0</v>
          </cell>
          <cell r="I386">
            <v>0</v>
          </cell>
        </row>
        <row r="387">
          <cell r="A387" t="str">
            <v>01.05.06</v>
          </cell>
          <cell r="B387" t="str">
            <v>Partida</v>
          </cell>
          <cell r="C387" t="str">
            <v>Pañete exterior</v>
          </cell>
          <cell r="D387">
            <v>1</v>
          </cell>
          <cell r="E387" t="str">
            <v>m²</v>
          </cell>
          <cell r="F387">
            <v>0</v>
          </cell>
          <cell r="G387">
            <v>279.08710000000002</v>
          </cell>
          <cell r="H387">
            <v>28.419678000000001</v>
          </cell>
          <cell r="I387">
            <v>307.506778</v>
          </cell>
        </row>
        <row r="388">
          <cell r="A388" t="str">
            <v>P0603001</v>
          </cell>
          <cell r="B388" t="str">
            <v>Material</v>
          </cell>
          <cell r="C388" t="str">
            <v>Cal hidratada, funda de 50 Lbs</v>
          </cell>
          <cell r="D388">
            <v>6.9000000000000006E-2</v>
          </cell>
          <cell r="E388" t="str">
            <v>fd</v>
          </cell>
          <cell r="F388">
            <v>213.4</v>
          </cell>
          <cell r="G388">
            <v>14.724600000000002</v>
          </cell>
          <cell r="H388">
            <v>2.6504280000000002</v>
          </cell>
          <cell r="I388">
            <v>17.375028000000004</v>
          </cell>
        </row>
        <row r="389">
          <cell r="A389" t="str">
            <v>P0601003</v>
          </cell>
          <cell r="B389" t="str">
            <v>Material</v>
          </cell>
          <cell r="C389" t="str">
            <v>Cemento Gris 94 lbs. Tipo Portland</v>
          </cell>
          <cell r="D389">
            <v>0.34499999999999997</v>
          </cell>
          <cell r="E389" t="str">
            <v>fd</v>
          </cell>
          <cell r="F389">
            <v>295</v>
          </cell>
          <cell r="G389">
            <v>101.77499999999999</v>
          </cell>
          <cell r="H389">
            <v>18.319499999999998</v>
          </cell>
          <cell r="I389">
            <v>120.09449999999998</v>
          </cell>
        </row>
        <row r="390">
          <cell r="A390" t="str">
            <v>P0201005</v>
          </cell>
          <cell r="B390" t="str">
            <v>Material</v>
          </cell>
          <cell r="C390" t="str">
            <v>Arena fina p/pañete</v>
          </cell>
          <cell r="D390">
            <v>3.1300000000000001E-2</v>
          </cell>
          <cell r="E390" t="str">
            <v>m³</v>
          </cell>
          <cell r="F390">
            <v>1200</v>
          </cell>
          <cell r="G390">
            <v>37.56</v>
          </cell>
          <cell r="H390">
            <v>6.7608000000000006</v>
          </cell>
          <cell r="I390">
            <v>44.320800000000006</v>
          </cell>
        </row>
        <row r="391">
          <cell r="A391" t="str">
            <v>P2403199</v>
          </cell>
          <cell r="B391" t="str">
            <v>Material</v>
          </cell>
          <cell r="C391" t="str">
            <v>Agua</v>
          </cell>
          <cell r="D391">
            <v>1.5</v>
          </cell>
          <cell r="E391" t="str">
            <v>gl</v>
          </cell>
          <cell r="F391">
            <v>1.58</v>
          </cell>
          <cell r="G391">
            <v>2.37</v>
          </cell>
          <cell r="H391">
            <v>0.42659999999999998</v>
          </cell>
          <cell r="I391">
            <v>2.7966000000000002</v>
          </cell>
        </row>
        <row r="392">
          <cell r="A392" t="str">
            <v>P0701003</v>
          </cell>
          <cell r="B392" t="str">
            <v>Material</v>
          </cell>
          <cell r="C392" t="str">
            <v>Regla para pañete de PATC</v>
          </cell>
          <cell r="D392">
            <v>2.6499999999999999E-2</v>
          </cell>
          <cell r="E392" t="str">
            <v>p²</v>
          </cell>
          <cell r="F392">
            <v>55.000000000000007</v>
          </cell>
          <cell r="G392">
            <v>1.4575000000000002</v>
          </cell>
          <cell r="H392">
            <v>0.26235000000000003</v>
          </cell>
          <cell r="I392">
            <v>1.7198500000000003</v>
          </cell>
        </row>
        <row r="393">
          <cell r="A393" t="str">
            <v>H0330301</v>
          </cell>
          <cell r="B393" t="str">
            <v>Mano de obra</v>
          </cell>
          <cell r="C393" t="str">
            <v>M.O. Pañete Muro Exterior</v>
          </cell>
          <cell r="D393">
            <v>1</v>
          </cell>
          <cell r="E393" t="str">
            <v>m²</v>
          </cell>
          <cell r="F393">
            <v>120</v>
          </cell>
          <cell r="G393">
            <v>120</v>
          </cell>
          <cell r="H393">
            <v>0</v>
          </cell>
          <cell r="I393">
            <v>120</v>
          </cell>
        </row>
        <row r="394">
          <cell r="A394" t="str">
            <v>H%FH</v>
          </cell>
          <cell r="B394" t="str">
            <v>Otros</v>
          </cell>
          <cell r="C394" t="str">
            <v>Factor Herramientas</v>
          </cell>
          <cell r="D394">
            <v>1</v>
          </cell>
          <cell r="E394" t="str">
            <v>%</v>
          </cell>
          <cell r="F394">
            <v>120</v>
          </cell>
          <cell r="G394">
            <v>1.2</v>
          </cell>
          <cell r="H394">
            <v>0</v>
          </cell>
          <cell r="I394">
            <v>1.2</v>
          </cell>
        </row>
        <row r="395">
          <cell r="A395">
            <v>0</v>
          </cell>
          <cell r="B395">
            <v>0</v>
          </cell>
          <cell r="C395" t="str">
            <v>Total 01.05.06</v>
          </cell>
          <cell r="D395">
            <v>1</v>
          </cell>
          <cell r="E395">
            <v>0</v>
          </cell>
          <cell r="F395">
            <v>0</v>
          </cell>
          <cell r="G395">
            <v>279.08710000000002</v>
          </cell>
          <cell r="H395">
            <v>28.419678000000001</v>
          </cell>
          <cell r="I395">
            <v>307.506778</v>
          </cell>
        </row>
        <row r="396">
          <cell r="A396">
            <v>0</v>
          </cell>
          <cell r="B396">
            <v>0</v>
          </cell>
          <cell r="C396">
            <v>0</v>
          </cell>
          <cell r="D396">
            <v>0</v>
          </cell>
          <cell r="E396">
            <v>0</v>
          </cell>
          <cell r="F396">
            <v>0</v>
          </cell>
          <cell r="G396">
            <v>0</v>
          </cell>
          <cell r="H396">
            <v>0</v>
          </cell>
          <cell r="I396">
            <v>0</v>
          </cell>
        </row>
        <row r="397">
          <cell r="A397" t="str">
            <v>01.05.07</v>
          </cell>
          <cell r="B397" t="str">
            <v>Partida</v>
          </cell>
          <cell r="C397" t="str">
            <v>Pañete interior</v>
          </cell>
          <cell r="D397">
            <v>1</v>
          </cell>
          <cell r="E397" t="str">
            <v>m²</v>
          </cell>
          <cell r="F397">
            <v>0</v>
          </cell>
          <cell r="G397">
            <v>247.75317999999999</v>
          </cell>
          <cell r="H397">
            <v>22.779572399999999</v>
          </cell>
          <cell r="I397">
            <v>270.53275239999999</v>
          </cell>
        </row>
        <row r="398">
          <cell r="A398" t="str">
            <v>P0603001</v>
          </cell>
          <cell r="B398" t="str">
            <v>Material</v>
          </cell>
          <cell r="C398" t="str">
            <v>Cal hidratada, funda de 50 Lbs</v>
          </cell>
          <cell r="D398">
            <v>5.5199999999999999E-2</v>
          </cell>
          <cell r="E398" t="str">
            <v>fd</v>
          </cell>
          <cell r="F398">
            <v>213.4</v>
          </cell>
          <cell r="G398">
            <v>11.779680000000001</v>
          </cell>
          <cell r="H398">
            <v>2.1203424000000002</v>
          </cell>
          <cell r="I398">
            <v>13.900022400000001</v>
          </cell>
        </row>
        <row r="399">
          <cell r="A399" t="str">
            <v>P0601003</v>
          </cell>
          <cell r="B399" t="str">
            <v>Material</v>
          </cell>
          <cell r="C399" t="str">
            <v>Cemento Gris 94 lbs. Tipo Portland</v>
          </cell>
          <cell r="D399">
            <v>0.27600000000000002</v>
          </cell>
          <cell r="E399" t="str">
            <v>fd</v>
          </cell>
          <cell r="F399">
            <v>295</v>
          </cell>
          <cell r="G399">
            <v>81.42</v>
          </cell>
          <cell r="H399">
            <v>14.6556</v>
          </cell>
          <cell r="I399">
            <v>96.075600000000009</v>
          </cell>
        </row>
        <row r="400">
          <cell r="A400" t="str">
            <v>P0201005</v>
          </cell>
          <cell r="B400" t="str">
            <v>Material</v>
          </cell>
          <cell r="C400" t="str">
            <v>Arena fina p/pañete</v>
          </cell>
          <cell r="D400">
            <v>2.5000000000000001E-2</v>
          </cell>
          <cell r="E400" t="str">
            <v>m³</v>
          </cell>
          <cell r="F400">
            <v>1200</v>
          </cell>
          <cell r="G400">
            <v>30</v>
          </cell>
          <cell r="H400">
            <v>5.3999999999999995</v>
          </cell>
          <cell r="I400">
            <v>35.4</v>
          </cell>
        </row>
        <row r="401">
          <cell r="A401" t="str">
            <v>P2403199</v>
          </cell>
          <cell r="B401" t="str">
            <v>Material</v>
          </cell>
          <cell r="C401" t="str">
            <v>Agua</v>
          </cell>
          <cell r="D401">
            <v>1.2</v>
          </cell>
          <cell r="E401" t="str">
            <v>gl</v>
          </cell>
          <cell r="F401">
            <v>1.58</v>
          </cell>
          <cell r="G401">
            <v>1.8959999999999999</v>
          </cell>
          <cell r="H401">
            <v>0.34127999999999997</v>
          </cell>
          <cell r="I401">
            <v>2.2372799999999997</v>
          </cell>
        </row>
        <row r="402">
          <cell r="A402" t="str">
            <v>P0701003</v>
          </cell>
          <cell r="B402" t="str">
            <v>Material</v>
          </cell>
          <cell r="C402" t="str">
            <v>Regla para pañete de PATC</v>
          </cell>
          <cell r="D402">
            <v>2.6499999999999999E-2</v>
          </cell>
          <cell r="E402" t="str">
            <v>p²</v>
          </cell>
          <cell r="F402">
            <v>55.000000000000007</v>
          </cell>
          <cell r="G402">
            <v>1.4575000000000002</v>
          </cell>
          <cell r="H402">
            <v>0.26235000000000003</v>
          </cell>
          <cell r="I402">
            <v>1.7198500000000003</v>
          </cell>
        </row>
        <row r="403">
          <cell r="A403" t="str">
            <v>H0330300</v>
          </cell>
          <cell r="B403" t="str">
            <v>Mano de obra</v>
          </cell>
          <cell r="C403" t="str">
            <v>M.O. Pañete Muro Interior</v>
          </cell>
          <cell r="D403">
            <v>1</v>
          </cell>
          <cell r="E403" t="str">
            <v>m²</v>
          </cell>
          <cell r="F403">
            <v>120</v>
          </cell>
          <cell r="G403">
            <v>120</v>
          </cell>
          <cell r="H403">
            <v>0</v>
          </cell>
          <cell r="I403">
            <v>120</v>
          </cell>
        </row>
        <row r="404">
          <cell r="A404" t="str">
            <v>H%FH</v>
          </cell>
          <cell r="B404" t="str">
            <v>Otros</v>
          </cell>
          <cell r="C404" t="str">
            <v>Factor Herramientas</v>
          </cell>
          <cell r="D404">
            <v>1</v>
          </cell>
          <cell r="E404" t="str">
            <v>%</v>
          </cell>
          <cell r="F404">
            <v>120</v>
          </cell>
          <cell r="G404">
            <v>1.2</v>
          </cell>
          <cell r="H404">
            <v>0</v>
          </cell>
          <cell r="I404">
            <v>1.2</v>
          </cell>
        </row>
        <row r="405">
          <cell r="A405">
            <v>0</v>
          </cell>
          <cell r="B405">
            <v>0</v>
          </cell>
          <cell r="C405" t="str">
            <v>Total 01.05.07</v>
          </cell>
          <cell r="D405">
            <v>1</v>
          </cell>
          <cell r="E405">
            <v>0</v>
          </cell>
          <cell r="F405">
            <v>0</v>
          </cell>
          <cell r="G405">
            <v>247.75317999999999</v>
          </cell>
          <cell r="H405">
            <v>22.779572399999999</v>
          </cell>
          <cell r="I405">
            <v>270.53275239999999</v>
          </cell>
        </row>
        <row r="406">
          <cell r="A406">
            <v>0</v>
          </cell>
          <cell r="B406">
            <v>0</v>
          </cell>
          <cell r="C406">
            <v>0</v>
          </cell>
          <cell r="D406">
            <v>0</v>
          </cell>
          <cell r="E406">
            <v>0</v>
          </cell>
          <cell r="F406">
            <v>0</v>
          </cell>
          <cell r="G406">
            <v>0</v>
          </cell>
          <cell r="H406">
            <v>0</v>
          </cell>
          <cell r="I406">
            <v>0</v>
          </cell>
        </row>
        <row r="407">
          <cell r="A407" t="str">
            <v>01.05.08</v>
          </cell>
          <cell r="B407" t="str">
            <v>Partida</v>
          </cell>
          <cell r="C407" t="str">
            <v>Pañete liso en techo</v>
          </cell>
          <cell r="D407">
            <v>1</v>
          </cell>
          <cell r="E407" t="str">
            <v>m²</v>
          </cell>
          <cell r="F407">
            <v>0</v>
          </cell>
          <cell r="G407">
            <v>216.53925999999998</v>
          </cell>
          <cell r="H407">
            <v>17.161066800000004</v>
          </cell>
          <cell r="I407">
            <v>233.70032679999997</v>
          </cell>
        </row>
        <row r="408">
          <cell r="A408" t="str">
            <v>P0603001</v>
          </cell>
          <cell r="B408" t="str">
            <v>Material</v>
          </cell>
          <cell r="C408" t="str">
            <v>Cal hidratada, funda de 50 Lbs</v>
          </cell>
          <cell r="D408">
            <v>4.1399999999999999E-2</v>
          </cell>
          <cell r="E408" t="str">
            <v>fd</v>
          </cell>
          <cell r="F408">
            <v>213.4</v>
          </cell>
          <cell r="G408">
            <v>8.8347599999999993</v>
          </cell>
          <cell r="H408">
            <v>1.5902567999999999</v>
          </cell>
          <cell r="I408">
            <v>10.4250168</v>
          </cell>
        </row>
        <row r="409">
          <cell r="A409" t="str">
            <v>P0601003</v>
          </cell>
          <cell r="B409" t="str">
            <v>Material</v>
          </cell>
          <cell r="C409" t="str">
            <v>Cemento Gris 94 lbs. Tipo Portland</v>
          </cell>
          <cell r="D409">
            <v>0.20699999999999999</v>
          </cell>
          <cell r="E409" t="str">
            <v>fd</v>
          </cell>
          <cell r="F409">
            <v>295</v>
          </cell>
          <cell r="G409">
            <v>61.064999999999998</v>
          </cell>
          <cell r="H409">
            <v>10.9917</v>
          </cell>
          <cell r="I409">
            <v>72.056699999999992</v>
          </cell>
        </row>
        <row r="410">
          <cell r="A410" t="str">
            <v>P0201005</v>
          </cell>
          <cell r="B410" t="str">
            <v>Material</v>
          </cell>
          <cell r="C410" t="str">
            <v>Arena fina p/pañete</v>
          </cell>
          <cell r="D410">
            <v>1.8800000000000001E-2</v>
          </cell>
          <cell r="E410" t="str">
            <v>m³</v>
          </cell>
          <cell r="F410">
            <v>1200</v>
          </cell>
          <cell r="G410">
            <v>22.560000000000002</v>
          </cell>
          <cell r="H410">
            <v>4.0608000000000004</v>
          </cell>
          <cell r="I410">
            <v>26.620800000000003</v>
          </cell>
        </row>
        <row r="411">
          <cell r="A411" t="str">
            <v>P2403199</v>
          </cell>
          <cell r="B411" t="str">
            <v>Material</v>
          </cell>
          <cell r="C411" t="str">
            <v>Agua</v>
          </cell>
          <cell r="D411">
            <v>0.9</v>
          </cell>
          <cell r="E411" t="str">
            <v>gl</v>
          </cell>
          <cell r="F411">
            <v>1.58</v>
          </cell>
          <cell r="G411">
            <v>1.4220000000000002</v>
          </cell>
          <cell r="H411">
            <v>0.25596000000000002</v>
          </cell>
          <cell r="I411">
            <v>1.6779600000000001</v>
          </cell>
        </row>
        <row r="412">
          <cell r="A412" t="str">
            <v>P0701003</v>
          </cell>
          <cell r="B412" t="str">
            <v>Material</v>
          </cell>
          <cell r="C412" t="str">
            <v>Regla para pañete de PATC</v>
          </cell>
          <cell r="D412">
            <v>2.6499999999999999E-2</v>
          </cell>
          <cell r="E412" t="str">
            <v>p²</v>
          </cell>
          <cell r="F412">
            <v>55.000000000000007</v>
          </cell>
          <cell r="G412">
            <v>1.4575000000000002</v>
          </cell>
          <cell r="H412">
            <v>0.26235000000000003</v>
          </cell>
          <cell r="I412">
            <v>1.7198500000000003</v>
          </cell>
        </row>
        <row r="413">
          <cell r="A413" t="str">
            <v>H0330302</v>
          </cell>
          <cell r="B413" t="str">
            <v>Mano de obra</v>
          </cell>
          <cell r="C413" t="str">
            <v>M.O. Pañete losas y vuelos</v>
          </cell>
          <cell r="D413">
            <v>1</v>
          </cell>
          <cell r="E413" t="str">
            <v>m²</v>
          </cell>
          <cell r="F413">
            <v>120</v>
          </cell>
          <cell r="G413">
            <v>120</v>
          </cell>
          <cell r="H413">
            <v>0</v>
          </cell>
          <cell r="I413">
            <v>120</v>
          </cell>
        </row>
        <row r="414">
          <cell r="A414" t="str">
            <v>H%FH</v>
          </cell>
          <cell r="B414" t="str">
            <v>Otros</v>
          </cell>
          <cell r="C414" t="str">
            <v>Factor Herramientas</v>
          </cell>
          <cell r="D414">
            <v>1</v>
          </cell>
          <cell r="E414" t="str">
            <v>%</v>
          </cell>
          <cell r="F414">
            <v>120</v>
          </cell>
          <cell r="G414">
            <v>1.2</v>
          </cell>
          <cell r="H414">
            <v>0</v>
          </cell>
          <cell r="I414">
            <v>1.2</v>
          </cell>
        </row>
        <row r="415">
          <cell r="A415">
            <v>0</v>
          </cell>
          <cell r="B415">
            <v>0</v>
          </cell>
          <cell r="C415" t="str">
            <v>Total 01.05.08</v>
          </cell>
          <cell r="D415">
            <v>1</v>
          </cell>
          <cell r="E415">
            <v>0</v>
          </cell>
          <cell r="F415">
            <v>0</v>
          </cell>
          <cell r="G415">
            <v>216.53925999999998</v>
          </cell>
          <cell r="H415">
            <v>17.161066800000004</v>
          </cell>
          <cell r="I415">
            <v>233.70032679999997</v>
          </cell>
        </row>
        <row r="416">
          <cell r="A416">
            <v>0</v>
          </cell>
          <cell r="B416">
            <v>0</v>
          </cell>
          <cell r="C416">
            <v>0</v>
          </cell>
          <cell r="D416">
            <v>0</v>
          </cell>
          <cell r="E416">
            <v>0</v>
          </cell>
          <cell r="F416">
            <v>0</v>
          </cell>
          <cell r="G416">
            <v>0</v>
          </cell>
          <cell r="H416">
            <v>0</v>
          </cell>
          <cell r="I416">
            <v>0</v>
          </cell>
        </row>
        <row r="417">
          <cell r="A417" t="str">
            <v>01.05.09</v>
          </cell>
          <cell r="B417" t="str">
            <v>Partida</v>
          </cell>
          <cell r="C417" t="str">
            <v>Violinado en Superficie Exterior Ancho=0.15mt</v>
          </cell>
          <cell r="D417">
            <v>1</v>
          </cell>
          <cell r="E417" t="str">
            <v>m</v>
          </cell>
          <cell r="F417">
            <v>0</v>
          </cell>
          <cell r="G417">
            <v>104.774608</v>
          </cell>
          <cell r="H417">
            <v>3.4064294399999997</v>
          </cell>
          <cell r="I417">
            <v>108.18103744</v>
          </cell>
        </row>
        <row r="418">
          <cell r="A418" t="str">
            <v>P0603001</v>
          </cell>
          <cell r="B418" t="str">
            <v>Material</v>
          </cell>
          <cell r="C418" t="str">
            <v>Cal hidratada, funda de 50 Lbs</v>
          </cell>
          <cell r="D418">
            <v>7.92E-3</v>
          </cell>
          <cell r="E418" t="str">
            <v>fd</v>
          </cell>
          <cell r="F418">
            <v>213.4</v>
          </cell>
          <cell r="G418">
            <v>1.6901280000000001</v>
          </cell>
          <cell r="H418">
            <v>0.30422304</v>
          </cell>
          <cell r="I418">
            <v>1.9943510400000002</v>
          </cell>
        </row>
        <row r="419">
          <cell r="A419" t="str">
            <v>P0601003</v>
          </cell>
          <cell r="B419" t="str">
            <v>Material</v>
          </cell>
          <cell r="C419" t="str">
            <v>Cemento Gris 94 lbs. Tipo Portland</v>
          </cell>
          <cell r="D419">
            <v>3.9600000000000003E-2</v>
          </cell>
          <cell r="E419" t="str">
            <v>fd</v>
          </cell>
          <cell r="F419">
            <v>295</v>
          </cell>
          <cell r="G419">
            <v>11.682</v>
          </cell>
          <cell r="H419">
            <v>2.10276</v>
          </cell>
          <cell r="I419">
            <v>13.78476</v>
          </cell>
        </row>
        <row r="420">
          <cell r="A420" t="str">
            <v>P0201005</v>
          </cell>
          <cell r="B420" t="str">
            <v>Material</v>
          </cell>
          <cell r="C420" t="str">
            <v>Arena fina p/pañete</v>
          </cell>
          <cell r="D420">
            <v>3.4499999999999999E-3</v>
          </cell>
          <cell r="E420" t="str">
            <v>m³</v>
          </cell>
          <cell r="F420">
            <v>1200</v>
          </cell>
          <cell r="G420">
            <v>4.1399999999999997</v>
          </cell>
          <cell r="H420">
            <v>0.74519999999999986</v>
          </cell>
          <cell r="I420">
            <v>4.8851999999999993</v>
          </cell>
        </row>
        <row r="421">
          <cell r="A421" t="str">
            <v>P2403199</v>
          </cell>
          <cell r="B421" t="str">
            <v>Material</v>
          </cell>
          <cell r="C421" t="str">
            <v>Agua</v>
          </cell>
          <cell r="D421">
            <v>0.156</v>
          </cell>
          <cell r="E421" t="str">
            <v>gl</v>
          </cell>
          <cell r="F421">
            <v>1.58</v>
          </cell>
          <cell r="G421">
            <v>0.24648</v>
          </cell>
          <cell r="H421">
            <v>4.43664E-2</v>
          </cell>
          <cell r="I421">
            <v>0.2908464</v>
          </cell>
        </row>
        <row r="422">
          <cell r="A422" t="str">
            <v>P0701003</v>
          </cell>
          <cell r="B422" t="str">
            <v>Material</v>
          </cell>
          <cell r="C422" t="str">
            <v>Regla para pañete de PATC</v>
          </cell>
          <cell r="D422">
            <v>2.12E-2</v>
          </cell>
          <cell r="E422" t="str">
            <v>p²</v>
          </cell>
          <cell r="F422">
            <v>55.000000000000007</v>
          </cell>
          <cell r="G422">
            <v>1.1660000000000001</v>
          </cell>
          <cell r="H422">
            <v>0.20988000000000001</v>
          </cell>
          <cell r="I422">
            <v>1.3758800000000002</v>
          </cell>
        </row>
        <row r="423">
          <cell r="A423" t="str">
            <v>H0330309</v>
          </cell>
          <cell r="B423" t="str">
            <v>Mano de obra</v>
          </cell>
          <cell r="C423" t="str">
            <v>M.O. Construcción Violinado Exterior A=0.15m</v>
          </cell>
          <cell r="D423">
            <v>1</v>
          </cell>
          <cell r="E423" t="str">
            <v>m</v>
          </cell>
          <cell r="F423">
            <v>85</v>
          </cell>
          <cell r="G423">
            <v>85</v>
          </cell>
          <cell r="H423">
            <v>0</v>
          </cell>
          <cell r="I423">
            <v>85</v>
          </cell>
        </row>
        <row r="424">
          <cell r="A424" t="str">
            <v>H%FH</v>
          </cell>
          <cell r="B424" t="str">
            <v>Otros</v>
          </cell>
          <cell r="C424" t="str">
            <v>Factor Herramientas</v>
          </cell>
          <cell r="D424">
            <v>1</v>
          </cell>
          <cell r="E424" t="str">
            <v>%</v>
          </cell>
          <cell r="F424">
            <v>85</v>
          </cell>
          <cell r="G424">
            <v>0.85</v>
          </cell>
          <cell r="H424">
            <v>0</v>
          </cell>
          <cell r="I424">
            <v>0.85</v>
          </cell>
        </row>
        <row r="425">
          <cell r="A425">
            <v>0</v>
          </cell>
          <cell r="B425">
            <v>0</v>
          </cell>
          <cell r="C425" t="str">
            <v>Total 01.05.09</v>
          </cell>
          <cell r="D425">
            <v>1</v>
          </cell>
          <cell r="E425">
            <v>0</v>
          </cell>
          <cell r="F425">
            <v>0</v>
          </cell>
          <cell r="G425">
            <v>104.774608</v>
          </cell>
          <cell r="H425">
            <v>3.4064294399999997</v>
          </cell>
          <cell r="I425">
            <v>108.18103744</v>
          </cell>
        </row>
        <row r="426">
          <cell r="A426" t="str">
            <v>01.05.10</v>
          </cell>
          <cell r="B426" t="str">
            <v>Partida</v>
          </cell>
          <cell r="C426" t="str">
            <v>Gotero Colgante</v>
          </cell>
          <cell r="D426">
            <v>1</v>
          </cell>
          <cell r="E426" t="str">
            <v>m</v>
          </cell>
          <cell r="F426">
            <v>0</v>
          </cell>
          <cell r="G426">
            <v>163.88825</v>
          </cell>
          <cell r="H426">
            <v>14.046885</v>
          </cell>
          <cell r="I426">
            <v>177.935135</v>
          </cell>
        </row>
        <row r="427">
          <cell r="A427" t="str">
            <v>P0603001</v>
          </cell>
          <cell r="B427" t="str">
            <v>Material</v>
          </cell>
          <cell r="C427" t="str">
            <v>Cal hidratada, funda de 50 Lbs</v>
          </cell>
          <cell r="D427">
            <v>3.9375E-2</v>
          </cell>
          <cell r="E427" t="str">
            <v>fd</v>
          </cell>
          <cell r="F427">
            <v>213.4</v>
          </cell>
          <cell r="G427">
            <v>8.4026250000000005</v>
          </cell>
          <cell r="H427">
            <v>1.5124725000000001</v>
          </cell>
          <cell r="I427">
            <v>9.9150974999999999</v>
          </cell>
        </row>
        <row r="428">
          <cell r="A428" t="str">
            <v>P0601003</v>
          </cell>
          <cell r="B428" t="str">
            <v>Material</v>
          </cell>
          <cell r="C428" t="str">
            <v>Cemento Gris 94 lbs. Tipo Portland</v>
          </cell>
          <cell r="D428">
            <v>0.11812499999999999</v>
          </cell>
          <cell r="E428" t="str">
            <v>fd</v>
          </cell>
          <cell r="F428">
            <v>295</v>
          </cell>
          <cell r="G428">
            <v>34.846874999999997</v>
          </cell>
          <cell r="H428">
            <v>6.2724374999999997</v>
          </cell>
          <cell r="I428">
            <v>41.119312499999999</v>
          </cell>
        </row>
        <row r="429">
          <cell r="A429" t="str">
            <v>P0201005</v>
          </cell>
          <cell r="B429" t="str">
            <v>Material</v>
          </cell>
          <cell r="C429" t="str">
            <v>Arena fina p/pañete</v>
          </cell>
          <cell r="D429">
            <v>1.3125000000000001E-2</v>
          </cell>
          <cell r="E429" t="str">
            <v>m³</v>
          </cell>
          <cell r="F429">
            <v>1200</v>
          </cell>
          <cell r="G429">
            <v>15.750000000000002</v>
          </cell>
          <cell r="H429">
            <v>2.8350000000000004</v>
          </cell>
          <cell r="I429">
            <v>18.585000000000001</v>
          </cell>
        </row>
        <row r="430">
          <cell r="A430" t="str">
            <v>P2403199</v>
          </cell>
          <cell r="B430" t="str">
            <v>Material</v>
          </cell>
          <cell r="C430" t="str">
            <v>Agua</v>
          </cell>
          <cell r="D430">
            <v>0.5625</v>
          </cell>
          <cell r="E430" t="str">
            <v>gl</v>
          </cell>
          <cell r="F430">
            <v>1.58</v>
          </cell>
          <cell r="G430">
            <v>0.88875000000000004</v>
          </cell>
          <cell r="H430">
            <v>0.15997500000000001</v>
          </cell>
          <cell r="I430">
            <v>1.0487250000000001</v>
          </cell>
        </row>
        <row r="431">
          <cell r="A431" t="str">
            <v>P0701003</v>
          </cell>
          <cell r="B431" t="str">
            <v>Material</v>
          </cell>
          <cell r="C431" t="str">
            <v>Regla para pañete de PATC</v>
          </cell>
          <cell r="D431">
            <v>0.33</v>
          </cell>
          <cell r="E431" t="str">
            <v>p²</v>
          </cell>
          <cell r="F431">
            <v>55.000000000000007</v>
          </cell>
          <cell r="G431">
            <v>18.150000000000002</v>
          </cell>
          <cell r="H431">
            <v>3.2670000000000003</v>
          </cell>
          <cell r="I431">
            <v>21.417000000000002</v>
          </cell>
        </row>
        <row r="432">
          <cell r="A432" t="str">
            <v>H0330425</v>
          </cell>
          <cell r="B432" t="str">
            <v>Mano de obra</v>
          </cell>
          <cell r="C432" t="str">
            <v>M.O. Construcción de Gotero Colgante</v>
          </cell>
          <cell r="D432">
            <v>1</v>
          </cell>
          <cell r="E432" t="str">
            <v>m</v>
          </cell>
          <cell r="F432">
            <v>85</v>
          </cell>
          <cell r="G432">
            <v>85</v>
          </cell>
          <cell r="H432">
            <v>0</v>
          </cell>
          <cell r="I432">
            <v>85</v>
          </cell>
        </row>
        <row r="433">
          <cell r="A433" t="str">
            <v>H%FH</v>
          </cell>
          <cell r="B433" t="str">
            <v>Otros</v>
          </cell>
          <cell r="C433" t="str">
            <v>Factor Herramientas</v>
          </cell>
          <cell r="D433">
            <v>1</v>
          </cell>
          <cell r="E433" t="str">
            <v>%</v>
          </cell>
          <cell r="F433">
            <v>85</v>
          </cell>
          <cell r="G433">
            <v>0.85</v>
          </cell>
          <cell r="H433">
            <v>0</v>
          </cell>
          <cell r="I433">
            <v>0.85</v>
          </cell>
        </row>
        <row r="434">
          <cell r="A434">
            <v>0</v>
          </cell>
          <cell r="B434">
            <v>0</v>
          </cell>
          <cell r="C434" t="str">
            <v>Total 01.05.10</v>
          </cell>
          <cell r="D434">
            <v>1</v>
          </cell>
          <cell r="E434">
            <v>0</v>
          </cell>
          <cell r="G434">
            <v>163.88825</v>
          </cell>
          <cell r="H434">
            <v>14.046885</v>
          </cell>
          <cell r="I434">
            <v>177.935135</v>
          </cell>
        </row>
        <row r="435">
          <cell r="A435">
            <v>0</v>
          </cell>
          <cell r="B435">
            <v>0</v>
          </cell>
          <cell r="C435">
            <v>0</v>
          </cell>
          <cell r="D435">
            <v>0</v>
          </cell>
          <cell r="E435">
            <v>0</v>
          </cell>
          <cell r="F435">
            <v>0</v>
          </cell>
          <cell r="G435">
            <v>0</v>
          </cell>
          <cell r="H435">
            <v>0</v>
          </cell>
          <cell r="I435">
            <v>0</v>
          </cell>
        </row>
        <row r="436">
          <cell r="A436">
            <v>0</v>
          </cell>
          <cell r="B436">
            <v>0</v>
          </cell>
          <cell r="C436">
            <v>0</v>
          </cell>
          <cell r="D436">
            <v>0</v>
          </cell>
          <cell r="E436">
            <v>0</v>
          </cell>
          <cell r="F436">
            <v>0</v>
          </cell>
          <cell r="G436">
            <v>0</v>
          </cell>
          <cell r="H436">
            <v>0</v>
          </cell>
          <cell r="I436">
            <v>0</v>
          </cell>
        </row>
        <row r="437">
          <cell r="A437">
            <v>0</v>
          </cell>
          <cell r="B437">
            <v>0</v>
          </cell>
          <cell r="C437">
            <v>0</v>
          </cell>
          <cell r="D437">
            <v>0</v>
          </cell>
          <cell r="E437">
            <v>0</v>
          </cell>
          <cell r="F437">
            <v>0</v>
          </cell>
          <cell r="G437">
            <v>0</v>
          </cell>
          <cell r="H437">
            <v>0</v>
          </cell>
          <cell r="I437">
            <v>0</v>
          </cell>
        </row>
        <row r="438">
          <cell r="A438" t="str">
            <v>01.06</v>
          </cell>
          <cell r="B438" t="str">
            <v>Capítulo</v>
          </cell>
          <cell r="C438" t="str">
            <v>TERMINACION DE PISOS :</v>
          </cell>
          <cell r="D438">
            <v>0</v>
          </cell>
          <cell r="E438" t="str">
            <v/>
          </cell>
          <cell r="F438">
            <v>0</v>
          </cell>
          <cell r="G438">
            <v>0</v>
          </cell>
          <cell r="H438">
            <v>0</v>
          </cell>
          <cell r="I438">
            <v>0</v>
          </cell>
        </row>
        <row r="439">
          <cell r="A439" t="str">
            <v>01.06.01</v>
          </cell>
          <cell r="B439" t="str">
            <v>Partida</v>
          </cell>
          <cell r="C439" t="str">
            <v>Piso  de hormigón armado frotado, e=10 cms Hormigón 210 kg/cm2  industrial</v>
          </cell>
          <cell r="D439">
            <v>1</v>
          </cell>
          <cell r="E439" t="str">
            <v>m²</v>
          </cell>
          <cell r="F439">
            <v>0</v>
          </cell>
          <cell r="G439">
            <v>790.65808766666669</v>
          </cell>
          <cell r="H439">
            <v>124.01418972</v>
          </cell>
          <cell r="I439">
            <v>914.67227738666668</v>
          </cell>
        </row>
        <row r="440">
          <cell r="A440" t="str">
            <v>P0602008</v>
          </cell>
          <cell r="B440" t="str">
            <v>Material</v>
          </cell>
          <cell r="C440" t="str">
            <v>Hormigón Industrial H210 kg/cm2, Bombeado</v>
          </cell>
          <cell r="D440">
            <v>0.107</v>
          </cell>
          <cell r="E440" t="str">
            <v>m³</v>
          </cell>
          <cell r="F440">
            <v>4845.76</v>
          </cell>
          <cell r="G440">
            <v>518.49631999999997</v>
          </cell>
          <cell r="H440">
            <v>93.329337599999988</v>
          </cell>
          <cell r="I440">
            <v>611.8256576</v>
          </cell>
        </row>
        <row r="441">
          <cell r="A441" t="str">
            <v>P0402001</v>
          </cell>
          <cell r="B441" t="str">
            <v>Material</v>
          </cell>
          <cell r="C441" t="str">
            <v>Acero Malla D2.3xD2.3 (100x100)  Rollo 2.4x40 4.93qq</v>
          </cell>
          <cell r="D441">
            <v>1.1000000000000001</v>
          </cell>
          <cell r="E441" t="str">
            <v>m²</v>
          </cell>
          <cell r="F441">
            <v>130.20833333333334</v>
          </cell>
          <cell r="G441">
            <v>143.22916666666669</v>
          </cell>
          <cell r="H441">
            <v>25.781250000000004</v>
          </cell>
          <cell r="I441">
            <v>169.01041666666669</v>
          </cell>
        </row>
        <row r="442">
          <cell r="A442" t="str">
            <v>P0418006</v>
          </cell>
          <cell r="B442" t="str">
            <v>Material</v>
          </cell>
          <cell r="C442" t="str">
            <v>Alambre galvanizado liso #18</v>
          </cell>
          <cell r="D442">
            <v>0.1028</v>
          </cell>
          <cell r="E442" t="str">
            <v>lb</v>
          </cell>
          <cell r="F442">
            <v>42.28</v>
          </cell>
          <cell r="G442">
            <v>4.3463840000000005</v>
          </cell>
          <cell r="H442">
            <v>0.78234912000000001</v>
          </cell>
          <cell r="I442">
            <v>5.1287331200000006</v>
          </cell>
        </row>
        <row r="443">
          <cell r="A443" t="str">
            <v>P0190101</v>
          </cell>
          <cell r="B443" t="str">
            <v>Material</v>
          </cell>
          <cell r="C443" t="str">
            <v>FiberMesh Vinaldom Polipropileno 1 1/2" (2Lb/m³)</v>
          </cell>
          <cell r="D443">
            <v>0.105</v>
          </cell>
          <cell r="E443" t="str">
            <v>lb</v>
          </cell>
          <cell r="F443">
            <v>215.52</v>
          </cell>
          <cell r="G443">
            <v>22.6296</v>
          </cell>
          <cell r="H443">
            <v>4.0733280000000001</v>
          </cell>
          <cell r="I443">
            <v>26.702928</v>
          </cell>
        </row>
        <row r="444">
          <cell r="A444" t="str">
            <v>P0190102</v>
          </cell>
          <cell r="B444" t="str">
            <v>Material</v>
          </cell>
          <cell r="C444" t="str">
            <v>SupraCure Plus Vinaldom 40m²/gl</v>
          </cell>
          <cell r="D444">
            <v>1.2500000000000001E-2</v>
          </cell>
          <cell r="E444" t="str">
            <v>gl</v>
          </cell>
          <cell r="F444">
            <v>21.3</v>
          </cell>
          <cell r="G444">
            <v>0.26625000000000004</v>
          </cell>
          <cell r="H444">
            <v>4.7925000000000009E-2</v>
          </cell>
          <cell r="I444">
            <v>0.31417500000000004</v>
          </cell>
        </row>
        <row r="445">
          <cell r="A445" t="str">
            <v>H0205059</v>
          </cell>
          <cell r="B445" t="str">
            <v>Mano de obra</v>
          </cell>
          <cell r="C445" t="str">
            <v>M.O. Preparación del Terreno</v>
          </cell>
          <cell r="D445">
            <v>1</v>
          </cell>
          <cell r="E445" t="str">
            <v>m²</v>
          </cell>
          <cell r="F445">
            <v>35</v>
          </cell>
          <cell r="G445">
            <v>35</v>
          </cell>
          <cell r="H445">
            <v>0</v>
          </cell>
          <cell r="I445">
            <v>35</v>
          </cell>
        </row>
        <row r="446">
          <cell r="A446" t="str">
            <v>H0302112</v>
          </cell>
          <cell r="B446" t="str">
            <v>Mano de obra</v>
          </cell>
          <cell r="C446" t="str">
            <v>M.O. Colocación Malla Electrosoldada</v>
          </cell>
          <cell r="D446">
            <v>1</v>
          </cell>
          <cell r="E446" t="str">
            <v>m²</v>
          </cell>
          <cell r="F446">
            <v>45</v>
          </cell>
          <cell r="G446">
            <v>45</v>
          </cell>
          <cell r="H446">
            <v>0</v>
          </cell>
          <cell r="I446">
            <v>45</v>
          </cell>
        </row>
        <row r="447">
          <cell r="A447" t="str">
            <v>H0510111</v>
          </cell>
          <cell r="B447" t="str">
            <v>Mano de obra</v>
          </cell>
          <cell r="C447" t="str">
            <v>M.O. Enc. Y Desc. Guardera Platea h=10 cm ( T.C )</v>
          </cell>
          <cell r="D447">
            <v>0.14019999999999999</v>
          </cell>
          <cell r="E447" t="str">
            <v>m</v>
          </cell>
          <cell r="F447">
            <v>120</v>
          </cell>
          <cell r="G447">
            <v>16.823999999999998</v>
          </cell>
          <cell r="H447">
            <v>0</v>
          </cell>
          <cell r="I447">
            <v>16.823999999999998</v>
          </cell>
        </row>
        <row r="448">
          <cell r="A448" t="str">
            <v>SC800001</v>
          </cell>
          <cell r="B448" t="str">
            <v>Otros</v>
          </cell>
          <cell r="C448" t="str">
            <v>Ensayos y pruebas de laboratorio hormigón (3 Probetas x c/45m3)</v>
          </cell>
          <cell r="D448">
            <v>6.7000000000000002E-3</v>
          </cell>
          <cell r="E448" t="str">
            <v>u</v>
          </cell>
          <cell r="F448">
            <v>581.80999999999995</v>
          </cell>
          <cell r="G448">
            <v>3.8981269999999997</v>
          </cell>
          <cell r="H448">
            <v>0</v>
          </cell>
          <cell r="I448">
            <v>3.8981269999999997</v>
          </cell>
        </row>
        <row r="449">
          <cell r="A449" t="str">
            <v>H%FH</v>
          </cell>
          <cell r="B449" t="str">
            <v>Otros</v>
          </cell>
          <cell r="C449" t="str">
            <v>Factor Herramientas</v>
          </cell>
          <cell r="D449">
            <v>1</v>
          </cell>
          <cell r="E449" t="str">
            <v>%</v>
          </cell>
          <cell r="F449">
            <v>96.823999999999998</v>
          </cell>
          <cell r="G449">
            <v>0.96823999999999999</v>
          </cell>
          <cell r="H449">
            <v>0</v>
          </cell>
          <cell r="I449">
            <v>0.96823999999999999</v>
          </cell>
        </row>
        <row r="450">
          <cell r="A450">
            <v>0</v>
          </cell>
          <cell r="B450">
            <v>0</v>
          </cell>
          <cell r="C450" t="str">
            <v>Total 01.06.01</v>
          </cell>
          <cell r="D450">
            <v>1</v>
          </cell>
          <cell r="E450">
            <v>0</v>
          </cell>
          <cell r="F450">
            <v>0</v>
          </cell>
          <cell r="G450">
            <v>790.65808766666669</v>
          </cell>
          <cell r="H450">
            <v>124.01418972</v>
          </cell>
          <cell r="I450">
            <v>914.67227738666668</v>
          </cell>
        </row>
        <row r="451">
          <cell r="A451">
            <v>0</v>
          </cell>
          <cell r="B451">
            <v>0</v>
          </cell>
          <cell r="C451">
            <v>0</v>
          </cell>
          <cell r="D451">
            <v>0</v>
          </cell>
          <cell r="E451">
            <v>0</v>
          </cell>
          <cell r="F451">
            <v>0</v>
          </cell>
          <cell r="G451">
            <v>0</v>
          </cell>
          <cell r="H451">
            <v>0</v>
          </cell>
          <cell r="I451">
            <v>0</v>
          </cell>
        </row>
        <row r="452">
          <cell r="A452" t="str">
            <v>01.06.02</v>
          </cell>
          <cell r="B452" t="str">
            <v>Partida</v>
          </cell>
          <cell r="C452" t="str">
            <v>Piso cemento pulido con intralok bonding agent terminado con helicoptero, espesor 0.05 mts</v>
          </cell>
          <cell r="D452">
            <v>1</v>
          </cell>
          <cell r="E452" t="str">
            <v>m²</v>
          </cell>
          <cell r="F452">
            <v>0</v>
          </cell>
          <cell r="G452">
            <v>818.959926</v>
          </cell>
          <cell r="H452">
            <v>109.23478668000001</v>
          </cell>
          <cell r="I452">
            <v>928.19471268000007</v>
          </cell>
        </row>
        <row r="453">
          <cell r="A453" t="str">
            <v>P2465459</v>
          </cell>
          <cell r="B453" t="str">
            <v>Material</v>
          </cell>
          <cell r="C453" t="str">
            <v>Intralok Bonding Agent, 4.18 m²/gl ~ 3.18 mm Esp.</v>
          </cell>
          <cell r="D453">
            <v>0.2392</v>
          </cell>
          <cell r="E453" t="str">
            <v>gl</v>
          </cell>
          <cell r="F453">
            <v>1335</v>
          </cell>
          <cell r="G453">
            <v>319.33199999999999</v>
          </cell>
          <cell r="H453">
            <v>57.479759999999999</v>
          </cell>
          <cell r="I453">
            <v>376.81175999999999</v>
          </cell>
        </row>
        <row r="454">
          <cell r="A454" t="str">
            <v>P2403199</v>
          </cell>
          <cell r="B454" t="str">
            <v>Material</v>
          </cell>
          <cell r="C454" t="str">
            <v>Agua</v>
          </cell>
          <cell r="D454">
            <v>0.2392</v>
          </cell>
          <cell r="E454" t="str">
            <v>gl</v>
          </cell>
          <cell r="F454">
            <v>1.58</v>
          </cell>
          <cell r="G454">
            <v>0.37793599999999999</v>
          </cell>
          <cell r="H454">
            <v>6.8028480000000002E-2</v>
          </cell>
          <cell r="I454">
            <v>0.44596448</v>
          </cell>
        </row>
        <row r="455">
          <cell r="A455" t="str">
            <v>P0201005</v>
          </cell>
          <cell r="B455" t="str">
            <v>Material</v>
          </cell>
          <cell r="C455" t="str">
            <v>Arena fina p/pañete</v>
          </cell>
          <cell r="D455">
            <v>1.8E-3</v>
          </cell>
          <cell r="E455" t="str">
            <v>m³</v>
          </cell>
          <cell r="F455">
            <v>1200</v>
          </cell>
          <cell r="G455">
            <v>2.16</v>
          </cell>
          <cell r="H455">
            <v>0.38880000000000003</v>
          </cell>
          <cell r="I455">
            <v>2.5488</v>
          </cell>
        </row>
        <row r="456">
          <cell r="A456" t="str">
            <v>P0601003</v>
          </cell>
          <cell r="B456" t="str">
            <v>Material</v>
          </cell>
          <cell r="C456" t="str">
            <v>Cemento Gris 94 lbs. Tipo Portland</v>
          </cell>
          <cell r="D456">
            <v>4.2500000000000003E-2</v>
          </cell>
          <cell r="E456" t="str">
            <v>fd</v>
          </cell>
          <cell r="F456">
            <v>295</v>
          </cell>
          <cell r="G456">
            <v>12.537500000000001</v>
          </cell>
          <cell r="H456">
            <v>2.2567500000000003</v>
          </cell>
          <cell r="I456">
            <v>14.794250000000002</v>
          </cell>
        </row>
        <row r="457">
          <cell r="A457" t="str">
            <v>P0602008</v>
          </cell>
          <cell r="B457" t="str">
            <v>Material</v>
          </cell>
          <cell r="C457" t="str">
            <v>Hormigón Industrial H210 kg/cm2, Bombeado</v>
          </cell>
          <cell r="D457">
            <v>5.1499999999999997E-2</v>
          </cell>
          <cell r="E457" t="str">
            <v>m³</v>
          </cell>
          <cell r="F457">
            <v>4845.76</v>
          </cell>
          <cell r="G457">
            <v>249.55663999999999</v>
          </cell>
          <cell r="H457">
            <v>44.920195199999995</v>
          </cell>
          <cell r="I457">
            <v>294.47683519999998</v>
          </cell>
        </row>
        <row r="458">
          <cell r="A458" t="str">
            <v>P0190101</v>
          </cell>
          <cell r="B458" t="str">
            <v>Material</v>
          </cell>
          <cell r="C458" t="str">
            <v>FiberMesh Vinaldom Polipropileno 1 1/2" (2Lb/m³)</v>
          </cell>
          <cell r="D458">
            <v>0.105</v>
          </cell>
          <cell r="E458" t="str">
            <v>lb</v>
          </cell>
          <cell r="F458">
            <v>215.52</v>
          </cell>
          <cell r="G458">
            <v>22.6296</v>
          </cell>
          <cell r="H458">
            <v>4.0733280000000001</v>
          </cell>
          <cell r="I458">
            <v>26.702928</v>
          </cell>
        </row>
        <row r="459">
          <cell r="A459" t="str">
            <v>P0190102</v>
          </cell>
          <cell r="B459" t="str">
            <v>Material</v>
          </cell>
          <cell r="C459" t="str">
            <v>SupraCure Plus Vinaldom 40m²/gl</v>
          </cell>
          <cell r="D459">
            <v>1.2500000000000001E-2</v>
          </cell>
          <cell r="E459" t="str">
            <v>gl</v>
          </cell>
          <cell r="F459">
            <v>21.3</v>
          </cell>
          <cell r="G459">
            <v>0.26625000000000004</v>
          </cell>
          <cell r="H459">
            <v>4.7925000000000009E-2</v>
          </cell>
          <cell r="I459">
            <v>0.31417500000000004</v>
          </cell>
        </row>
        <row r="460">
          <cell r="A460" t="str">
            <v>H0100112</v>
          </cell>
          <cell r="B460" t="str">
            <v>Mano de obra</v>
          </cell>
          <cell r="C460" t="str">
            <v>M.O. Mezclado y Colocación Lechada Adherente</v>
          </cell>
          <cell r="D460">
            <v>1</v>
          </cell>
          <cell r="E460" t="str">
            <v>m²</v>
          </cell>
          <cell r="F460">
            <v>35</v>
          </cell>
          <cell r="G460">
            <v>35</v>
          </cell>
          <cell r="H460">
            <v>0</v>
          </cell>
          <cell r="I460">
            <v>35</v>
          </cell>
        </row>
        <row r="461">
          <cell r="A461" t="str">
            <v>H0100105</v>
          </cell>
          <cell r="B461" t="str">
            <v>Mano de obra</v>
          </cell>
          <cell r="C461" t="str">
            <v>M.O. Colocación y Terminación Hormigón Pulido</v>
          </cell>
          <cell r="D461">
            <v>1</v>
          </cell>
          <cell r="E461" t="str">
            <v>m²</v>
          </cell>
          <cell r="F461">
            <v>175</v>
          </cell>
          <cell r="G461">
            <v>175</v>
          </cell>
          <cell r="H461">
            <v>0</v>
          </cell>
          <cell r="I461">
            <v>175</v>
          </cell>
        </row>
        <row r="462">
          <cell r="A462" t="str">
            <v>H%FH</v>
          </cell>
          <cell r="B462" t="str">
            <v>Otros</v>
          </cell>
          <cell r="C462" t="str">
            <v>Factor Herramientas</v>
          </cell>
          <cell r="D462">
            <v>1</v>
          </cell>
          <cell r="E462" t="str">
            <v>%</v>
          </cell>
          <cell r="F462">
            <v>210</v>
          </cell>
          <cell r="G462">
            <v>2.1</v>
          </cell>
          <cell r="H462">
            <v>0</v>
          </cell>
          <cell r="I462">
            <v>2.1</v>
          </cell>
        </row>
        <row r="463">
          <cell r="A463">
            <v>0</v>
          </cell>
          <cell r="B463">
            <v>0</v>
          </cell>
          <cell r="C463" t="str">
            <v>Total 01.06.02</v>
          </cell>
          <cell r="D463">
            <v>1</v>
          </cell>
          <cell r="E463">
            <v>0</v>
          </cell>
          <cell r="F463">
            <v>0</v>
          </cell>
          <cell r="G463">
            <v>818.959926</v>
          </cell>
          <cell r="H463">
            <v>109.23478668000001</v>
          </cell>
          <cell r="I463">
            <v>928.19471268000007</v>
          </cell>
        </row>
        <row r="464">
          <cell r="A464">
            <v>0</v>
          </cell>
          <cell r="B464">
            <v>0</v>
          </cell>
          <cell r="C464">
            <v>0</v>
          </cell>
          <cell r="D464">
            <v>0</v>
          </cell>
          <cell r="E464">
            <v>0</v>
          </cell>
          <cell r="F464">
            <v>0</v>
          </cell>
          <cell r="G464">
            <v>0</v>
          </cell>
          <cell r="H464">
            <v>0</v>
          </cell>
          <cell r="I464">
            <v>0</v>
          </cell>
        </row>
        <row r="465">
          <cell r="A465" t="str">
            <v>01.06.05</v>
          </cell>
          <cell r="B465" t="str">
            <v>Partida</v>
          </cell>
          <cell r="C465" t="str">
            <v>Piso hormigón frotado estampado</v>
          </cell>
          <cell r="D465">
            <v>1</v>
          </cell>
          <cell r="E465" t="str">
            <v>m²</v>
          </cell>
          <cell r="F465">
            <v>0</v>
          </cell>
          <cell r="G465">
            <v>925.16584766666665</v>
          </cell>
          <cell r="H465">
            <v>124.01418972</v>
          </cell>
          <cell r="I465">
            <v>1049.1800373866665</v>
          </cell>
        </row>
        <row r="466">
          <cell r="A466" t="str">
            <v>P0602008</v>
          </cell>
          <cell r="B466" t="str">
            <v>Material</v>
          </cell>
          <cell r="C466" t="str">
            <v>Hormigón Industrial H210 kg/cm2, Bombeado</v>
          </cell>
          <cell r="D466">
            <v>0.107</v>
          </cell>
          <cell r="E466" t="str">
            <v>m³</v>
          </cell>
          <cell r="F466">
            <v>4845.76</v>
          </cell>
          <cell r="G466">
            <v>518.49631999999997</v>
          </cell>
          <cell r="H466">
            <v>93.329337599999988</v>
          </cell>
          <cell r="I466">
            <v>611.8256576</v>
          </cell>
        </row>
        <row r="467">
          <cell r="A467" t="str">
            <v>P0402001</v>
          </cell>
          <cell r="B467" t="str">
            <v>Material</v>
          </cell>
          <cell r="C467" t="str">
            <v>Acero Malla D2.3xD2.3 (100x100)  Rollo 2.4x40 4.93qq</v>
          </cell>
          <cell r="D467">
            <v>1.1000000000000001</v>
          </cell>
          <cell r="E467" t="str">
            <v>m²</v>
          </cell>
          <cell r="F467">
            <v>130.20833333333334</v>
          </cell>
          <cell r="G467">
            <v>143.22916666666669</v>
          </cell>
          <cell r="H467">
            <v>25.781250000000004</v>
          </cell>
          <cell r="I467">
            <v>169.01041666666669</v>
          </cell>
        </row>
        <row r="468">
          <cell r="A468" t="str">
            <v>P0418006</v>
          </cell>
          <cell r="B468" t="str">
            <v>Material</v>
          </cell>
          <cell r="C468" t="str">
            <v>Alambre galvanizado liso #18</v>
          </cell>
          <cell r="D468">
            <v>0.1028</v>
          </cell>
          <cell r="E468" t="str">
            <v>lb</v>
          </cell>
          <cell r="F468">
            <v>42.28</v>
          </cell>
          <cell r="G468">
            <v>4.3463840000000005</v>
          </cell>
          <cell r="H468">
            <v>0.78234912000000001</v>
          </cell>
          <cell r="I468">
            <v>5.1287331200000006</v>
          </cell>
        </row>
        <row r="469">
          <cell r="A469" t="str">
            <v>P0190101</v>
          </cell>
          <cell r="B469" t="str">
            <v>Material</v>
          </cell>
          <cell r="C469" t="str">
            <v>FiberMesh Vinaldom Polipropileno 1 1/2" (2Lb/m³)</v>
          </cell>
          <cell r="D469">
            <v>0.105</v>
          </cell>
          <cell r="E469" t="str">
            <v>lb</v>
          </cell>
          <cell r="F469">
            <v>215.52</v>
          </cell>
          <cell r="G469">
            <v>22.6296</v>
          </cell>
          <cell r="H469">
            <v>4.0733280000000001</v>
          </cell>
          <cell r="I469">
            <v>26.702928</v>
          </cell>
        </row>
        <row r="470">
          <cell r="A470" t="str">
            <v>P0190102</v>
          </cell>
          <cell r="B470" t="str">
            <v>Material</v>
          </cell>
          <cell r="C470" t="str">
            <v>SupraCure Plus Vinaldom 40m²/gl</v>
          </cell>
          <cell r="D470">
            <v>1.2500000000000001E-2</v>
          </cell>
          <cell r="E470" t="str">
            <v>gl</v>
          </cell>
          <cell r="F470">
            <v>21.3</v>
          </cell>
          <cell r="G470">
            <v>0.26625000000000004</v>
          </cell>
          <cell r="H470">
            <v>4.7925000000000009E-2</v>
          </cell>
          <cell r="I470">
            <v>0.31417500000000004</v>
          </cell>
        </row>
        <row r="471">
          <cell r="A471" t="str">
            <v>H0302112</v>
          </cell>
          <cell r="B471" t="str">
            <v>Mano de obra</v>
          </cell>
          <cell r="C471" t="str">
            <v>M.O. Colocación Malla Electrosoldada</v>
          </cell>
          <cell r="D471">
            <v>1</v>
          </cell>
          <cell r="E471" t="str">
            <v>m²</v>
          </cell>
          <cell r="F471">
            <v>45</v>
          </cell>
          <cell r="G471">
            <v>45</v>
          </cell>
          <cell r="H471">
            <v>0</v>
          </cell>
          <cell r="I471">
            <v>45</v>
          </cell>
        </row>
        <row r="472">
          <cell r="A472" t="str">
            <v>H0100106</v>
          </cell>
          <cell r="B472" t="str">
            <v>Mano de obra</v>
          </cell>
          <cell r="C472" t="str">
            <v>M.O. Colocación y Terminación Hormigón Estampado</v>
          </cell>
          <cell r="D472">
            <v>1</v>
          </cell>
          <cell r="E472" t="str">
            <v>m²</v>
          </cell>
          <cell r="F472">
            <v>185</v>
          </cell>
          <cell r="G472">
            <v>185</v>
          </cell>
          <cell r="H472">
            <v>0</v>
          </cell>
          <cell r="I472">
            <v>185</v>
          </cell>
        </row>
        <row r="473">
          <cell r="A473" t="str">
            <v>SC800001</v>
          </cell>
          <cell r="B473" t="str">
            <v>Otros</v>
          </cell>
          <cell r="C473" t="str">
            <v>Ensayos y pruebas de laboratorio hormigón (3 Probetas x c/45m3)</v>
          </cell>
          <cell r="D473">
            <v>6.7000000000000002E-3</v>
          </cell>
          <cell r="E473" t="str">
            <v>u</v>
          </cell>
          <cell r="F473">
            <v>581.80999999999995</v>
          </cell>
          <cell r="G473">
            <v>3.8981269999999997</v>
          </cell>
          <cell r="H473">
            <v>0</v>
          </cell>
          <cell r="I473">
            <v>3.8981269999999997</v>
          </cell>
        </row>
        <row r="474">
          <cell r="A474" t="str">
            <v>H%FH</v>
          </cell>
          <cell r="B474" t="str">
            <v>Otros</v>
          </cell>
          <cell r="C474" t="str">
            <v>Factor Herramientas</v>
          </cell>
          <cell r="D474">
            <v>1</v>
          </cell>
          <cell r="E474" t="str">
            <v>%</v>
          </cell>
          <cell r="F474">
            <v>230</v>
          </cell>
          <cell r="G474">
            <v>2.3000000000000003</v>
          </cell>
          <cell r="H474">
            <v>0</v>
          </cell>
          <cell r="I474">
            <v>2.3000000000000003</v>
          </cell>
        </row>
        <row r="475">
          <cell r="A475">
            <v>0</v>
          </cell>
          <cell r="B475">
            <v>0</v>
          </cell>
          <cell r="C475" t="str">
            <v>Total 01.06.05</v>
          </cell>
          <cell r="D475">
            <v>1</v>
          </cell>
          <cell r="E475">
            <v>0</v>
          </cell>
          <cell r="F475">
            <v>0</v>
          </cell>
          <cell r="G475">
            <v>925.16584766666665</v>
          </cell>
          <cell r="H475">
            <v>124.01418972</v>
          </cell>
          <cell r="I475">
            <v>1049.1800373866665</v>
          </cell>
        </row>
        <row r="476">
          <cell r="A476">
            <v>0</v>
          </cell>
          <cell r="B476">
            <v>0</v>
          </cell>
          <cell r="C476">
            <v>0</v>
          </cell>
          <cell r="D476">
            <v>0</v>
          </cell>
          <cell r="E476">
            <v>0</v>
          </cell>
          <cell r="F476">
            <v>0</v>
          </cell>
          <cell r="G476">
            <v>0</v>
          </cell>
          <cell r="H476">
            <v>0</v>
          </cell>
          <cell r="I476">
            <v>0</v>
          </cell>
        </row>
        <row r="477">
          <cell r="A477" t="str">
            <v>01.06.04</v>
          </cell>
          <cell r="B477" t="str">
            <v>Partida</v>
          </cell>
          <cell r="C477" t="str">
            <v>Piso Porcelanato Rec/Mort Pegante Derr P/Porcelanato</v>
          </cell>
          <cell r="D477">
            <v>1</v>
          </cell>
          <cell r="E477" t="str">
            <v>m²</v>
          </cell>
          <cell r="F477">
            <v>0</v>
          </cell>
          <cell r="G477">
            <v>1278.922865</v>
          </cell>
          <cell r="H477">
            <v>198.39111570000003</v>
          </cell>
          <cell r="I477">
            <v>1477.3139807</v>
          </cell>
        </row>
        <row r="478">
          <cell r="A478" t="str">
            <v>P0701028</v>
          </cell>
          <cell r="B478" t="str">
            <v>Material</v>
          </cell>
          <cell r="C478" t="str">
            <v>Gres Porcelánico Import.</v>
          </cell>
          <cell r="D478">
            <v>1.05</v>
          </cell>
          <cell r="E478" t="str">
            <v>m²</v>
          </cell>
          <cell r="F478">
            <v>850</v>
          </cell>
          <cell r="G478">
            <v>892.5</v>
          </cell>
          <cell r="H478">
            <v>160.65</v>
          </cell>
          <cell r="I478">
            <v>1053.1500000000001</v>
          </cell>
        </row>
        <row r="479">
          <cell r="A479" t="str">
            <v>P2403199</v>
          </cell>
          <cell r="B479" t="str">
            <v>Material</v>
          </cell>
          <cell r="C479" t="str">
            <v>Agua</v>
          </cell>
          <cell r="D479">
            <v>0.3</v>
          </cell>
          <cell r="E479" t="str">
            <v>gl</v>
          </cell>
          <cell r="F479">
            <v>1.58</v>
          </cell>
          <cell r="G479">
            <v>0.47399999999999998</v>
          </cell>
          <cell r="H479">
            <v>8.5319999999999993E-2</v>
          </cell>
          <cell r="I479">
            <v>0.55931999999999993</v>
          </cell>
        </row>
        <row r="480">
          <cell r="A480" t="str">
            <v>P0711016</v>
          </cell>
          <cell r="B480" t="str">
            <v>Material</v>
          </cell>
          <cell r="C480" t="str">
            <v>Mortero para cerámicas PegaTod Gris 50 Lbs.</v>
          </cell>
          <cell r="D480">
            <v>0.17849999999999999</v>
          </cell>
          <cell r="E480" t="str">
            <v>fd</v>
          </cell>
          <cell r="F480">
            <v>218.64</v>
          </cell>
          <cell r="G480">
            <v>39.027239999999999</v>
          </cell>
          <cell r="H480">
            <v>7.0249031999999998</v>
          </cell>
          <cell r="I480">
            <v>46.052143199999996</v>
          </cell>
        </row>
        <row r="481">
          <cell r="A481" t="str">
            <v>P0601008</v>
          </cell>
          <cell r="B481" t="str">
            <v>Material</v>
          </cell>
          <cell r="C481" t="str">
            <v>Derretido Keracolor Mapei</v>
          </cell>
          <cell r="D481">
            <v>0.1575</v>
          </cell>
          <cell r="E481" t="str">
            <v>fd</v>
          </cell>
          <cell r="F481">
            <v>1016.95</v>
          </cell>
          <cell r="G481">
            <v>160.169625</v>
          </cell>
          <cell r="H481">
            <v>28.830532499999997</v>
          </cell>
          <cell r="I481">
            <v>189.0001575</v>
          </cell>
        </row>
        <row r="482">
          <cell r="A482" t="str">
            <v>P1404004</v>
          </cell>
          <cell r="B482" t="str">
            <v>Material</v>
          </cell>
          <cell r="C482" t="str">
            <v>Estopa</v>
          </cell>
          <cell r="D482">
            <v>0.16669999999999999</v>
          </cell>
          <cell r="E482" t="str">
            <v>lb</v>
          </cell>
          <cell r="F482">
            <v>60</v>
          </cell>
          <cell r="G482">
            <v>10.001999999999999</v>
          </cell>
          <cell r="H482">
            <v>1.8003599999999997</v>
          </cell>
          <cell r="I482">
            <v>11.802359999999998</v>
          </cell>
        </row>
        <row r="483">
          <cell r="A483" t="str">
            <v>H0340409</v>
          </cell>
          <cell r="B483" t="str">
            <v>Mano de obra</v>
          </cell>
          <cell r="C483" t="str">
            <v>M.O. Col. Piso Porcelanato Imp</v>
          </cell>
          <cell r="D483">
            <v>1</v>
          </cell>
          <cell r="E483" t="str">
            <v>m²</v>
          </cell>
          <cell r="F483">
            <v>175</v>
          </cell>
          <cell r="G483">
            <v>175</v>
          </cell>
          <cell r="H483">
            <v>0</v>
          </cell>
          <cell r="I483">
            <v>175</v>
          </cell>
        </row>
        <row r="484">
          <cell r="A484" t="str">
            <v>H%FH</v>
          </cell>
          <cell r="B484" t="str">
            <v>Otros</v>
          </cell>
          <cell r="C484" t="str">
            <v>Factor Herramientas</v>
          </cell>
          <cell r="D484">
            <v>1</v>
          </cell>
          <cell r="E484" t="str">
            <v>%</v>
          </cell>
          <cell r="F484">
            <v>175</v>
          </cell>
          <cell r="G484">
            <v>1.75</v>
          </cell>
          <cell r="H484">
            <v>0</v>
          </cell>
          <cell r="I484">
            <v>1.75</v>
          </cell>
        </row>
        <row r="485">
          <cell r="A485">
            <v>0</v>
          </cell>
          <cell r="B485">
            <v>0</v>
          </cell>
          <cell r="C485" t="str">
            <v>Total 01.06.04</v>
          </cell>
          <cell r="D485">
            <v>1</v>
          </cell>
          <cell r="E485">
            <v>0</v>
          </cell>
          <cell r="F485">
            <v>0</v>
          </cell>
          <cell r="G485">
            <v>1278.922865</v>
          </cell>
          <cell r="H485">
            <v>198.39111570000003</v>
          </cell>
          <cell r="I485">
            <v>1477.3139807</v>
          </cell>
        </row>
        <row r="486">
          <cell r="A486">
            <v>0</v>
          </cell>
          <cell r="B486">
            <v>0</v>
          </cell>
          <cell r="C486">
            <v>0</v>
          </cell>
          <cell r="D486">
            <v>0</v>
          </cell>
          <cell r="E486">
            <v>0</v>
          </cell>
          <cell r="F486">
            <v>0</v>
          </cell>
          <cell r="G486">
            <v>0</v>
          </cell>
          <cell r="H486">
            <v>0</v>
          </cell>
          <cell r="I486">
            <v>0</v>
          </cell>
        </row>
        <row r="487">
          <cell r="A487" t="str">
            <v>01.06.06</v>
          </cell>
          <cell r="B487" t="str">
            <v>Partida</v>
          </cell>
          <cell r="C487" t="str">
            <v>Zócalo Porcelanato Imp, Alt.10 cm</v>
          </cell>
          <cell r="D487">
            <v>1</v>
          </cell>
          <cell r="E487" t="str">
            <v>m</v>
          </cell>
          <cell r="F487">
            <v>0</v>
          </cell>
          <cell r="G487">
            <v>217.44600700000001</v>
          </cell>
          <cell r="H487">
            <v>21.869281259999998</v>
          </cell>
          <cell r="I487">
            <v>239.31528825999999</v>
          </cell>
        </row>
        <row r="488">
          <cell r="A488" t="str">
            <v>P0701028</v>
          </cell>
          <cell r="B488" t="str">
            <v>Material</v>
          </cell>
          <cell r="C488" t="str">
            <v>Gres Porcelánico Import.</v>
          </cell>
          <cell r="D488">
            <v>0.105</v>
          </cell>
          <cell r="E488" t="str">
            <v>m²</v>
          </cell>
          <cell r="F488">
            <v>850</v>
          </cell>
          <cell r="G488">
            <v>89.25</v>
          </cell>
          <cell r="H488">
            <v>16.064999999999998</v>
          </cell>
          <cell r="I488">
            <v>105.315</v>
          </cell>
        </row>
        <row r="489">
          <cell r="A489" t="str">
            <v>P0711016</v>
          </cell>
          <cell r="B489" t="str">
            <v>Material</v>
          </cell>
          <cell r="C489" t="str">
            <v>Mortero para cerámicas PegaTod Gris 50 Lbs.</v>
          </cell>
          <cell r="D489">
            <v>7.9799999999999996E-2</v>
          </cell>
          <cell r="E489" t="str">
            <v>fd</v>
          </cell>
          <cell r="F489">
            <v>218.64</v>
          </cell>
          <cell r="G489">
            <v>17.447471999999998</v>
          </cell>
          <cell r="H489">
            <v>3.1405449599999993</v>
          </cell>
          <cell r="I489">
            <v>20.588016959999997</v>
          </cell>
        </row>
        <row r="490">
          <cell r="A490" t="str">
            <v>P2403199</v>
          </cell>
          <cell r="B490" t="str">
            <v>Material</v>
          </cell>
          <cell r="C490" t="str">
            <v>Agua</v>
          </cell>
          <cell r="D490">
            <v>6.3E-2</v>
          </cell>
          <cell r="E490" t="str">
            <v>gl</v>
          </cell>
          <cell r="F490">
            <v>1.58</v>
          </cell>
          <cell r="G490">
            <v>9.9540000000000003E-2</v>
          </cell>
          <cell r="H490">
            <v>1.7917200000000001E-2</v>
          </cell>
          <cell r="I490">
            <v>0.11745720000000001</v>
          </cell>
        </row>
        <row r="491">
          <cell r="A491" t="str">
            <v>P0601008</v>
          </cell>
          <cell r="B491" t="str">
            <v>Material</v>
          </cell>
          <cell r="C491" t="str">
            <v>Derretido Keracolor Mapei</v>
          </cell>
          <cell r="D491">
            <v>1.41E-2</v>
          </cell>
          <cell r="E491" t="str">
            <v>fd</v>
          </cell>
          <cell r="F491">
            <v>1016.95</v>
          </cell>
          <cell r="G491">
            <v>14.338995000000001</v>
          </cell>
          <cell r="H491">
            <v>2.5810191000000002</v>
          </cell>
          <cell r="I491">
            <v>16.9200141</v>
          </cell>
        </row>
        <row r="492">
          <cell r="A492" t="str">
            <v>P1404004</v>
          </cell>
          <cell r="B492" t="str">
            <v>Material</v>
          </cell>
          <cell r="C492" t="str">
            <v>Estopa</v>
          </cell>
          <cell r="D492">
            <v>6.0000000000000001E-3</v>
          </cell>
          <cell r="E492" t="str">
            <v>lb</v>
          </cell>
          <cell r="F492">
            <v>60</v>
          </cell>
          <cell r="G492">
            <v>0.36</v>
          </cell>
          <cell r="H492">
            <v>6.4799999999999996E-2</v>
          </cell>
          <cell r="I492">
            <v>0.42479999999999996</v>
          </cell>
        </row>
        <row r="493">
          <cell r="A493" t="str">
            <v>H0340410</v>
          </cell>
          <cell r="B493" t="str">
            <v>Mano de obra</v>
          </cell>
          <cell r="C493" t="str">
            <v>M.O. Col. Zocalo Porcelanato/Marmol</v>
          </cell>
          <cell r="D493">
            <v>1</v>
          </cell>
          <cell r="E493" t="str">
            <v>m</v>
          </cell>
          <cell r="F493">
            <v>95</v>
          </cell>
          <cell r="G493">
            <v>95</v>
          </cell>
          <cell r="H493">
            <v>0</v>
          </cell>
          <cell r="I493">
            <v>95</v>
          </cell>
        </row>
        <row r="494">
          <cell r="A494" t="str">
            <v>H%FH</v>
          </cell>
          <cell r="B494" t="str">
            <v>Otros</v>
          </cell>
          <cell r="C494" t="str">
            <v>Factor Herramientas</v>
          </cell>
          <cell r="D494">
            <v>1</v>
          </cell>
          <cell r="E494" t="str">
            <v>%</v>
          </cell>
          <cell r="F494">
            <v>95</v>
          </cell>
          <cell r="G494">
            <v>0.95000000000000007</v>
          </cell>
          <cell r="H494">
            <v>0</v>
          </cell>
          <cell r="I494">
            <v>0.95000000000000007</v>
          </cell>
        </row>
        <row r="495">
          <cell r="A495">
            <v>0</v>
          </cell>
          <cell r="B495">
            <v>0</v>
          </cell>
          <cell r="C495" t="str">
            <v>Total 01.06.06</v>
          </cell>
          <cell r="D495">
            <v>1</v>
          </cell>
          <cell r="E495">
            <v>0</v>
          </cell>
          <cell r="F495">
            <v>0</v>
          </cell>
          <cell r="G495">
            <v>217.44600700000001</v>
          </cell>
          <cell r="H495">
            <v>21.869281259999998</v>
          </cell>
          <cell r="I495">
            <v>239.31528825999999</v>
          </cell>
        </row>
        <row r="496">
          <cell r="A496">
            <v>0</v>
          </cell>
          <cell r="B496">
            <v>0</v>
          </cell>
          <cell r="C496">
            <v>0</v>
          </cell>
          <cell r="D496">
            <v>0</v>
          </cell>
          <cell r="E496">
            <v>0</v>
          </cell>
          <cell r="F496">
            <v>0</v>
          </cell>
          <cell r="G496">
            <v>0</v>
          </cell>
          <cell r="H496">
            <v>0</v>
          </cell>
          <cell r="I496">
            <v>0</v>
          </cell>
        </row>
        <row r="497">
          <cell r="A497" t="str">
            <v>01.06.07</v>
          </cell>
          <cell r="B497" t="str">
            <v>Partida</v>
          </cell>
          <cell r="C497" t="str">
            <v>Revest Porcelanato Importada. Mort Cem J Corrida</v>
          </cell>
          <cell r="D497">
            <v>1</v>
          </cell>
          <cell r="E497" t="str">
            <v>m</v>
          </cell>
          <cell r="F497">
            <v>0</v>
          </cell>
          <cell r="G497">
            <v>1350.7619644915253</v>
          </cell>
          <cell r="H497">
            <v>193.14215360847459</v>
          </cell>
          <cell r="I497">
            <v>1543.9041181</v>
          </cell>
        </row>
        <row r="498">
          <cell r="A498" t="str">
            <v>P0701028</v>
          </cell>
          <cell r="B498" t="str">
            <v>Material</v>
          </cell>
          <cell r="C498" t="str">
            <v>Gres Porcelánico Import.</v>
          </cell>
          <cell r="D498">
            <v>1.07</v>
          </cell>
          <cell r="E498" t="str">
            <v>m²</v>
          </cell>
          <cell r="F498">
            <v>850</v>
          </cell>
          <cell r="G498">
            <v>909.5</v>
          </cell>
          <cell r="H498">
            <v>163.71</v>
          </cell>
          <cell r="I498">
            <v>1073.21</v>
          </cell>
        </row>
        <row r="499">
          <cell r="A499" t="str">
            <v>P0711017</v>
          </cell>
          <cell r="B499" t="str">
            <v>Material</v>
          </cell>
          <cell r="C499" t="str">
            <v>Mortero para cerámicas PegaTod Blanco 50 Lbs.</v>
          </cell>
          <cell r="D499">
            <v>0.17849999999999999</v>
          </cell>
          <cell r="E499" t="str">
            <v>fd</v>
          </cell>
          <cell r="F499">
            <v>406.77966101694915</v>
          </cell>
          <cell r="G499">
            <v>72.610169491525426</v>
          </cell>
          <cell r="H499">
            <v>13.069830508474576</v>
          </cell>
          <cell r="I499">
            <v>85.68</v>
          </cell>
        </row>
        <row r="500">
          <cell r="A500" t="str">
            <v>P2403199</v>
          </cell>
          <cell r="B500" t="str">
            <v>Material</v>
          </cell>
          <cell r="C500" t="str">
            <v>Agua</v>
          </cell>
          <cell r="D500">
            <v>0.3</v>
          </cell>
          <cell r="E500" t="str">
            <v>gl</v>
          </cell>
          <cell r="F500">
            <v>1.58</v>
          </cell>
          <cell r="G500">
            <v>0.47399999999999998</v>
          </cell>
          <cell r="H500">
            <v>8.5319999999999993E-2</v>
          </cell>
          <cell r="I500">
            <v>0.55931999999999993</v>
          </cell>
        </row>
        <row r="501">
          <cell r="A501" t="str">
            <v>P0601008</v>
          </cell>
          <cell r="B501" t="str">
            <v>Material</v>
          </cell>
          <cell r="C501" t="str">
            <v>Derretido Keracolor Mapei</v>
          </cell>
          <cell r="D501">
            <v>7.8100000000000003E-2</v>
          </cell>
          <cell r="E501" t="str">
            <v>fd</v>
          </cell>
          <cell r="F501">
            <v>1016.95</v>
          </cell>
          <cell r="G501">
            <v>79.423795000000013</v>
          </cell>
          <cell r="H501">
            <v>14.296283100000002</v>
          </cell>
          <cell r="I501">
            <v>93.720078100000009</v>
          </cell>
        </row>
        <row r="502">
          <cell r="A502" t="str">
            <v>P1404004</v>
          </cell>
          <cell r="B502" t="str">
            <v>Material</v>
          </cell>
          <cell r="C502" t="str">
            <v>Estopa</v>
          </cell>
          <cell r="D502">
            <v>0.18340000000000001</v>
          </cell>
          <cell r="E502" t="str">
            <v>lb</v>
          </cell>
          <cell r="F502">
            <v>60</v>
          </cell>
          <cell r="G502">
            <v>11.004000000000001</v>
          </cell>
          <cell r="H502">
            <v>1.9807200000000003</v>
          </cell>
          <cell r="I502">
            <v>12.984720000000001</v>
          </cell>
        </row>
        <row r="503">
          <cell r="A503" t="str">
            <v>H0340404</v>
          </cell>
          <cell r="B503" t="str">
            <v>Mano de obra</v>
          </cell>
          <cell r="C503" t="str">
            <v>M.O. Alb. Col. Revest Cerámica Importada</v>
          </cell>
          <cell r="D503">
            <v>1</v>
          </cell>
          <cell r="E503" t="str">
            <v>m²</v>
          </cell>
          <cell r="F503">
            <v>275</v>
          </cell>
          <cell r="G503">
            <v>275</v>
          </cell>
          <cell r="H503">
            <v>0</v>
          </cell>
          <cell r="I503">
            <v>275</v>
          </cell>
        </row>
        <row r="504">
          <cell r="A504" t="str">
            <v>H%FH</v>
          </cell>
          <cell r="B504" t="str">
            <v>Otros</v>
          </cell>
          <cell r="C504" t="str">
            <v>Factor Herramientas</v>
          </cell>
          <cell r="D504">
            <v>1</v>
          </cell>
          <cell r="E504" t="str">
            <v>%</v>
          </cell>
          <cell r="F504">
            <v>275</v>
          </cell>
          <cell r="G504">
            <v>2.75</v>
          </cell>
          <cell r="H504">
            <v>0</v>
          </cell>
          <cell r="I504">
            <v>2.75</v>
          </cell>
        </row>
        <row r="505">
          <cell r="A505">
            <v>0</v>
          </cell>
          <cell r="B505">
            <v>0</v>
          </cell>
          <cell r="C505" t="str">
            <v>Total 01.06.07</v>
          </cell>
          <cell r="D505">
            <v>1</v>
          </cell>
          <cell r="E505">
            <v>0</v>
          </cell>
          <cell r="F505">
            <v>0</v>
          </cell>
          <cell r="G505">
            <v>1350.7619644915253</v>
          </cell>
          <cell r="H505">
            <v>193.14215360847459</v>
          </cell>
          <cell r="I505">
            <v>1543.9041181</v>
          </cell>
        </row>
        <row r="506">
          <cell r="A506">
            <v>0</v>
          </cell>
          <cell r="B506">
            <v>0</v>
          </cell>
          <cell r="C506">
            <v>0</v>
          </cell>
          <cell r="D506">
            <v>0</v>
          </cell>
          <cell r="E506">
            <v>0</v>
          </cell>
          <cell r="F506">
            <v>0</v>
          </cell>
          <cell r="G506">
            <v>0</v>
          </cell>
          <cell r="H506">
            <v>0</v>
          </cell>
          <cell r="I506">
            <v>0</v>
          </cell>
        </row>
        <row r="507">
          <cell r="A507">
            <v>0</v>
          </cell>
          <cell r="B507">
            <v>0</v>
          </cell>
          <cell r="C507">
            <v>0</v>
          </cell>
          <cell r="D507">
            <v>0</v>
          </cell>
          <cell r="E507">
            <v>0</v>
          </cell>
          <cell r="F507">
            <v>0</v>
          </cell>
          <cell r="G507">
            <v>0</v>
          </cell>
          <cell r="H507">
            <v>0</v>
          </cell>
          <cell r="I507">
            <v>0</v>
          </cell>
        </row>
        <row r="508">
          <cell r="A508" t="str">
            <v>01.07</v>
          </cell>
          <cell r="B508" t="str">
            <v>Capítulo</v>
          </cell>
          <cell r="C508" t="str">
            <v>TERMINACION DE ESCALERA :</v>
          </cell>
          <cell r="D508">
            <v>0</v>
          </cell>
          <cell r="E508" t="str">
            <v/>
          </cell>
          <cell r="F508">
            <v>0</v>
          </cell>
          <cell r="G508">
            <v>0</v>
          </cell>
          <cell r="H508">
            <v>0</v>
          </cell>
          <cell r="I508">
            <v>0</v>
          </cell>
        </row>
        <row r="509">
          <cell r="A509" t="str">
            <v>01.07.01</v>
          </cell>
          <cell r="B509" t="str">
            <v>Partida</v>
          </cell>
          <cell r="C509" t="str">
            <v>Descanso de cemento  pulido con intralok bonding agent terminado con helicoptero</v>
          </cell>
          <cell r="D509">
            <v>1</v>
          </cell>
          <cell r="E509" t="str">
            <v>m²</v>
          </cell>
          <cell r="F509">
            <v>0</v>
          </cell>
          <cell r="G509">
            <v>577.502926</v>
          </cell>
          <cell r="H509">
            <v>65.772526679999999</v>
          </cell>
          <cell r="I509">
            <v>643.27545268000006</v>
          </cell>
        </row>
        <row r="510">
          <cell r="A510" t="str">
            <v>P2465459</v>
          </cell>
          <cell r="B510" t="str">
            <v>Material</v>
          </cell>
          <cell r="C510" t="str">
            <v xml:space="preserve">Intralok Bonding Agent, 18 m²/gl </v>
          </cell>
          <cell r="D510">
            <v>5.8333333333333334E-2</v>
          </cell>
          <cell r="E510" t="str">
            <v>gl</v>
          </cell>
          <cell r="F510">
            <v>1335</v>
          </cell>
          <cell r="G510">
            <v>77.875</v>
          </cell>
          <cell r="H510">
            <v>14.0175</v>
          </cell>
          <cell r="I510">
            <v>91.892499999999998</v>
          </cell>
        </row>
        <row r="511">
          <cell r="A511" t="str">
            <v>P2403199</v>
          </cell>
          <cell r="B511" t="str">
            <v>Material</v>
          </cell>
          <cell r="C511" t="str">
            <v>Agua</v>
          </cell>
          <cell r="D511">
            <v>0.2392</v>
          </cell>
          <cell r="E511" t="str">
            <v>gl</v>
          </cell>
          <cell r="F511">
            <v>1.58</v>
          </cell>
          <cell r="G511">
            <v>0.37793599999999999</v>
          </cell>
          <cell r="H511">
            <v>6.8028480000000002E-2</v>
          </cell>
          <cell r="I511">
            <v>0.44596448</v>
          </cell>
        </row>
        <row r="512">
          <cell r="A512" t="str">
            <v>P0201005</v>
          </cell>
          <cell r="B512" t="str">
            <v>Material</v>
          </cell>
          <cell r="C512" t="str">
            <v>Arena fina p/pañete</v>
          </cell>
          <cell r="D512">
            <v>1.8E-3</v>
          </cell>
          <cell r="E512" t="str">
            <v>m³</v>
          </cell>
          <cell r="F512">
            <v>1200</v>
          </cell>
          <cell r="G512">
            <v>2.16</v>
          </cell>
          <cell r="H512">
            <v>0.38880000000000003</v>
          </cell>
          <cell r="I512">
            <v>2.5488</v>
          </cell>
        </row>
        <row r="513">
          <cell r="A513" t="str">
            <v>P0601003</v>
          </cell>
          <cell r="B513" t="str">
            <v>Material</v>
          </cell>
          <cell r="C513" t="str">
            <v>Cemento Gris 94 lbs. Tipo Portland</v>
          </cell>
          <cell r="D513">
            <v>4.2500000000000003E-2</v>
          </cell>
          <cell r="E513" t="str">
            <v>fd</v>
          </cell>
          <cell r="F513">
            <v>295</v>
          </cell>
          <cell r="G513">
            <v>12.537500000000001</v>
          </cell>
          <cell r="H513">
            <v>2.2567500000000003</v>
          </cell>
          <cell r="I513">
            <v>14.794250000000002</v>
          </cell>
        </row>
        <row r="514">
          <cell r="A514" t="str">
            <v>P0602008</v>
          </cell>
          <cell r="B514" t="str">
            <v>Material</v>
          </cell>
          <cell r="C514" t="str">
            <v>Hormigón Industrial H210 kg/cm2, Bombeado</v>
          </cell>
          <cell r="D514">
            <v>5.1499999999999997E-2</v>
          </cell>
          <cell r="E514" t="str">
            <v>m³</v>
          </cell>
          <cell r="F514">
            <v>4845.76</v>
          </cell>
          <cell r="G514">
            <v>249.55663999999999</v>
          </cell>
          <cell r="H514">
            <v>44.920195199999995</v>
          </cell>
          <cell r="I514">
            <v>294.47683519999998</v>
          </cell>
        </row>
        <row r="515">
          <cell r="A515" t="str">
            <v>P0190101</v>
          </cell>
          <cell r="B515" t="str">
            <v>Material</v>
          </cell>
          <cell r="C515" t="str">
            <v>FiberMesh Vinaldom Polipropileno 1 1/2" (2Lb/m³)</v>
          </cell>
          <cell r="D515">
            <v>0.105</v>
          </cell>
          <cell r="E515" t="str">
            <v>lb</v>
          </cell>
          <cell r="F515">
            <v>215.52</v>
          </cell>
          <cell r="G515">
            <v>22.6296</v>
          </cell>
          <cell r="H515">
            <v>4.0733280000000001</v>
          </cell>
          <cell r="I515">
            <v>26.702928</v>
          </cell>
        </row>
        <row r="516">
          <cell r="A516" t="str">
            <v>P0190102</v>
          </cell>
          <cell r="B516" t="str">
            <v>Material</v>
          </cell>
          <cell r="C516" t="str">
            <v>SupraCure Plus Vinaldom 40m²/gl</v>
          </cell>
          <cell r="D516">
            <v>1.2500000000000001E-2</v>
          </cell>
          <cell r="E516" t="str">
            <v>gl</v>
          </cell>
          <cell r="F516">
            <v>21.3</v>
          </cell>
          <cell r="G516">
            <v>0.26625000000000004</v>
          </cell>
          <cell r="H516">
            <v>4.7925000000000009E-2</v>
          </cell>
          <cell r="I516">
            <v>0.31417500000000004</v>
          </cell>
        </row>
        <row r="517">
          <cell r="A517" t="str">
            <v>H0100112</v>
          </cell>
          <cell r="B517" t="str">
            <v>Mano de obra</v>
          </cell>
          <cell r="C517" t="str">
            <v>M.O. Mezclado y Colocación Lechada Adherente</v>
          </cell>
          <cell r="D517">
            <v>1</v>
          </cell>
          <cell r="E517" t="str">
            <v>m²</v>
          </cell>
          <cell r="F517">
            <v>35</v>
          </cell>
          <cell r="G517">
            <v>35</v>
          </cell>
          <cell r="H517">
            <v>0</v>
          </cell>
          <cell r="I517">
            <v>35</v>
          </cell>
        </row>
        <row r="518">
          <cell r="A518" t="str">
            <v>H0100105</v>
          </cell>
          <cell r="B518" t="str">
            <v>Mano de obra</v>
          </cell>
          <cell r="C518" t="str">
            <v>M.O. Colocación y Terminación Hormigón Pulido</v>
          </cell>
          <cell r="D518">
            <v>1</v>
          </cell>
          <cell r="E518" t="str">
            <v>m²</v>
          </cell>
          <cell r="F518">
            <v>175</v>
          </cell>
          <cell r="G518">
            <v>175</v>
          </cell>
          <cell r="H518">
            <v>0</v>
          </cell>
          <cell r="I518">
            <v>175</v>
          </cell>
        </row>
        <row r="519">
          <cell r="A519" t="str">
            <v>H%FH</v>
          </cell>
          <cell r="B519" t="str">
            <v>Otros</v>
          </cell>
          <cell r="C519" t="str">
            <v>Factor Herramientas</v>
          </cell>
          <cell r="D519">
            <v>1</v>
          </cell>
          <cell r="E519" t="str">
            <v>%</v>
          </cell>
          <cell r="F519">
            <v>210</v>
          </cell>
          <cell r="G519">
            <v>2.1</v>
          </cell>
          <cell r="H519">
            <v>0</v>
          </cell>
          <cell r="I519">
            <v>2.1</v>
          </cell>
        </row>
        <row r="520">
          <cell r="A520">
            <v>0</v>
          </cell>
          <cell r="B520">
            <v>0</v>
          </cell>
          <cell r="C520" t="str">
            <v>Total 01.07.01</v>
          </cell>
          <cell r="D520">
            <v>1</v>
          </cell>
          <cell r="E520">
            <v>0</v>
          </cell>
          <cell r="F520">
            <v>0</v>
          </cell>
          <cell r="G520">
            <v>577.502926</v>
          </cell>
          <cell r="H520">
            <v>65.772526679999999</v>
          </cell>
          <cell r="I520">
            <v>643.27545268000006</v>
          </cell>
        </row>
        <row r="521">
          <cell r="A521">
            <v>0</v>
          </cell>
          <cell r="B521">
            <v>0</v>
          </cell>
          <cell r="C521">
            <v>0</v>
          </cell>
          <cell r="D521">
            <v>0</v>
          </cell>
          <cell r="E521">
            <v>0</v>
          </cell>
          <cell r="F521">
            <v>0</v>
          </cell>
          <cell r="G521">
            <v>0</v>
          </cell>
          <cell r="H521">
            <v>0</v>
          </cell>
          <cell r="I521">
            <v>0</v>
          </cell>
        </row>
        <row r="522">
          <cell r="A522" t="str">
            <v>01.07.02</v>
          </cell>
          <cell r="B522" t="str">
            <v>Partida</v>
          </cell>
          <cell r="C522" t="str">
            <v>Escalera en hierro empotrada a la pared en área de control</v>
          </cell>
          <cell r="D522">
            <v>1</v>
          </cell>
          <cell r="E522" t="str">
            <v>u</v>
          </cell>
          <cell r="F522">
            <v>0</v>
          </cell>
          <cell r="G522">
            <v>35000</v>
          </cell>
          <cell r="H522">
            <v>0</v>
          </cell>
          <cell r="I522">
            <v>35000</v>
          </cell>
        </row>
        <row r="523">
          <cell r="A523" t="str">
            <v>SC556201</v>
          </cell>
          <cell r="B523" t="str">
            <v>Otros</v>
          </cell>
          <cell r="C523" t="str">
            <v>Subcontrato Sum./ Instalación Escalera en hierro empotrada a la pared en área de control</v>
          </cell>
          <cell r="D523">
            <v>1</v>
          </cell>
          <cell r="E523" t="str">
            <v>u</v>
          </cell>
          <cell r="F523">
            <v>35000</v>
          </cell>
          <cell r="G523">
            <v>35000</v>
          </cell>
          <cell r="H523">
            <v>0</v>
          </cell>
          <cell r="I523">
            <v>35000</v>
          </cell>
        </row>
        <row r="524">
          <cell r="A524">
            <v>0</v>
          </cell>
          <cell r="B524">
            <v>0</v>
          </cell>
          <cell r="C524" t="str">
            <v>Total 01.07.02</v>
          </cell>
          <cell r="D524">
            <v>1</v>
          </cell>
          <cell r="E524">
            <v>0</v>
          </cell>
          <cell r="F524">
            <v>0</v>
          </cell>
          <cell r="G524">
            <v>35000</v>
          </cell>
          <cell r="H524">
            <v>0</v>
          </cell>
          <cell r="I524">
            <v>35000</v>
          </cell>
        </row>
        <row r="525">
          <cell r="A525">
            <v>0</v>
          </cell>
          <cell r="B525">
            <v>0</v>
          </cell>
          <cell r="C525">
            <v>0</v>
          </cell>
          <cell r="D525">
            <v>0</v>
          </cell>
          <cell r="E525">
            <v>0</v>
          </cell>
          <cell r="F525">
            <v>0</v>
          </cell>
          <cell r="G525">
            <v>0</v>
          </cell>
          <cell r="H525">
            <v>0</v>
          </cell>
          <cell r="I525">
            <v>0</v>
          </cell>
        </row>
        <row r="526">
          <cell r="A526" t="str">
            <v>01.07.03</v>
          </cell>
          <cell r="B526" t="str">
            <v>Partida</v>
          </cell>
          <cell r="C526" t="str">
            <v>Escalones de cemento  pulido con intralok bonding agent terminado con helicoptero</v>
          </cell>
          <cell r="D526">
            <v>1</v>
          </cell>
          <cell r="E526" t="str">
            <v>m</v>
          </cell>
          <cell r="F526">
            <v>0</v>
          </cell>
          <cell r="G526">
            <v>669.22104000000013</v>
          </cell>
          <cell r="H526">
            <v>39.558787199999998</v>
          </cell>
          <cell r="I526">
            <v>708.7798272</v>
          </cell>
        </row>
        <row r="527">
          <cell r="A527" t="str">
            <v>P2465459</v>
          </cell>
          <cell r="B527" t="str">
            <v>Material</v>
          </cell>
          <cell r="C527" t="str">
            <v xml:space="preserve">Intralok Bonding Agent, 18 m²/gl </v>
          </cell>
          <cell r="D527">
            <v>2.6250000000000002E-2</v>
          </cell>
          <cell r="E527" t="str">
            <v>gl</v>
          </cell>
          <cell r="F527">
            <v>1335</v>
          </cell>
          <cell r="G527">
            <v>35.043750000000003</v>
          </cell>
          <cell r="H527">
            <v>6.3078750000000001</v>
          </cell>
          <cell r="I527">
            <v>41.351625000000006</v>
          </cell>
        </row>
        <row r="528">
          <cell r="A528" t="str">
            <v>P2403199</v>
          </cell>
          <cell r="B528" t="str">
            <v>Material</v>
          </cell>
          <cell r="C528" t="str">
            <v>Agua</v>
          </cell>
          <cell r="D528">
            <v>0.1076</v>
          </cell>
          <cell r="E528" t="str">
            <v>gl</v>
          </cell>
          <cell r="F528">
            <v>1.58</v>
          </cell>
          <cell r="G528">
            <v>0.17000800000000002</v>
          </cell>
          <cell r="H528">
            <v>3.0601440000000004E-2</v>
          </cell>
          <cell r="I528">
            <v>0.20060944000000003</v>
          </cell>
        </row>
        <row r="529">
          <cell r="A529" t="str">
            <v>P0201005</v>
          </cell>
          <cell r="B529" t="str">
            <v>Material</v>
          </cell>
          <cell r="C529" t="str">
            <v>Arena fina p/pañete</v>
          </cell>
          <cell r="D529">
            <v>8.0000000000000004E-4</v>
          </cell>
          <cell r="E529" t="str">
            <v>m³</v>
          </cell>
          <cell r="F529">
            <v>1200</v>
          </cell>
          <cell r="G529">
            <v>0.96000000000000008</v>
          </cell>
          <cell r="H529">
            <v>0.17280000000000001</v>
          </cell>
          <cell r="I529">
            <v>1.1328</v>
          </cell>
        </row>
        <row r="530">
          <cell r="A530" t="str">
            <v>P0601003</v>
          </cell>
          <cell r="B530" t="str">
            <v>Material</v>
          </cell>
          <cell r="C530" t="str">
            <v>Cemento Gris 94 lbs. Tipo Portland</v>
          </cell>
          <cell r="D530">
            <v>1.9099999999999999E-2</v>
          </cell>
          <cell r="E530" t="str">
            <v>fd</v>
          </cell>
          <cell r="F530">
            <v>295</v>
          </cell>
          <cell r="G530">
            <v>5.6345000000000001</v>
          </cell>
          <cell r="H530">
            <v>1.0142100000000001</v>
          </cell>
          <cell r="I530">
            <v>6.6487100000000003</v>
          </cell>
        </row>
        <row r="531">
          <cell r="A531" t="str">
            <v>P0301004</v>
          </cell>
          <cell r="B531" t="str">
            <v>Material</v>
          </cell>
          <cell r="C531" t="str">
            <v>Madera Pino Amer. Bruta 1"x4"</v>
          </cell>
          <cell r="D531">
            <v>0.27300000000000002</v>
          </cell>
          <cell r="E531" t="str">
            <v>p²</v>
          </cell>
          <cell r="F531">
            <v>41</v>
          </cell>
          <cell r="G531">
            <v>11.193000000000001</v>
          </cell>
          <cell r="H531">
            <v>2.0147400000000002</v>
          </cell>
          <cell r="I531">
            <v>13.207740000000001</v>
          </cell>
        </row>
        <row r="532">
          <cell r="A532" t="str">
            <v>P0419008</v>
          </cell>
          <cell r="B532" t="str">
            <v>Material</v>
          </cell>
          <cell r="C532" t="str">
            <v>Clavo corriente de 2"</v>
          </cell>
          <cell r="D532">
            <v>0.109</v>
          </cell>
          <cell r="E532" t="str">
            <v>lb</v>
          </cell>
          <cell r="F532">
            <v>29.66</v>
          </cell>
          <cell r="G532">
            <v>3.2329400000000001</v>
          </cell>
          <cell r="H532">
            <v>0.58192920000000004</v>
          </cell>
          <cell r="I532">
            <v>3.8148692000000004</v>
          </cell>
        </row>
        <row r="533">
          <cell r="A533" t="str">
            <v>P0420006</v>
          </cell>
          <cell r="B533" t="str">
            <v>Material</v>
          </cell>
          <cell r="C533" t="str">
            <v>Clavo de acero de 2 1/2"</v>
          </cell>
          <cell r="D533">
            <v>0.109</v>
          </cell>
          <cell r="E533" t="str">
            <v>lb</v>
          </cell>
          <cell r="F533">
            <v>46.61</v>
          </cell>
          <cell r="G533">
            <v>5.0804900000000002</v>
          </cell>
          <cell r="H533">
            <v>0.91448819999999997</v>
          </cell>
          <cell r="I533">
            <v>5.9949782000000003</v>
          </cell>
        </row>
        <row r="534">
          <cell r="A534" t="str">
            <v>P0602008</v>
          </cell>
          <cell r="B534" t="str">
            <v>Material</v>
          </cell>
          <cell r="C534" t="str">
            <v>Hormigón Industrial H210 kg/cm2, Bombeado</v>
          </cell>
          <cell r="D534">
            <v>3.27E-2</v>
          </cell>
          <cell r="E534" t="str">
            <v>m³</v>
          </cell>
          <cell r="F534">
            <v>4845.76</v>
          </cell>
          <cell r="G534">
            <v>158.45635200000001</v>
          </cell>
          <cell r="H534">
            <v>28.522143360000001</v>
          </cell>
          <cell r="I534">
            <v>186.97849536000001</v>
          </cell>
        </row>
        <row r="535">
          <cell r="A535" t="str">
            <v>H0350615</v>
          </cell>
          <cell r="B535" t="str">
            <v>Mano de obra</v>
          </cell>
          <cell r="C535" t="str">
            <v>M.O. Formación y Terminación a Escobilla de Escalón de Hormigón s/Canto</v>
          </cell>
          <cell r="D535">
            <v>1</v>
          </cell>
          <cell r="E535" t="str">
            <v>m</v>
          </cell>
          <cell r="F535">
            <v>310</v>
          </cell>
          <cell r="G535">
            <v>310</v>
          </cell>
          <cell r="H535">
            <v>0</v>
          </cell>
          <cell r="I535">
            <v>310</v>
          </cell>
        </row>
        <row r="536">
          <cell r="A536" t="str">
            <v>H0350610</v>
          </cell>
          <cell r="B536" t="str">
            <v>Mano de obra</v>
          </cell>
          <cell r="C536" t="str">
            <v>M.O. Replanteo y Encofrado de Escalones en Hormigón</v>
          </cell>
          <cell r="D536">
            <v>1</v>
          </cell>
          <cell r="E536" t="str">
            <v>m</v>
          </cell>
          <cell r="F536">
            <v>135</v>
          </cell>
          <cell r="G536">
            <v>135</v>
          </cell>
          <cell r="H536">
            <v>0</v>
          </cell>
          <cell r="I536">
            <v>135</v>
          </cell>
        </row>
        <row r="537">
          <cell r="A537" t="str">
            <v>H%FH</v>
          </cell>
          <cell r="B537" t="str">
            <v>Otros</v>
          </cell>
          <cell r="C537" t="str">
            <v>Factor Herramientas</v>
          </cell>
          <cell r="D537">
            <v>1</v>
          </cell>
          <cell r="E537" t="str">
            <v>%</v>
          </cell>
          <cell r="F537">
            <v>445</v>
          </cell>
          <cell r="G537">
            <v>4.45</v>
          </cell>
          <cell r="H537">
            <v>0</v>
          </cell>
          <cell r="I537">
            <v>4.45</v>
          </cell>
        </row>
        <row r="538">
          <cell r="A538">
            <v>0</v>
          </cell>
          <cell r="B538">
            <v>0</v>
          </cell>
          <cell r="C538" t="str">
            <v>Total 01.07.03</v>
          </cell>
          <cell r="D538">
            <v>1</v>
          </cell>
          <cell r="E538">
            <v>0</v>
          </cell>
          <cell r="F538">
            <v>0</v>
          </cell>
          <cell r="G538">
            <v>669.22104000000013</v>
          </cell>
          <cell r="H538">
            <v>39.558787199999998</v>
          </cell>
          <cell r="I538">
            <v>708.7798272</v>
          </cell>
        </row>
        <row r="539">
          <cell r="A539" t="str">
            <v>01.07.04</v>
          </cell>
          <cell r="B539" t="str">
            <v>Partida</v>
          </cell>
          <cell r="C539" t="str">
            <v>Formación de Escalones en Porcelanato</v>
          </cell>
          <cell r="D539">
            <v>1</v>
          </cell>
          <cell r="E539" t="str">
            <v>m²</v>
          </cell>
          <cell r="F539">
            <v>0</v>
          </cell>
          <cell r="G539">
            <v>982.65750441249997</v>
          </cell>
          <cell r="H539">
            <v>108.70335079425</v>
          </cell>
          <cell r="I539">
            <v>1091.3608552067499</v>
          </cell>
        </row>
        <row r="540">
          <cell r="A540" t="str">
            <v>P0701028</v>
          </cell>
          <cell r="B540" t="str">
            <v>Material</v>
          </cell>
          <cell r="C540" t="str">
            <v>Gres Porcelánico Import.</v>
          </cell>
          <cell r="D540">
            <v>0.50290000000000001</v>
          </cell>
          <cell r="E540" t="str">
            <v>m²</v>
          </cell>
          <cell r="F540">
            <v>850</v>
          </cell>
          <cell r="G540">
            <v>427.46500000000003</v>
          </cell>
          <cell r="H540">
            <v>76.943700000000007</v>
          </cell>
          <cell r="I540">
            <v>504.40870000000007</v>
          </cell>
        </row>
        <row r="541">
          <cell r="A541" t="str">
            <v>P2403199</v>
          </cell>
          <cell r="B541" t="str">
            <v>Material</v>
          </cell>
          <cell r="C541" t="str">
            <v>Agua</v>
          </cell>
          <cell r="D541">
            <v>1.68</v>
          </cell>
          <cell r="E541" t="str">
            <v>gl</v>
          </cell>
          <cell r="F541">
            <v>1.58</v>
          </cell>
          <cell r="G541">
            <v>2.6543999999999999</v>
          </cell>
          <cell r="H541">
            <v>0.47779199999999994</v>
          </cell>
          <cell r="I541">
            <v>3.1321919999999999</v>
          </cell>
        </row>
        <row r="542">
          <cell r="A542" t="str">
            <v>P0711016</v>
          </cell>
          <cell r="B542" t="str">
            <v>Material</v>
          </cell>
          <cell r="C542" t="str">
            <v>Mortero para cerámicas PegaTod Gris 50 Lbs.</v>
          </cell>
          <cell r="D542">
            <v>0.42</v>
          </cell>
          <cell r="E542" t="str">
            <v>fd</v>
          </cell>
          <cell r="F542">
            <v>218.64</v>
          </cell>
          <cell r="G542">
            <v>91.828799999999987</v>
          </cell>
          <cell r="H542">
            <v>16.529183999999997</v>
          </cell>
          <cell r="I542">
            <v>108.35798399999999</v>
          </cell>
        </row>
        <row r="543">
          <cell r="A543" t="str">
            <v>P0601008</v>
          </cell>
          <cell r="B543" t="str">
            <v>Material</v>
          </cell>
          <cell r="C543" t="str">
            <v>Derretido Keracolor Mapei</v>
          </cell>
          <cell r="D543">
            <v>7.9206750000000006E-2</v>
          </cell>
          <cell r="E543" t="str">
            <v>fd</v>
          </cell>
          <cell r="F543">
            <v>1016.95</v>
          </cell>
          <cell r="G543">
            <v>80.549304412500007</v>
          </cell>
          <cell r="H543">
            <v>14.49887479425</v>
          </cell>
          <cell r="I543">
            <v>95.048179206750007</v>
          </cell>
        </row>
        <row r="544">
          <cell r="A544" t="str">
            <v>P1404004</v>
          </cell>
          <cell r="B544" t="str">
            <v>Material</v>
          </cell>
          <cell r="C544" t="str">
            <v>Estopa</v>
          </cell>
          <cell r="D544">
            <v>2.35E-2</v>
          </cell>
          <cell r="E544" t="str">
            <v>lb</v>
          </cell>
          <cell r="F544">
            <v>60</v>
          </cell>
          <cell r="G544">
            <v>1.41</v>
          </cell>
          <cell r="H544">
            <v>0.25379999999999997</v>
          </cell>
          <cell r="I544">
            <v>1.6637999999999999</v>
          </cell>
        </row>
        <row r="545">
          <cell r="A545" t="str">
            <v>H0345445</v>
          </cell>
          <cell r="B545" t="str">
            <v>Mano de obra</v>
          </cell>
          <cell r="C545" t="str">
            <v>M.O. Formación y Revest  Escalón H+C</v>
          </cell>
          <cell r="D545">
            <v>1</v>
          </cell>
          <cell r="E545" t="str">
            <v>m</v>
          </cell>
          <cell r="F545">
            <v>375</v>
          </cell>
          <cell r="G545">
            <v>375</v>
          </cell>
          <cell r="H545">
            <v>0</v>
          </cell>
          <cell r="I545">
            <v>375</v>
          </cell>
        </row>
        <row r="546">
          <cell r="A546" t="str">
            <v>H%FH</v>
          </cell>
          <cell r="B546" t="str">
            <v>Otros</v>
          </cell>
          <cell r="C546" t="str">
            <v>Factor Herramientas</v>
          </cell>
          <cell r="D546">
            <v>1</v>
          </cell>
          <cell r="E546" t="str">
            <v>%</v>
          </cell>
          <cell r="F546">
            <v>375</v>
          </cell>
          <cell r="G546">
            <v>3.75</v>
          </cell>
          <cell r="H546">
            <v>0</v>
          </cell>
          <cell r="I546">
            <v>3.75</v>
          </cell>
        </row>
        <row r="547">
          <cell r="A547">
            <v>0</v>
          </cell>
          <cell r="B547">
            <v>0</v>
          </cell>
          <cell r="C547" t="str">
            <v>Total 01.07.04</v>
          </cell>
          <cell r="D547">
            <v>1</v>
          </cell>
          <cell r="E547">
            <v>0</v>
          </cell>
          <cell r="F547">
            <v>0</v>
          </cell>
          <cell r="G547">
            <v>982.65750441249997</v>
          </cell>
          <cell r="H547">
            <v>108.70335079425</v>
          </cell>
          <cell r="I547">
            <v>1091.3608552067499</v>
          </cell>
        </row>
        <row r="548">
          <cell r="A548">
            <v>0</v>
          </cell>
          <cell r="B548">
            <v>0</v>
          </cell>
          <cell r="C548">
            <v>0</v>
          </cell>
          <cell r="D548">
            <v>0</v>
          </cell>
          <cell r="E548">
            <v>0</v>
          </cell>
          <cell r="F548">
            <v>0</v>
          </cell>
          <cell r="G548">
            <v>0</v>
          </cell>
          <cell r="H548">
            <v>0</v>
          </cell>
          <cell r="I548">
            <v>0</v>
          </cell>
        </row>
        <row r="549">
          <cell r="A549">
            <v>0</v>
          </cell>
          <cell r="B549">
            <v>0</v>
          </cell>
          <cell r="C549">
            <v>0</v>
          </cell>
          <cell r="D549">
            <v>0</v>
          </cell>
          <cell r="E549">
            <v>0</v>
          </cell>
          <cell r="F549">
            <v>0</v>
          </cell>
          <cell r="G549">
            <v>0</v>
          </cell>
          <cell r="H549">
            <v>0</v>
          </cell>
          <cell r="I549">
            <v>0</v>
          </cell>
        </row>
        <row r="550">
          <cell r="A550" t="str">
            <v>01.08</v>
          </cell>
          <cell r="B550" t="str">
            <v>Capítulo</v>
          </cell>
          <cell r="C550" t="str">
            <v>PROTECCION DE HIERROS EN PUERTAS Y VENTANAS:</v>
          </cell>
          <cell r="D550">
            <v>0</v>
          </cell>
          <cell r="E550" t="str">
            <v/>
          </cell>
          <cell r="F550">
            <v>0</v>
          </cell>
          <cell r="G550">
            <v>0</v>
          </cell>
          <cell r="H550">
            <v>0</v>
          </cell>
          <cell r="I550">
            <v>0</v>
          </cell>
        </row>
        <row r="551">
          <cell r="A551" t="str">
            <v>01.08.01</v>
          </cell>
          <cell r="B551" t="str">
            <v>Partida</v>
          </cell>
          <cell r="C551" t="str">
            <v>Paneles fijos de Barrotes de Ø ¾ " ventanas</v>
          </cell>
          <cell r="D551">
            <v>1</v>
          </cell>
          <cell r="E551" t="str">
            <v>m²</v>
          </cell>
          <cell r="F551">
            <v>0</v>
          </cell>
          <cell r="G551">
            <v>6197.76</v>
          </cell>
          <cell r="H551">
            <v>0</v>
          </cell>
          <cell r="I551">
            <v>6447.76</v>
          </cell>
        </row>
        <row r="552">
          <cell r="A552" t="str">
            <v>SC040721</v>
          </cell>
          <cell r="B552" t="str">
            <v>Otros</v>
          </cell>
          <cell r="C552" t="str">
            <v>Sum./ Instalación Paños Fijos/Puertas de Barrotes de Hierro</v>
          </cell>
          <cell r="D552">
            <v>1</v>
          </cell>
          <cell r="E552" t="str">
            <v>m²</v>
          </cell>
          <cell r="F552">
            <v>6197.76</v>
          </cell>
          <cell r="G552">
            <v>6197.76</v>
          </cell>
          <cell r="H552">
            <v>0</v>
          </cell>
          <cell r="I552">
            <v>6197.76</v>
          </cell>
        </row>
        <row r="553">
          <cell r="A553" t="str">
            <v>SC04%</v>
          </cell>
          <cell r="B553" t="str">
            <v>Otros</v>
          </cell>
          <cell r="C553" t="str">
            <v>Factor Resanes Trabajos Rejas</v>
          </cell>
          <cell r="D553">
            <v>25</v>
          </cell>
          <cell r="E553" t="str">
            <v>%</v>
          </cell>
          <cell r="F553">
            <v>10</v>
          </cell>
          <cell r="G553">
            <v>0</v>
          </cell>
          <cell r="H553">
            <v>0</v>
          </cell>
          <cell r="I553">
            <v>250</v>
          </cell>
        </row>
        <row r="554">
          <cell r="A554">
            <v>0</v>
          </cell>
          <cell r="B554">
            <v>0</v>
          </cell>
          <cell r="C554" t="str">
            <v>Total 01.08.01</v>
          </cell>
          <cell r="D554">
            <v>1</v>
          </cell>
          <cell r="E554">
            <v>0</v>
          </cell>
          <cell r="F554">
            <v>0</v>
          </cell>
          <cell r="G554">
            <v>6197.76</v>
          </cell>
          <cell r="H554">
            <v>0</v>
          </cell>
          <cell r="I554">
            <v>6447.76</v>
          </cell>
        </row>
        <row r="555">
          <cell r="A555" t="str">
            <v>01.08.04</v>
          </cell>
          <cell r="B555" t="str">
            <v>Partida</v>
          </cell>
          <cell r="C555" t="str">
            <v>Malla soldada y plastificada con perfiles 2"*2"en hueco de escalera (1er a 5to nivel)</v>
          </cell>
          <cell r="D555">
            <v>1</v>
          </cell>
          <cell r="E555" t="str">
            <v>m²</v>
          </cell>
          <cell r="F555">
            <v>0</v>
          </cell>
          <cell r="G555">
            <v>510</v>
          </cell>
          <cell r="H555">
            <v>0</v>
          </cell>
          <cell r="I555">
            <v>510</v>
          </cell>
        </row>
        <row r="556">
          <cell r="A556" t="str">
            <v>SC040724</v>
          </cell>
          <cell r="B556" t="str">
            <v>Otros</v>
          </cell>
          <cell r="C556" t="str">
            <v>Sum./ Instalación Malla soldada y plastificada con perfiles 2"x2"</v>
          </cell>
          <cell r="D556">
            <v>1</v>
          </cell>
          <cell r="E556" t="str">
            <v>m²</v>
          </cell>
          <cell r="F556">
            <v>510</v>
          </cell>
          <cell r="G556">
            <v>510</v>
          </cell>
          <cell r="H556">
            <v>0</v>
          </cell>
          <cell r="I556">
            <v>510</v>
          </cell>
        </row>
        <row r="557">
          <cell r="A557">
            <v>0</v>
          </cell>
          <cell r="B557">
            <v>0</v>
          </cell>
          <cell r="C557" t="str">
            <v>Total 01.08.04</v>
          </cell>
          <cell r="D557">
            <v>1</v>
          </cell>
          <cell r="E557">
            <v>0</v>
          </cell>
          <cell r="F557">
            <v>0</v>
          </cell>
          <cell r="G557">
            <v>510</v>
          </cell>
          <cell r="H557">
            <v>0</v>
          </cell>
          <cell r="I557">
            <v>510</v>
          </cell>
        </row>
        <row r="558">
          <cell r="A558">
            <v>0</v>
          </cell>
          <cell r="B558">
            <v>0</v>
          </cell>
          <cell r="C558">
            <v>0</v>
          </cell>
          <cell r="D558">
            <v>0</v>
          </cell>
          <cell r="E558">
            <v>0</v>
          </cell>
          <cell r="F558">
            <v>0</v>
          </cell>
          <cell r="G558">
            <v>0</v>
          </cell>
          <cell r="H558">
            <v>0</v>
          </cell>
          <cell r="I558">
            <v>0</v>
          </cell>
        </row>
        <row r="559">
          <cell r="A559" t="str">
            <v>01.08.05</v>
          </cell>
          <cell r="B559" t="str">
            <v>Partida</v>
          </cell>
          <cell r="C559" t="str">
            <v>Barrotes horizontales Ø 3/4"@0.10m en huecos de Garita</v>
          </cell>
          <cell r="D559">
            <v>1</v>
          </cell>
          <cell r="E559" t="str">
            <v>m²</v>
          </cell>
          <cell r="F559">
            <v>0</v>
          </cell>
          <cell r="G559">
            <v>5229.3599999999997</v>
          </cell>
          <cell r="H559">
            <v>0</v>
          </cell>
          <cell r="I559">
            <v>5479.36</v>
          </cell>
        </row>
        <row r="560">
          <cell r="A560" t="str">
            <v>SC040725</v>
          </cell>
          <cell r="B560" t="str">
            <v>Otros</v>
          </cell>
          <cell r="C560" t="str">
            <v>Sum./ Instalación Barrotes horizontales Ø 3/4"@0.10m en huecos</v>
          </cell>
          <cell r="D560">
            <v>1</v>
          </cell>
          <cell r="E560" t="str">
            <v>m²</v>
          </cell>
          <cell r="F560">
            <v>5229.3599999999997</v>
          </cell>
          <cell r="G560">
            <v>5229.3599999999997</v>
          </cell>
          <cell r="H560">
            <v>0</v>
          </cell>
          <cell r="I560">
            <v>5229.3599999999997</v>
          </cell>
        </row>
        <row r="561">
          <cell r="A561" t="str">
            <v>SC04%</v>
          </cell>
          <cell r="B561" t="str">
            <v>Otros</v>
          </cell>
          <cell r="C561" t="str">
            <v>Factor Resanes Trabajos Rejas</v>
          </cell>
          <cell r="D561">
            <v>25</v>
          </cell>
          <cell r="E561" t="str">
            <v>%</v>
          </cell>
          <cell r="F561">
            <v>10</v>
          </cell>
          <cell r="G561">
            <v>0</v>
          </cell>
          <cell r="H561">
            <v>0</v>
          </cell>
          <cell r="I561">
            <v>250</v>
          </cell>
        </row>
        <row r="562">
          <cell r="A562">
            <v>0</v>
          </cell>
          <cell r="B562">
            <v>0</v>
          </cell>
          <cell r="C562" t="str">
            <v>Total 01.08.05</v>
          </cell>
          <cell r="D562">
            <v>1</v>
          </cell>
          <cell r="E562">
            <v>0</v>
          </cell>
          <cell r="F562">
            <v>0</v>
          </cell>
          <cell r="G562">
            <v>5229.3599999999997</v>
          </cell>
          <cell r="H562">
            <v>0</v>
          </cell>
          <cell r="I562">
            <v>5479.36</v>
          </cell>
        </row>
        <row r="563">
          <cell r="A563">
            <v>0</v>
          </cell>
          <cell r="B563">
            <v>0</v>
          </cell>
          <cell r="C563">
            <v>0</v>
          </cell>
          <cell r="D563">
            <v>0</v>
          </cell>
          <cell r="E563">
            <v>0</v>
          </cell>
          <cell r="F563">
            <v>0</v>
          </cell>
          <cell r="G563">
            <v>0</v>
          </cell>
          <cell r="H563">
            <v>0</v>
          </cell>
          <cell r="I563">
            <v>0</v>
          </cell>
        </row>
        <row r="564">
          <cell r="A564" t="str">
            <v>01.08.06</v>
          </cell>
          <cell r="B564" t="str">
            <v>Partida</v>
          </cell>
          <cell r="C564" t="str">
            <v>Protección en techo en Patio en barras de ø1"</v>
          </cell>
          <cell r="D564">
            <v>1</v>
          </cell>
          <cell r="E564" t="str">
            <v>m²</v>
          </cell>
          <cell r="F564">
            <v>0</v>
          </cell>
          <cell r="G564">
            <v>6197.76</v>
          </cell>
          <cell r="H564">
            <v>0</v>
          </cell>
          <cell r="I564">
            <v>6447.76</v>
          </cell>
        </row>
        <row r="565">
          <cell r="A565" t="str">
            <v>SC040726</v>
          </cell>
          <cell r="B565" t="str">
            <v>Otros</v>
          </cell>
          <cell r="C565" t="str">
            <v>Sum./ Instalación Protección en techo en Patio en barras de ø1"</v>
          </cell>
          <cell r="D565">
            <v>1</v>
          </cell>
          <cell r="E565" t="str">
            <v>m²</v>
          </cell>
          <cell r="F565">
            <v>6197.76</v>
          </cell>
          <cell r="G565">
            <v>6197.76</v>
          </cell>
          <cell r="H565">
            <v>0</v>
          </cell>
          <cell r="I565">
            <v>6197.76</v>
          </cell>
        </row>
        <row r="566">
          <cell r="A566" t="str">
            <v>SC04%</v>
          </cell>
          <cell r="B566" t="str">
            <v>Otros</v>
          </cell>
          <cell r="C566" t="str">
            <v>Factor Resanes Trabajos Rejas</v>
          </cell>
          <cell r="D566">
            <v>25</v>
          </cell>
          <cell r="E566" t="str">
            <v>%</v>
          </cell>
          <cell r="F566">
            <v>10</v>
          </cell>
          <cell r="G566">
            <v>0</v>
          </cell>
          <cell r="H566">
            <v>0</v>
          </cell>
          <cell r="I566">
            <v>250</v>
          </cell>
        </row>
        <row r="567">
          <cell r="A567">
            <v>0</v>
          </cell>
          <cell r="B567">
            <v>0</v>
          </cell>
          <cell r="C567" t="str">
            <v>Total 01.08.06</v>
          </cell>
          <cell r="D567">
            <v>1</v>
          </cell>
          <cell r="E567">
            <v>0</v>
          </cell>
          <cell r="F567">
            <v>0</v>
          </cell>
          <cell r="G567">
            <v>6197.76</v>
          </cell>
          <cell r="H567">
            <v>0</v>
          </cell>
          <cell r="I567">
            <v>6447.76</v>
          </cell>
        </row>
        <row r="568">
          <cell r="A568">
            <v>0</v>
          </cell>
          <cell r="B568">
            <v>0</v>
          </cell>
          <cell r="C568">
            <v>0</v>
          </cell>
          <cell r="D568">
            <v>0</v>
          </cell>
          <cell r="E568">
            <v>0</v>
          </cell>
          <cell r="F568">
            <v>0</v>
          </cell>
          <cell r="G568">
            <v>0</v>
          </cell>
          <cell r="H568">
            <v>0</v>
          </cell>
          <cell r="I568">
            <v>0</v>
          </cell>
        </row>
        <row r="569">
          <cell r="A569">
            <v>0</v>
          </cell>
          <cell r="B569">
            <v>0</v>
          </cell>
          <cell r="C569">
            <v>0</v>
          </cell>
          <cell r="D569">
            <v>0</v>
          </cell>
          <cell r="E569">
            <v>0</v>
          </cell>
          <cell r="F569">
            <v>0</v>
          </cell>
          <cell r="G569">
            <v>0</v>
          </cell>
          <cell r="H569">
            <v>0</v>
          </cell>
          <cell r="I569">
            <v>0</v>
          </cell>
        </row>
        <row r="570">
          <cell r="A570">
            <v>0</v>
          </cell>
          <cell r="B570">
            <v>0</v>
          </cell>
          <cell r="C570">
            <v>0</v>
          </cell>
          <cell r="D570">
            <v>0</v>
          </cell>
          <cell r="E570">
            <v>0</v>
          </cell>
          <cell r="F570">
            <v>0</v>
          </cell>
          <cell r="G570">
            <v>0</v>
          </cell>
          <cell r="H570">
            <v>0</v>
          </cell>
          <cell r="I570">
            <v>0</v>
          </cell>
        </row>
        <row r="571">
          <cell r="A571" t="str">
            <v>01.09</v>
          </cell>
          <cell r="B571" t="str">
            <v>Capítulo</v>
          </cell>
          <cell r="C571" t="str">
            <v>PUERTAS :</v>
          </cell>
          <cell r="D571">
            <v>0</v>
          </cell>
          <cell r="E571" t="str">
            <v/>
          </cell>
          <cell r="F571">
            <v>0</v>
          </cell>
          <cell r="G571">
            <v>0</v>
          </cell>
          <cell r="H571">
            <v>0</v>
          </cell>
          <cell r="I571">
            <v>0</v>
          </cell>
        </row>
        <row r="572">
          <cell r="A572" t="str">
            <v>01.09.01</v>
          </cell>
          <cell r="B572" t="str">
            <v>Partida</v>
          </cell>
          <cell r="C572" t="str">
            <v>Polimetal con visor vertical, 2 hojas de puerta batiente con tragaluz de 0.50m; 1.80x2.80m, P2</v>
          </cell>
          <cell r="D572">
            <v>1</v>
          </cell>
          <cell r="E572" t="str">
            <v>u</v>
          </cell>
          <cell r="F572">
            <v>0</v>
          </cell>
          <cell r="G572">
            <v>19239.74802259888</v>
          </cell>
          <cell r="H572">
            <v>3190.4546440677982</v>
          </cell>
          <cell r="I572">
            <v>22430.202666666679</v>
          </cell>
        </row>
        <row r="573">
          <cell r="A573" t="str">
            <v>P4005041</v>
          </cell>
          <cell r="B573" t="str">
            <v>Material</v>
          </cell>
          <cell r="C573" t="str">
            <v>Puerta Polimetal c/Visor Vertical, 2H Batiente, 1.80 x 2.80 m</v>
          </cell>
          <cell r="D573">
            <v>1</v>
          </cell>
          <cell r="E573" t="str">
            <v>u</v>
          </cell>
          <cell r="F573">
            <v>17274.74802259888</v>
          </cell>
          <cell r="G573">
            <v>17274.74802259888</v>
          </cell>
          <cell r="H573">
            <v>3109.4546440677982</v>
          </cell>
          <cell r="I573">
            <v>20384.202666666679</v>
          </cell>
        </row>
        <row r="574">
          <cell r="A574" t="str">
            <v>P2201029</v>
          </cell>
          <cell r="B574" t="str">
            <v>Material</v>
          </cell>
          <cell r="C574" t="str">
            <v>Cerradura Schlage o similar c/ Regular</v>
          </cell>
          <cell r="D574">
            <v>1</v>
          </cell>
          <cell r="E574" t="str">
            <v>u</v>
          </cell>
          <cell r="F574">
            <v>450</v>
          </cell>
          <cell r="G574">
            <v>450</v>
          </cell>
          <cell r="H574">
            <v>81</v>
          </cell>
          <cell r="I574">
            <v>531</v>
          </cell>
        </row>
        <row r="575">
          <cell r="A575" t="str">
            <v>H0920567</v>
          </cell>
          <cell r="B575" t="str">
            <v>Mano de obra</v>
          </cell>
          <cell r="C575" t="str">
            <v>M.O. Instalación Puerta Polimetal, 2H</v>
          </cell>
          <cell r="D575">
            <v>1</v>
          </cell>
          <cell r="E575" t="str">
            <v>u</v>
          </cell>
          <cell r="F575">
            <v>1500</v>
          </cell>
          <cell r="G575">
            <v>1500</v>
          </cell>
          <cell r="H575">
            <v>0</v>
          </cell>
          <cell r="I575">
            <v>1500</v>
          </cell>
        </row>
        <row r="576">
          <cell r="A576" t="str">
            <v>H%FH</v>
          </cell>
          <cell r="B576" t="str">
            <v>Otros</v>
          </cell>
          <cell r="C576" t="str">
            <v>Factor Herramientas</v>
          </cell>
          <cell r="D576">
            <v>1</v>
          </cell>
          <cell r="E576" t="str">
            <v>%</v>
          </cell>
          <cell r="F576">
            <v>1500</v>
          </cell>
          <cell r="G576">
            <v>15</v>
          </cell>
          <cell r="H576">
            <v>0</v>
          </cell>
          <cell r="I576">
            <v>15</v>
          </cell>
        </row>
        <row r="577">
          <cell r="A577">
            <v>0</v>
          </cell>
          <cell r="B577">
            <v>0</v>
          </cell>
          <cell r="C577" t="str">
            <v>Total 01.09.01</v>
          </cell>
          <cell r="D577">
            <v>1</v>
          </cell>
          <cell r="E577">
            <v>0</v>
          </cell>
          <cell r="F577">
            <v>0</v>
          </cell>
          <cell r="G577">
            <v>19239.74802259888</v>
          </cell>
          <cell r="H577">
            <v>3190.4546440677982</v>
          </cell>
          <cell r="I577">
            <v>22430.202666666679</v>
          </cell>
        </row>
        <row r="578">
          <cell r="A578">
            <v>0</v>
          </cell>
          <cell r="B578">
            <v>0</v>
          </cell>
          <cell r="C578">
            <v>0</v>
          </cell>
          <cell r="D578">
            <v>0</v>
          </cell>
          <cell r="E578">
            <v>0</v>
          </cell>
          <cell r="F578">
            <v>0</v>
          </cell>
          <cell r="G578">
            <v>0</v>
          </cell>
          <cell r="H578">
            <v>0</v>
          </cell>
          <cell r="I578">
            <v>0</v>
          </cell>
        </row>
        <row r="579">
          <cell r="A579" t="str">
            <v>01.09.02</v>
          </cell>
          <cell r="B579" t="str">
            <v>Partida</v>
          </cell>
          <cell r="C579" t="str">
            <v>Polimetal con visor vertical, 2 hojas de puerta batiente con tragaluz de 0.50m; 2.00x2.80m, P1</v>
          </cell>
          <cell r="D579">
            <v>1</v>
          </cell>
          <cell r="E579" t="str">
            <v>u</v>
          </cell>
          <cell r="F579">
            <v>0</v>
          </cell>
          <cell r="G579">
            <v>21159.164469554253</v>
          </cell>
          <cell r="H579">
            <v>3535.9496045197652</v>
          </cell>
          <cell r="I579">
            <v>24695.114074074019</v>
          </cell>
        </row>
        <row r="580">
          <cell r="A580" t="str">
            <v>P4005042</v>
          </cell>
          <cell r="B580" t="str">
            <v>Material</v>
          </cell>
          <cell r="C580" t="str">
            <v>Puerta Polimetal c/Visor Vertical, 2H Batiente, 2.00 x 2.80 m</v>
          </cell>
          <cell r="D580">
            <v>1</v>
          </cell>
          <cell r="E580" t="str">
            <v>u</v>
          </cell>
          <cell r="F580">
            <v>19194.164469554253</v>
          </cell>
          <cell r="G580">
            <v>19194.164469554253</v>
          </cell>
          <cell r="H580">
            <v>3454.9496045197652</v>
          </cell>
          <cell r="I580">
            <v>22649.114074074019</v>
          </cell>
        </row>
        <row r="581">
          <cell r="A581" t="str">
            <v>P2201029</v>
          </cell>
          <cell r="B581" t="str">
            <v>Material</v>
          </cell>
          <cell r="C581" t="str">
            <v>Cerradura Schlage o similar c/ Regular</v>
          </cell>
          <cell r="D581">
            <v>1</v>
          </cell>
          <cell r="E581" t="str">
            <v>u</v>
          </cell>
          <cell r="F581">
            <v>450</v>
          </cell>
          <cell r="G581">
            <v>450</v>
          </cell>
          <cell r="H581">
            <v>81</v>
          </cell>
          <cell r="I581">
            <v>531</v>
          </cell>
        </row>
        <row r="582">
          <cell r="A582" t="str">
            <v>H0920567</v>
          </cell>
          <cell r="B582" t="str">
            <v>Mano de obra</v>
          </cell>
          <cell r="C582" t="str">
            <v>M.O. Instalación Puerta Polimetal, 2H</v>
          </cell>
          <cell r="D582">
            <v>1</v>
          </cell>
          <cell r="E582" t="str">
            <v>u</v>
          </cell>
          <cell r="F582">
            <v>1500</v>
          </cell>
          <cell r="G582">
            <v>1500</v>
          </cell>
          <cell r="H582">
            <v>0</v>
          </cell>
          <cell r="I582">
            <v>1500</v>
          </cell>
        </row>
        <row r="583">
          <cell r="A583" t="str">
            <v>H%FH</v>
          </cell>
          <cell r="B583" t="str">
            <v>Otros</v>
          </cell>
          <cell r="C583" t="str">
            <v>Factor Herramientas</v>
          </cell>
          <cell r="D583">
            <v>1</v>
          </cell>
          <cell r="E583" t="str">
            <v>%</v>
          </cell>
          <cell r="F583">
            <v>1500</v>
          </cell>
          <cell r="G583">
            <v>15</v>
          </cell>
          <cell r="H583">
            <v>0</v>
          </cell>
          <cell r="I583">
            <v>15</v>
          </cell>
        </row>
        <row r="584">
          <cell r="A584">
            <v>0</v>
          </cell>
          <cell r="B584">
            <v>0</v>
          </cell>
          <cell r="C584" t="str">
            <v>Total 01.09.02</v>
          </cell>
          <cell r="D584">
            <v>1</v>
          </cell>
          <cell r="E584">
            <v>0</v>
          </cell>
          <cell r="F584">
            <v>0</v>
          </cell>
          <cell r="G584">
            <v>21159.164469554253</v>
          </cell>
          <cell r="H584">
            <v>3535.9496045197652</v>
          </cell>
          <cell r="I584">
            <v>24695.114074074019</v>
          </cell>
        </row>
        <row r="585">
          <cell r="A585">
            <v>0</v>
          </cell>
          <cell r="B585">
            <v>0</v>
          </cell>
          <cell r="C585">
            <v>0</v>
          </cell>
          <cell r="D585">
            <v>0</v>
          </cell>
          <cell r="E585">
            <v>0</v>
          </cell>
          <cell r="F585">
            <v>0</v>
          </cell>
          <cell r="G585">
            <v>0</v>
          </cell>
          <cell r="H585">
            <v>0</v>
          </cell>
          <cell r="I585">
            <v>0</v>
          </cell>
        </row>
        <row r="586">
          <cell r="A586" t="str">
            <v>01.09.03</v>
          </cell>
          <cell r="B586" t="str">
            <v>Partida</v>
          </cell>
          <cell r="C586" t="str">
            <v>Polimetal con visor vertical, 2 hojas de puerta batiente con tragaluz de 0.50m; 2.40x2.80m, P7</v>
          </cell>
          <cell r="D586">
            <v>1</v>
          </cell>
          <cell r="E586" t="str">
            <v>u</v>
          </cell>
          <cell r="F586">
            <v>0</v>
          </cell>
          <cell r="G586">
            <v>24997.997363465209</v>
          </cell>
          <cell r="H586">
            <v>4226.939525423737</v>
          </cell>
          <cell r="I586">
            <v>29224.936888888944</v>
          </cell>
        </row>
        <row r="587">
          <cell r="A587" t="str">
            <v>P4005043</v>
          </cell>
          <cell r="B587" t="str">
            <v>Material</v>
          </cell>
          <cell r="C587" t="str">
            <v>Puerta Polimetal c/Visor Vertical, 2H Batiente, 2.40 x 2.80 m</v>
          </cell>
          <cell r="D587">
            <v>1</v>
          </cell>
          <cell r="E587" t="str">
            <v>u</v>
          </cell>
          <cell r="F587">
            <v>23032.997363465209</v>
          </cell>
          <cell r="G587">
            <v>23032.997363465209</v>
          </cell>
          <cell r="H587">
            <v>4145.939525423737</v>
          </cell>
          <cell r="I587">
            <v>27178.936888888944</v>
          </cell>
        </row>
        <row r="588">
          <cell r="A588" t="str">
            <v>P2201029</v>
          </cell>
          <cell r="B588" t="str">
            <v>Material</v>
          </cell>
          <cell r="C588" t="str">
            <v>Cerradura Schlage o similar c/ Regular</v>
          </cell>
          <cell r="D588">
            <v>1</v>
          </cell>
          <cell r="E588" t="str">
            <v>u</v>
          </cell>
          <cell r="F588">
            <v>450</v>
          </cell>
          <cell r="G588">
            <v>450</v>
          </cell>
          <cell r="H588">
            <v>81</v>
          </cell>
          <cell r="I588">
            <v>531</v>
          </cell>
        </row>
        <row r="589">
          <cell r="A589" t="str">
            <v>H0920567</v>
          </cell>
          <cell r="B589" t="str">
            <v>Mano de obra</v>
          </cell>
          <cell r="C589" t="str">
            <v>M.O. Instalación Puerta Polimetal, 2H</v>
          </cell>
          <cell r="D589">
            <v>1</v>
          </cell>
          <cell r="E589" t="str">
            <v>u</v>
          </cell>
          <cell r="F589">
            <v>1500</v>
          </cell>
          <cell r="G589">
            <v>1500</v>
          </cell>
          <cell r="H589">
            <v>0</v>
          </cell>
          <cell r="I589">
            <v>1500</v>
          </cell>
        </row>
        <row r="590">
          <cell r="A590" t="str">
            <v>H%FH</v>
          </cell>
          <cell r="B590" t="str">
            <v>Otros</v>
          </cell>
          <cell r="C590" t="str">
            <v>Factor Herramientas</v>
          </cell>
          <cell r="D590">
            <v>1</v>
          </cell>
          <cell r="E590" t="str">
            <v>%</v>
          </cell>
          <cell r="F590">
            <v>1500</v>
          </cell>
          <cell r="G590">
            <v>15</v>
          </cell>
          <cell r="H590">
            <v>0</v>
          </cell>
          <cell r="I590">
            <v>15</v>
          </cell>
        </row>
        <row r="591">
          <cell r="A591">
            <v>0</v>
          </cell>
          <cell r="B591">
            <v>0</v>
          </cell>
          <cell r="C591" t="str">
            <v>Total 01.09.03</v>
          </cell>
          <cell r="D591">
            <v>1</v>
          </cell>
          <cell r="E591">
            <v>0</v>
          </cell>
          <cell r="F591">
            <v>0</v>
          </cell>
          <cell r="G591">
            <v>24997.997363465209</v>
          </cell>
          <cell r="H591">
            <v>4226.939525423737</v>
          </cell>
          <cell r="I591">
            <v>29224.936888888944</v>
          </cell>
        </row>
        <row r="592">
          <cell r="A592">
            <v>0</v>
          </cell>
          <cell r="B592">
            <v>0</v>
          </cell>
          <cell r="C592">
            <v>0</v>
          </cell>
          <cell r="D592">
            <v>0</v>
          </cell>
          <cell r="E592">
            <v>0</v>
          </cell>
          <cell r="F592">
            <v>0</v>
          </cell>
          <cell r="G592">
            <v>0</v>
          </cell>
          <cell r="H592">
            <v>0</v>
          </cell>
          <cell r="I592">
            <v>0</v>
          </cell>
        </row>
        <row r="593">
          <cell r="A593" t="str">
            <v>01.09.04</v>
          </cell>
          <cell r="B593" t="str">
            <v>Partida</v>
          </cell>
          <cell r="C593" t="str">
            <v>Polimetal con visor vertical, 2 hojas de puerta batiente; 1.80x2.10m, P6</v>
          </cell>
          <cell r="D593">
            <v>1</v>
          </cell>
          <cell r="E593" t="str">
            <v>u</v>
          </cell>
          <cell r="F593">
            <v>0</v>
          </cell>
          <cell r="G593">
            <v>14921.061016949161</v>
          </cell>
          <cell r="H593">
            <v>2413.090983050849</v>
          </cell>
          <cell r="I593">
            <v>17334.152000000009</v>
          </cell>
        </row>
        <row r="594">
          <cell r="A594" t="str">
            <v>P4005044</v>
          </cell>
          <cell r="B594" t="str">
            <v>Material</v>
          </cell>
          <cell r="C594" t="str">
            <v>Puerta Polimetal c/Visor Vertical, 2H Batiente, 1.80 x 2.10 m</v>
          </cell>
          <cell r="D594">
            <v>1</v>
          </cell>
          <cell r="E594" t="str">
            <v>u</v>
          </cell>
          <cell r="F594">
            <v>12956.061016949161</v>
          </cell>
          <cell r="G594">
            <v>12956.061016949161</v>
          </cell>
          <cell r="H594">
            <v>2332.090983050849</v>
          </cell>
          <cell r="I594">
            <v>15288.152000000009</v>
          </cell>
        </row>
        <row r="595">
          <cell r="A595" t="str">
            <v>P2201029</v>
          </cell>
          <cell r="B595" t="str">
            <v>Material</v>
          </cell>
          <cell r="C595" t="str">
            <v>Cerradura Schlage o similar c/ Regular</v>
          </cell>
          <cell r="D595">
            <v>1</v>
          </cell>
          <cell r="E595" t="str">
            <v>u</v>
          </cell>
          <cell r="F595">
            <v>450</v>
          </cell>
          <cell r="G595">
            <v>450</v>
          </cell>
          <cell r="H595">
            <v>81</v>
          </cell>
          <cell r="I595">
            <v>531</v>
          </cell>
        </row>
        <row r="596">
          <cell r="A596" t="str">
            <v>H0920567</v>
          </cell>
          <cell r="B596" t="str">
            <v>Mano de obra</v>
          </cell>
          <cell r="C596" t="str">
            <v>M.O. Instalación Puerta Polimetal, 2H</v>
          </cell>
          <cell r="D596">
            <v>1</v>
          </cell>
          <cell r="E596" t="str">
            <v>u</v>
          </cell>
          <cell r="F596">
            <v>1500</v>
          </cell>
          <cell r="G596">
            <v>1500</v>
          </cell>
          <cell r="H596">
            <v>0</v>
          </cell>
          <cell r="I596">
            <v>1500</v>
          </cell>
        </row>
        <row r="597">
          <cell r="A597" t="str">
            <v>H%FH</v>
          </cell>
          <cell r="B597" t="str">
            <v>Otros</v>
          </cell>
          <cell r="C597" t="str">
            <v>Factor Herramientas</v>
          </cell>
          <cell r="D597">
            <v>1</v>
          </cell>
          <cell r="E597" t="str">
            <v>%</v>
          </cell>
          <cell r="F597">
            <v>1500</v>
          </cell>
          <cell r="G597">
            <v>15</v>
          </cell>
          <cell r="H597">
            <v>0</v>
          </cell>
          <cell r="I597">
            <v>15</v>
          </cell>
        </row>
        <row r="598">
          <cell r="A598">
            <v>0</v>
          </cell>
          <cell r="B598">
            <v>0</v>
          </cell>
          <cell r="C598" t="str">
            <v>Total 01.09.04</v>
          </cell>
          <cell r="D598">
            <v>1</v>
          </cell>
          <cell r="E598">
            <v>0</v>
          </cell>
          <cell r="F598">
            <v>0</v>
          </cell>
          <cell r="G598">
            <v>14921.061016949161</v>
          </cell>
          <cell r="H598">
            <v>2413.090983050849</v>
          </cell>
          <cell r="I598">
            <v>17334.152000000009</v>
          </cell>
        </row>
        <row r="599">
          <cell r="A599">
            <v>0</v>
          </cell>
          <cell r="B599">
            <v>0</v>
          </cell>
          <cell r="C599">
            <v>0</v>
          </cell>
          <cell r="D599">
            <v>0</v>
          </cell>
          <cell r="E599">
            <v>0</v>
          </cell>
          <cell r="F599">
            <v>0</v>
          </cell>
          <cell r="G599">
            <v>0</v>
          </cell>
          <cell r="H599">
            <v>0</v>
          </cell>
          <cell r="I599">
            <v>0</v>
          </cell>
        </row>
        <row r="600">
          <cell r="A600" t="str">
            <v>01.09.05</v>
          </cell>
          <cell r="B600" t="str">
            <v>Partida</v>
          </cell>
          <cell r="C600" t="str">
            <v>Puerta 0.80mt x 2.10mt, Polimetal Lisa</v>
          </cell>
          <cell r="D600">
            <v>1</v>
          </cell>
          <cell r="E600" t="str">
            <v>u</v>
          </cell>
          <cell r="F600">
            <v>0</v>
          </cell>
          <cell r="G600">
            <v>7887.5305084745805</v>
          </cell>
          <cell r="H600">
            <v>1247.0454915254245</v>
          </cell>
          <cell r="I600">
            <v>9134.5760000000046</v>
          </cell>
        </row>
        <row r="601">
          <cell r="A601" t="str">
            <v>P4005031</v>
          </cell>
          <cell r="B601" t="str">
            <v>Material</v>
          </cell>
          <cell r="C601" t="str">
            <v>Puerta Polimetal Lisa, 1H Batiente, 0.80 x 2.10 m</v>
          </cell>
          <cell r="D601">
            <v>1</v>
          </cell>
          <cell r="E601" t="str">
            <v>u</v>
          </cell>
          <cell r="F601">
            <v>6478.0305084745805</v>
          </cell>
          <cell r="G601">
            <v>6478.0305084745805</v>
          </cell>
          <cell r="H601">
            <v>1166.0454915254245</v>
          </cell>
          <cell r="I601">
            <v>7644.0760000000046</v>
          </cell>
        </row>
        <row r="602">
          <cell r="A602" t="str">
            <v>P2201029</v>
          </cell>
          <cell r="B602" t="str">
            <v>Material</v>
          </cell>
          <cell r="C602" t="str">
            <v>Cerradura Schlage o similar c/ Regular</v>
          </cell>
          <cell r="D602">
            <v>1</v>
          </cell>
          <cell r="E602" t="str">
            <v>u</v>
          </cell>
          <cell r="F602">
            <v>450</v>
          </cell>
          <cell r="G602">
            <v>450</v>
          </cell>
          <cell r="H602">
            <v>81</v>
          </cell>
          <cell r="I602">
            <v>531</v>
          </cell>
        </row>
        <row r="603">
          <cell r="A603" t="str">
            <v>H0920566</v>
          </cell>
          <cell r="B603" t="str">
            <v>Mano de obra</v>
          </cell>
          <cell r="C603" t="str">
            <v>M.O. Instalación Puerta Polimetal, 1H</v>
          </cell>
          <cell r="D603">
            <v>1</v>
          </cell>
          <cell r="E603" t="str">
            <v>u</v>
          </cell>
          <cell r="F603">
            <v>950</v>
          </cell>
          <cell r="G603">
            <v>950</v>
          </cell>
          <cell r="H603">
            <v>0</v>
          </cell>
          <cell r="I603">
            <v>950</v>
          </cell>
        </row>
        <row r="604">
          <cell r="A604" t="str">
            <v>H%FH</v>
          </cell>
          <cell r="B604" t="str">
            <v>Otros</v>
          </cell>
          <cell r="C604" t="str">
            <v>Factor Herramientas</v>
          </cell>
          <cell r="D604">
            <v>1</v>
          </cell>
          <cell r="E604" t="str">
            <v>%</v>
          </cell>
          <cell r="F604">
            <v>950</v>
          </cell>
          <cell r="G604">
            <v>9.5</v>
          </cell>
          <cell r="H604">
            <v>0</v>
          </cell>
          <cell r="I604">
            <v>9.5</v>
          </cell>
        </row>
        <row r="605">
          <cell r="A605">
            <v>0</v>
          </cell>
          <cell r="B605">
            <v>0</v>
          </cell>
          <cell r="C605" t="str">
            <v>Total 01.09.05</v>
          </cell>
          <cell r="D605">
            <v>1</v>
          </cell>
          <cell r="E605">
            <v>0</v>
          </cell>
          <cell r="F605">
            <v>0</v>
          </cell>
          <cell r="G605">
            <v>7887.5305084745805</v>
          </cell>
          <cell r="H605">
            <v>1247.0454915254245</v>
          </cell>
          <cell r="I605">
            <v>9134.5760000000046</v>
          </cell>
        </row>
        <row r="606">
          <cell r="A606">
            <v>0</v>
          </cell>
          <cell r="B606">
            <v>0</v>
          </cell>
          <cell r="C606">
            <v>0</v>
          </cell>
          <cell r="D606">
            <v>0</v>
          </cell>
          <cell r="E606">
            <v>0</v>
          </cell>
          <cell r="F606">
            <v>0</v>
          </cell>
          <cell r="G606">
            <v>0</v>
          </cell>
          <cell r="H606">
            <v>0</v>
          </cell>
          <cell r="I606">
            <v>0</v>
          </cell>
        </row>
        <row r="607">
          <cell r="A607" t="str">
            <v>01.09.06</v>
          </cell>
          <cell r="B607" t="str">
            <v>Partida</v>
          </cell>
          <cell r="C607" t="str">
            <v>Puerta 1.05mt x 2.40mt en Hierro Forrado de Tola, Puerta Batiente</v>
          </cell>
          <cell r="D607">
            <v>1</v>
          </cell>
          <cell r="E607" t="str">
            <v>m²</v>
          </cell>
          <cell r="F607">
            <v>0</v>
          </cell>
          <cell r="G607">
            <v>36605.520000000004</v>
          </cell>
          <cell r="H607">
            <v>0</v>
          </cell>
          <cell r="I607">
            <v>36605.520000000004</v>
          </cell>
        </row>
        <row r="608">
          <cell r="A608" t="str">
            <v>SC040738</v>
          </cell>
          <cell r="B608" t="str">
            <v>Otros</v>
          </cell>
          <cell r="C608" t="str">
            <v>Sum./ Instalación Puerta 1.05mt x 2.40mt en Hierro Forrado de Tola, Puerta Batiente, Inc. Cerradura</v>
          </cell>
          <cell r="D608">
            <v>1</v>
          </cell>
          <cell r="E608" t="str">
            <v>u</v>
          </cell>
          <cell r="F608">
            <v>36605.520000000004</v>
          </cell>
          <cell r="G608">
            <v>36605.520000000004</v>
          </cell>
          <cell r="H608">
            <v>0</v>
          </cell>
          <cell r="I608">
            <v>36605.520000000004</v>
          </cell>
        </row>
        <row r="609">
          <cell r="A609">
            <v>0</v>
          </cell>
          <cell r="B609">
            <v>0</v>
          </cell>
          <cell r="C609" t="str">
            <v>Total 01.09.06</v>
          </cell>
          <cell r="D609">
            <v>1</v>
          </cell>
          <cell r="E609">
            <v>0</v>
          </cell>
          <cell r="F609">
            <v>0</v>
          </cell>
          <cell r="G609">
            <v>36605.520000000004</v>
          </cell>
          <cell r="H609">
            <v>0</v>
          </cell>
          <cell r="I609">
            <v>36605.520000000004</v>
          </cell>
        </row>
        <row r="610">
          <cell r="A610">
            <v>0</v>
          </cell>
          <cell r="B610">
            <v>0</v>
          </cell>
          <cell r="C610">
            <v>0</v>
          </cell>
          <cell r="D610">
            <v>0</v>
          </cell>
          <cell r="E610">
            <v>0</v>
          </cell>
          <cell r="F610">
            <v>0</v>
          </cell>
          <cell r="G610">
            <v>0</v>
          </cell>
          <cell r="H610">
            <v>0</v>
          </cell>
          <cell r="I610">
            <v>0</v>
          </cell>
        </row>
        <row r="611">
          <cell r="A611" t="str">
            <v>01.09.07</v>
          </cell>
          <cell r="B611" t="str">
            <v>Partida</v>
          </cell>
          <cell r="C611" t="str">
            <v>Puerta 1.20mt x 2.40mt en Hierro de 3/4'', Puerta Batiente</v>
          </cell>
          <cell r="D611">
            <v>1</v>
          </cell>
          <cell r="E611" t="str">
            <v>m²</v>
          </cell>
          <cell r="F611">
            <v>0</v>
          </cell>
          <cell r="G611">
            <v>25937.625599999996</v>
          </cell>
          <cell r="H611">
            <v>0</v>
          </cell>
          <cell r="I611">
            <v>25937.625599999996</v>
          </cell>
        </row>
        <row r="612">
          <cell r="A612" t="str">
            <v>SC040739</v>
          </cell>
          <cell r="B612" t="str">
            <v>Otros</v>
          </cell>
          <cell r="C612" t="str">
            <v>Sum./ Instalación Puerta 1.20mt x 2.40mt en Hierro de 3/4'', Puerta Batiente</v>
          </cell>
          <cell r="D612">
            <v>1</v>
          </cell>
          <cell r="E612" t="str">
            <v>u</v>
          </cell>
          <cell r="F612">
            <v>25937.625599999996</v>
          </cell>
          <cell r="G612">
            <v>25937.625599999996</v>
          </cell>
          <cell r="H612">
            <v>0</v>
          </cell>
          <cell r="I612">
            <v>25937.625599999996</v>
          </cell>
        </row>
        <row r="613">
          <cell r="A613">
            <v>0</v>
          </cell>
          <cell r="B613">
            <v>0</v>
          </cell>
          <cell r="C613" t="str">
            <v>Total 01.09.07</v>
          </cell>
          <cell r="D613">
            <v>1</v>
          </cell>
          <cell r="E613">
            <v>0</v>
          </cell>
          <cell r="F613">
            <v>0</v>
          </cell>
          <cell r="G613">
            <v>25937.625599999996</v>
          </cell>
          <cell r="H613">
            <v>0</v>
          </cell>
          <cell r="I613">
            <v>25937.625599999996</v>
          </cell>
        </row>
        <row r="614">
          <cell r="A614">
            <v>0</v>
          </cell>
          <cell r="B614">
            <v>0</v>
          </cell>
          <cell r="C614">
            <v>0</v>
          </cell>
          <cell r="D614">
            <v>0</v>
          </cell>
          <cell r="E614">
            <v>0</v>
          </cell>
          <cell r="F614">
            <v>0</v>
          </cell>
          <cell r="G614">
            <v>0</v>
          </cell>
          <cell r="H614">
            <v>0</v>
          </cell>
          <cell r="I614">
            <v>0</v>
          </cell>
        </row>
        <row r="615">
          <cell r="A615" t="str">
            <v>01.09.08</v>
          </cell>
          <cell r="B615" t="str">
            <v>Partida</v>
          </cell>
          <cell r="C615" t="str">
            <v>Puerta Acceso Doble 2.00mt.x2.50mt., con cerradura de Acero en hierro de  Ø ¾ ¨ segun detalle en planos</v>
          </cell>
          <cell r="D615">
            <v>1</v>
          </cell>
          <cell r="E615" t="str">
            <v>m²</v>
          </cell>
          <cell r="F615">
            <v>0</v>
          </cell>
          <cell r="G615">
            <v>45030.599999999991</v>
          </cell>
          <cell r="H615">
            <v>0</v>
          </cell>
          <cell r="I615">
            <v>45030.599999999991</v>
          </cell>
        </row>
        <row r="616">
          <cell r="A616" t="str">
            <v>SC040740</v>
          </cell>
          <cell r="B616" t="str">
            <v>Otros</v>
          </cell>
          <cell r="C616" t="str">
            <v>Sum./ Instalación Puerta Doble 2.00mt.x2.50mt., con cerradura de Acero en hierro de  Ø ¾ ¨</v>
          </cell>
          <cell r="D616">
            <v>1</v>
          </cell>
          <cell r="E616" t="str">
            <v>u</v>
          </cell>
          <cell r="F616">
            <v>45030.599999999991</v>
          </cell>
          <cell r="G616">
            <v>45030.599999999991</v>
          </cell>
          <cell r="H616">
            <v>0</v>
          </cell>
          <cell r="I616">
            <v>45030.599999999991</v>
          </cell>
        </row>
        <row r="617">
          <cell r="A617">
            <v>0</v>
          </cell>
          <cell r="B617">
            <v>0</v>
          </cell>
          <cell r="C617" t="str">
            <v>Total 01.09.08</v>
          </cell>
          <cell r="D617">
            <v>1</v>
          </cell>
          <cell r="E617">
            <v>0</v>
          </cell>
          <cell r="F617">
            <v>0</v>
          </cell>
          <cell r="G617">
            <v>45030.599999999991</v>
          </cell>
          <cell r="H617">
            <v>0</v>
          </cell>
          <cell r="I617">
            <v>45030.599999999991</v>
          </cell>
        </row>
        <row r="618">
          <cell r="A618">
            <v>0</v>
          </cell>
          <cell r="B618">
            <v>0</v>
          </cell>
          <cell r="C618">
            <v>0</v>
          </cell>
          <cell r="D618">
            <v>0</v>
          </cell>
          <cell r="E618">
            <v>0</v>
          </cell>
          <cell r="F618">
            <v>0</v>
          </cell>
          <cell r="G618">
            <v>0</v>
          </cell>
          <cell r="H618">
            <v>0</v>
          </cell>
          <cell r="I618">
            <v>0</v>
          </cell>
        </row>
        <row r="619">
          <cell r="A619" t="str">
            <v>01.09.09</v>
          </cell>
          <cell r="B619" t="str">
            <v>Partida</v>
          </cell>
          <cell r="C619" t="str">
            <v>Puerta batiente de polimetal lisa; 0.90x2.80m, P5</v>
          </cell>
          <cell r="D619">
            <v>1</v>
          </cell>
          <cell r="E619" t="str">
            <v>u</v>
          </cell>
          <cell r="F619">
            <v>0</v>
          </cell>
          <cell r="G619">
            <v>10046.874011299429</v>
          </cell>
          <cell r="H619">
            <v>1635.7273220338973</v>
          </cell>
          <cell r="I619">
            <v>11682.601333333327</v>
          </cell>
        </row>
        <row r="620">
          <cell r="A620" t="str">
            <v>P4005046</v>
          </cell>
          <cell r="B620" t="str">
            <v>Material</v>
          </cell>
          <cell r="C620" t="str">
            <v>Puerta Polimetal Lisa, 1H Batiente, 0.90 x 2.80 m</v>
          </cell>
          <cell r="D620">
            <v>1</v>
          </cell>
          <cell r="E620" t="str">
            <v>u</v>
          </cell>
          <cell r="F620">
            <v>8637.3740112994292</v>
          </cell>
          <cell r="G620">
            <v>8637.3740112994292</v>
          </cell>
          <cell r="H620">
            <v>1554.7273220338973</v>
          </cell>
          <cell r="I620">
            <v>10192.101333333327</v>
          </cell>
        </row>
        <row r="621">
          <cell r="A621" t="str">
            <v>P2201029</v>
          </cell>
          <cell r="B621" t="str">
            <v>Material</v>
          </cell>
          <cell r="C621" t="str">
            <v>Cerradura Schlage o similar c/ Regular</v>
          </cell>
          <cell r="D621">
            <v>1</v>
          </cell>
          <cell r="E621" t="str">
            <v>u</v>
          </cell>
          <cell r="F621">
            <v>450</v>
          </cell>
          <cell r="G621">
            <v>450</v>
          </cell>
          <cell r="H621">
            <v>81</v>
          </cell>
          <cell r="I621">
            <v>531</v>
          </cell>
        </row>
        <row r="622">
          <cell r="A622" t="str">
            <v>H0920566</v>
          </cell>
          <cell r="B622" t="str">
            <v>Mano de obra</v>
          </cell>
          <cell r="C622" t="str">
            <v>M.O. Instalación Puerta Polimetal, 1H</v>
          </cell>
          <cell r="D622">
            <v>1</v>
          </cell>
          <cell r="E622" t="str">
            <v>u</v>
          </cell>
          <cell r="F622">
            <v>950</v>
          </cell>
          <cell r="G622">
            <v>950</v>
          </cell>
          <cell r="H622">
            <v>0</v>
          </cell>
          <cell r="I622">
            <v>950</v>
          </cell>
        </row>
        <row r="623">
          <cell r="A623" t="str">
            <v>H%FH</v>
          </cell>
          <cell r="B623" t="str">
            <v>Otros</v>
          </cell>
          <cell r="C623" t="str">
            <v>Factor Herramientas</v>
          </cell>
          <cell r="D623">
            <v>1</v>
          </cell>
          <cell r="E623" t="str">
            <v>%</v>
          </cell>
          <cell r="F623">
            <v>950</v>
          </cell>
          <cell r="G623">
            <v>9.5</v>
          </cell>
          <cell r="H623">
            <v>0</v>
          </cell>
          <cell r="I623">
            <v>9.5</v>
          </cell>
        </row>
        <row r="624">
          <cell r="A624">
            <v>0</v>
          </cell>
          <cell r="B624">
            <v>0</v>
          </cell>
          <cell r="C624" t="str">
            <v>Total 01.09.09</v>
          </cell>
          <cell r="D624">
            <v>1</v>
          </cell>
          <cell r="E624">
            <v>0</v>
          </cell>
          <cell r="F624">
            <v>0</v>
          </cell>
          <cell r="G624">
            <v>10046.874011299429</v>
          </cell>
          <cell r="H624">
            <v>1635.7273220338973</v>
          </cell>
          <cell r="I624">
            <v>11682.601333333327</v>
          </cell>
        </row>
        <row r="625">
          <cell r="A625">
            <v>0</v>
          </cell>
          <cell r="B625">
            <v>0</v>
          </cell>
          <cell r="C625">
            <v>0</v>
          </cell>
          <cell r="D625">
            <v>0</v>
          </cell>
          <cell r="E625">
            <v>0</v>
          </cell>
          <cell r="F625">
            <v>0</v>
          </cell>
          <cell r="G625">
            <v>0</v>
          </cell>
          <cell r="H625">
            <v>0</v>
          </cell>
          <cell r="I625">
            <v>0</v>
          </cell>
        </row>
        <row r="626">
          <cell r="A626" t="str">
            <v>01.09.10</v>
          </cell>
          <cell r="B626" t="str">
            <v>Partida</v>
          </cell>
          <cell r="C626" t="str">
            <v>Puerta batiente de polimetal lisa; 1.00x2.80m, P4</v>
          </cell>
          <cell r="D626">
            <v>1</v>
          </cell>
          <cell r="E626" t="str">
            <v>u</v>
          </cell>
          <cell r="F626">
            <v>0</v>
          </cell>
          <cell r="G626">
            <v>10296.505649717514</v>
          </cell>
          <cell r="H626">
            <v>1680.6610169491523</v>
          </cell>
          <cell r="I626">
            <v>11977.166666666666</v>
          </cell>
        </row>
        <row r="627">
          <cell r="A627" t="str">
            <v>P4005047</v>
          </cell>
          <cell r="B627" t="str">
            <v>Material</v>
          </cell>
          <cell r="C627" t="str">
            <v>Puerta Polimetal Lisa, 1H Batiente, 1.00 x 2.80 m</v>
          </cell>
          <cell r="D627">
            <v>1</v>
          </cell>
          <cell r="E627" t="str">
            <v>u</v>
          </cell>
          <cell r="F627">
            <v>8887.0056497175137</v>
          </cell>
          <cell r="G627">
            <v>8887.0056497175137</v>
          </cell>
          <cell r="H627">
            <v>1599.6610169491523</v>
          </cell>
          <cell r="I627">
            <v>10486.666666666666</v>
          </cell>
        </row>
        <row r="628">
          <cell r="A628" t="str">
            <v>P2201029</v>
          </cell>
          <cell r="B628" t="str">
            <v>Material</v>
          </cell>
          <cell r="C628" t="str">
            <v>Cerradura Schlage o similar c/ Regular</v>
          </cell>
          <cell r="D628">
            <v>1</v>
          </cell>
          <cell r="E628" t="str">
            <v>u</v>
          </cell>
          <cell r="F628">
            <v>450</v>
          </cell>
          <cell r="G628">
            <v>450</v>
          </cell>
          <cell r="H628">
            <v>81</v>
          </cell>
          <cell r="I628">
            <v>531</v>
          </cell>
        </row>
        <row r="629">
          <cell r="A629" t="str">
            <v>H0920566</v>
          </cell>
          <cell r="B629" t="str">
            <v>Mano de obra</v>
          </cell>
          <cell r="C629" t="str">
            <v>M.O. Instalación Puerta Polimetal, 1H</v>
          </cell>
          <cell r="D629">
            <v>1</v>
          </cell>
          <cell r="E629" t="str">
            <v>u</v>
          </cell>
          <cell r="F629">
            <v>950</v>
          </cell>
          <cell r="G629">
            <v>950</v>
          </cell>
          <cell r="H629">
            <v>0</v>
          </cell>
          <cell r="I629">
            <v>950</v>
          </cell>
        </row>
        <row r="630">
          <cell r="A630" t="str">
            <v>H%FH</v>
          </cell>
          <cell r="B630" t="str">
            <v>Otros</v>
          </cell>
          <cell r="C630" t="str">
            <v>Factor Herramientas</v>
          </cell>
          <cell r="D630">
            <v>1</v>
          </cell>
          <cell r="E630" t="str">
            <v>%</v>
          </cell>
          <cell r="F630">
            <v>950</v>
          </cell>
          <cell r="G630">
            <v>9.5</v>
          </cell>
          <cell r="H630">
            <v>0</v>
          </cell>
          <cell r="I630">
            <v>9.5</v>
          </cell>
        </row>
        <row r="631">
          <cell r="A631">
            <v>0</v>
          </cell>
          <cell r="B631">
            <v>0</v>
          </cell>
          <cell r="C631" t="str">
            <v>Total 01.09.10</v>
          </cell>
          <cell r="D631">
            <v>1</v>
          </cell>
          <cell r="E631">
            <v>0</v>
          </cell>
          <cell r="F631">
            <v>0</v>
          </cell>
          <cell r="G631">
            <v>10296.505649717514</v>
          </cell>
          <cell r="H631">
            <v>1680.6610169491523</v>
          </cell>
          <cell r="I631">
            <v>11977.166666666666</v>
          </cell>
        </row>
        <row r="632">
          <cell r="A632">
            <v>0</v>
          </cell>
          <cell r="B632">
            <v>0</v>
          </cell>
          <cell r="C632">
            <v>0</v>
          </cell>
          <cell r="D632">
            <v>0</v>
          </cell>
          <cell r="E632">
            <v>0</v>
          </cell>
          <cell r="F632">
            <v>0</v>
          </cell>
          <cell r="G632">
            <v>0</v>
          </cell>
          <cell r="H632">
            <v>0</v>
          </cell>
          <cell r="I632">
            <v>0</v>
          </cell>
        </row>
        <row r="633">
          <cell r="A633" t="str">
            <v>01.09.11</v>
          </cell>
          <cell r="B633" t="str">
            <v>Partida</v>
          </cell>
          <cell r="C633" t="str">
            <v>Puerta batiente interior de hierro en caja de escalera 1.00m x 2.10m</v>
          </cell>
          <cell r="D633">
            <v>1</v>
          </cell>
          <cell r="E633" t="str">
            <v>u</v>
          </cell>
          <cell r="F633">
            <v>0</v>
          </cell>
          <cell r="G633">
            <v>30504.600000000002</v>
          </cell>
          <cell r="H633">
            <v>0</v>
          </cell>
          <cell r="I633">
            <v>30504.600000000002</v>
          </cell>
        </row>
        <row r="634">
          <cell r="A634" t="str">
            <v>SC040727</v>
          </cell>
          <cell r="B634" t="str">
            <v>Otros</v>
          </cell>
          <cell r="C634" t="str">
            <v>Sum./ Instalación Puerta batiente de hierro 1.00m x 2.10m</v>
          </cell>
          <cell r="D634">
            <v>1</v>
          </cell>
          <cell r="E634" t="str">
            <v>u</v>
          </cell>
          <cell r="F634">
            <v>30504.600000000002</v>
          </cell>
          <cell r="G634">
            <v>30504.600000000002</v>
          </cell>
          <cell r="H634">
            <v>0</v>
          </cell>
          <cell r="I634">
            <v>30504.600000000002</v>
          </cell>
        </row>
        <row r="635">
          <cell r="A635">
            <v>0</v>
          </cell>
          <cell r="B635">
            <v>0</v>
          </cell>
          <cell r="C635" t="str">
            <v>Total 01.09.11</v>
          </cell>
          <cell r="D635">
            <v>1</v>
          </cell>
          <cell r="E635">
            <v>0</v>
          </cell>
          <cell r="F635">
            <v>0</v>
          </cell>
          <cell r="G635">
            <v>30504.600000000002</v>
          </cell>
          <cell r="H635">
            <v>0</v>
          </cell>
          <cell r="I635">
            <v>30504.600000000002</v>
          </cell>
        </row>
        <row r="636">
          <cell r="A636">
            <v>0</v>
          </cell>
          <cell r="B636">
            <v>0</v>
          </cell>
          <cell r="C636">
            <v>0</v>
          </cell>
          <cell r="D636">
            <v>0</v>
          </cell>
          <cell r="E636">
            <v>0</v>
          </cell>
          <cell r="F636">
            <v>0</v>
          </cell>
          <cell r="G636">
            <v>0</v>
          </cell>
          <cell r="H636">
            <v>0</v>
          </cell>
          <cell r="I636">
            <v>0</v>
          </cell>
        </row>
        <row r="637">
          <cell r="A637" t="str">
            <v>01.09.12</v>
          </cell>
          <cell r="B637" t="str">
            <v>Partida</v>
          </cell>
          <cell r="C637" t="str">
            <v>Puerta con Sistema Plegadizo para entrada de Autobuses (Ver especificaciones Técnicas)</v>
          </cell>
          <cell r="D637">
            <v>1</v>
          </cell>
          <cell r="E637" t="str">
            <v>u</v>
          </cell>
          <cell r="F637">
            <v>0</v>
          </cell>
          <cell r="G637">
            <v>613000</v>
          </cell>
          <cell r="H637">
            <v>0</v>
          </cell>
          <cell r="I637">
            <v>613000</v>
          </cell>
        </row>
        <row r="638">
          <cell r="A638" t="str">
            <v>SC040728</v>
          </cell>
          <cell r="B638" t="str">
            <v>Otros</v>
          </cell>
          <cell r="C638" t="str">
            <v>Sum./ Instalación Puerta con Sistema Plegadizo para entrada de Autobuses</v>
          </cell>
          <cell r="D638">
            <v>1</v>
          </cell>
          <cell r="E638" t="str">
            <v>u</v>
          </cell>
          <cell r="F638">
            <v>613000</v>
          </cell>
          <cell r="G638">
            <v>613000</v>
          </cell>
          <cell r="H638">
            <v>0</v>
          </cell>
          <cell r="I638">
            <v>613000</v>
          </cell>
        </row>
        <row r="639">
          <cell r="A639">
            <v>0</v>
          </cell>
          <cell r="B639">
            <v>0</v>
          </cell>
          <cell r="C639" t="str">
            <v>Total 01.09.12</v>
          </cell>
          <cell r="D639">
            <v>1</v>
          </cell>
          <cell r="E639">
            <v>0</v>
          </cell>
          <cell r="F639">
            <v>0</v>
          </cell>
          <cell r="G639">
            <v>613000</v>
          </cell>
          <cell r="H639">
            <v>0</v>
          </cell>
          <cell r="I639">
            <v>613000</v>
          </cell>
        </row>
        <row r="640">
          <cell r="A640">
            <v>0</v>
          </cell>
          <cell r="B640">
            <v>0</v>
          </cell>
          <cell r="C640">
            <v>0</v>
          </cell>
          <cell r="D640">
            <v>0</v>
          </cell>
          <cell r="E640">
            <v>0</v>
          </cell>
          <cell r="F640">
            <v>0</v>
          </cell>
          <cell r="G640">
            <v>0</v>
          </cell>
          <cell r="H640">
            <v>0</v>
          </cell>
          <cell r="I640">
            <v>0</v>
          </cell>
        </row>
        <row r="641">
          <cell r="A641" t="str">
            <v>01.09.13</v>
          </cell>
          <cell r="B641" t="str">
            <v>Partida</v>
          </cell>
          <cell r="C641" t="str">
            <v>Puerta de Barrotes de Hierro de 3/4" 2.00m x 2.40m; 2 paneles corredizos de L=1.00m y L=1.00m, P3</v>
          </cell>
          <cell r="D641">
            <v>1</v>
          </cell>
          <cell r="E641" t="str">
            <v>m²</v>
          </cell>
          <cell r="F641">
            <v>0</v>
          </cell>
          <cell r="G641">
            <v>9006.119999999999</v>
          </cell>
          <cell r="H641">
            <v>0</v>
          </cell>
          <cell r="I641">
            <v>9006.119999999999</v>
          </cell>
        </row>
        <row r="642">
          <cell r="A642" t="str">
            <v>SC040729</v>
          </cell>
          <cell r="B642" t="str">
            <v>Otros</v>
          </cell>
          <cell r="C642" t="str">
            <v>Sum./ Instalación de Puerta de Barrotes de Hierro de 3/4", c/Sistema de Riel</v>
          </cell>
          <cell r="D642">
            <v>1</v>
          </cell>
          <cell r="E642" t="str">
            <v>m²</v>
          </cell>
          <cell r="F642">
            <v>9006.119999999999</v>
          </cell>
          <cell r="G642">
            <v>9006.119999999999</v>
          </cell>
          <cell r="H642">
            <v>0</v>
          </cell>
          <cell r="I642">
            <v>9006.119999999999</v>
          </cell>
        </row>
        <row r="643">
          <cell r="A643">
            <v>0</v>
          </cell>
          <cell r="B643">
            <v>0</v>
          </cell>
          <cell r="C643" t="str">
            <v>Total 01.09.13</v>
          </cell>
          <cell r="D643">
            <v>1</v>
          </cell>
          <cell r="E643">
            <v>0</v>
          </cell>
          <cell r="F643">
            <v>0</v>
          </cell>
          <cell r="G643">
            <v>9006.119999999999</v>
          </cell>
          <cell r="H643">
            <v>0</v>
          </cell>
          <cell r="I643">
            <v>9006.119999999999</v>
          </cell>
        </row>
        <row r="644">
          <cell r="A644">
            <v>0</v>
          </cell>
          <cell r="B644">
            <v>0</v>
          </cell>
          <cell r="C644">
            <v>0</v>
          </cell>
          <cell r="D644">
            <v>0</v>
          </cell>
          <cell r="E644">
            <v>0</v>
          </cell>
          <cell r="F644">
            <v>0</v>
          </cell>
          <cell r="G644">
            <v>0</v>
          </cell>
          <cell r="H644">
            <v>0</v>
          </cell>
          <cell r="I644">
            <v>0</v>
          </cell>
        </row>
        <row r="645">
          <cell r="A645" t="str">
            <v>01.09.14</v>
          </cell>
          <cell r="B645" t="str">
            <v>Partida</v>
          </cell>
          <cell r="C645" t="str">
            <v>Puerta de cisterna de 1.00*1.00 mts</v>
          </cell>
          <cell r="D645">
            <v>1</v>
          </cell>
          <cell r="E645" t="str">
            <v>u</v>
          </cell>
          <cell r="F645">
            <v>0</v>
          </cell>
          <cell r="G645">
            <v>16515</v>
          </cell>
          <cell r="H645">
            <v>2700</v>
          </cell>
          <cell r="I645">
            <v>19215</v>
          </cell>
        </row>
        <row r="646">
          <cell r="A646" t="str">
            <v>P0918082</v>
          </cell>
          <cell r="B646" t="str">
            <v>Material</v>
          </cell>
          <cell r="C646" t="str">
            <v>Tapa Reforzada p/ Cisterna 1.00x1.00 m</v>
          </cell>
          <cell r="D646">
            <v>1</v>
          </cell>
          <cell r="E646" t="str">
            <v>u</v>
          </cell>
          <cell r="F646">
            <v>15000</v>
          </cell>
          <cell r="G646">
            <v>15000</v>
          </cell>
          <cell r="H646">
            <v>2700</v>
          </cell>
          <cell r="I646">
            <v>17700</v>
          </cell>
        </row>
        <row r="647">
          <cell r="A647" t="str">
            <v>H0918081</v>
          </cell>
          <cell r="B647" t="str">
            <v>Mano de obra</v>
          </cell>
          <cell r="C647" t="str">
            <v>M.O. Instalación Tapa Metálica p/ Cisterna</v>
          </cell>
          <cell r="D647">
            <v>1</v>
          </cell>
          <cell r="E647" t="str">
            <v>u</v>
          </cell>
          <cell r="F647">
            <v>1500</v>
          </cell>
          <cell r="G647">
            <v>1500</v>
          </cell>
          <cell r="H647">
            <v>0</v>
          </cell>
          <cell r="I647">
            <v>1500</v>
          </cell>
        </row>
        <row r="648">
          <cell r="A648" t="str">
            <v>H%FH</v>
          </cell>
          <cell r="B648" t="str">
            <v>Otros</v>
          </cell>
          <cell r="C648" t="str">
            <v>Factor Herramientas</v>
          </cell>
          <cell r="D648">
            <v>1</v>
          </cell>
          <cell r="E648" t="str">
            <v>%</v>
          </cell>
          <cell r="F648">
            <v>1500</v>
          </cell>
          <cell r="G648">
            <v>15</v>
          </cell>
          <cell r="H648">
            <v>0</v>
          </cell>
          <cell r="I648">
            <v>15</v>
          </cell>
        </row>
        <row r="649">
          <cell r="A649">
            <v>0</v>
          </cell>
          <cell r="B649">
            <v>0</v>
          </cell>
          <cell r="C649" t="str">
            <v>Total 01.09.14</v>
          </cell>
          <cell r="D649">
            <v>1</v>
          </cell>
          <cell r="E649">
            <v>0</v>
          </cell>
          <cell r="F649">
            <v>0</v>
          </cell>
          <cell r="G649">
            <v>16515</v>
          </cell>
          <cell r="H649">
            <v>2700</v>
          </cell>
          <cell r="I649">
            <v>19215</v>
          </cell>
        </row>
        <row r="650">
          <cell r="A650">
            <v>0</v>
          </cell>
          <cell r="B650">
            <v>0</v>
          </cell>
          <cell r="C650">
            <v>0</v>
          </cell>
          <cell r="D650">
            <v>0</v>
          </cell>
          <cell r="E650">
            <v>0</v>
          </cell>
          <cell r="F650">
            <v>0</v>
          </cell>
          <cell r="G650">
            <v>0</v>
          </cell>
          <cell r="H650">
            <v>0</v>
          </cell>
          <cell r="I650">
            <v>0</v>
          </cell>
        </row>
        <row r="651">
          <cell r="A651" t="str">
            <v>01.09.15</v>
          </cell>
          <cell r="B651" t="str">
            <v>Partida</v>
          </cell>
          <cell r="C651" t="str">
            <v>Puerta de hierro de 3/4, 1 hoja corrediza; 1.20x2.50m, P14</v>
          </cell>
          <cell r="D651">
            <v>1</v>
          </cell>
          <cell r="E651" t="str">
            <v>u</v>
          </cell>
          <cell r="F651">
            <v>0</v>
          </cell>
          <cell r="G651">
            <v>27018.359999999997</v>
          </cell>
          <cell r="H651">
            <v>0</v>
          </cell>
          <cell r="I651">
            <v>27018.359999999997</v>
          </cell>
        </row>
        <row r="652">
          <cell r="A652" t="str">
            <v>SC040731</v>
          </cell>
          <cell r="B652" t="str">
            <v>Otros</v>
          </cell>
          <cell r="C652" t="str">
            <v>Sum./ Instalación de Puerta de hierro de 3/4, 1 hoja corrediza; 1.20x2.50m</v>
          </cell>
          <cell r="D652">
            <v>1</v>
          </cell>
          <cell r="E652" t="str">
            <v>u</v>
          </cell>
          <cell r="F652">
            <v>27018.359999999997</v>
          </cell>
          <cell r="G652">
            <v>27018.359999999997</v>
          </cell>
          <cell r="H652">
            <v>0</v>
          </cell>
          <cell r="I652">
            <v>27018.359999999997</v>
          </cell>
        </row>
        <row r="653">
          <cell r="A653">
            <v>0</v>
          </cell>
          <cell r="B653">
            <v>0</v>
          </cell>
          <cell r="C653" t="str">
            <v>Total 01.09.15</v>
          </cell>
          <cell r="D653">
            <v>1</v>
          </cell>
          <cell r="E653">
            <v>0</v>
          </cell>
          <cell r="F653">
            <v>0</v>
          </cell>
          <cell r="G653">
            <v>27018.359999999997</v>
          </cell>
          <cell r="H653">
            <v>0</v>
          </cell>
          <cell r="I653">
            <v>27018.359999999997</v>
          </cell>
        </row>
        <row r="654">
          <cell r="A654">
            <v>0</v>
          </cell>
          <cell r="B654">
            <v>0</v>
          </cell>
          <cell r="C654">
            <v>0</v>
          </cell>
          <cell r="D654">
            <v>0</v>
          </cell>
          <cell r="E654">
            <v>0</v>
          </cell>
          <cell r="F654">
            <v>0</v>
          </cell>
          <cell r="G654">
            <v>0</v>
          </cell>
          <cell r="H654">
            <v>0</v>
          </cell>
          <cell r="I654">
            <v>0</v>
          </cell>
        </row>
        <row r="655">
          <cell r="A655" t="str">
            <v>01.09.16</v>
          </cell>
          <cell r="B655" t="str">
            <v>Partida</v>
          </cell>
          <cell r="C655" t="str">
            <v>Puerta de hierro de 3/4, 1 hoja fija y 1 hoja corrediza; 1.70x2.80m, P12</v>
          </cell>
          <cell r="D655">
            <v>1</v>
          </cell>
          <cell r="E655" t="str">
            <v>u</v>
          </cell>
          <cell r="F655">
            <v>0</v>
          </cell>
          <cell r="G655">
            <v>42869.131199999996</v>
          </cell>
          <cell r="H655">
            <v>0</v>
          </cell>
          <cell r="I655">
            <v>42869.131199999996</v>
          </cell>
        </row>
        <row r="656">
          <cell r="A656" t="str">
            <v>SC040732</v>
          </cell>
          <cell r="B656" t="str">
            <v>Otros</v>
          </cell>
          <cell r="C656" t="str">
            <v>Sum./ Instalación de Puerta de hierro de 3/4, 1 hoja fija y 1 hoja corrediza; 1.70x2.80m</v>
          </cell>
          <cell r="D656">
            <v>1</v>
          </cell>
          <cell r="E656" t="str">
            <v>u</v>
          </cell>
          <cell r="F656">
            <v>42869.131199999996</v>
          </cell>
          <cell r="G656">
            <v>42869.131199999996</v>
          </cell>
          <cell r="H656">
            <v>0</v>
          </cell>
          <cell r="I656">
            <v>42869.131199999996</v>
          </cell>
        </row>
        <row r="657">
          <cell r="A657">
            <v>0</v>
          </cell>
          <cell r="B657">
            <v>0</v>
          </cell>
          <cell r="C657" t="str">
            <v>Total 01.09.16</v>
          </cell>
          <cell r="D657">
            <v>1</v>
          </cell>
          <cell r="E657">
            <v>0</v>
          </cell>
          <cell r="F657">
            <v>0</v>
          </cell>
          <cell r="G657">
            <v>42869.131199999996</v>
          </cell>
          <cell r="H657">
            <v>0</v>
          </cell>
          <cell r="I657">
            <v>42869.131199999996</v>
          </cell>
        </row>
        <row r="658">
          <cell r="A658">
            <v>0</v>
          </cell>
          <cell r="B658">
            <v>0</v>
          </cell>
          <cell r="C658">
            <v>0</v>
          </cell>
          <cell r="D658">
            <v>0</v>
          </cell>
          <cell r="E658">
            <v>0</v>
          </cell>
          <cell r="F658">
            <v>0</v>
          </cell>
          <cell r="G658">
            <v>0</v>
          </cell>
          <cell r="H658">
            <v>0</v>
          </cell>
          <cell r="I658">
            <v>0</v>
          </cell>
        </row>
        <row r="659">
          <cell r="A659" t="str">
            <v>01.09.17</v>
          </cell>
          <cell r="B659" t="str">
            <v>Partida</v>
          </cell>
          <cell r="C659" t="str">
            <v>Puerta de hierro de 3/4, 1 hoja fija y 1 hoja corrediza; 2.15x2.50m, P9</v>
          </cell>
          <cell r="D659">
            <v>1</v>
          </cell>
          <cell r="E659" t="str">
            <v>u</v>
          </cell>
          <cell r="F659">
            <v>0</v>
          </cell>
          <cell r="G659">
            <v>48407.89499999999</v>
          </cell>
          <cell r="H659">
            <v>0</v>
          </cell>
          <cell r="I659">
            <v>48407.89499999999</v>
          </cell>
        </row>
        <row r="660">
          <cell r="A660" t="str">
            <v>SC040733</v>
          </cell>
          <cell r="B660" t="str">
            <v>Otros</v>
          </cell>
          <cell r="C660" t="str">
            <v>Sum./ Instalación de Puerta de hierro de 3/4, 1 hoja fija y 1 hoja corrediza; 2.15x2.50m</v>
          </cell>
          <cell r="D660">
            <v>1</v>
          </cell>
          <cell r="E660" t="str">
            <v>u</v>
          </cell>
          <cell r="F660">
            <v>48407.89499999999</v>
          </cell>
          <cell r="G660">
            <v>48407.89499999999</v>
          </cell>
          <cell r="H660">
            <v>0</v>
          </cell>
          <cell r="I660">
            <v>48407.89499999999</v>
          </cell>
        </row>
        <row r="661">
          <cell r="A661">
            <v>0</v>
          </cell>
          <cell r="B661">
            <v>0</v>
          </cell>
          <cell r="C661" t="str">
            <v>Total 01.09.17</v>
          </cell>
          <cell r="D661">
            <v>1</v>
          </cell>
          <cell r="E661">
            <v>0</v>
          </cell>
          <cell r="F661">
            <v>0</v>
          </cell>
          <cell r="G661">
            <v>48407.89499999999</v>
          </cell>
          <cell r="H661">
            <v>0</v>
          </cell>
          <cell r="I661">
            <v>48407.89499999999</v>
          </cell>
        </row>
        <row r="662">
          <cell r="A662">
            <v>0</v>
          </cell>
          <cell r="B662">
            <v>0</v>
          </cell>
          <cell r="C662">
            <v>0</v>
          </cell>
          <cell r="D662">
            <v>0</v>
          </cell>
          <cell r="E662">
            <v>0</v>
          </cell>
          <cell r="F662">
            <v>0</v>
          </cell>
          <cell r="G662">
            <v>0</v>
          </cell>
          <cell r="H662">
            <v>0</v>
          </cell>
          <cell r="I662">
            <v>0</v>
          </cell>
        </row>
        <row r="663">
          <cell r="A663" t="str">
            <v>01.09.18</v>
          </cell>
          <cell r="B663" t="str">
            <v>Partida</v>
          </cell>
          <cell r="C663" t="str">
            <v>Puerta de hierro de 3/4, 1 hoja fija y 1 hoja corrediza; 2.20x2.80m, P13</v>
          </cell>
          <cell r="D663">
            <v>1</v>
          </cell>
          <cell r="E663" t="str">
            <v>u</v>
          </cell>
          <cell r="F663">
            <v>0</v>
          </cell>
          <cell r="G663">
            <v>55477.699199999995</v>
          </cell>
          <cell r="H663">
            <v>0</v>
          </cell>
          <cell r="I663">
            <v>55477.699199999995</v>
          </cell>
        </row>
        <row r="664">
          <cell r="A664" t="str">
            <v>SC040734</v>
          </cell>
          <cell r="B664" t="str">
            <v>Otros</v>
          </cell>
          <cell r="C664" t="str">
            <v>Sum./ Instalación de Puerta de hierro de 3/4, 1 hoja fija y 1 hoja corrediza; 2.20x2.80m</v>
          </cell>
          <cell r="D664">
            <v>1</v>
          </cell>
          <cell r="E664" t="str">
            <v>u</v>
          </cell>
          <cell r="F664">
            <v>55477.699199999995</v>
          </cell>
          <cell r="G664">
            <v>55477.699199999995</v>
          </cell>
          <cell r="H664">
            <v>0</v>
          </cell>
          <cell r="I664">
            <v>55477.699199999995</v>
          </cell>
        </row>
        <row r="665">
          <cell r="A665">
            <v>0</v>
          </cell>
          <cell r="B665">
            <v>0</v>
          </cell>
          <cell r="C665" t="str">
            <v>Total 01.09.18</v>
          </cell>
          <cell r="D665">
            <v>1</v>
          </cell>
          <cell r="E665">
            <v>0</v>
          </cell>
          <cell r="F665">
            <v>0</v>
          </cell>
          <cell r="G665">
            <v>55477.699199999995</v>
          </cell>
          <cell r="H665">
            <v>0</v>
          </cell>
          <cell r="I665">
            <v>55477.699199999995</v>
          </cell>
        </row>
        <row r="666">
          <cell r="A666">
            <v>0</v>
          </cell>
          <cell r="B666">
            <v>0</v>
          </cell>
          <cell r="C666">
            <v>0</v>
          </cell>
          <cell r="D666">
            <v>0</v>
          </cell>
          <cell r="E666">
            <v>0</v>
          </cell>
          <cell r="F666">
            <v>0</v>
          </cell>
          <cell r="G666">
            <v>0</v>
          </cell>
          <cell r="H666">
            <v>0</v>
          </cell>
          <cell r="I666">
            <v>0</v>
          </cell>
        </row>
        <row r="667">
          <cell r="A667" t="str">
            <v>01.09.19</v>
          </cell>
          <cell r="B667" t="str">
            <v>Partida</v>
          </cell>
          <cell r="C667" t="str">
            <v>Puerta de hierro de 3/4, 1 hoja fija y 2 corredizas con panel superior de 0.50m; 4.14x3.30m, P8</v>
          </cell>
          <cell r="D667">
            <v>1</v>
          </cell>
          <cell r="E667" t="str">
            <v>u</v>
          </cell>
          <cell r="F667">
            <v>0</v>
          </cell>
          <cell r="G667">
            <v>123041.61143999996</v>
          </cell>
          <cell r="H667">
            <v>0</v>
          </cell>
          <cell r="I667">
            <v>123041.61143999996</v>
          </cell>
        </row>
        <row r="668">
          <cell r="A668" t="str">
            <v>SC040735</v>
          </cell>
          <cell r="B668" t="str">
            <v>Otros</v>
          </cell>
          <cell r="C668" t="str">
            <v>Sum./ Instalación de Puerta de hierro de 3/4, 1 hoja fija y 2 corredizas con panel superior de 0.50m; 4.14x3.30m</v>
          </cell>
          <cell r="D668">
            <v>1</v>
          </cell>
          <cell r="E668" t="str">
            <v>u</v>
          </cell>
          <cell r="F668">
            <v>123041.61143999996</v>
          </cell>
          <cell r="G668">
            <v>123041.61143999996</v>
          </cell>
          <cell r="H668">
            <v>0</v>
          </cell>
          <cell r="I668">
            <v>123041.61143999996</v>
          </cell>
        </row>
        <row r="669">
          <cell r="A669">
            <v>0</v>
          </cell>
          <cell r="B669">
            <v>0</v>
          </cell>
          <cell r="C669" t="str">
            <v>Total 01.09.19</v>
          </cell>
          <cell r="D669">
            <v>1</v>
          </cell>
          <cell r="E669">
            <v>0</v>
          </cell>
          <cell r="F669">
            <v>0</v>
          </cell>
          <cell r="G669">
            <v>123041.61143999996</v>
          </cell>
          <cell r="H669">
            <v>0</v>
          </cell>
          <cell r="I669">
            <v>123041.61143999996</v>
          </cell>
        </row>
        <row r="670">
          <cell r="A670">
            <v>0</v>
          </cell>
          <cell r="B670">
            <v>0</v>
          </cell>
          <cell r="C670">
            <v>0</v>
          </cell>
          <cell r="D670">
            <v>0</v>
          </cell>
          <cell r="E670">
            <v>0</v>
          </cell>
          <cell r="F670">
            <v>0</v>
          </cell>
          <cell r="G670">
            <v>0</v>
          </cell>
          <cell r="H670">
            <v>0</v>
          </cell>
          <cell r="I670">
            <v>0</v>
          </cell>
        </row>
        <row r="671">
          <cell r="A671" t="str">
            <v>01.09.20</v>
          </cell>
          <cell r="B671" t="str">
            <v>Partida</v>
          </cell>
          <cell r="C671" t="str">
            <v>Puerta de Tola (1.00m x 2.10m) en ambas caras para celdas, P6</v>
          </cell>
          <cell r="D671">
            <v>1</v>
          </cell>
          <cell r="E671" t="str">
            <v>u</v>
          </cell>
          <cell r="F671">
            <v>0</v>
          </cell>
          <cell r="G671">
            <v>30504.600000000002</v>
          </cell>
          <cell r="H671">
            <v>0</v>
          </cell>
          <cell r="I671">
            <v>30504.600000000002</v>
          </cell>
        </row>
        <row r="672">
          <cell r="A672" t="str">
            <v>SC040736</v>
          </cell>
          <cell r="B672" t="str">
            <v>Otros</v>
          </cell>
          <cell r="C672" t="str">
            <v>Sum./ Instalación de Puerta de Tola (1.00m x 2.10m) en ambas caras</v>
          </cell>
          <cell r="D672">
            <v>1</v>
          </cell>
          <cell r="E672" t="str">
            <v>u</v>
          </cell>
          <cell r="F672">
            <v>30504.600000000002</v>
          </cell>
          <cell r="G672">
            <v>30504.600000000002</v>
          </cell>
          <cell r="H672">
            <v>0</v>
          </cell>
          <cell r="I672">
            <v>30504.600000000002</v>
          </cell>
        </row>
        <row r="673">
          <cell r="A673">
            <v>0</v>
          </cell>
          <cell r="B673">
            <v>0</v>
          </cell>
          <cell r="C673" t="str">
            <v>Total 01.09.20</v>
          </cell>
          <cell r="D673">
            <v>1</v>
          </cell>
          <cell r="E673">
            <v>0</v>
          </cell>
          <cell r="F673">
            <v>0</v>
          </cell>
          <cell r="G673">
            <v>30504.600000000002</v>
          </cell>
          <cell r="H673">
            <v>0</v>
          </cell>
          <cell r="I673">
            <v>30504.600000000002</v>
          </cell>
        </row>
        <row r="674">
          <cell r="A674">
            <v>0</v>
          </cell>
          <cell r="B674">
            <v>0</v>
          </cell>
          <cell r="C674">
            <v>0</v>
          </cell>
          <cell r="D674">
            <v>0</v>
          </cell>
          <cell r="E674">
            <v>0</v>
          </cell>
          <cell r="F674">
            <v>0</v>
          </cell>
          <cell r="G674">
            <v>0</v>
          </cell>
          <cell r="H674">
            <v>0</v>
          </cell>
          <cell r="I674">
            <v>0</v>
          </cell>
        </row>
        <row r="675">
          <cell r="A675" t="str">
            <v>01.09.21</v>
          </cell>
          <cell r="B675" t="str">
            <v>Partida</v>
          </cell>
          <cell r="C675" t="str">
            <v>Puerta Doble  2.00mt.x2.10mt., polimetal con Cerradura de Acero</v>
          </cell>
          <cell r="D675">
            <v>1</v>
          </cell>
          <cell r="E675" t="str">
            <v>m²</v>
          </cell>
          <cell r="F675">
            <v>0</v>
          </cell>
          <cell r="G675">
            <v>15295.508474576262</v>
          </cell>
          <cell r="H675">
            <v>2480.4915254237271</v>
          </cell>
          <cell r="I675">
            <v>17775.999999999989</v>
          </cell>
        </row>
        <row r="676">
          <cell r="A676" t="str">
            <v>P4005048</v>
          </cell>
          <cell r="B676" t="str">
            <v>Material</v>
          </cell>
          <cell r="C676" t="str">
            <v>Puerta Polimetal Lisa, 2H Batiente, 2.00 x 2.10 m</v>
          </cell>
          <cell r="D676">
            <v>1</v>
          </cell>
          <cell r="E676" t="str">
            <v>u</v>
          </cell>
          <cell r="F676">
            <v>13330.508474576262</v>
          </cell>
          <cell r="G676">
            <v>13330.508474576262</v>
          </cell>
          <cell r="H676">
            <v>2399.4915254237271</v>
          </cell>
          <cell r="I676">
            <v>15729.999999999989</v>
          </cell>
        </row>
        <row r="677">
          <cell r="A677" t="str">
            <v>P2201029</v>
          </cell>
          <cell r="B677" t="str">
            <v>Material</v>
          </cell>
          <cell r="C677" t="str">
            <v>Cerradura Schlage o similar c/ Regular</v>
          </cell>
          <cell r="D677">
            <v>1</v>
          </cell>
          <cell r="E677" t="str">
            <v>u</v>
          </cell>
          <cell r="F677">
            <v>450</v>
          </cell>
          <cell r="G677">
            <v>450</v>
          </cell>
          <cell r="H677">
            <v>81</v>
          </cell>
          <cell r="I677">
            <v>531</v>
          </cell>
        </row>
        <row r="678">
          <cell r="A678" t="str">
            <v>H0920567</v>
          </cell>
          <cell r="B678" t="str">
            <v>Mano de obra</v>
          </cell>
          <cell r="C678" t="str">
            <v>M.O. Instalación Puerta Polimetal, 2H</v>
          </cell>
          <cell r="D678">
            <v>1</v>
          </cell>
          <cell r="E678" t="str">
            <v>u</v>
          </cell>
          <cell r="F678">
            <v>1500</v>
          </cell>
          <cell r="G678">
            <v>1500</v>
          </cell>
          <cell r="H678">
            <v>0</v>
          </cell>
          <cell r="I678">
            <v>1500</v>
          </cell>
        </row>
        <row r="679">
          <cell r="A679" t="str">
            <v>H%FH</v>
          </cell>
          <cell r="B679" t="str">
            <v>Otros</v>
          </cell>
          <cell r="C679" t="str">
            <v>Factor Herramientas</v>
          </cell>
          <cell r="D679">
            <v>1</v>
          </cell>
          <cell r="E679" t="str">
            <v>%</v>
          </cell>
          <cell r="F679">
            <v>1500</v>
          </cell>
          <cell r="G679">
            <v>15</v>
          </cell>
          <cell r="H679">
            <v>0</v>
          </cell>
          <cell r="I679">
            <v>15</v>
          </cell>
        </row>
        <row r="680">
          <cell r="A680">
            <v>0</v>
          </cell>
          <cell r="B680">
            <v>0</v>
          </cell>
          <cell r="C680" t="str">
            <v>Total 01.09.21</v>
          </cell>
          <cell r="D680">
            <v>1</v>
          </cell>
          <cell r="E680">
            <v>0</v>
          </cell>
          <cell r="F680">
            <v>0</v>
          </cell>
          <cell r="G680">
            <v>15295.508474576262</v>
          </cell>
          <cell r="H680">
            <v>2480.4915254237271</v>
          </cell>
          <cell r="I680">
            <v>17775.999999999989</v>
          </cell>
        </row>
        <row r="681">
          <cell r="A681">
            <v>0</v>
          </cell>
          <cell r="B681">
            <v>0</v>
          </cell>
          <cell r="C681">
            <v>0</v>
          </cell>
          <cell r="D681">
            <v>0</v>
          </cell>
          <cell r="E681">
            <v>0</v>
          </cell>
          <cell r="F681">
            <v>0</v>
          </cell>
          <cell r="G681">
            <v>0</v>
          </cell>
          <cell r="H681">
            <v>0</v>
          </cell>
          <cell r="I681">
            <v>0</v>
          </cell>
        </row>
        <row r="682">
          <cell r="A682" t="str">
            <v>01.09.22</v>
          </cell>
          <cell r="B682" t="str">
            <v>Partida</v>
          </cell>
          <cell r="C682" t="str">
            <v>Puerta doble en hierro, salidas principales</v>
          </cell>
          <cell r="D682">
            <v>1</v>
          </cell>
          <cell r="E682" t="str">
            <v>m²</v>
          </cell>
          <cell r="F682">
            <v>0</v>
          </cell>
          <cell r="G682">
            <v>14526</v>
          </cell>
          <cell r="H682">
            <v>0</v>
          </cell>
          <cell r="I682">
            <v>14526</v>
          </cell>
        </row>
        <row r="683">
          <cell r="A683" t="str">
            <v>SC040742</v>
          </cell>
          <cell r="B683" t="str">
            <v>Otros</v>
          </cell>
          <cell r="C683" t="str">
            <v>Sum./ Instalación de Puerta doble en hierro, salidas principales</v>
          </cell>
          <cell r="D683">
            <v>1</v>
          </cell>
          <cell r="E683" t="str">
            <v>m²</v>
          </cell>
          <cell r="F683">
            <v>14526</v>
          </cell>
          <cell r="G683">
            <v>14526</v>
          </cell>
          <cell r="H683">
            <v>0</v>
          </cell>
          <cell r="I683">
            <v>14526</v>
          </cell>
        </row>
        <row r="684">
          <cell r="A684">
            <v>0</v>
          </cell>
          <cell r="B684">
            <v>0</v>
          </cell>
          <cell r="C684" t="str">
            <v>Total 01.09.22</v>
          </cell>
          <cell r="D684">
            <v>1</v>
          </cell>
          <cell r="E684">
            <v>0</v>
          </cell>
          <cell r="F684">
            <v>0</v>
          </cell>
          <cell r="G684">
            <v>14526</v>
          </cell>
          <cell r="H684">
            <v>0</v>
          </cell>
          <cell r="I684">
            <v>14526</v>
          </cell>
        </row>
        <row r="685">
          <cell r="A685">
            <v>0</v>
          </cell>
          <cell r="B685">
            <v>0</v>
          </cell>
          <cell r="C685">
            <v>0</v>
          </cell>
          <cell r="D685">
            <v>0</v>
          </cell>
          <cell r="E685">
            <v>0</v>
          </cell>
          <cell r="F685">
            <v>0</v>
          </cell>
          <cell r="G685">
            <v>0</v>
          </cell>
          <cell r="H685">
            <v>0</v>
          </cell>
          <cell r="I685">
            <v>0</v>
          </cell>
        </row>
        <row r="686">
          <cell r="A686" t="str">
            <v>01.09.23</v>
          </cell>
          <cell r="B686" t="str">
            <v>Partida</v>
          </cell>
          <cell r="C686" t="str">
            <v>Puerta doble en malla ciclónica de 2.0 x 2.44 mts</v>
          </cell>
          <cell r="D686">
            <v>1</v>
          </cell>
          <cell r="E686" t="str">
            <v>u</v>
          </cell>
          <cell r="F686">
            <v>0</v>
          </cell>
          <cell r="G686">
            <v>3810</v>
          </cell>
          <cell r="H686">
            <v>0</v>
          </cell>
          <cell r="I686">
            <v>3810</v>
          </cell>
        </row>
        <row r="687">
          <cell r="A687" t="str">
            <v>SC040743</v>
          </cell>
          <cell r="B687" t="str">
            <v>Otros</v>
          </cell>
          <cell r="C687" t="str">
            <v>Sum./ Instalación de Puerta doble en malla ciclónica de 2.0 x 2.44 mts</v>
          </cell>
          <cell r="D687">
            <v>1</v>
          </cell>
          <cell r="E687" t="str">
            <v>u</v>
          </cell>
          <cell r="F687">
            <v>3810</v>
          </cell>
          <cell r="G687">
            <v>3810</v>
          </cell>
          <cell r="H687">
            <v>0</v>
          </cell>
          <cell r="I687">
            <v>3810</v>
          </cell>
        </row>
        <row r="688">
          <cell r="A688">
            <v>0</v>
          </cell>
          <cell r="B688">
            <v>0</v>
          </cell>
          <cell r="C688" t="str">
            <v>Total 01.09.23</v>
          </cell>
          <cell r="D688">
            <v>1</v>
          </cell>
          <cell r="E688">
            <v>0</v>
          </cell>
          <cell r="F688">
            <v>0</v>
          </cell>
          <cell r="G688">
            <v>3810</v>
          </cell>
          <cell r="H688">
            <v>0</v>
          </cell>
          <cell r="I688">
            <v>3810</v>
          </cell>
        </row>
        <row r="689">
          <cell r="A689">
            <v>0</v>
          </cell>
          <cell r="B689">
            <v>0</v>
          </cell>
          <cell r="C689">
            <v>0</v>
          </cell>
          <cell r="D689">
            <v>0</v>
          </cell>
          <cell r="E689">
            <v>0</v>
          </cell>
          <cell r="F689">
            <v>0</v>
          </cell>
          <cell r="G689">
            <v>0</v>
          </cell>
          <cell r="H689">
            <v>0</v>
          </cell>
          <cell r="I689">
            <v>0</v>
          </cell>
        </row>
        <row r="690">
          <cell r="A690" t="str">
            <v>01.09.24</v>
          </cell>
          <cell r="B690" t="str">
            <v>Partida</v>
          </cell>
          <cell r="C690" t="str">
            <v>Puerta en caseta baterías 1.00m x 2.10m</v>
          </cell>
          <cell r="D690">
            <v>1</v>
          </cell>
          <cell r="E690" t="str">
            <v>u</v>
          </cell>
          <cell r="F690">
            <v>0</v>
          </cell>
          <cell r="G690">
            <v>7468.8220338983056</v>
          </cell>
          <cell r="H690">
            <v>1171.6779661016949</v>
          </cell>
          <cell r="I690">
            <v>8640.5</v>
          </cell>
        </row>
        <row r="691">
          <cell r="A691" t="str">
            <v>P4005033</v>
          </cell>
          <cell r="B691" t="str">
            <v>Material</v>
          </cell>
          <cell r="C691" t="str">
            <v>Puerta Polimetal Lisa, 1H Batiente, 1.00 x 2.10 m</v>
          </cell>
          <cell r="D691">
            <v>1</v>
          </cell>
          <cell r="E691" t="str">
            <v>u</v>
          </cell>
          <cell r="F691">
            <v>6059.3220338983056</v>
          </cell>
          <cell r="G691">
            <v>6059.3220338983056</v>
          </cell>
          <cell r="H691">
            <v>1090.6779661016949</v>
          </cell>
          <cell r="I691">
            <v>7150</v>
          </cell>
        </row>
        <row r="692">
          <cell r="A692" t="str">
            <v>P2201029</v>
          </cell>
          <cell r="B692" t="str">
            <v>Material</v>
          </cell>
          <cell r="C692" t="str">
            <v>Cerradura Schlage o similar c/ Regular</v>
          </cell>
          <cell r="D692">
            <v>1</v>
          </cell>
          <cell r="E692" t="str">
            <v>u</v>
          </cell>
          <cell r="F692">
            <v>450</v>
          </cell>
          <cell r="G692">
            <v>450</v>
          </cell>
          <cell r="H692">
            <v>81</v>
          </cell>
          <cell r="I692">
            <v>531</v>
          </cell>
        </row>
        <row r="693">
          <cell r="A693" t="str">
            <v>H0920566</v>
          </cell>
          <cell r="B693" t="str">
            <v>Mano de obra</v>
          </cell>
          <cell r="C693" t="str">
            <v>M.O. Instalación Puerta Polimetal, 1H</v>
          </cell>
          <cell r="D693">
            <v>1</v>
          </cell>
          <cell r="E693" t="str">
            <v>u</v>
          </cell>
          <cell r="F693">
            <v>950</v>
          </cell>
          <cell r="G693">
            <v>950</v>
          </cell>
          <cell r="H693">
            <v>0</v>
          </cell>
          <cell r="I693">
            <v>950</v>
          </cell>
        </row>
        <row r="694">
          <cell r="A694" t="str">
            <v>H%FH</v>
          </cell>
          <cell r="B694" t="str">
            <v>Otros</v>
          </cell>
          <cell r="C694" t="str">
            <v>Factor Herramientas</v>
          </cell>
          <cell r="D694">
            <v>1</v>
          </cell>
          <cell r="E694" t="str">
            <v>%</v>
          </cell>
          <cell r="F694">
            <v>950</v>
          </cell>
          <cell r="G694">
            <v>9.5</v>
          </cell>
          <cell r="H694">
            <v>0</v>
          </cell>
          <cell r="I694">
            <v>9.5</v>
          </cell>
        </row>
        <row r="695">
          <cell r="A695">
            <v>0</v>
          </cell>
          <cell r="B695">
            <v>0</v>
          </cell>
          <cell r="C695" t="str">
            <v>Total 01.09.24</v>
          </cell>
          <cell r="D695">
            <v>1</v>
          </cell>
          <cell r="E695">
            <v>0</v>
          </cell>
          <cell r="F695">
            <v>0</v>
          </cell>
          <cell r="G695">
            <v>7468.8220338983056</v>
          </cell>
          <cell r="H695">
            <v>1171.6779661016949</v>
          </cell>
          <cell r="I695">
            <v>8640.5</v>
          </cell>
        </row>
        <row r="696">
          <cell r="A696">
            <v>0</v>
          </cell>
          <cell r="B696">
            <v>0</v>
          </cell>
          <cell r="C696">
            <v>0</v>
          </cell>
          <cell r="D696">
            <v>0</v>
          </cell>
          <cell r="E696">
            <v>0</v>
          </cell>
          <cell r="F696">
            <v>0</v>
          </cell>
          <cell r="G696">
            <v>0</v>
          </cell>
          <cell r="H696">
            <v>0</v>
          </cell>
          <cell r="I696">
            <v>0</v>
          </cell>
        </row>
        <row r="697">
          <cell r="A697" t="str">
            <v>01.09.25</v>
          </cell>
          <cell r="B697" t="str">
            <v>Partida</v>
          </cell>
          <cell r="C697" t="str">
            <v>Puerta enrrollable de Hierro; 1.80x2.80m, P3</v>
          </cell>
          <cell r="D697">
            <v>1</v>
          </cell>
          <cell r="E697" t="str">
            <v>u</v>
          </cell>
          <cell r="F697">
            <v>0</v>
          </cell>
          <cell r="G697">
            <v>23100.000000000004</v>
          </cell>
          <cell r="H697">
            <v>0</v>
          </cell>
          <cell r="I697">
            <v>23100.000000000004</v>
          </cell>
        </row>
        <row r="698">
          <cell r="A698" t="str">
            <v>SC040744</v>
          </cell>
          <cell r="B698" t="str">
            <v>Otros</v>
          </cell>
          <cell r="C698" t="str">
            <v>Sum./ Instalación de Puerta enrrollable de Hierro; 1.80x2.80m</v>
          </cell>
          <cell r="D698">
            <v>1</v>
          </cell>
          <cell r="E698" t="str">
            <v>u</v>
          </cell>
          <cell r="F698">
            <v>23100.000000000004</v>
          </cell>
          <cell r="G698">
            <v>23100.000000000004</v>
          </cell>
          <cell r="H698">
            <v>0</v>
          </cell>
          <cell r="I698">
            <v>23100.000000000004</v>
          </cell>
        </row>
        <row r="699">
          <cell r="A699">
            <v>0</v>
          </cell>
          <cell r="B699">
            <v>0</v>
          </cell>
          <cell r="C699" t="str">
            <v>Total 01.09.25</v>
          </cell>
          <cell r="D699">
            <v>1</v>
          </cell>
          <cell r="E699">
            <v>0</v>
          </cell>
          <cell r="F699">
            <v>0</v>
          </cell>
          <cell r="G699">
            <v>23100.000000000004</v>
          </cell>
          <cell r="H699">
            <v>0</v>
          </cell>
          <cell r="I699">
            <v>23100.000000000004</v>
          </cell>
        </row>
        <row r="700">
          <cell r="A700">
            <v>0</v>
          </cell>
          <cell r="B700">
            <v>0</v>
          </cell>
          <cell r="C700">
            <v>0</v>
          </cell>
          <cell r="D700">
            <v>0</v>
          </cell>
          <cell r="E700">
            <v>0</v>
          </cell>
          <cell r="F700">
            <v>0</v>
          </cell>
          <cell r="G700">
            <v>0</v>
          </cell>
          <cell r="H700">
            <v>0</v>
          </cell>
          <cell r="I700">
            <v>0</v>
          </cell>
        </row>
        <row r="701">
          <cell r="A701" t="str">
            <v>01.09.26</v>
          </cell>
          <cell r="B701" t="str">
            <v>Partida</v>
          </cell>
          <cell r="C701" t="str">
            <v>Puerta exterior en caja de escalera 1.00m x 2.10m</v>
          </cell>
          <cell r="D701">
            <v>1</v>
          </cell>
          <cell r="E701" t="str">
            <v>u</v>
          </cell>
          <cell r="F701">
            <v>0</v>
          </cell>
          <cell r="G701">
            <v>7468.8220338983056</v>
          </cell>
          <cell r="H701">
            <v>1171.6779661016949</v>
          </cell>
          <cell r="I701">
            <v>8640.5</v>
          </cell>
        </row>
        <row r="702">
          <cell r="A702" t="str">
            <v>P4005033</v>
          </cell>
          <cell r="B702" t="str">
            <v>Material</v>
          </cell>
          <cell r="C702" t="str">
            <v>Puerta Polimetal Lisa, 1H Batiente, 1.00 x 2.10 m</v>
          </cell>
          <cell r="D702">
            <v>1</v>
          </cell>
          <cell r="E702" t="str">
            <v>u</v>
          </cell>
          <cell r="F702">
            <v>6059.3220338983056</v>
          </cell>
          <cell r="G702">
            <v>6059.3220338983056</v>
          </cell>
          <cell r="H702">
            <v>1090.6779661016949</v>
          </cell>
          <cell r="I702">
            <v>7150</v>
          </cell>
        </row>
        <row r="703">
          <cell r="A703" t="str">
            <v>P2201029</v>
          </cell>
          <cell r="B703" t="str">
            <v>Material</v>
          </cell>
          <cell r="C703" t="str">
            <v>Cerradura Schlage o similar c/ Regular</v>
          </cell>
          <cell r="D703">
            <v>1</v>
          </cell>
          <cell r="E703" t="str">
            <v>u</v>
          </cell>
          <cell r="F703">
            <v>450</v>
          </cell>
          <cell r="G703">
            <v>450</v>
          </cell>
          <cell r="H703">
            <v>81</v>
          </cell>
          <cell r="I703">
            <v>531</v>
          </cell>
        </row>
        <row r="704">
          <cell r="A704" t="str">
            <v>H0920566</v>
          </cell>
          <cell r="B704" t="str">
            <v>Mano de obra</v>
          </cell>
          <cell r="C704" t="str">
            <v>M.O. Instalación Puerta Polimetal, 1H</v>
          </cell>
          <cell r="D704">
            <v>1</v>
          </cell>
          <cell r="E704" t="str">
            <v>u</v>
          </cell>
          <cell r="F704">
            <v>950</v>
          </cell>
          <cell r="G704">
            <v>950</v>
          </cell>
          <cell r="H704">
            <v>0</v>
          </cell>
          <cell r="I704">
            <v>950</v>
          </cell>
        </row>
        <row r="705">
          <cell r="A705" t="str">
            <v>H%FH</v>
          </cell>
          <cell r="B705" t="str">
            <v>Otros</v>
          </cell>
          <cell r="C705" t="str">
            <v>Factor Herramientas</v>
          </cell>
          <cell r="D705">
            <v>1</v>
          </cell>
          <cell r="E705" t="str">
            <v>%</v>
          </cell>
          <cell r="F705">
            <v>950</v>
          </cell>
          <cell r="G705">
            <v>9.5</v>
          </cell>
          <cell r="H705">
            <v>0</v>
          </cell>
          <cell r="I705">
            <v>9.5</v>
          </cell>
        </row>
        <row r="706">
          <cell r="A706">
            <v>0</v>
          </cell>
          <cell r="B706">
            <v>0</v>
          </cell>
          <cell r="C706" t="str">
            <v>Total 01.09.26</v>
          </cell>
          <cell r="D706">
            <v>1</v>
          </cell>
          <cell r="E706">
            <v>0</v>
          </cell>
          <cell r="F706">
            <v>0</v>
          </cell>
          <cell r="G706">
            <v>7468.8220338983056</v>
          </cell>
          <cell r="H706">
            <v>1171.6779661016949</v>
          </cell>
          <cell r="I706">
            <v>8640.5</v>
          </cell>
        </row>
        <row r="707">
          <cell r="A707">
            <v>0</v>
          </cell>
          <cell r="B707">
            <v>0</v>
          </cell>
          <cell r="C707">
            <v>0</v>
          </cell>
          <cell r="D707">
            <v>0</v>
          </cell>
          <cell r="E707">
            <v>0</v>
          </cell>
          <cell r="F707">
            <v>0</v>
          </cell>
          <cell r="G707">
            <v>0</v>
          </cell>
          <cell r="H707">
            <v>0</v>
          </cell>
          <cell r="I707">
            <v>0</v>
          </cell>
        </row>
        <row r="708">
          <cell r="A708" t="str">
            <v>01.09.27</v>
          </cell>
          <cell r="B708" t="str">
            <v>Partida</v>
          </cell>
          <cell r="C708" t="str">
            <v>Puerta MULTILOCK 1.00m X 2.10m con 3 cierres en área control</v>
          </cell>
          <cell r="D708">
            <v>1</v>
          </cell>
          <cell r="E708" t="str">
            <v>u</v>
          </cell>
          <cell r="F708">
            <v>0</v>
          </cell>
          <cell r="G708">
            <v>68516.953999999998</v>
          </cell>
          <cell r="H708">
            <v>0</v>
          </cell>
          <cell r="I708">
            <v>68516.953999999998</v>
          </cell>
        </row>
        <row r="709">
          <cell r="A709" t="str">
            <v>SC040745</v>
          </cell>
          <cell r="B709" t="str">
            <v>Otros</v>
          </cell>
          <cell r="C709" t="str">
            <v>Sum./ Instalación de Puerta MULTILOCK 1.00m X 2.10m con 3 cierres</v>
          </cell>
          <cell r="D709">
            <v>1</v>
          </cell>
          <cell r="E709" t="str">
            <v>u</v>
          </cell>
          <cell r="F709">
            <v>68516.953999999998</v>
          </cell>
          <cell r="G709">
            <v>68516.953999999998</v>
          </cell>
          <cell r="H709">
            <v>0</v>
          </cell>
          <cell r="I709">
            <v>68516.953999999998</v>
          </cell>
        </row>
        <row r="710">
          <cell r="A710">
            <v>0</v>
          </cell>
          <cell r="B710">
            <v>0</v>
          </cell>
          <cell r="C710" t="str">
            <v>Total 01.09.27</v>
          </cell>
          <cell r="D710">
            <v>1</v>
          </cell>
          <cell r="E710">
            <v>0</v>
          </cell>
          <cell r="F710">
            <v>0</v>
          </cell>
          <cell r="G710">
            <v>68516.953999999998</v>
          </cell>
          <cell r="H710">
            <v>0</v>
          </cell>
          <cell r="I710">
            <v>68516.953999999998</v>
          </cell>
        </row>
        <row r="711">
          <cell r="A711">
            <v>0</v>
          </cell>
          <cell r="B711">
            <v>0</v>
          </cell>
          <cell r="C711">
            <v>0</v>
          </cell>
          <cell r="D711">
            <v>0</v>
          </cell>
          <cell r="E711">
            <v>0</v>
          </cell>
          <cell r="F711">
            <v>0</v>
          </cell>
          <cell r="G711">
            <v>0</v>
          </cell>
          <cell r="H711">
            <v>0</v>
          </cell>
          <cell r="I711">
            <v>0</v>
          </cell>
        </row>
        <row r="712">
          <cell r="A712" t="str">
            <v>01.09.28</v>
          </cell>
          <cell r="B712" t="str">
            <v>Partida</v>
          </cell>
          <cell r="C712" t="str">
            <v>Puerta polimetal  0.75mt.x2.10mt., con Cerradura de Acero</v>
          </cell>
          <cell r="D712">
            <v>1</v>
          </cell>
          <cell r="E712" t="str">
            <v>m²</v>
          </cell>
          <cell r="F712">
            <v>0</v>
          </cell>
          <cell r="G712">
            <v>7887.5305084745805</v>
          </cell>
          <cell r="H712">
            <v>1247.0454915254245</v>
          </cell>
          <cell r="I712">
            <v>9134.5760000000046</v>
          </cell>
        </row>
        <row r="713">
          <cell r="A713" t="str">
            <v>P4005030</v>
          </cell>
          <cell r="B713" t="str">
            <v>Material</v>
          </cell>
          <cell r="C713" t="str">
            <v>Puerta Polimetal Lisa, 1H Batiente, 0.75 x 2.10 m</v>
          </cell>
          <cell r="D713">
            <v>1</v>
          </cell>
          <cell r="E713" t="str">
            <v>u</v>
          </cell>
          <cell r="F713">
            <v>6478.0305084745805</v>
          </cell>
          <cell r="G713">
            <v>6478.0305084745805</v>
          </cell>
          <cell r="H713">
            <v>1166.0454915254245</v>
          </cell>
          <cell r="I713">
            <v>7644.0760000000046</v>
          </cell>
        </row>
        <row r="714">
          <cell r="A714" t="str">
            <v>P2201029</v>
          </cell>
          <cell r="B714" t="str">
            <v>Material</v>
          </cell>
          <cell r="C714" t="str">
            <v>Cerradura Schlage o similar c/ Regular</v>
          </cell>
          <cell r="D714">
            <v>1</v>
          </cell>
          <cell r="E714" t="str">
            <v>u</v>
          </cell>
          <cell r="F714">
            <v>450</v>
          </cell>
          <cell r="G714">
            <v>450</v>
          </cell>
          <cell r="H714">
            <v>81</v>
          </cell>
          <cell r="I714">
            <v>531</v>
          </cell>
        </row>
        <row r="715">
          <cell r="A715" t="str">
            <v>H0920566</v>
          </cell>
          <cell r="B715" t="str">
            <v>Mano de obra</v>
          </cell>
          <cell r="C715" t="str">
            <v>M.O. Instalación Puerta Polimetal, 1H</v>
          </cell>
          <cell r="D715">
            <v>1</v>
          </cell>
          <cell r="E715" t="str">
            <v>u</v>
          </cell>
          <cell r="F715">
            <v>950</v>
          </cell>
          <cell r="G715">
            <v>950</v>
          </cell>
          <cell r="H715">
            <v>0</v>
          </cell>
          <cell r="I715">
            <v>950</v>
          </cell>
        </row>
        <row r="716">
          <cell r="A716" t="str">
            <v>H%FH</v>
          </cell>
          <cell r="B716" t="str">
            <v>Otros</v>
          </cell>
          <cell r="C716" t="str">
            <v>Factor Herramientas</v>
          </cell>
          <cell r="D716">
            <v>1</v>
          </cell>
          <cell r="E716" t="str">
            <v>%</v>
          </cell>
          <cell r="F716">
            <v>950</v>
          </cell>
          <cell r="G716">
            <v>9.5</v>
          </cell>
          <cell r="H716">
            <v>0</v>
          </cell>
          <cell r="I716">
            <v>9.5</v>
          </cell>
        </row>
        <row r="717">
          <cell r="A717">
            <v>0</v>
          </cell>
          <cell r="B717">
            <v>0</v>
          </cell>
          <cell r="C717" t="str">
            <v>Total 01.09.28</v>
          </cell>
          <cell r="D717">
            <v>1</v>
          </cell>
          <cell r="E717">
            <v>0</v>
          </cell>
          <cell r="F717">
            <v>0</v>
          </cell>
          <cell r="G717">
            <v>7887.5305084745805</v>
          </cell>
          <cell r="H717">
            <v>1247.0454915254245</v>
          </cell>
          <cell r="I717">
            <v>9134.5760000000046</v>
          </cell>
        </row>
        <row r="718">
          <cell r="A718">
            <v>0</v>
          </cell>
          <cell r="B718">
            <v>0</v>
          </cell>
          <cell r="C718">
            <v>0</v>
          </cell>
          <cell r="D718">
            <v>0</v>
          </cell>
          <cell r="E718">
            <v>0</v>
          </cell>
          <cell r="F718">
            <v>0</v>
          </cell>
          <cell r="G718">
            <v>0</v>
          </cell>
          <cell r="H718">
            <v>0</v>
          </cell>
          <cell r="I718">
            <v>0</v>
          </cell>
        </row>
        <row r="719">
          <cell r="A719" t="str">
            <v>01.09.29</v>
          </cell>
          <cell r="B719" t="str">
            <v>Partida</v>
          </cell>
          <cell r="C719" t="str">
            <v>Puerta polimetal (0.80x2.10)mts</v>
          </cell>
          <cell r="D719">
            <v>1</v>
          </cell>
          <cell r="E719" t="str">
            <v>u</v>
          </cell>
          <cell r="F719">
            <v>0</v>
          </cell>
          <cell r="G719">
            <v>7887.5305084745805</v>
          </cell>
          <cell r="H719">
            <v>1247.0454915254245</v>
          </cell>
          <cell r="I719">
            <v>9134.5760000000046</v>
          </cell>
        </row>
        <row r="720">
          <cell r="A720" t="str">
            <v>P4005031</v>
          </cell>
          <cell r="B720" t="str">
            <v>Material</v>
          </cell>
          <cell r="C720" t="str">
            <v>Puerta Polimetal Lisa, 1H Batiente, 0.80 x 2.10 m</v>
          </cell>
          <cell r="D720">
            <v>1</v>
          </cell>
          <cell r="E720" t="str">
            <v>u</v>
          </cell>
          <cell r="F720">
            <v>6478.0305084745805</v>
          </cell>
          <cell r="G720">
            <v>6478.0305084745805</v>
          </cell>
          <cell r="H720">
            <v>1166.0454915254245</v>
          </cell>
          <cell r="I720">
            <v>7644.0760000000046</v>
          </cell>
        </row>
        <row r="721">
          <cell r="A721" t="str">
            <v>P2201029</v>
          </cell>
          <cell r="B721" t="str">
            <v>Material</v>
          </cell>
          <cell r="C721" t="str">
            <v>Cerradura Schlage o similar c/ Regular</v>
          </cell>
          <cell r="D721">
            <v>1</v>
          </cell>
          <cell r="E721" t="str">
            <v>u</v>
          </cell>
          <cell r="F721">
            <v>450</v>
          </cell>
          <cell r="G721">
            <v>450</v>
          </cell>
          <cell r="H721">
            <v>81</v>
          </cell>
          <cell r="I721">
            <v>531</v>
          </cell>
        </row>
        <row r="722">
          <cell r="A722" t="str">
            <v>H0920566</v>
          </cell>
          <cell r="B722" t="str">
            <v>Mano de obra</v>
          </cell>
          <cell r="C722" t="str">
            <v>M.O. Instalación Puerta Polimetal, 1H</v>
          </cell>
          <cell r="D722">
            <v>1</v>
          </cell>
          <cell r="E722" t="str">
            <v>u</v>
          </cell>
          <cell r="F722">
            <v>950</v>
          </cell>
          <cell r="G722">
            <v>950</v>
          </cell>
          <cell r="H722">
            <v>0</v>
          </cell>
          <cell r="I722">
            <v>950</v>
          </cell>
        </row>
        <row r="723">
          <cell r="A723" t="str">
            <v>H%FH</v>
          </cell>
          <cell r="B723" t="str">
            <v>Otros</v>
          </cell>
          <cell r="C723" t="str">
            <v>Factor Herramientas</v>
          </cell>
          <cell r="D723">
            <v>1</v>
          </cell>
          <cell r="E723" t="str">
            <v>%</v>
          </cell>
          <cell r="F723">
            <v>950</v>
          </cell>
          <cell r="G723">
            <v>9.5</v>
          </cell>
          <cell r="H723">
            <v>0</v>
          </cell>
          <cell r="I723">
            <v>9.5</v>
          </cell>
        </row>
        <row r="724">
          <cell r="A724">
            <v>0</v>
          </cell>
          <cell r="B724">
            <v>0</v>
          </cell>
          <cell r="C724" t="str">
            <v>Total 01.09.29</v>
          </cell>
          <cell r="D724">
            <v>1</v>
          </cell>
          <cell r="E724">
            <v>0</v>
          </cell>
          <cell r="F724">
            <v>0</v>
          </cell>
          <cell r="G724">
            <v>7887.5305084745805</v>
          </cell>
          <cell r="H724">
            <v>1247.0454915254245</v>
          </cell>
          <cell r="I724">
            <v>9134.5760000000046</v>
          </cell>
        </row>
        <row r="725">
          <cell r="A725">
            <v>0</v>
          </cell>
          <cell r="B725">
            <v>0</v>
          </cell>
          <cell r="C725">
            <v>0</v>
          </cell>
          <cell r="D725">
            <v>0</v>
          </cell>
          <cell r="E725">
            <v>0</v>
          </cell>
          <cell r="F725">
            <v>0</v>
          </cell>
          <cell r="G725">
            <v>0</v>
          </cell>
          <cell r="H725">
            <v>0</v>
          </cell>
          <cell r="I725">
            <v>0</v>
          </cell>
        </row>
        <row r="726">
          <cell r="A726" t="str">
            <v>01.09.30</v>
          </cell>
          <cell r="B726" t="str">
            <v>Partida</v>
          </cell>
          <cell r="C726" t="str">
            <v>Puerta polimetal (0.90x2.10)mts</v>
          </cell>
          <cell r="D726">
            <v>1</v>
          </cell>
          <cell r="E726" t="str">
            <v>u</v>
          </cell>
          <cell r="F726">
            <v>0</v>
          </cell>
          <cell r="G726">
            <v>7887.5305084745805</v>
          </cell>
          <cell r="H726">
            <v>1247.0454915254245</v>
          </cell>
          <cell r="I726">
            <v>9134.5760000000046</v>
          </cell>
        </row>
        <row r="727">
          <cell r="A727" t="str">
            <v>P4005032</v>
          </cell>
          <cell r="B727" t="str">
            <v>Material</v>
          </cell>
          <cell r="C727" t="str">
            <v>Puerta Polimetal Lisa, 1H Batiente, 0.90 x 2.10 m</v>
          </cell>
          <cell r="D727">
            <v>1</v>
          </cell>
          <cell r="E727" t="str">
            <v>u</v>
          </cell>
          <cell r="F727">
            <v>6478.0305084745805</v>
          </cell>
          <cell r="G727">
            <v>6478.0305084745805</v>
          </cell>
          <cell r="H727">
            <v>1166.0454915254245</v>
          </cell>
          <cell r="I727">
            <v>7644.0760000000046</v>
          </cell>
        </row>
        <row r="728">
          <cell r="A728" t="str">
            <v>P2201029</v>
          </cell>
          <cell r="B728" t="str">
            <v>Material</v>
          </cell>
          <cell r="C728" t="str">
            <v>Cerradura Schlage o similar c/ Regular</v>
          </cell>
          <cell r="D728">
            <v>1</v>
          </cell>
          <cell r="E728" t="str">
            <v>u</v>
          </cell>
          <cell r="F728">
            <v>450</v>
          </cell>
          <cell r="G728">
            <v>450</v>
          </cell>
          <cell r="H728">
            <v>81</v>
          </cell>
          <cell r="I728">
            <v>531</v>
          </cell>
        </row>
        <row r="729">
          <cell r="A729" t="str">
            <v>H0920566</v>
          </cell>
          <cell r="B729" t="str">
            <v>Mano de obra</v>
          </cell>
          <cell r="C729" t="str">
            <v>M.O. Instalación Puerta Polimetal, 1H</v>
          </cell>
          <cell r="D729">
            <v>1</v>
          </cell>
          <cell r="E729" t="str">
            <v>u</v>
          </cell>
          <cell r="F729">
            <v>950</v>
          </cell>
          <cell r="G729">
            <v>950</v>
          </cell>
          <cell r="H729">
            <v>0</v>
          </cell>
          <cell r="I729">
            <v>950</v>
          </cell>
        </row>
        <row r="730">
          <cell r="A730" t="str">
            <v>H%FH</v>
          </cell>
          <cell r="B730" t="str">
            <v>Otros</v>
          </cell>
          <cell r="C730" t="str">
            <v>Factor Herramientas</v>
          </cell>
          <cell r="D730">
            <v>1</v>
          </cell>
          <cell r="E730" t="str">
            <v>%</v>
          </cell>
          <cell r="F730">
            <v>950</v>
          </cell>
          <cell r="G730">
            <v>9.5</v>
          </cell>
          <cell r="H730">
            <v>0</v>
          </cell>
          <cell r="I730">
            <v>9.5</v>
          </cell>
        </row>
        <row r="731">
          <cell r="A731">
            <v>0</v>
          </cell>
          <cell r="B731">
            <v>0</v>
          </cell>
          <cell r="C731" t="str">
            <v>Total 01.09.30</v>
          </cell>
          <cell r="D731">
            <v>1</v>
          </cell>
          <cell r="E731">
            <v>0</v>
          </cell>
          <cell r="F731">
            <v>0</v>
          </cell>
          <cell r="G731">
            <v>7887.5305084745805</v>
          </cell>
          <cell r="H731">
            <v>1247.0454915254245</v>
          </cell>
          <cell r="I731">
            <v>9134.5760000000046</v>
          </cell>
        </row>
        <row r="732">
          <cell r="A732">
            <v>0</v>
          </cell>
          <cell r="B732">
            <v>0</v>
          </cell>
          <cell r="C732">
            <v>0</v>
          </cell>
          <cell r="D732">
            <v>0</v>
          </cell>
          <cell r="E732">
            <v>0</v>
          </cell>
          <cell r="F732">
            <v>0</v>
          </cell>
          <cell r="G732">
            <v>0</v>
          </cell>
          <cell r="H732">
            <v>0</v>
          </cell>
          <cell r="I732">
            <v>0</v>
          </cell>
        </row>
        <row r="733">
          <cell r="A733" t="str">
            <v>01.09.31</v>
          </cell>
          <cell r="B733" t="str">
            <v>Partida</v>
          </cell>
          <cell r="C733" t="str">
            <v>Puerta polimetal 0.90mt.x2.10mt., con Cerradura de Acero</v>
          </cell>
          <cell r="D733">
            <v>1</v>
          </cell>
          <cell r="E733" t="str">
            <v>m²</v>
          </cell>
          <cell r="F733">
            <v>0</v>
          </cell>
          <cell r="G733">
            <v>4173.2923920339008</v>
          </cell>
          <cell r="H733">
            <v>659.81176956610204</v>
          </cell>
          <cell r="I733">
            <v>4833.104161600003</v>
          </cell>
        </row>
        <row r="734">
          <cell r="A734" t="str">
            <v>P4005032</v>
          </cell>
          <cell r="B734" t="str">
            <v>Material</v>
          </cell>
          <cell r="C734" t="str">
            <v>Puerta Polimetal Lisa, 1H Batiente, 0.90 x 2.10 m</v>
          </cell>
          <cell r="D734">
            <v>0.52910000000000001</v>
          </cell>
          <cell r="E734" t="str">
            <v>u</v>
          </cell>
          <cell r="F734">
            <v>6478.0305084745805</v>
          </cell>
          <cell r="G734">
            <v>3427.5259420339007</v>
          </cell>
          <cell r="H734">
            <v>616.9546695661021</v>
          </cell>
          <cell r="I734">
            <v>4044.4806116000027</v>
          </cell>
        </row>
        <row r="735">
          <cell r="A735" t="str">
            <v>P2201029</v>
          </cell>
          <cell r="B735" t="str">
            <v>Material</v>
          </cell>
          <cell r="C735" t="str">
            <v>Cerradura Schlage o similar c/ Regular</v>
          </cell>
          <cell r="D735">
            <v>0.52910000000000001</v>
          </cell>
          <cell r="E735" t="str">
            <v>u</v>
          </cell>
          <cell r="F735">
            <v>450</v>
          </cell>
          <cell r="G735">
            <v>238.095</v>
          </cell>
          <cell r="H735">
            <v>42.857099999999996</v>
          </cell>
          <cell r="I735">
            <v>280.95209999999997</v>
          </cell>
        </row>
        <row r="736">
          <cell r="A736" t="str">
            <v>H0920566</v>
          </cell>
          <cell r="B736" t="str">
            <v>Mano de obra</v>
          </cell>
          <cell r="C736" t="str">
            <v>M.O. Instalación Puerta Polimetal, 1H</v>
          </cell>
          <cell r="D736">
            <v>0.52910000000000001</v>
          </cell>
          <cell r="E736" t="str">
            <v>u</v>
          </cell>
          <cell r="F736">
            <v>950</v>
          </cell>
          <cell r="G736">
            <v>502.64500000000004</v>
          </cell>
          <cell r="H736">
            <v>0</v>
          </cell>
          <cell r="I736">
            <v>502.64500000000004</v>
          </cell>
        </row>
        <row r="737">
          <cell r="A737" t="str">
            <v>H%FH</v>
          </cell>
          <cell r="B737" t="str">
            <v>Otros</v>
          </cell>
          <cell r="C737" t="str">
            <v>Factor Herramientas</v>
          </cell>
          <cell r="D737">
            <v>1</v>
          </cell>
          <cell r="E737" t="str">
            <v>%</v>
          </cell>
          <cell r="F737">
            <v>502.64500000000004</v>
          </cell>
          <cell r="G737">
            <v>5.0264500000000005</v>
          </cell>
          <cell r="H737">
            <v>0</v>
          </cell>
          <cell r="I737">
            <v>5.0264500000000005</v>
          </cell>
        </row>
        <row r="738">
          <cell r="A738">
            <v>0</v>
          </cell>
          <cell r="B738">
            <v>0</v>
          </cell>
          <cell r="C738" t="str">
            <v>Total 01.09.31</v>
          </cell>
          <cell r="D738">
            <v>1</v>
          </cell>
          <cell r="E738">
            <v>0</v>
          </cell>
          <cell r="F738">
            <v>0</v>
          </cell>
          <cell r="G738">
            <v>4173.2923920339008</v>
          </cell>
          <cell r="H738">
            <v>659.81176956610204</v>
          </cell>
          <cell r="I738">
            <v>4833.104161600003</v>
          </cell>
        </row>
        <row r="739">
          <cell r="A739">
            <v>0</v>
          </cell>
          <cell r="B739">
            <v>0</v>
          </cell>
          <cell r="C739">
            <v>0</v>
          </cell>
          <cell r="D739">
            <v>0</v>
          </cell>
          <cell r="E739">
            <v>0</v>
          </cell>
          <cell r="F739">
            <v>0</v>
          </cell>
          <cell r="G739">
            <v>0</v>
          </cell>
          <cell r="H739">
            <v>0</v>
          </cell>
          <cell r="I739">
            <v>0</v>
          </cell>
        </row>
        <row r="740">
          <cell r="A740" t="str">
            <v>01.09.32</v>
          </cell>
          <cell r="B740" t="str">
            <v>Partida</v>
          </cell>
          <cell r="C740" t="str">
            <v>Puerta polimetal gris sin diseño, con llavín de seguridad en acero inoxidable 0.80m X 2.10m, P7</v>
          </cell>
          <cell r="D740">
            <v>1</v>
          </cell>
          <cell r="E740" t="str">
            <v>u</v>
          </cell>
          <cell r="F740">
            <v>0</v>
          </cell>
          <cell r="G740">
            <v>8687.5305084745814</v>
          </cell>
          <cell r="H740">
            <v>1391.0454915254245</v>
          </cell>
          <cell r="I740">
            <v>10078.576000000005</v>
          </cell>
        </row>
        <row r="741">
          <cell r="A741" t="str">
            <v>P4005031</v>
          </cell>
          <cell r="B741" t="str">
            <v>Material</v>
          </cell>
          <cell r="C741" t="str">
            <v>Puerta Polimetal Lisa, 1H Batiente, 0.80 x 2.10 m</v>
          </cell>
          <cell r="D741">
            <v>1</v>
          </cell>
          <cell r="E741" t="str">
            <v>u</v>
          </cell>
          <cell r="F741">
            <v>6478.0305084745805</v>
          </cell>
          <cell r="G741">
            <v>6478.0305084745805</v>
          </cell>
          <cell r="H741">
            <v>1166.0454915254245</v>
          </cell>
          <cell r="I741">
            <v>7644.0760000000046</v>
          </cell>
        </row>
        <row r="742">
          <cell r="A742" t="str">
            <v>P2201030</v>
          </cell>
          <cell r="B742" t="str">
            <v>Material</v>
          </cell>
          <cell r="C742" t="str">
            <v>Cerradura de Seguridad Schlage o similar</v>
          </cell>
          <cell r="D742">
            <v>1</v>
          </cell>
          <cell r="E742" t="str">
            <v>u</v>
          </cell>
          <cell r="F742">
            <v>1250</v>
          </cell>
          <cell r="G742">
            <v>1250</v>
          </cell>
          <cell r="H742">
            <v>225</v>
          </cell>
          <cell r="I742">
            <v>1475</v>
          </cell>
        </row>
        <row r="743">
          <cell r="A743" t="str">
            <v>H0920566</v>
          </cell>
          <cell r="B743" t="str">
            <v>Mano de obra</v>
          </cell>
          <cell r="C743" t="str">
            <v>M.O. Instalación Puerta Polimetal, 1H</v>
          </cell>
          <cell r="D743">
            <v>1</v>
          </cell>
          <cell r="E743" t="str">
            <v>u</v>
          </cell>
          <cell r="F743">
            <v>950</v>
          </cell>
          <cell r="G743">
            <v>950</v>
          </cell>
          <cell r="H743">
            <v>0</v>
          </cell>
          <cell r="I743">
            <v>950</v>
          </cell>
        </row>
        <row r="744">
          <cell r="A744" t="str">
            <v>H%FH</v>
          </cell>
          <cell r="B744" t="str">
            <v>Otros</v>
          </cell>
          <cell r="C744" t="str">
            <v>Factor Herramientas</v>
          </cell>
          <cell r="D744">
            <v>1</v>
          </cell>
          <cell r="E744" t="str">
            <v>%</v>
          </cell>
          <cell r="F744">
            <v>950</v>
          </cell>
          <cell r="G744">
            <v>9.5</v>
          </cell>
          <cell r="H744">
            <v>0</v>
          </cell>
          <cell r="I744">
            <v>9.5</v>
          </cell>
        </row>
        <row r="745">
          <cell r="A745">
            <v>0</v>
          </cell>
          <cell r="B745">
            <v>0</v>
          </cell>
          <cell r="C745" t="str">
            <v>Total 01.09.32</v>
          </cell>
          <cell r="D745">
            <v>1</v>
          </cell>
          <cell r="E745">
            <v>0</v>
          </cell>
          <cell r="F745">
            <v>0</v>
          </cell>
          <cell r="G745">
            <v>8687.5305084745814</v>
          </cell>
          <cell r="H745">
            <v>1391.0454915254245</v>
          </cell>
          <cell r="I745">
            <v>10078.576000000005</v>
          </cell>
        </row>
        <row r="746">
          <cell r="A746">
            <v>0</v>
          </cell>
          <cell r="B746">
            <v>0</v>
          </cell>
          <cell r="C746">
            <v>0</v>
          </cell>
          <cell r="D746">
            <v>0</v>
          </cell>
          <cell r="E746">
            <v>0</v>
          </cell>
          <cell r="F746">
            <v>0</v>
          </cell>
          <cell r="G746">
            <v>0</v>
          </cell>
          <cell r="H746">
            <v>0</v>
          </cell>
          <cell r="I746">
            <v>0</v>
          </cell>
        </row>
        <row r="747">
          <cell r="A747" t="str">
            <v>01.09.33</v>
          </cell>
          <cell r="B747" t="str">
            <v>Partida</v>
          </cell>
          <cell r="C747" t="str">
            <v>Puerta polimetal, H=2.10 mts, ver tabla de puertas</v>
          </cell>
          <cell r="D747">
            <v>1</v>
          </cell>
          <cell r="E747" t="str">
            <v>u</v>
          </cell>
          <cell r="F747">
            <v>0</v>
          </cell>
          <cell r="G747">
            <v>7878.0305084745805</v>
          </cell>
          <cell r="H747">
            <v>1247.0454915254245</v>
          </cell>
          <cell r="I747">
            <v>9170.0760000000046</v>
          </cell>
        </row>
        <row r="748">
          <cell r="A748" t="str">
            <v>P4005032</v>
          </cell>
          <cell r="B748" t="str">
            <v>Material</v>
          </cell>
          <cell r="C748" t="str">
            <v>Puerta Polimetal Lisa, 1H Batiente, 0.90 x 2.10 m</v>
          </cell>
          <cell r="D748">
            <v>1</v>
          </cell>
          <cell r="E748" t="str">
            <v>u</v>
          </cell>
          <cell r="F748">
            <v>6478.0305084745805</v>
          </cell>
          <cell r="G748">
            <v>6478.0305084745805</v>
          </cell>
          <cell r="H748">
            <v>1166.0454915254245</v>
          </cell>
          <cell r="I748">
            <v>7644.0760000000046</v>
          </cell>
        </row>
        <row r="749">
          <cell r="A749" t="str">
            <v>P2201029</v>
          </cell>
          <cell r="B749" t="str">
            <v>Material</v>
          </cell>
          <cell r="C749" t="str">
            <v>Cerradura Schlage o similar c/ Regular</v>
          </cell>
          <cell r="D749">
            <v>1</v>
          </cell>
          <cell r="E749" t="str">
            <v>u</v>
          </cell>
          <cell r="F749">
            <v>450</v>
          </cell>
          <cell r="G749">
            <v>450</v>
          </cell>
          <cell r="H749">
            <v>81</v>
          </cell>
          <cell r="I749">
            <v>531</v>
          </cell>
        </row>
        <row r="750">
          <cell r="A750" t="str">
            <v>H0920566</v>
          </cell>
          <cell r="B750" t="str">
            <v>Mano de obra</v>
          </cell>
          <cell r="C750" t="str">
            <v>M.O. Instalación Puerta Polimetal, 1H</v>
          </cell>
          <cell r="D750">
            <v>1</v>
          </cell>
          <cell r="E750" t="str">
            <v>u</v>
          </cell>
          <cell r="F750">
            <v>950</v>
          </cell>
          <cell r="G750">
            <v>950</v>
          </cell>
          <cell r="H750">
            <v>0</v>
          </cell>
          <cell r="I750">
            <v>950</v>
          </cell>
        </row>
        <row r="751">
          <cell r="A751" t="str">
            <v>H%FH</v>
          </cell>
          <cell r="B751" t="str">
            <v>Otros</v>
          </cell>
          <cell r="C751" t="str">
            <v>Factor Herramientas</v>
          </cell>
          <cell r="D751">
            <v>15</v>
          </cell>
          <cell r="E751" t="str">
            <v>%</v>
          </cell>
          <cell r="F751">
            <v>3</v>
          </cell>
          <cell r="G751">
            <v>0</v>
          </cell>
          <cell r="H751">
            <v>0</v>
          </cell>
          <cell r="I751">
            <v>45</v>
          </cell>
        </row>
        <row r="752">
          <cell r="A752">
            <v>0</v>
          </cell>
          <cell r="B752">
            <v>0</v>
          </cell>
          <cell r="C752" t="str">
            <v>Total 01.09.33</v>
          </cell>
          <cell r="D752">
            <v>1</v>
          </cell>
          <cell r="E752">
            <v>0</v>
          </cell>
          <cell r="F752">
            <v>0</v>
          </cell>
          <cell r="G752">
            <v>7878.0305084745805</v>
          </cell>
          <cell r="H752">
            <v>1247.0454915254245</v>
          </cell>
          <cell r="I752">
            <v>9170.0760000000046</v>
          </cell>
        </row>
        <row r="753">
          <cell r="A753">
            <v>0</v>
          </cell>
          <cell r="B753">
            <v>0</v>
          </cell>
          <cell r="C753">
            <v>0</v>
          </cell>
          <cell r="D753">
            <v>0</v>
          </cell>
          <cell r="E753">
            <v>0</v>
          </cell>
          <cell r="F753">
            <v>0</v>
          </cell>
          <cell r="G753">
            <v>0</v>
          </cell>
          <cell r="H753">
            <v>0</v>
          </cell>
          <cell r="I753">
            <v>0</v>
          </cell>
        </row>
        <row r="754">
          <cell r="A754" t="str">
            <v>01.09.35</v>
          </cell>
          <cell r="B754" t="str">
            <v>Partida</v>
          </cell>
          <cell r="C754" t="str">
            <v>Puertas 1.00mt X 2.10mt, Polimetal Lisa</v>
          </cell>
          <cell r="D754">
            <v>1</v>
          </cell>
          <cell r="E754" t="str">
            <v>u</v>
          </cell>
          <cell r="F754">
            <v>0</v>
          </cell>
          <cell r="G754">
            <v>7468.8220338983056</v>
          </cell>
          <cell r="H754">
            <v>1171.6779661016949</v>
          </cell>
          <cell r="I754">
            <v>8640.5</v>
          </cell>
        </row>
        <row r="755">
          <cell r="A755" t="str">
            <v>P4005033</v>
          </cell>
          <cell r="B755" t="str">
            <v>Material</v>
          </cell>
          <cell r="C755" t="str">
            <v>Puerta Polimetal Lisa, 1H Batiente, 1.00 x 2.10 m</v>
          </cell>
          <cell r="D755">
            <v>1</v>
          </cell>
          <cell r="E755" t="str">
            <v>u</v>
          </cell>
          <cell r="F755">
            <v>6059.3220338983056</v>
          </cell>
          <cell r="G755">
            <v>6059.3220338983056</v>
          </cell>
          <cell r="H755">
            <v>1090.6779661016949</v>
          </cell>
          <cell r="I755">
            <v>7150</v>
          </cell>
        </row>
        <row r="756">
          <cell r="A756" t="str">
            <v>P2201029</v>
          </cell>
          <cell r="B756" t="str">
            <v>Material</v>
          </cell>
          <cell r="C756" t="str">
            <v>Cerradura Schlage o similar c/ Regular</v>
          </cell>
          <cell r="D756">
            <v>1</v>
          </cell>
          <cell r="E756" t="str">
            <v>u</v>
          </cell>
          <cell r="F756">
            <v>450</v>
          </cell>
          <cell r="G756">
            <v>450</v>
          </cell>
          <cell r="H756">
            <v>81</v>
          </cell>
          <cell r="I756">
            <v>531</v>
          </cell>
        </row>
        <row r="757">
          <cell r="A757" t="str">
            <v>H0920566</v>
          </cell>
          <cell r="B757" t="str">
            <v>Mano de obra</v>
          </cell>
          <cell r="C757" t="str">
            <v>M.O. Instalación Puerta Polimetal, 1H</v>
          </cell>
          <cell r="D757">
            <v>1</v>
          </cell>
          <cell r="E757" t="str">
            <v>u</v>
          </cell>
          <cell r="F757">
            <v>950</v>
          </cell>
          <cell r="G757">
            <v>950</v>
          </cell>
          <cell r="H757">
            <v>0</v>
          </cell>
          <cell r="I757">
            <v>950</v>
          </cell>
        </row>
        <row r="758">
          <cell r="A758" t="str">
            <v>H%FH</v>
          </cell>
          <cell r="B758" t="str">
            <v>Otros</v>
          </cell>
          <cell r="C758" t="str">
            <v>Factor Herramientas</v>
          </cell>
          <cell r="D758">
            <v>1</v>
          </cell>
          <cell r="E758" t="str">
            <v>%</v>
          </cell>
          <cell r="F758">
            <v>950</v>
          </cell>
          <cell r="G758">
            <v>9.5</v>
          </cell>
          <cell r="H758">
            <v>0</v>
          </cell>
          <cell r="I758">
            <v>9.5</v>
          </cell>
        </row>
        <row r="759">
          <cell r="A759">
            <v>0</v>
          </cell>
          <cell r="B759">
            <v>0</v>
          </cell>
          <cell r="C759" t="str">
            <v>Total 01.09.35</v>
          </cell>
          <cell r="D759">
            <v>1</v>
          </cell>
          <cell r="E759">
            <v>0</v>
          </cell>
          <cell r="F759">
            <v>0</v>
          </cell>
          <cell r="G759">
            <v>7468.8220338983056</v>
          </cell>
          <cell r="H759">
            <v>1171.6779661016949</v>
          </cell>
          <cell r="I759">
            <v>8640.5</v>
          </cell>
        </row>
        <row r="760">
          <cell r="A760">
            <v>0</v>
          </cell>
          <cell r="B760">
            <v>0</v>
          </cell>
          <cell r="C760">
            <v>0</v>
          </cell>
          <cell r="D760">
            <v>0</v>
          </cell>
          <cell r="E760">
            <v>0</v>
          </cell>
          <cell r="F760">
            <v>0</v>
          </cell>
          <cell r="G760">
            <v>0</v>
          </cell>
          <cell r="H760">
            <v>0</v>
          </cell>
          <cell r="I760">
            <v>0</v>
          </cell>
        </row>
        <row r="761">
          <cell r="A761" t="str">
            <v>01.09.36</v>
          </cell>
          <cell r="B761" t="str">
            <v>Partida</v>
          </cell>
          <cell r="C761" t="str">
            <v>Puertas 1.00mt X 2.40mt en Hierro forrado de Tola, Dos Hojas de Puerta Batiente</v>
          </cell>
          <cell r="D761">
            <v>1</v>
          </cell>
          <cell r="E761" t="str">
            <v>m²</v>
          </cell>
          <cell r="F761">
            <v>0</v>
          </cell>
          <cell r="G761">
            <v>32538.239999999998</v>
          </cell>
          <cell r="H761">
            <v>0</v>
          </cell>
          <cell r="I761">
            <v>32538.239999999998</v>
          </cell>
        </row>
        <row r="762">
          <cell r="A762" t="str">
            <v>SC040746</v>
          </cell>
          <cell r="B762" t="str">
            <v>Otros</v>
          </cell>
          <cell r="C762" t="str">
            <v>Sum./ Instalación Puertas 1.00mt X 2.40mt en Hierro forrado de Tola, Dos Hojas de Puerta Batiente</v>
          </cell>
          <cell r="D762">
            <v>1</v>
          </cell>
          <cell r="E762" t="str">
            <v>u</v>
          </cell>
          <cell r="F762">
            <v>32538.239999999998</v>
          </cell>
          <cell r="G762">
            <v>32538.239999999998</v>
          </cell>
          <cell r="H762">
            <v>0</v>
          </cell>
          <cell r="I762">
            <v>32538.239999999998</v>
          </cell>
        </row>
        <row r="763">
          <cell r="A763">
            <v>0</v>
          </cell>
          <cell r="B763">
            <v>0</v>
          </cell>
          <cell r="C763" t="str">
            <v>Total 01.09.36</v>
          </cell>
          <cell r="D763">
            <v>1</v>
          </cell>
          <cell r="E763">
            <v>0</v>
          </cell>
          <cell r="F763">
            <v>0</v>
          </cell>
          <cell r="G763">
            <v>32538.239999999998</v>
          </cell>
          <cell r="H763">
            <v>0</v>
          </cell>
          <cell r="I763">
            <v>32538.239999999998</v>
          </cell>
        </row>
        <row r="764">
          <cell r="A764">
            <v>0</v>
          </cell>
          <cell r="B764">
            <v>0</v>
          </cell>
          <cell r="C764">
            <v>0</v>
          </cell>
          <cell r="D764">
            <v>0</v>
          </cell>
          <cell r="E764">
            <v>0</v>
          </cell>
          <cell r="F764">
            <v>0</v>
          </cell>
          <cell r="G764">
            <v>0</v>
          </cell>
          <cell r="H764">
            <v>0</v>
          </cell>
          <cell r="I764">
            <v>0</v>
          </cell>
        </row>
        <row r="765">
          <cell r="A765" t="str">
            <v>01.09.37</v>
          </cell>
          <cell r="B765" t="str">
            <v>Partida</v>
          </cell>
          <cell r="C765" t="str">
            <v>Puertas 1.20mt X 2.40mt en Hierro de 3/4'',  Puerta Batiente</v>
          </cell>
          <cell r="D765">
            <v>1</v>
          </cell>
          <cell r="E765" t="str">
            <v>m²</v>
          </cell>
          <cell r="F765">
            <v>0</v>
          </cell>
          <cell r="G765">
            <v>25937.625599999996</v>
          </cell>
          <cell r="H765">
            <v>0</v>
          </cell>
          <cell r="I765">
            <v>25937.625599999996</v>
          </cell>
        </row>
        <row r="766">
          <cell r="A766" t="str">
            <v>SC040747</v>
          </cell>
          <cell r="B766" t="str">
            <v>Otros</v>
          </cell>
          <cell r="C766" t="str">
            <v>Sum./ Instalación Puertas 1.20mt X 2.40mt en Hierro de 3/4'',  Puerta Batiente</v>
          </cell>
          <cell r="D766">
            <v>1</v>
          </cell>
          <cell r="E766" t="str">
            <v>m²</v>
          </cell>
          <cell r="F766">
            <v>25937.625599999996</v>
          </cell>
          <cell r="G766">
            <v>25937.625599999996</v>
          </cell>
          <cell r="H766">
            <v>0</v>
          </cell>
          <cell r="I766">
            <v>25937.625599999996</v>
          </cell>
        </row>
        <row r="767">
          <cell r="A767">
            <v>0</v>
          </cell>
          <cell r="B767">
            <v>0</v>
          </cell>
          <cell r="C767" t="str">
            <v>Total 01.09.37</v>
          </cell>
          <cell r="D767">
            <v>1</v>
          </cell>
          <cell r="E767">
            <v>0</v>
          </cell>
          <cell r="F767">
            <v>0</v>
          </cell>
          <cell r="G767">
            <v>25937.625599999996</v>
          </cell>
          <cell r="H767">
            <v>0</v>
          </cell>
          <cell r="I767">
            <v>25937.625599999996</v>
          </cell>
        </row>
        <row r="768">
          <cell r="A768">
            <v>0</v>
          </cell>
          <cell r="B768">
            <v>0</v>
          </cell>
          <cell r="C768">
            <v>0</v>
          </cell>
          <cell r="D768">
            <v>0</v>
          </cell>
          <cell r="E768">
            <v>0</v>
          </cell>
          <cell r="F768">
            <v>0</v>
          </cell>
          <cell r="G768">
            <v>0</v>
          </cell>
          <cell r="H768">
            <v>0</v>
          </cell>
          <cell r="I768">
            <v>0</v>
          </cell>
        </row>
        <row r="769">
          <cell r="A769" t="str">
            <v>01.09.38</v>
          </cell>
          <cell r="B769" t="str">
            <v>Partida</v>
          </cell>
          <cell r="C769" t="str">
            <v>Puertas 1.70mt X 2.40mt  en Hierro forrado de Tola, Dos Hojas de Puerta Batiente</v>
          </cell>
          <cell r="D769">
            <v>1</v>
          </cell>
          <cell r="E769" t="str">
            <v>m²</v>
          </cell>
          <cell r="F769">
            <v>0</v>
          </cell>
          <cell r="G769">
            <v>55315.007999999994</v>
          </cell>
          <cell r="H769">
            <v>0</v>
          </cell>
          <cell r="I769">
            <v>55315.007999999994</v>
          </cell>
        </row>
        <row r="770">
          <cell r="A770" t="str">
            <v>SC040748</v>
          </cell>
          <cell r="B770" t="str">
            <v>Otros</v>
          </cell>
          <cell r="C770" t="str">
            <v>Sum./ Instalación Puertas 1.70mt X 2.40mt  en Hierro forrado de Tola, Dos Hojas de Puerta Batiente</v>
          </cell>
          <cell r="D770">
            <v>1</v>
          </cell>
          <cell r="E770" t="str">
            <v>m²</v>
          </cell>
          <cell r="F770">
            <v>55315.007999999994</v>
          </cell>
          <cell r="G770">
            <v>55315.007999999994</v>
          </cell>
          <cell r="H770">
            <v>0</v>
          </cell>
          <cell r="I770">
            <v>55315.007999999994</v>
          </cell>
        </row>
        <row r="771">
          <cell r="A771">
            <v>0</v>
          </cell>
          <cell r="B771">
            <v>0</v>
          </cell>
          <cell r="C771" t="str">
            <v>Total 01.09.38</v>
          </cell>
          <cell r="D771">
            <v>1</v>
          </cell>
          <cell r="E771">
            <v>0</v>
          </cell>
          <cell r="F771">
            <v>0</v>
          </cell>
          <cell r="G771">
            <v>55315.007999999994</v>
          </cell>
          <cell r="H771">
            <v>0</v>
          </cell>
          <cell r="I771">
            <v>55315.007999999994</v>
          </cell>
        </row>
        <row r="772">
          <cell r="A772">
            <v>0</v>
          </cell>
          <cell r="B772">
            <v>0</v>
          </cell>
          <cell r="C772">
            <v>0</v>
          </cell>
          <cell r="D772">
            <v>0</v>
          </cell>
          <cell r="E772">
            <v>0</v>
          </cell>
          <cell r="F772">
            <v>0</v>
          </cell>
          <cell r="G772">
            <v>0</v>
          </cell>
          <cell r="H772">
            <v>0</v>
          </cell>
          <cell r="I772">
            <v>0</v>
          </cell>
        </row>
        <row r="773">
          <cell r="A773" t="str">
            <v>01.09.39</v>
          </cell>
          <cell r="B773" t="str">
            <v>Partida</v>
          </cell>
          <cell r="C773" t="str">
            <v>Puertas 1.90mt X 2.40mt en Hierro de 3/4'', Una Hoja de Puerta Corrediza</v>
          </cell>
          <cell r="D773">
            <v>1</v>
          </cell>
          <cell r="E773" t="str">
            <v>m²</v>
          </cell>
          <cell r="F773">
            <v>0</v>
          </cell>
          <cell r="G773">
            <v>41067.907199999994</v>
          </cell>
          <cell r="H773">
            <v>0</v>
          </cell>
          <cell r="I773">
            <v>41067.907199999994</v>
          </cell>
        </row>
        <row r="774">
          <cell r="A774" t="str">
            <v>SC040749</v>
          </cell>
          <cell r="B774" t="str">
            <v>Otros</v>
          </cell>
          <cell r="C774" t="str">
            <v>Sum./ Instalación Puertas 1.90mt X 2.40mt en Hierro de 3/4'', Una Hoja de Puerta Corrediza</v>
          </cell>
          <cell r="D774">
            <v>1</v>
          </cell>
          <cell r="E774" t="str">
            <v>m²</v>
          </cell>
          <cell r="F774">
            <v>41067.907199999994</v>
          </cell>
          <cell r="G774">
            <v>41067.907199999994</v>
          </cell>
          <cell r="H774">
            <v>0</v>
          </cell>
          <cell r="I774">
            <v>41067.907199999994</v>
          </cell>
        </row>
        <row r="775">
          <cell r="A775">
            <v>0</v>
          </cell>
          <cell r="B775">
            <v>0</v>
          </cell>
          <cell r="C775" t="str">
            <v>Total 01.09.39</v>
          </cell>
          <cell r="D775">
            <v>1</v>
          </cell>
          <cell r="E775">
            <v>0</v>
          </cell>
          <cell r="F775">
            <v>0</v>
          </cell>
          <cell r="G775">
            <v>41067.907199999994</v>
          </cell>
          <cell r="H775">
            <v>0</v>
          </cell>
          <cell r="I775">
            <v>41067.907199999994</v>
          </cell>
        </row>
        <row r="776">
          <cell r="A776">
            <v>0</v>
          </cell>
          <cell r="B776">
            <v>0</v>
          </cell>
          <cell r="C776">
            <v>0</v>
          </cell>
          <cell r="D776">
            <v>0</v>
          </cell>
          <cell r="E776">
            <v>0</v>
          </cell>
          <cell r="F776">
            <v>0</v>
          </cell>
          <cell r="G776">
            <v>0</v>
          </cell>
          <cell r="H776">
            <v>0</v>
          </cell>
          <cell r="I776">
            <v>0</v>
          </cell>
        </row>
        <row r="777">
          <cell r="A777" t="str">
            <v>01.09.40</v>
          </cell>
          <cell r="B777" t="str">
            <v>Partida</v>
          </cell>
          <cell r="C777" t="str">
            <v>Puertas Batiente de Hierro Forrado de Tola, P4 y P5</v>
          </cell>
          <cell r="D777">
            <v>1</v>
          </cell>
          <cell r="E777" t="str">
            <v>m²</v>
          </cell>
          <cell r="F777">
            <v>0</v>
          </cell>
          <cell r="G777">
            <v>9006.119999999999</v>
          </cell>
          <cell r="H777">
            <v>0</v>
          </cell>
          <cell r="I777">
            <v>9006.119999999999</v>
          </cell>
        </row>
        <row r="778">
          <cell r="A778" t="str">
            <v>SC040750</v>
          </cell>
          <cell r="B778" t="str">
            <v>Otros</v>
          </cell>
          <cell r="C778" t="str">
            <v>Sum./ Instalación Puertas Batiente de Hierro Forrado de Tola</v>
          </cell>
          <cell r="D778">
            <v>1</v>
          </cell>
          <cell r="E778" t="str">
            <v>m²</v>
          </cell>
          <cell r="F778">
            <v>9006.119999999999</v>
          </cell>
          <cell r="G778">
            <v>9006.119999999999</v>
          </cell>
          <cell r="H778">
            <v>0</v>
          </cell>
          <cell r="I778">
            <v>9006.119999999999</v>
          </cell>
        </row>
        <row r="779">
          <cell r="A779">
            <v>0</v>
          </cell>
          <cell r="B779">
            <v>0</v>
          </cell>
          <cell r="C779" t="str">
            <v>Total 01.09.40</v>
          </cell>
          <cell r="D779">
            <v>1</v>
          </cell>
          <cell r="E779">
            <v>0</v>
          </cell>
          <cell r="F779">
            <v>0</v>
          </cell>
          <cell r="G779">
            <v>9006.119999999999</v>
          </cell>
          <cell r="H779">
            <v>0</v>
          </cell>
          <cell r="I779">
            <v>9006.119999999999</v>
          </cell>
        </row>
        <row r="780">
          <cell r="A780">
            <v>0</v>
          </cell>
          <cell r="B780">
            <v>0</v>
          </cell>
          <cell r="C780">
            <v>0</v>
          </cell>
          <cell r="D780">
            <v>0</v>
          </cell>
          <cell r="E780">
            <v>0</v>
          </cell>
          <cell r="F780">
            <v>0</v>
          </cell>
          <cell r="G780">
            <v>0</v>
          </cell>
          <cell r="H780">
            <v>0</v>
          </cell>
          <cell r="I780">
            <v>0</v>
          </cell>
        </row>
        <row r="781">
          <cell r="A781" t="str">
            <v>01.09.41</v>
          </cell>
          <cell r="B781" t="str">
            <v>Partida</v>
          </cell>
          <cell r="C781" t="str">
            <v>Puertas batiente en hierro Ø ¾ " en salidas al patio, P7</v>
          </cell>
          <cell r="D781">
            <v>1</v>
          </cell>
          <cell r="E781" t="str">
            <v>m²</v>
          </cell>
          <cell r="F781">
            <v>0</v>
          </cell>
          <cell r="G781">
            <v>9006.119999999999</v>
          </cell>
          <cell r="H781">
            <v>0</v>
          </cell>
          <cell r="I781">
            <v>9006.119999999999</v>
          </cell>
        </row>
        <row r="782">
          <cell r="A782" t="str">
            <v>SC040751</v>
          </cell>
          <cell r="B782" t="str">
            <v>Otros</v>
          </cell>
          <cell r="C782" t="str">
            <v>Sum./ Instalación Puertas batiente en hierro Ø ¾ " en salidas al patio</v>
          </cell>
          <cell r="D782">
            <v>1</v>
          </cell>
          <cell r="E782" t="str">
            <v>m²</v>
          </cell>
          <cell r="F782">
            <v>9006.119999999999</v>
          </cell>
          <cell r="G782">
            <v>9006.119999999999</v>
          </cell>
          <cell r="H782">
            <v>0</v>
          </cell>
          <cell r="I782">
            <v>9006.119999999999</v>
          </cell>
        </row>
        <row r="783">
          <cell r="A783">
            <v>0</v>
          </cell>
          <cell r="B783">
            <v>0</v>
          </cell>
          <cell r="C783" t="str">
            <v>Total 01.09.41</v>
          </cell>
          <cell r="D783">
            <v>1</v>
          </cell>
          <cell r="E783">
            <v>0</v>
          </cell>
          <cell r="F783">
            <v>0</v>
          </cell>
          <cell r="G783">
            <v>9006.119999999999</v>
          </cell>
          <cell r="H783">
            <v>0</v>
          </cell>
          <cell r="I783">
            <v>9006.119999999999</v>
          </cell>
        </row>
        <row r="784">
          <cell r="A784">
            <v>0</v>
          </cell>
          <cell r="B784">
            <v>0</v>
          </cell>
          <cell r="C784">
            <v>0</v>
          </cell>
          <cell r="D784">
            <v>0</v>
          </cell>
          <cell r="E784">
            <v>0</v>
          </cell>
          <cell r="F784">
            <v>0</v>
          </cell>
          <cell r="G784">
            <v>0</v>
          </cell>
          <cell r="H784">
            <v>0</v>
          </cell>
          <cell r="I784">
            <v>0</v>
          </cell>
        </row>
        <row r="785">
          <cell r="A785" t="str">
            <v>01.09.42</v>
          </cell>
          <cell r="B785" t="str">
            <v>Partida</v>
          </cell>
          <cell r="C785" t="str">
            <v>Puertas en tola galvanizada, 2.00mt x 2.10mt</v>
          </cell>
          <cell r="D785">
            <v>1</v>
          </cell>
          <cell r="E785" t="str">
            <v>p²</v>
          </cell>
          <cell r="F785">
            <v>0</v>
          </cell>
          <cell r="G785">
            <v>1260</v>
          </cell>
          <cell r="H785">
            <v>0</v>
          </cell>
          <cell r="I785">
            <v>1260</v>
          </cell>
        </row>
        <row r="786">
          <cell r="A786" t="str">
            <v>SC040752</v>
          </cell>
          <cell r="B786" t="str">
            <v>Otros</v>
          </cell>
          <cell r="C786" t="str">
            <v>Sum./ Instalación Puertas en tola galvanizada, 2.00mt x 2.10mt</v>
          </cell>
          <cell r="D786">
            <v>1</v>
          </cell>
          <cell r="E786" t="str">
            <v>p²</v>
          </cell>
          <cell r="F786">
            <v>1260</v>
          </cell>
          <cell r="G786">
            <v>1260</v>
          </cell>
          <cell r="H786">
            <v>0</v>
          </cell>
          <cell r="I786">
            <v>1260</v>
          </cell>
        </row>
        <row r="787">
          <cell r="A787">
            <v>0</v>
          </cell>
          <cell r="B787">
            <v>0</v>
          </cell>
          <cell r="C787" t="str">
            <v>Total 01.09.42</v>
          </cell>
          <cell r="D787">
            <v>1</v>
          </cell>
          <cell r="E787">
            <v>0</v>
          </cell>
          <cell r="F787">
            <v>0</v>
          </cell>
          <cell r="G787">
            <v>1260</v>
          </cell>
          <cell r="H787">
            <v>0</v>
          </cell>
          <cell r="I787">
            <v>1260</v>
          </cell>
        </row>
        <row r="788">
          <cell r="A788">
            <v>0</v>
          </cell>
          <cell r="B788">
            <v>0</v>
          </cell>
          <cell r="C788">
            <v>0</v>
          </cell>
          <cell r="D788">
            <v>0</v>
          </cell>
          <cell r="E788">
            <v>0</v>
          </cell>
          <cell r="F788">
            <v>0</v>
          </cell>
          <cell r="G788">
            <v>0</v>
          </cell>
          <cell r="H788">
            <v>0</v>
          </cell>
          <cell r="I788">
            <v>0</v>
          </cell>
        </row>
        <row r="789">
          <cell r="A789" t="str">
            <v>01.09.43</v>
          </cell>
          <cell r="B789" t="str">
            <v>Partida</v>
          </cell>
          <cell r="C789" t="str">
            <v>Puerta doble. marco aluminio plata P-40. Cristal templado 1/4". (1.00x2.10)mts cada hoja. Con Transon en paño fijo cristal templado 1/4" (2.00x0.40)</v>
          </cell>
          <cell r="D789">
            <v>1</v>
          </cell>
          <cell r="E789" t="str">
            <v>u</v>
          </cell>
          <cell r="F789">
            <v>0</v>
          </cell>
          <cell r="G789">
            <v>52800.000000000007</v>
          </cell>
          <cell r="H789">
            <v>0</v>
          </cell>
          <cell r="I789">
            <v>52800.000000000007</v>
          </cell>
        </row>
        <row r="790">
          <cell r="A790" t="str">
            <v>SC040831</v>
          </cell>
          <cell r="B790" t="str">
            <v>Otros</v>
          </cell>
          <cell r="C790" t="str">
            <v>Sum./ Instalación Puerta doble. marco aluminio plata P-40. Cristal templado 1/4". (1.00x2.10)mts cada hoja. Con Transon en paño fijo cristal templado 1/4" (2.00x0.40)</v>
          </cell>
          <cell r="D790">
            <v>1</v>
          </cell>
          <cell r="E790" t="str">
            <v>u</v>
          </cell>
          <cell r="F790">
            <v>52800.000000000007</v>
          </cell>
          <cell r="G790">
            <v>52800.000000000007</v>
          </cell>
          <cell r="H790">
            <v>0</v>
          </cell>
          <cell r="I790">
            <v>52800.000000000007</v>
          </cell>
        </row>
        <row r="791">
          <cell r="A791">
            <v>0</v>
          </cell>
          <cell r="B791">
            <v>0</v>
          </cell>
          <cell r="C791" t="str">
            <v>Total 01.09.43</v>
          </cell>
          <cell r="D791">
            <v>1</v>
          </cell>
          <cell r="E791">
            <v>0</v>
          </cell>
          <cell r="F791">
            <v>0</v>
          </cell>
          <cell r="G791">
            <v>52800.000000000007</v>
          </cell>
          <cell r="H791">
            <v>0</v>
          </cell>
          <cell r="I791">
            <v>52800.000000000007</v>
          </cell>
        </row>
        <row r="792">
          <cell r="A792" t="str">
            <v>01.09.44</v>
          </cell>
          <cell r="B792" t="str">
            <v>Partida</v>
          </cell>
          <cell r="C792" t="str">
            <v>Puerta batiente en marco aluminio plata P-40 con cristal 1/4" (1.0x2.1)mts en muro de bloques</v>
          </cell>
          <cell r="D792">
            <v>1</v>
          </cell>
          <cell r="E792" t="str">
            <v>u</v>
          </cell>
          <cell r="F792">
            <v>0</v>
          </cell>
          <cell r="G792">
            <v>27500.000000000004</v>
          </cell>
          <cell r="H792">
            <v>0</v>
          </cell>
          <cell r="I792">
            <v>27500.000000000004</v>
          </cell>
        </row>
        <row r="793">
          <cell r="A793" t="str">
            <v>SC040832</v>
          </cell>
          <cell r="B793" t="str">
            <v>Otros</v>
          </cell>
          <cell r="C793" t="str">
            <v>Sum./ Instalación Puerta batiente en marco aluminio plata P-40 con cristal 1/4" (1.0x2.1)mts</v>
          </cell>
          <cell r="D793">
            <v>1</v>
          </cell>
          <cell r="E793" t="str">
            <v>u</v>
          </cell>
          <cell r="F793">
            <v>27500.000000000004</v>
          </cell>
          <cell r="G793">
            <v>27500.000000000004</v>
          </cell>
          <cell r="H793">
            <v>0</v>
          </cell>
          <cell r="I793">
            <v>27500.000000000004</v>
          </cell>
        </row>
        <row r="794">
          <cell r="A794">
            <v>0</v>
          </cell>
          <cell r="B794">
            <v>0</v>
          </cell>
          <cell r="C794" t="str">
            <v>Total 01.09.44</v>
          </cell>
          <cell r="D794">
            <v>1</v>
          </cell>
          <cell r="E794">
            <v>0</v>
          </cell>
          <cell r="F794">
            <v>0</v>
          </cell>
          <cell r="G794">
            <v>27500.000000000004</v>
          </cell>
          <cell r="H794">
            <v>0</v>
          </cell>
          <cell r="I794">
            <v>27500.000000000004</v>
          </cell>
        </row>
        <row r="795">
          <cell r="A795" t="str">
            <v>01.09.45</v>
          </cell>
          <cell r="B795" t="str">
            <v>Partida</v>
          </cell>
          <cell r="C795" t="str">
            <v>Puerta doble en PVC. (1.0x2.95)mts</v>
          </cell>
          <cell r="D795">
            <v>1</v>
          </cell>
          <cell r="E795" t="str">
            <v>u</v>
          </cell>
          <cell r="F795">
            <v>0</v>
          </cell>
          <cell r="G795">
            <v>8580</v>
          </cell>
          <cell r="H795">
            <v>1544.3999999999999</v>
          </cell>
          <cell r="I795">
            <v>10124.4</v>
          </cell>
        </row>
        <row r="796">
          <cell r="A796" t="str">
            <v>P4005149</v>
          </cell>
          <cell r="B796" t="str">
            <v>Material</v>
          </cell>
          <cell r="C796" t="str">
            <v>Puerta doble en PVC. (1.0x2.95)mts</v>
          </cell>
          <cell r="D796">
            <v>1</v>
          </cell>
          <cell r="E796" t="str">
            <v>u</v>
          </cell>
          <cell r="F796">
            <v>8580</v>
          </cell>
          <cell r="G796">
            <v>8580</v>
          </cell>
          <cell r="H796">
            <v>1544.3999999999999</v>
          </cell>
          <cell r="I796">
            <v>10124.4</v>
          </cell>
        </row>
        <row r="797">
          <cell r="A797" t="str">
            <v>P2201029</v>
          </cell>
          <cell r="B797" t="str">
            <v>Material</v>
          </cell>
          <cell r="C797" t="str">
            <v>Cerradura Schlage o similar c/ Regular</v>
          </cell>
          <cell r="D797">
            <v>1</v>
          </cell>
          <cell r="E797" t="str">
            <v>u</v>
          </cell>
          <cell r="F797">
            <v>450</v>
          </cell>
          <cell r="G797">
            <v>450</v>
          </cell>
          <cell r="H797">
            <v>81</v>
          </cell>
          <cell r="I797">
            <v>531</v>
          </cell>
        </row>
        <row r="798">
          <cell r="A798" t="str">
            <v>H0920567</v>
          </cell>
          <cell r="B798" t="str">
            <v>Mano de obra</v>
          </cell>
          <cell r="C798" t="str">
            <v>M.O. Instalación Puerta Polimetal, 2H</v>
          </cell>
          <cell r="D798">
            <v>1</v>
          </cell>
          <cell r="E798" t="str">
            <v>u</v>
          </cell>
          <cell r="F798">
            <v>1500</v>
          </cell>
          <cell r="G798">
            <v>1500</v>
          </cell>
          <cell r="H798">
            <v>0</v>
          </cell>
          <cell r="I798">
            <v>1500</v>
          </cell>
        </row>
        <row r="799">
          <cell r="A799" t="str">
            <v>H%FH</v>
          </cell>
          <cell r="B799" t="str">
            <v>Otros</v>
          </cell>
          <cell r="C799" t="str">
            <v>Factor Herramientas</v>
          </cell>
          <cell r="D799">
            <v>1</v>
          </cell>
          <cell r="E799" t="str">
            <v>%</v>
          </cell>
          <cell r="F799">
            <v>1500</v>
          </cell>
          <cell r="G799">
            <v>15</v>
          </cell>
          <cell r="H799">
            <v>0</v>
          </cell>
          <cell r="I799">
            <v>15</v>
          </cell>
        </row>
        <row r="800">
          <cell r="A800">
            <v>0</v>
          </cell>
          <cell r="B800">
            <v>0</v>
          </cell>
          <cell r="C800" t="str">
            <v>Total 01.09.45</v>
          </cell>
          <cell r="D800">
            <v>1</v>
          </cell>
          <cell r="E800">
            <v>0</v>
          </cell>
          <cell r="F800">
            <v>0</v>
          </cell>
          <cell r="G800">
            <v>8580</v>
          </cell>
          <cell r="H800">
            <v>1544.3999999999999</v>
          </cell>
          <cell r="I800">
            <v>10124.4</v>
          </cell>
        </row>
        <row r="801">
          <cell r="A801" t="str">
            <v>01.09.46</v>
          </cell>
          <cell r="B801" t="str">
            <v>Partida</v>
          </cell>
          <cell r="C801" t="str">
            <v>Puerta doble comercial polimetal con visor 2.0x2.10mt con transon h=0.30mt</v>
          </cell>
          <cell r="D801">
            <v>1</v>
          </cell>
          <cell r="E801" t="str">
            <v>u</v>
          </cell>
          <cell r="F801">
            <v>0</v>
          </cell>
          <cell r="G801">
            <v>14355.932203389812</v>
          </cell>
          <cell r="H801">
            <v>2584.0677966101662</v>
          </cell>
          <cell r="I801">
            <v>16939.999999999978</v>
          </cell>
        </row>
        <row r="802">
          <cell r="A802" t="str">
            <v>P4005049</v>
          </cell>
          <cell r="B802" t="str">
            <v>Material</v>
          </cell>
          <cell r="C802" t="str">
            <v>Puerta doble comercial polimetal con visor 2.0x2.10mt con transon h=0.30mt</v>
          </cell>
          <cell r="D802">
            <v>1</v>
          </cell>
          <cell r="E802" t="str">
            <v>u</v>
          </cell>
          <cell r="F802">
            <v>14355.932203389812</v>
          </cell>
          <cell r="G802">
            <v>14355.932203389812</v>
          </cell>
          <cell r="H802">
            <v>2584.0677966101662</v>
          </cell>
          <cell r="I802">
            <v>16939.999999999978</v>
          </cell>
        </row>
        <row r="803">
          <cell r="A803" t="str">
            <v>P2201029</v>
          </cell>
          <cell r="B803" t="str">
            <v>Material</v>
          </cell>
          <cell r="C803" t="str">
            <v>Cerradura Schlage o similar c/ Regular</v>
          </cell>
          <cell r="D803">
            <v>1</v>
          </cell>
          <cell r="E803" t="str">
            <v>u</v>
          </cell>
          <cell r="F803">
            <v>450</v>
          </cell>
          <cell r="G803">
            <v>450</v>
          </cell>
          <cell r="H803">
            <v>81</v>
          </cell>
          <cell r="I803">
            <v>531</v>
          </cell>
        </row>
        <row r="804">
          <cell r="A804" t="str">
            <v>H0920567</v>
          </cell>
          <cell r="B804" t="str">
            <v>Mano de obra</v>
          </cell>
          <cell r="C804" t="str">
            <v>M.O. Instalación Puerta Polimetal, 2H</v>
          </cell>
          <cell r="D804">
            <v>1</v>
          </cell>
          <cell r="E804" t="str">
            <v>u</v>
          </cell>
          <cell r="F804">
            <v>1500</v>
          </cell>
          <cell r="G804">
            <v>1500</v>
          </cell>
          <cell r="H804">
            <v>0</v>
          </cell>
          <cell r="I804">
            <v>1500</v>
          </cell>
        </row>
        <row r="805">
          <cell r="A805" t="str">
            <v>H%FH</v>
          </cell>
          <cell r="B805" t="str">
            <v>Otros</v>
          </cell>
          <cell r="C805" t="str">
            <v>Factor Herramientas</v>
          </cell>
          <cell r="D805">
            <v>1</v>
          </cell>
          <cell r="E805" t="str">
            <v>%</v>
          </cell>
          <cell r="F805">
            <v>1500</v>
          </cell>
          <cell r="G805">
            <v>15</v>
          </cell>
          <cell r="H805">
            <v>0</v>
          </cell>
          <cell r="I805">
            <v>15</v>
          </cell>
        </row>
        <row r="806">
          <cell r="A806">
            <v>0</v>
          </cell>
          <cell r="B806">
            <v>0</v>
          </cell>
          <cell r="C806" t="str">
            <v>Total 01.09.46</v>
          </cell>
          <cell r="D806">
            <v>1</v>
          </cell>
          <cell r="E806">
            <v>0</v>
          </cell>
          <cell r="F806">
            <v>0</v>
          </cell>
          <cell r="G806">
            <v>14355.932203389812</v>
          </cell>
          <cell r="H806">
            <v>2584.0677966101662</v>
          </cell>
          <cell r="I806">
            <v>16939.999999999978</v>
          </cell>
        </row>
        <row r="807">
          <cell r="A807" t="str">
            <v>01.09.47</v>
          </cell>
          <cell r="B807" t="str">
            <v>Partida</v>
          </cell>
          <cell r="C807" t="str">
            <v>Puerta Madera Andiroba (1.80*2.40mt)</v>
          </cell>
          <cell r="D807">
            <v>1</v>
          </cell>
          <cell r="E807" t="str">
            <v>u</v>
          </cell>
          <cell r="F807">
            <v>0</v>
          </cell>
          <cell r="G807">
            <v>40867.200000000004</v>
          </cell>
          <cell r="H807">
            <v>0</v>
          </cell>
          <cell r="I807">
            <v>40867.200000000004</v>
          </cell>
        </row>
        <row r="808">
          <cell r="A808" t="str">
            <v>SC070121</v>
          </cell>
          <cell r="B808" t="str">
            <v>Otros</v>
          </cell>
          <cell r="C808" t="str">
            <v>Sum./ Instlación Puerta Madera Andiroba (1.80*2.40mt)</v>
          </cell>
          <cell r="D808">
            <v>1</v>
          </cell>
          <cell r="E808" t="str">
            <v>u</v>
          </cell>
          <cell r="F808">
            <v>40867.200000000004</v>
          </cell>
          <cell r="G808">
            <v>40867.200000000004</v>
          </cell>
          <cell r="H808">
            <v>0</v>
          </cell>
          <cell r="I808">
            <v>40867.200000000004</v>
          </cell>
        </row>
        <row r="809">
          <cell r="A809">
            <v>0</v>
          </cell>
          <cell r="B809">
            <v>0</v>
          </cell>
          <cell r="C809" t="str">
            <v>Total 01.09.47</v>
          </cell>
          <cell r="D809">
            <v>1</v>
          </cell>
          <cell r="E809">
            <v>0</v>
          </cell>
          <cell r="F809">
            <v>0</v>
          </cell>
          <cell r="G809">
            <v>40867.200000000004</v>
          </cell>
          <cell r="H809">
            <v>0</v>
          </cell>
          <cell r="I809">
            <v>40867.200000000004</v>
          </cell>
        </row>
        <row r="810">
          <cell r="A810" t="str">
            <v>01.09.48</v>
          </cell>
          <cell r="B810" t="str">
            <v>Partida</v>
          </cell>
          <cell r="C810" t="str">
            <v>Puerta Madera Andiroba (1.70*2.40mt)</v>
          </cell>
          <cell r="D810">
            <v>1</v>
          </cell>
          <cell r="E810" t="str">
            <v>u</v>
          </cell>
          <cell r="F810">
            <v>0</v>
          </cell>
          <cell r="G810">
            <v>38596.800000000003</v>
          </cell>
          <cell r="H810">
            <v>0</v>
          </cell>
          <cell r="I810">
            <v>38596.800000000003</v>
          </cell>
        </row>
        <row r="811">
          <cell r="A811" t="str">
            <v>SC070122</v>
          </cell>
          <cell r="B811" t="str">
            <v>Otros</v>
          </cell>
          <cell r="C811" t="str">
            <v>Sum./ Instlación Puerta Madera Andiroba (1.70*2.40mt)</v>
          </cell>
          <cell r="D811">
            <v>1</v>
          </cell>
          <cell r="E811" t="str">
            <v>u</v>
          </cell>
          <cell r="F811">
            <v>38596.800000000003</v>
          </cell>
          <cell r="G811">
            <v>38596.800000000003</v>
          </cell>
          <cell r="H811">
            <v>0</v>
          </cell>
          <cell r="I811">
            <v>38596.800000000003</v>
          </cell>
        </row>
        <row r="812">
          <cell r="A812">
            <v>0</v>
          </cell>
          <cell r="B812">
            <v>0</v>
          </cell>
          <cell r="C812" t="str">
            <v>Total 01.09.48</v>
          </cell>
          <cell r="D812">
            <v>1</v>
          </cell>
          <cell r="E812">
            <v>0</v>
          </cell>
          <cell r="F812">
            <v>0</v>
          </cell>
          <cell r="G812">
            <v>38596.800000000003</v>
          </cell>
          <cell r="H812">
            <v>0</v>
          </cell>
          <cell r="I812">
            <v>38596.800000000003</v>
          </cell>
        </row>
        <row r="813">
          <cell r="A813" t="str">
            <v>01.09.49</v>
          </cell>
          <cell r="B813" t="str">
            <v>Partida</v>
          </cell>
          <cell r="C813" t="str">
            <v>Puerta Madera Andiroba (.80*2.40mt)</v>
          </cell>
          <cell r="D813">
            <v>1</v>
          </cell>
          <cell r="E813" t="str">
            <v>u</v>
          </cell>
          <cell r="F813">
            <v>0</v>
          </cell>
          <cell r="G813">
            <v>18163.2</v>
          </cell>
          <cell r="H813">
            <v>0</v>
          </cell>
          <cell r="I813">
            <v>18163.2</v>
          </cell>
        </row>
        <row r="814">
          <cell r="A814" t="str">
            <v>SC070123</v>
          </cell>
          <cell r="B814" t="str">
            <v>Otros</v>
          </cell>
          <cell r="C814" t="str">
            <v>Sum./ Instlación Puerta Madera Andiroba (.80*2.40mt)</v>
          </cell>
          <cell r="D814">
            <v>1</v>
          </cell>
          <cell r="E814" t="str">
            <v>u</v>
          </cell>
          <cell r="F814">
            <v>18163.2</v>
          </cell>
          <cell r="G814">
            <v>18163.2</v>
          </cell>
          <cell r="H814">
            <v>0</v>
          </cell>
          <cell r="I814">
            <v>18163.2</v>
          </cell>
        </row>
        <row r="815">
          <cell r="A815">
            <v>0</v>
          </cell>
          <cell r="B815">
            <v>0</v>
          </cell>
          <cell r="C815" t="str">
            <v>Total 01.09.49</v>
          </cell>
          <cell r="D815">
            <v>1</v>
          </cell>
          <cell r="E815">
            <v>0</v>
          </cell>
          <cell r="F815">
            <v>0</v>
          </cell>
          <cell r="G815">
            <v>18163.2</v>
          </cell>
          <cell r="H815">
            <v>0</v>
          </cell>
          <cell r="I815">
            <v>18163.2</v>
          </cell>
        </row>
        <row r="816">
          <cell r="A816" t="str">
            <v>01.09.50</v>
          </cell>
          <cell r="B816" t="str">
            <v>Partida</v>
          </cell>
          <cell r="C816" t="str">
            <v>Puerta Madera Andiroba (1.00*2.10mt)</v>
          </cell>
          <cell r="D816">
            <v>1</v>
          </cell>
          <cell r="E816" t="str">
            <v>u</v>
          </cell>
          <cell r="F816">
            <v>0</v>
          </cell>
          <cell r="G816">
            <v>19884.48</v>
          </cell>
          <cell r="H816">
            <v>0</v>
          </cell>
          <cell r="I816">
            <v>19884.48</v>
          </cell>
        </row>
        <row r="817">
          <cell r="A817" t="str">
            <v>SC070124</v>
          </cell>
          <cell r="B817" t="str">
            <v>Otros</v>
          </cell>
          <cell r="C817" t="str">
            <v>Sum./ Instlación Puerta Madera Andiroba (1.00*2.10mt)</v>
          </cell>
          <cell r="D817">
            <v>1</v>
          </cell>
          <cell r="E817" t="str">
            <v>u</v>
          </cell>
          <cell r="F817">
            <v>19884.48</v>
          </cell>
          <cell r="G817">
            <v>19884.48</v>
          </cell>
          <cell r="H817">
            <v>0</v>
          </cell>
          <cell r="I817">
            <v>19884.48</v>
          </cell>
        </row>
        <row r="818">
          <cell r="A818">
            <v>0</v>
          </cell>
          <cell r="B818">
            <v>0</v>
          </cell>
          <cell r="C818" t="str">
            <v>Total 01.09.50</v>
          </cell>
          <cell r="D818">
            <v>1</v>
          </cell>
          <cell r="E818">
            <v>0</v>
          </cell>
          <cell r="F818">
            <v>0</v>
          </cell>
          <cell r="G818">
            <v>19884.48</v>
          </cell>
          <cell r="H818">
            <v>0</v>
          </cell>
          <cell r="I818">
            <v>19884.48</v>
          </cell>
        </row>
        <row r="819">
          <cell r="A819" t="str">
            <v>01.09.51</v>
          </cell>
          <cell r="B819" t="str">
            <v>Partida</v>
          </cell>
          <cell r="C819" t="str">
            <v>Puerta Madera Andiroba (0.90*2.10mt)</v>
          </cell>
          <cell r="D819">
            <v>1</v>
          </cell>
          <cell r="E819" t="str">
            <v>u</v>
          </cell>
          <cell r="F819">
            <v>0</v>
          </cell>
          <cell r="G819">
            <v>14540.526000000002</v>
          </cell>
          <cell r="H819">
            <v>0</v>
          </cell>
          <cell r="I819">
            <v>14540.526000000002</v>
          </cell>
        </row>
        <row r="820">
          <cell r="A820" t="str">
            <v>SC070125</v>
          </cell>
          <cell r="B820" t="str">
            <v>Otros</v>
          </cell>
          <cell r="C820" t="str">
            <v>Sum./ Instlación Puerta Madera Andiroba (0.90*2.10mt)</v>
          </cell>
          <cell r="D820">
            <v>1</v>
          </cell>
          <cell r="E820" t="str">
            <v>u</v>
          </cell>
          <cell r="F820">
            <v>14540.526000000002</v>
          </cell>
          <cell r="G820">
            <v>14540.526000000002</v>
          </cell>
          <cell r="H820">
            <v>0</v>
          </cell>
          <cell r="I820">
            <v>14540.526000000002</v>
          </cell>
        </row>
        <row r="821">
          <cell r="A821">
            <v>0</v>
          </cell>
          <cell r="B821">
            <v>0</v>
          </cell>
          <cell r="C821" t="str">
            <v>Total 01.09.51</v>
          </cell>
          <cell r="D821">
            <v>1</v>
          </cell>
          <cell r="E821">
            <v>0</v>
          </cell>
          <cell r="F821">
            <v>0</v>
          </cell>
          <cell r="G821">
            <v>14540.526000000002</v>
          </cell>
          <cell r="H821">
            <v>0</v>
          </cell>
          <cell r="I821">
            <v>14540.526000000002</v>
          </cell>
        </row>
        <row r="822">
          <cell r="A822" t="str">
            <v>01.09.52</v>
          </cell>
          <cell r="B822" t="str">
            <v>Partida</v>
          </cell>
          <cell r="C822" t="str">
            <v>Puerta Madera Andiroba (0.80*2.10mt)</v>
          </cell>
          <cell r="D822">
            <v>1</v>
          </cell>
          <cell r="E822" t="str">
            <v>u</v>
          </cell>
          <cell r="F822">
            <v>0</v>
          </cell>
          <cell r="G822">
            <v>14540.526000000002</v>
          </cell>
          <cell r="H822">
            <v>0</v>
          </cell>
          <cell r="I822">
            <v>14540.526000000002</v>
          </cell>
        </row>
        <row r="823">
          <cell r="A823" t="str">
            <v>SC070126</v>
          </cell>
          <cell r="B823" t="str">
            <v>Otros</v>
          </cell>
          <cell r="C823" t="str">
            <v>Sum./ Instlación Puerta Madera Andiroba (0.80*2.10mt)</v>
          </cell>
          <cell r="D823">
            <v>1</v>
          </cell>
          <cell r="E823" t="str">
            <v>u</v>
          </cell>
          <cell r="F823">
            <v>14540.526000000002</v>
          </cell>
          <cell r="G823">
            <v>14540.526000000002</v>
          </cell>
          <cell r="H823">
            <v>0</v>
          </cell>
          <cell r="I823">
            <v>14540.526000000002</v>
          </cell>
        </row>
        <row r="824">
          <cell r="A824">
            <v>0</v>
          </cell>
          <cell r="B824">
            <v>0</v>
          </cell>
          <cell r="C824" t="str">
            <v>Total 01.09.51</v>
          </cell>
          <cell r="D824">
            <v>1</v>
          </cell>
          <cell r="E824">
            <v>0</v>
          </cell>
          <cell r="F824">
            <v>0</v>
          </cell>
          <cell r="G824">
            <v>14540.526000000002</v>
          </cell>
          <cell r="H824">
            <v>0</v>
          </cell>
          <cell r="I824">
            <v>14540.526000000002</v>
          </cell>
        </row>
        <row r="825">
          <cell r="A825">
            <v>0</v>
          </cell>
          <cell r="B825">
            <v>0</v>
          </cell>
          <cell r="C825">
            <v>0</v>
          </cell>
          <cell r="D825">
            <v>0</v>
          </cell>
          <cell r="E825">
            <v>0</v>
          </cell>
          <cell r="F825">
            <v>0</v>
          </cell>
          <cell r="G825">
            <v>0</v>
          </cell>
          <cell r="H825">
            <v>0</v>
          </cell>
          <cell r="I825">
            <v>0</v>
          </cell>
        </row>
        <row r="826">
          <cell r="A826">
            <v>0</v>
          </cell>
          <cell r="B826">
            <v>0</v>
          </cell>
          <cell r="C826">
            <v>0</v>
          </cell>
          <cell r="D826">
            <v>0</v>
          </cell>
          <cell r="E826">
            <v>0</v>
          </cell>
          <cell r="F826">
            <v>0</v>
          </cell>
          <cell r="G826">
            <v>0</v>
          </cell>
          <cell r="H826">
            <v>0</v>
          </cell>
          <cell r="I826">
            <v>0</v>
          </cell>
        </row>
        <row r="827">
          <cell r="A827" t="str">
            <v>01.10</v>
          </cell>
          <cell r="B827" t="str">
            <v>Capítulo</v>
          </cell>
          <cell r="C827" t="str">
            <v>VENTANAS :</v>
          </cell>
          <cell r="D827">
            <v>0</v>
          </cell>
          <cell r="E827" t="str">
            <v/>
          </cell>
          <cell r="F827">
            <v>0</v>
          </cell>
          <cell r="G827">
            <v>0</v>
          </cell>
          <cell r="H827">
            <v>0</v>
          </cell>
          <cell r="I827">
            <v>0</v>
          </cell>
        </row>
        <row r="828">
          <cell r="A828" t="str">
            <v>01.10.01</v>
          </cell>
          <cell r="B828" t="str">
            <v>Partida</v>
          </cell>
          <cell r="C828" t="str">
            <v>Ventanas Corredizas Policarbonato anti-golpes con marco de Aluminio</v>
          </cell>
          <cell r="D828">
            <v>1</v>
          </cell>
          <cell r="E828" t="str">
            <v>p²</v>
          </cell>
          <cell r="F828">
            <v>0</v>
          </cell>
          <cell r="G828">
            <v>684.41538806359176</v>
          </cell>
          <cell r="H828">
            <v>0</v>
          </cell>
          <cell r="I828">
            <v>684.41538806359176</v>
          </cell>
        </row>
        <row r="829">
          <cell r="A829" t="str">
            <v>SC040810</v>
          </cell>
          <cell r="B829" t="str">
            <v>Otros</v>
          </cell>
          <cell r="C829" t="str">
            <v>Sum./ Instalación Ventanas Corredizas Policarbonato anti-golpes con marco de Aluminio</v>
          </cell>
          <cell r="D829">
            <v>1</v>
          </cell>
          <cell r="E829" t="str">
            <v>p²</v>
          </cell>
          <cell r="F829">
            <v>684.41538806359176</v>
          </cell>
          <cell r="G829">
            <v>684.41538806359176</v>
          </cell>
          <cell r="H829">
            <v>0</v>
          </cell>
          <cell r="I829">
            <v>684.41538806359176</v>
          </cell>
        </row>
        <row r="830">
          <cell r="A830">
            <v>0</v>
          </cell>
          <cell r="B830">
            <v>0</v>
          </cell>
          <cell r="C830" t="str">
            <v>Total 01.10.01</v>
          </cell>
          <cell r="D830">
            <v>1</v>
          </cell>
          <cell r="E830">
            <v>0</v>
          </cell>
          <cell r="F830">
            <v>0</v>
          </cell>
          <cell r="G830">
            <v>684.41538806359176</v>
          </cell>
          <cell r="H830">
            <v>0</v>
          </cell>
          <cell r="I830">
            <v>684.41538806359176</v>
          </cell>
        </row>
        <row r="831">
          <cell r="A831">
            <v>0</v>
          </cell>
          <cell r="B831">
            <v>0</v>
          </cell>
          <cell r="C831">
            <v>0</v>
          </cell>
          <cell r="D831">
            <v>0</v>
          </cell>
          <cell r="E831">
            <v>0</v>
          </cell>
          <cell r="F831">
            <v>0</v>
          </cell>
          <cell r="G831">
            <v>0</v>
          </cell>
          <cell r="H831">
            <v>0</v>
          </cell>
          <cell r="I831">
            <v>0</v>
          </cell>
        </row>
        <row r="832">
          <cell r="A832" t="str">
            <v>01.10.02</v>
          </cell>
          <cell r="B832" t="str">
            <v>Partida</v>
          </cell>
          <cell r="C832" t="str">
            <v>Policarbonato antigolpes resistente a la tensión y rotura transparente en control</v>
          </cell>
          <cell r="D832">
            <v>1</v>
          </cell>
          <cell r="E832" t="str">
            <v>p²</v>
          </cell>
          <cell r="F832">
            <v>0</v>
          </cell>
          <cell r="G832">
            <v>480.969192880344</v>
          </cell>
          <cell r="H832">
            <v>0</v>
          </cell>
          <cell r="I832">
            <v>480.969192880344</v>
          </cell>
        </row>
        <row r="833">
          <cell r="A833" t="str">
            <v>SC040811</v>
          </cell>
          <cell r="B833" t="str">
            <v>Otros</v>
          </cell>
          <cell r="C833" t="str">
            <v>Sum./ Instalación Policarbonato antigolpes resistente a la tensión y rotura transparente</v>
          </cell>
          <cell r="D833">
            <v>1</v>
          </cell>
          <cell r="E833" t="str">
            <v>p²</v>
          </cell>
          <cell r="F833">
            <v>480.969192880344</v>
          </cell>
          <cell r="G833">
            <v>480.969192880344</v>
          </cell>
          <cell r="H833">
            <v>0</v>
          </cell>
          <cell r="I833">
            <v>480.969192880344</v>
          </cell>
        </row>
        <row r="834">
          <cell r="A834">
            <v>0</v>
          </cell>
          <cell r="B834">
            <v>0</v>
          </cell>
          <cell r="C834" t="str">
            <v>Total 01.10.02</v>
          </cell>
          <cell r="D834">
            <v>1</v>
          </cell>
          <cell r="E834">
            <v>0</v>
          </cell>
          <cell r="F834">
            <v>0</v>
          </cell>
          <cell r="G834">
            <v>480.969192880344</v>
          </cell>
          <cell r="H834">
            <v>0</v>
          </cell>
          <cell r="I834">
            <v>480.969192880344</v>
          </cell>
        </row>
        <row r="835">
          <cell r="A835">
            <v>0</v>
          </cell>
          <cell r="B835">
            <v>0</v>
          </cell>
          <cell r="C835">
            <v>0</v>
          </cell>
          <cell r="D835">
            <v>0</v>
          </cell>
          <cell r="E835">
            <v>0</v>
          </cell>
          <cell r="F835">
            <v>0</v>
          </cell>
          <cell r="G835">
            <v>0</v>
          </cell>
          <cell r="H835">
            <v>0</v>
          </cell>
          <cell r="I835">
            <v>0</v>
          </cell>
        </row>
        <row r="836">
          <cell r="A836" t="str">
            <v>01.10.03</v>
          </cell>
          <cell r="B836" t="str">
            <v>Partida</v>
          </cell>
          <cell r="C836" t="str">
            <v>Ventanas Corredizas Policarbonato anti-golpes con marco de Aluminio</v>
          </cell>
          <cell r="D836">
            <v>1</v>
          </cell>
          <cell r="E836" t="str">
            <v>m²</v>
          </cell>
          <cell r="F836">
            <v>0</v>
          </cell>
          <cell r="G836">
            <v>7364.3095755642471</v>
          </cell>
          <cell r="H836">
            <v>0</v>
          </cell>
          <cell r="I836">
            <v>7364.3095755642471</v>
          </cell>
        </row>
        <row r="837">
          <cell r="A837" t="str">
            <v>SC040810</v>
          </cell>
          <cell r="B837" t="str">
            <v>Otros</v>
          </cell>
          <cell r="C837" t="str">
            <v>Sum./ Instalación Ventanas Corredizas Policarbonato anti-golpes con marco de Aluminio</v>
          </cell>
          <cell r="D837">
            <v>10.76</v>
          </cell>
          <cell r="E837" t="str">
            <v>p²</v>
          </cell>
          <cell r="F837">
            <v>684.41538806359176</v>
          </cell>
          <cell r="G837">
            <v>7364.3095755642471</v>
          </cell>
          <cell r="H837">
            <v>0</v>
          </cell>
          <cell r="I837">
            <v>7364.3095755642471</v>
          </cell>
        </row>
        <row r="838">
          <cell r="A838">
            <v>0</v>
          </cell>
          <cell r="B838">
            <v>0</v>
          </cell>
          <cell r="C838" t="str">
            <v>Total 01.10.03</v>
          </cell>
          <cell r="D838">
            <v>1</v>
          </cell>
          <cell r="E838">
            <v>0</v>
          </cell>
          <cell r="F838">
            <v>0</v>
          </cell>
          <cell r="G838">
            <v>7364.3095755642471</v>
          </cell>
          <cell r="H838">
            <v>0</v>
          </cell>
          <cell r="I838">
            <v>7364.3095755642471</v>
          </cell>
        </row>
        <row r="839">
          <cell r="A839">
            <v>0</v>
          </cell>
          <cell r="B839">
            <v>0</v>
          </cell>
          <cell r="C839">
            <v>0</v>
          </cell>
          <cell r="D839">
            <v>0</v>
          </cell>
          <cell r="E839">
            <v>0</v>
          </cell>
          <cell r="F839">
            <v>0</v>
          </cell>
          <cell r="G839">
            <v>0</v>
          </cell>
          <cell r="H839">
            <v>0</v>
          </cell>
          <cell r="I839">
            <v>0</v>
          </cell>
        </row>
        <row r="840">
          <cell r="A840" t="str">
            <v>01.10.04</v>
          </cell>
          <cell r="B840" t="str">
            <v>Partida</v>
          </cell>
          <cell r="C840" t="str">
            <v>Louvers en aluminio</v>
          </cell>
          <cell r="D840">
            <v>1</v>
          </cell>
          <cell r="E840" t="str">
            <v>m²</v>
          </cell>
          <cell r="F840">
            <v>0</v>
          </cell>
          <cell r="G840">
            <v>6500</v>
          </cell>
          <cell r="H840">
            <v>0</v>
          </cell>
          <cell r="I840">
            <v>6500</v>
          </cell>
        </row>
        <row r="841">
          <cell r="A841" t="str">
            <v>SC040815</v>
          </cell>
          <cell r="B841" t="str">
            <v>Otros</v>
          </cell>
          <cell r="C841" t="str">
            <v>Sum./ Instalación de Louvers</v>
          </cell>
          <cell r="D841">
            <v>1</v>
          </cell>
          <cell r="E841" t="str">
            <v>m²</v>
          </cell>
          <cell r="F841">
            <v>6500</v>
          </cell>
          <cell r="G841">
            <v>6500</v>
          </cell>
          <cell r="H841">
            <v>0</v>
          </cell>
          <cell r="I841">
            <v>6500</v>
          </cell>
        </row>
        <row r="842">
          <cell r="A842">
            <v>0</v>
          </cell>
          <cell r="B842">
            <v>0</v>
          </cell>
          <cell r="C842" t="str">
            <v>Total 01.10.04</v>
          </cell>
          <cell r="D842">
            <v>1</v>
          </cell>
          <cell r="E842">
            <v>0</v>
          </cell>
          <cell r="F842">
            <v>0</v>
          </cell>
          <cell r="G842">
            <v>6500</v>
          </cell>
          <cell r="H842">
            <v>0</v>
          </cell>
          <cell r="I842">
            <v>6500</v>
          </cell>
        </row>
        <row r="843">
          <cell r="A843" t="str">
            <v>01.10.05</v>
          </cell>
          <cell r="B843" t="str">
            <v>Partida</v>
          </cell>
          <cell r="C843" t="str">
            <v>Policarbonato antigolpes resistente a la tensión y rotura transparente en control</v>
          </cell>
          <cell r="D843">
            <v>1</v>
          </cell>
          <cell r="E843" t="str">
            <v>m²</v>
          </cell>
          <cell r="F843">
            <v>0</v>
          </cell>
          <cell r="G843">
            <v>7364.3095755642471</v>
          </cell>
          <cell r="H843">
            <v>0</v>
          </cell>
          <cell r="I843">
            <v>7364.3095755642471</v>
          </cell>
        </row>
        <row r="844">
          <cell r="A844" t="str">
            <v>SC040810</v>
          </cell>
          <cell r="B844" t="str">
            <v>Otros</v>
          </cell>
          <cell r="C844" t="str">
            <v>Sum./ Instalación Ventanas Corredizas Policarbonato anti-golpes con marco de Aluminio</v>
          </cell>
          <cell r="D844">
            <v>10.76</v>
          </cell>
          <cell r="E844" t="str">
            <v>p²</v>
          </cell>
          <cell r="F844">
            <v>684.41538806359176</v>
          </cell>
          <cell r="G844">
            <v>7364.3095755642471</v>
          </cell>
          <cell r="H844">
            <v>0</v>
          </cell>
          <cell r="I844">
            <v>7364.3095755642471</v>
          </cell>
        </row>
        <row r="845">
          <cell r="A845">
            <v>0</v>
          </cell>
          <cell r="B845">
            <v>0</v>
          </cell>
          <cell r="C845" t="str">
            <v>Total 01.10.05</v>
          </cell>
          <cell r="D845">
            <v>1</v>
          </cell>
          <cell r="E845">
            <v>0</v>
          </cell>
          <cell r="F845">
            <v>0</v>
          </cell>
          <cell r="G845">
            <v>7364.3095755642471</v>
          </cell>
          <cell r="H845">
            <v>0</v>
          </cell>
          <cell r="I845">
            <v>7364.3095755642471</v>
          </cell>
        </row>
        <row r="846">
          <cell r="A846" t="str">
            <v>01.10.06</v>
          </cell>
          <cell r="B846" t="str">
            <v>Partida</v>
          </cell>
          <cell r="C846" t="str">
            <v>Ventana de Aluminio y Vidrio</v>
          </cell>
          <cell r="D846">
            <v>1</v>
          </cell>
          <cell r="E846" t="str">
            <v>p²</v>
          </cell>
          <cell r="F846">
            <v>0</v>
          </cell>
          <cell r="G846">
            <v>236.50000000000003</v>
          </cell>
          <cell r="H846">
            <v>0</v>
          </cell>
          <cell r="I846">
            <v>236.50000000000003</v>
          </cell>
        </row>
        <row r="847">
          <cell r="A847" t="str">
            <v>SC040818</v>
          </cell>
          <cell r="B847" t="str">
            <v>Otros</v>
          </cell>
          <cell r="C847" t="str">
            <v>Sum./ Instalación Ventanas Aluminio y Vidrio</v>
          </cell>
          <cell r="D847">
            <v>1</v>
          </cell>
          <cell r="E847" t="str">
            <v>p²</v>
          </cell>
          <cell r="F847">
            <v>236.50000000000003</v>
          </cell>
          <cell r="G847">
            <v>236.50000000000003</v>
          </cell>
          <cell r="H847">
            <v>0</v>
          </cell>
          <cell r="I847">
            <v>236.50000000000003</v>
          </cell>
        </row>
        <row r="848">
          <cell r="A848">
            <v>0</v>
          </cell>
          <cell r="B848">
            <v>0</v>
          </cell>
          <cell r="C848" t="str">
            <v>Total 01.10.06</v>
          </cell>
          <cell r="D848">
            <v>1</v>
          </cell>
          <cell r="E848">
            <v>0</v>
          </cell>
          <cell r="F848">
            <v>0</v>
          </cell>
          <cell r="G848">
            <v>236.50000000000003</v>
          </cell>
          <cell r="H848">
            <v>0</v>
          </cell>
          <cell r="I848">
            <v>236.50000000000003</v>
          </cell>
        </row>
        <row r="849">
          <cell r="A849">
            <v>0</v>
          </cell>
          <cell r="B849">
            <v>0</v>
          </cell>
          <cell r="C849">
            <v>0</v>
          </cell>
          <cell r="D849">
            <v>0</v>
          </cell>
          <cell r="E849">
            <v>0</v>
          </cell>
          <cell r="F849">
            <v>0</v>
          </cell>
          <cell r="G849">
            <v>0</v>
          </cell>
          <cell r="H849">
            <v>0</v>
          </cell>
          <cell r="I849">
            <v>0</v>
          </cell>
        </row>
        <row r="850">
          <cell r="A850">
            <v>0</v>
          </cell>
          <cell r="B850">
            <v>0</v>
          </cell>
          <cell r="C850">
            <v>0</v>
          </cell>
          <cell r="D850">
            <v>0</v>
          </cell>
          <cell r="E850">
            <v>0</v>
          </cell>
          <cell r="F850">
            <v>0</v>
          </cell>
          <cell r="G850">
            <v>0</v>
          </cell>
          <cell r="H850">
            <v>0</v>
          </cell>
          <cell r="I850">
            <v>0</v>
          </cell>
        </row>
        <row r="851">
          <cell r="A851" t="str">
            <v>01.11</v>
          </cell>
          <cell r="B851" t="str">
            <v>Capítulo</v>
          </cell>
          <cell r="C851" t="str">
            <v>PINTURAS:</v>
          </cell>
          <cell r="D851">
            <v>0</v>
          </cell>
          <cell r="E851" t="str">
            <v/>
          </cell>
          <cell r="F851">
            <v>0</v>
          </cell>
          <cell r="G851">
            <v>0</v>
          </cell>
          <cell r="H851">
            <v>0</v>
          </cell>
          <cell r="I851">
            <v>0</v>
          </cell>
        </row>
        <row r="852">
          <cell r="A852" t="str">
            <v>01.11.01</v>
          </cell>
          <cell r="B852" t="str">
            <v>Partida</v>
          </cell>
          <cell r="C852" t="str">
            <v>Acrílica económica como base (una mano)</v>
          </cell>
          <cell r="D852">
            <v>1</v>
          </cell>
          <cell r="E852" t="str">
            <v>m²</v>
          </cell>
          <cell r="F852">
            <v>0</v>
          </cell>
          <cell r="G852">
            <v>80.351869559322026</v>
          </cell>
          <cell r="H852">
            <v>9.8056205206779659</v>
          </cell>
          <cell r="I852">
            <v>90.157490080000002</v>
          </cell>
        </row>
        <row r="853">
          <cell r="A853" t="str">
            <v>P1206016</v>
          </cell>
          <cell r="B853" t="str">
            <v>Material</v>
          </cell>
          <cell r="C853" t="str">
            <v>Imprimante Popular</v>
          </cell>
          <cell r="D853">
            <v>5.5599999999999997E-2</v>
          </cell>
          <cell r="E853" t="str">
            <v>gl</v>
          </cell>
          <cell r="F853">
            <v>852</v>
          </cell>
          <cell r="G853">
            <v>47.371199999999995</v>
          </cell>
          <cell r="H853">
            <v>8.5268159999999984</v>
          </cell>
          <cell r="I853">
            <v>55.898015999999991</v>
          </cell>
        </row>
        <row r="854">
          <cell r="A854" t="str">
            <v>P1208047</v>
          </cell>
          <cell r="B854" t="str">
            <v>Material</v>
          </cell>
          <cell r="C854" t="str">
            <v>Piedra para pintor(2"x2"x4")</v>
          </cell>
          <cell r="D854">
            <v>1.2800000000000001E-2</v>
          </cell>
          <cell r="E854" t="str">
            <v>u</v>
          </cell>
          <cell r="F854">
            <v>178.02</v>
          </cell>
          <cell r="G854">
            <v>2.2786560000000002</v>
          </cell>
          <cell r="H854">
            <v>0.41015808000000004</v>
          </cell>
          <cell r="I854">
            <v>2.6888140800000002</v>
          </cell>
        </row>
        <row r="855">
          <cell r="A855" t="str">
            <v>P1208002</v>
          </cell>
          <cell r="B855" t="str">
            <v>Material</v>
          </cell>
          <cell r="C855" t="str">
            <v>Bacineta para rolo pintor</v>
          </cell>
          <cell r="D855">
            <v>6.4000000000000003E-3</v>
          </cell>
          <cell r="E855" t="str">
            <v>u</v>
          </cell>
          <cell r="F855">
            <v>266.94915254237287</v>
          </cell>
          <cell r="G855">
            <v>1.7084745762711864</v>
          </cell>
          <cell r="H855">
            <v>0.30752542372881353</v>
          </cell>
          <cell r="I855">
            <v>2.016</v>
          </cell>
        </row>
        <row r="856">
          <cell r="A856" t="str">
            <v>P1208003</v>
          </cell>
          <cell r="B856" t="str">
            <v>Material</v>
          </cell>
          <cell r="C856" t="str">
            <v>Portarolo y Mota para pintar</v>
          </cell>
          <cell r="D856">
            <v>6.4000000000000003E-3</v>
          </cell>
          <cell r="E856" t="str">
            <v>u</v>
          </cell>
          <cell r="F856">
            <v>205</v>
          </cell>
          <cell r="G856">
            <v>1.3120000000000001</v>
          </cell>
          <cell r="H856">
            <v>0.23616000000000001</v>
          </cell>
          <cell r="I856">
            <v>1.54816</v>
          </cell>
        </row>
        <row r="857">
          <cell r="A857" t="str">
            <v>P1208007</v>
          </cell>
          <cell r="B857" t="str">
            <v>Material</v>
          </cell>
          <cell r="C857" t="str">
            <v>Brocha de pintar de 4"</v>
          </cell>
          <cell r="D857">
            <v>9.4999999999999998E-3</v>
          </cell>
          <cell r="E857" t="str">
            <v>u</v>
          </cell>
          <cell r="F857">
            <v>88.983050847457633</v>
          </cell>
          <cell r="G857">
            <v>0.84533898305084754</v>
          </cell>
          <cell r="H857">
            <v>0.15216101694915254</v>
          </cell>
          <cell r="I857">
            <v>0.99750000000000005</v>
          </cell>
        </row>
        <row r="858">
          <cell r="A858" t="str">
            <v>P1208031</v>
          </cell>
          <cell r="B858" t="str">
            <v>Material</v>
          </cell>
          <cell r="C858" t="str">
            <v>Masilla Ferre Popular (Tubo)</v>
          </cell>
          <cell r="D858">
            <v>1.2800000000000001E-2</v>
          </cell>
          <cell r="E858" t="str">
            <v>u</v>
          </cell>
          <cell r="F858">
            <v>75</v>
          </cell>
          <cell r="G858">
            <v>0.96000000000000008</v>
          </cell>
          <cell r="H858">
            <v>0.17280000000000001</v>
          </cell>
          <cell r="I858">
            <v>1.1328</v>
          </cell>
        </row>
        <row r="859">
          <cell r="A859" t="str">
            <v>H0605091</v>
          </cell>
          <cell r="B859" t="str">
            <v>Mano de obra</v>
          </cell>
          <cell r="C859" t="str">
            <v>M.O. Aplicación Primer, incluye piedra y masilla</v>
          </cell>
          <cell r="D859">
            <v>1</v>
          </cell>
          <cell r="E859" t="str">
            <v>m²</v>
          </cell>
          <cell r="F859">
            <v>25.62</v>
          </cell>
          <cell r="G859">
            <v>25.62</v>
          </cell>
          <cell r="H859">
            <v>0</v>
          </cell>
          <cell r="I859">
            <v>25.62</v>
          </cell>
        </row>
        <row r="860">
          <cell r="A860" t="str">
            <v>H%FH</v>
          </cell>
          <cell r="B860" t="str">
            <v>Otros</v>
          </cell>
          <cell r="C860" t="str">
            <v>Factor Herramientas</v>
          </cell>
          <cell r="D860">
            <v>1</v>
          </cell>
          <cell r="E860" t="str">
            <v>%</v>
          </cell>
          <cell r="F860">
            <v>25.62</v>
          </cell>
          <cell r="G860">
            <v>0.25620000000000004</v>
          </cell>
          <cell r="H860">
            <v>0</v>
          </cell>
          <cell r="I860">
            <v>0.25620000000000004</v>
          </cell>
        </row>
        <row r="861">
          <cell r="A861">
            <v>0</v>
          </cell>
          <cell r="B861">
            <v>0</v>
          </cell>
          <cell r="C861" t="str">
            <v>Total 01.11.01</v>
          </cell>
          <cell r="D861">
            <v>1</v>
          </cell>
          <cell r="E861">
            <v>0</v>
          </cell>
          <cell r="F861">
            <v>0</v>
          </cell>
          <cell r="G861">
            <v>80.351869559322026</v>
          </cell>
          <cell r="H861">
            <v>9.8056205206779659</v>
          </cell>
          <cell r="I861">
            <v>90.157490080000002</v>
          </cell>
        </row>
        <row r="862">
          <cell r="A862">
            <v>0</v>
          </cell>
          <cell r="B862">
            <v>0</v>
          </cell>
          <cell r="C862">
            <v>0</v>
          </cell>
          <cell r="D862">
            <v>0</v>
          </cell>
          <cell r="E862">
            <v>0</v>
          </cell>
          <cell r="F862">
            <v>0</v>
          </cell>
          <cell r="G862">
            <v>0</v>
          </cell>
          <cell r="H862">
            <v>0</v>
          </cell>
          <cell r="I862">
            <v>0</v>
          </cell>
        </row>
        <row r="863">
          <cell r="A863" t="str">
            <v>01.11.02</v>
          </cell>
          <cell r="B863" t="str">
            <v>Partida</v>
          </cell>
          <cell r="C863" t="str">
            <v>Acrílica semigloss en interiores</v>
          </cell>
          <cell r="D863">
            <v>1</v>
          </cell>
          <cell r="E863" t="str">
            <v>m²</v>
          </cell>
          <cell r="F863">
            <v>0</v>
          </cell>
          <cell r="G863">
            <v>97.623472881355937</v>
          </cell>
          <cell r="H863">
            <v>14.225287118644069</v>
          </cell>
          <cell r="I863">
            <v>111.84876000000001</v>
          </cell>
        </row>
        <row r="864">
          <cell r="A864" t="str">
            <v>P1205065</v>
          </cell>
          <cell r="B864" t="str">
            <v>Material</v>
          </cell>
          <cell r="C864" t="str">
            <v>Pintura Semiglos Color Preparado Popular</v>
          </cell>
          <cell r="D864">
            <v>7.3300000000000004E-2</v>
          </cell>
          <cell r="E864" t="str">
            <v>gl</v>
          </cell>
          <cell r="F864">
            <v>1025.4237288135594</v>
          </cell>
          <cell r="G864">
            <v>75.163559322033905</v>
          </cell>
          <cell r="H864">
            <v>13.529440677966102</v>
          </cell>
          <cell r="I864">
            <v>88.693000000000012</v>
          </cell>
        </row>
        <row r="865">
          <cell r="A865" t="str">
            <v>P1208002</v>
          </cell>
          <cell r="B865" t="str">
            <v>Material</v>
          </cell>
          <cell r="C865" t="str">
            <v>Bacineta para rolo pintor</v>
          </cell>
          <cell r="D865">
            <v>6.4000000000000003E-3</v>
          </cell>
          <cell r="E865" t="str">
            <v>u</v>
          </cell>
          <cell r="F865">
            <v>266.94915254237287</v>
          </cell>
          <cell r="G865">
            <v>1.7084745762711864</v>
          </cell>
          <cell r="H865">
            <v>0.30752542372881353</v>
          </cell>
          <cell r="I865">
            <v>2.016</v>
          </cell>
        </row>
        <row r="866">
          <cell r="A866" t="str">
            <v>P1208003</v>
          </cell>
          <cell r="B866" t="str">
            <v>Material</v>
          </cell>
          <cell r="C866" t="str">
            <v>Portarolo y Mota para pintar</v>
          </cell>
          <cell r="D866">
            <v>6.4000000000000003E-3</v>
          </cell>
          <cell r="E866" t="str">
            <v>u</v>
          </cell>
          <cell r="F866">
            <v>205</v>
          </cell>
          <cell r="G866">
            <v>1.3120000000000001</v>
          </cell>
          <cell r="H866">
            <v>0.23616000000000001</v>
          </cell>
          <cell r="I866">
            <v>1.54816</v>
          </cell>
        </row>
        <row r="867">
          <cell r="A867" t="str">
            <v>P1208007</v>
          </cell>
          <cell r="B867" t="str">
            <v>Material</v>
          </cell>
          <cell r="C867" t="str">
            <v>Brocha de pintar de 4"</v>
          </cell>
          <cell r="D867">
            <v>9.4999999999999998E-3</v>
          </cell>
          <cell r="E867" t="str">
            <v>u</v>
          </cell>
          <cell r="F867">
            <v>88.983050847457633</v>
          </cell>
          <cell r="G867">
            <v>0.84533898305084754</v>
          </cell>
          <cell r="H867">
            <v>0.15216101694915254</v>
          </cell>
          <cell r="I867">
            <v>0.99750000000000005</v>
          </cell>
        </row>
        <row r="868">
          <cell r="A868" t="str">
            <v>H0605053</v>
          </cell>
          <cell r="B868" t="str">
            <v>Mano de obra</v>
          </cell>
          <cell r="C868" t="str">
            <v>M.O. Aplicación Pintura en Muro, 2 Manos</v>
          </cell>
          <cell r="D868">
            <v>1</v>
          </cell>
          <cell r="E868" t="str">
            <v>m²</v>
          </cell>
          <cell r="F868">
            <v>18.41</v>
          </cell>
          <cell r="G868">
            <v>18.41</v>
          </cell>
          <cell r="H868">
            <v>0</v>
          </cell>
          <cell r="I868">
            <v>18.41</v>
          </cell>
        </row>
        <row r="869">
          <cell r="A869" t="str">
            <v>H%FH</v>
          </cell>
          <cell r="B869" t="str">
            <v>Otros</v>
          </cell>
          <cell r="C869" t="str">
            <v>Factor Herramientas</v>
          </cell>
          <cell r="D869">
            <v>1</v>
          </cell>
          <cell r="E869" t="str">
            <v>%</v>
          </cell>
          <cell r="F869">
            <v>18.41</v>
          </cell>
          <cell r="G869">
            <v>0.18410000000000001</v>
          </cell>
          <cell r="H869">
            <v>0</v>
          </cell>
          <cell r="I869">
            <v>0.18410000000000001</v>
          </cell>
        </row>
        <row r="870">
          <cell r="A870">
            <v>0</v>
          </cell>
          <cell r="B870">
            <v>0</v>
          </cell>
          <cell r="C870" t="str">
            <v>Total 01.11.02</v>
          </cell>
          <cell r="D870">
            <v>1</v>
          </cell>
          <cell r="E870">
            <v>0</v>
          </cell>
          <cell r="F870">
            <v>0</v>
          </cell>
          <cell r="G870">
            <v>97.623472881355937</v>
          </cell>
          <cell r="H870">
            <v>14.225287118644069</v>
          </cell>
          <cell r="I870">
            <v>111.84876000000001</v>
          </cell>
        </row>
        <row r="871">
          <cell r="A871">
            <v>0</v>
          </cell>
          <cell r="B871">
            <v>0</v>
          </cell>
          <cell r="C871">
            <v>0</v>
          </cell>
          <cell r="D871">
            <v>0</v>
          </cell>
          <cell r="E871">
            <v>0</v>
          </cell>
          <cell r="F871">
            <v>0</v>
          </cell>
          <cell r="G871">
            <v>0</v>
          </cell>
          <cell r="H871">
            <v>0</v>
          </cell>
          <cell r="I871">
            <v>0</v>
          </cell>
        </row>
        <row r="872">
          <cell r="A872" t="str">
            <v>01.11.03</v>
          </cell>
          <cell r="B872" t="str">
            <v>Partida</v>
          </cell>
          <cell r="C872" t="str">
            <v>Acrílica superior en exterior</v>
          </cell>
          <cell r="D872">
            <v>1</v>
          </cell>
          <cell r="E872" t="str">
            <v>m²</v>
          </cell>
          <cell r="F872">
            <v>0</v>
          </cell>
          <cell r="G872">
            <v>114.80059152542374</v>
          </cell>
          <cell r="H872">
            <v>17.31716847457627</v>
          </cell>
          <cell r="I872">
            <v>132.11776000000003</v>
          </cell>
        </row>
        <row r="873">
          <cell r="A873" t="str">
            <v>P1205063</v>
          </cell>
          <cell r="B873" t="str">
            <v>Material</v>
          </cell>
          <cell r="C873" t="str">
            <v>Pintura Acrílica Color Preparado Popular</v>
          </cell>
          <cell r="D873">
            <v>0.12670000000000001</v>
          </cell>
          <cell r="E873" t="str">
            <v>gl</v>
          </cell>
          <cell r="F873">
            <v>728.81355932203394</v>
          </cell>
          <cell r="G873">
            <v>92.340677966101708</v>
          </cell>
          <cell r="H873">
            <v>16.621322033898306</v>
          </cell>
          <cell r="I873">
            <v>108.96200000000002</v>
          </cell>
        </row>
        <row r="874">
          <cell r="A874" t="str">
            <v>P1208002</v>
          </cell>
          <cell r="B874" t="str">
            <v>Material</v>
          </cell>
          <cell r="C874" t="str">
            <v>Bacineta para rolo pintor</v>
          </cell>
          <cell r="D874">
            <v>6.4000000000000003E-3</v>
          </cell>
          <cell r="E874" t="str">
            <v>u</v>
          </cell>
          <cell r="F874">
            <v>266.94915254237287</v>
          </cell>
          <cell r="G874">
            <v>1.7084745762711864</v>
          </cell>
          <cell r="H874">
            <v>0.30752542372881353</v>
          </cell>
          <cell r="I874">
            <v>2.016</v>
          </cell>
        </row>
        <row r="875">
          <cell r="A875" t="str">
            <v>P1208003</v>
          </cell>
          <cell r="B875" t="str">
            <v>Material</v>
          </cell>
          <cell r="C875" t="str">
            <v>Portarolo y Mota para pintar</v>
          </cell>
          <cell r="D875">
            <v>6.4000000000000003E-3</v>
          </cell>
          <cell r="E875" t="str">
            <v>u</v>
          </cell>
          <cell r="F875">
            <v>205</v>
          </cell>
          <cell r="G875">
            <v>1.3120000000000001</v>
          </cell>
          <cell r="H875">
            <v>0.23616000000000001</v>
          </cell>
          <cell r="I875">
            <v>1.54816</v>
          </cell>
        </row>
        <row r="876">
          <cell r="A876" t="str">
            <v>P1208007</v>
          </cell>
          <cell r="B876" t="str">
            <v>Material</v>
          </cell>
          <cell r="C876" t="str">
            <v>Brocha de pintar de 4"</v>
          </cell>
          <cell r="D876">
            <v>9.4999999999999998E-3</v>
          </cell>
          <cell r="E876" t="str">
            <v>u</v>
          </cell>
          <cell r="F876">
            <v>88.983050847457633</v>
          </cell>
          <cell r="G876">
            <v>0.84533898305084754</v>
          </cell>
          <cell r="H876">
            <v>0.15216101694915254</v>
          </cell>
          <cell r="I876">
            <v>0.99750000000000005</v>
          </cell>
        </row>
        <row r="877">
          <cell r="A877" t="str">
            <v>H0605053</v>
          </cell>
          <cell r="B877" t="str">
            <v>Mano de obra</v>
          </cell>
          <cell r="C877" t="str">
            <v>M.O. Aplicación Pintura en Muro, 2 Manos</v>
          </cell>
          <cell r="D877">
            <v>1</v>
          </cell>
          <cell r="E877" t="str">
            <v>m²</v>
          </cell>
          <cell r="F877">
            <v>18.41</v>
          </cell>
          <cell r="G877">
            <v>18.41</v>
          </cell>
          <cell r="H877">
            <v>0</v>
          </cell>
          <cell r="I877">
            <v>18.41</v>
          </cell>
        </row>
        <row r="878">
          <cell r="A878" t="str">
            <v>H%FH</v>
          </cell>
          <cell r="B878" t="str">
            <v>Otros</v>
          </cell>
          <cell r="C878" t="str">
            <v>Factor Herramientas</v>
          </cell>
          <cell r="D878">
            <v>1</v>
          </cell>
          <cell r="E878" t="str">
            <v>%</v>
          </cell>
          <cell r="F878">
            <v>18.41</v>
          </cell>
          <cell r="G878">
            <v>0.18410000000000001</v>
          </cell>
          <cell r="H878">
            <v>0</v>
          </cell>
          <cell r="I878">
            <v>0.18410000000000001</v>
          </cell>
        </row>
        <row r="879">
          <cell r="A879">
            <v>0</v>
          </cell>
          <cell r="B879">
            <v>0</v>
          </cell>
          <cell r="C879" t="str">
            <v>Total 01.11.03</v>
          </cell>
          <cell r="D879">
            <v>1</v>
          </cell>
          <cell r="E879">
            <v>0</v>
          </cell>
          <cell r="F879">
            <v>0</v>
          </cell>
          <cell r="G879">
            <v>114.80059152542374</v>
          </cell>
          <cell r="H879">
            <v>17.31716847457627</v>
          </cell>
          <cell r="I879">
            <v>132.11776000000003</v>
          </cell>
        </row>
        <row r="880">
          <cell r="A880">
            <v>0</v>
          </cell>
          <cell r="B880">
            <v>0</v>
          </cell>
          <cell r="C880">
            <v>0</v>
          </cell>
          <cell r="D880">
            <v>0</v>
          </cell>
          <cell r="E880">
            <v>0</v>
          </cell>
          <cell r="F880">
            <v>0</v>
          </cell>
          <cell r="G880">
            <v>0</v>
          </cell>
          <cell r="H880">
            <v>0</v>
          </cell>
          <cell r="I880">
            <v>0</v>
          </cell>
        </row>
        <row r="881">
          <cell r="A881" t="str">
            <v>01.11.04</v>
          </cell>
          <cell r="B881" t="str">
            <v>Partida</v>
          </cell>
          <cell r="C881" t="str">
            <v>Acrílica superior en interior</v>
          </cell>
          <cell r="D881">
            <v>1</v>
          </cell>
          <cell r="E881" t="str">
            <v>m²</v>
          </cell>
          <cell r="F881">
            <v>0</v>
          </cell>
          <cell r="G881">
            <v>114.80059152542374</v>
          </cell>
          <cell r="H881">
            <v>17.31716847457627</v>
          </cell>
          <cell r="I881">
            <v>132.11776000000003</v>
          </cell>
        </row>
        <row r="882">
          <cell r="A882" t="str">
            <v>P1205063</v>
          </cell>
          <cell r="B882" t="str">
            <v>Material</v>
          </cell>
          <cell r="C882" t="str">
            <v>Pintura Acrílica Color Preparado Popular</v>
          </cell>
          <cell r="D882">
            <v>0.12670000000000001</v>
          </cell>
          <cell r="E882" t="str">
            <v>gl</v>
          </cell>
          <cell r="F882">
            <v>728.81355932203394</v>
          </cell>
          <cell r="G882">
            <v>92.340677966101708</v>
          </cell>
          <cell r="H882">
            <v>16.621322033898306</v>
          </cell>
          <cell r="I882">
            <v>108.96200000000002</v>
          </cell>
        </row>
        <row r="883">
          <cell r="A883" t="str">
            <v>P1208002</v>
          </cell>
          <cell r="B883" t="str">
            <v>Material</v>
          </cell>
          <cell r="C883" t="str">
            <v>Bacineta para rolo pintor</v>
          </cell>
          <cell r="D883">
            <v>6.4000000000000003E-3</v>
          </cell>
          <cell r="E883" t="str">
            <v>u</v>
          </cell>
          <cell r="F883">
            <v>266.94915254237287</v>
          </cell>
          <cell r="G883">
            <v>1.7084745762711864</v>
          </cell>
          <cell r="H883">
            <v>0.30752542372881353</v>
          </cell>
          <cell r="I883">
            <v>2.016</v>
          </cell>
        </row>
        <row r="884">
          <cell r="A884" t="str">
            <v>P1208003</v>
          </cell>
          <cell r="B884" t="str">
            <v>Material</v>
          </cell>
          <cell r="C884" t="str">
            <v>Portarolo y Mota para pintar</v>
          </cell>
          <cell r="D884">
            <v>6.4000000000000003E-3</v>
          </cell>
          <cell r="E884" t="str">
            <v>u</v>
          </cell>
          <cell r="F884">
            <v>205</v>
          </cell>
          <cell r="G884">
            <v>1.3120000000000001</v>
          </cell>
          <cell r="H884">
            <v>0.23616000000000001</v>
          </cell>
          <cell r="I884">
            <v>1.54816</v>
          </cell>
        </row>
        <row r="885">
          <cell r="A885" t="str">
            <v>P1208007</v>
          </cell>
          <cell r="B885" t="str">
            <v>Material</v>
          </cell>
          <cell r="C885" t="str">
            <v>Brocha de pintar de 4"</v>
          </cell>
          <cell r="D885">
            <v>9.4999999999999998E-3</v>
          </cell>
          <cell r="E885" t="str">
            <v>u</v>
          </cell>
          <cell r="F885">
            <v>88.983050847457633</v>
          </cell>
          <cell r="G885">
            <v>0.84533898305084754</v>
          </cell>
          <cell r="H885">
            <v>0.15216101694915254</v>
          </cell>
          <cell r="I885">
            <v>0.99750000000000005</v>
          </cell>
        </row>
        <row r="886">
          <cell r="A886" t="str">
            <v>H0605053</v>
          </cell>
          <cell r="B886" t="str">
            <v>Mano de obra</v>
          </cell>
          <cell r="C886" t="str">
            <v>M.O. Aplicación Pintura en Muro, 2 Manos</v>
          </cell>
          <cell r="D886">
            <v>1</v>
          </cell>
          <cell r="E886" t="str">
            <v>m²</v>
          </cell>
          <cell r="F886">
            <v>18.41</v>
          </cell>
          <cell r="G886">
            <v>18.41</v>
          </cell>
          <cell r="H886">
            <v>0</v>
          </cell>
          <cell r="I886">
            <v>18.41</v>
          </cell>
        </row>
        <row r="887">
          <cell r="A887" t="str">
            <v>H%FH</v>
          </cell>
          <cell r="B887" t="str">
            <v>Otros</v>
          </cell>
          <cell r="C887" t="str">
            <v>Factor Herramientas</v>
          </cell>
          <cell r="D887">
            <v>1</v>
          </cell>
          <cell r="E887" t="str">
            <v>%</v>
          </cell>
          <cell r="F887">
            <v>18.41</v>
          </cell>
          <cell r="G887">
            <v>0.18410000000000001</v>
          </cell>
          <cell r="H887">
            <v>0</v>
          </cell>
          <cell r="I887">
            <v>0.18410000000000001</v>
          </cell>
        </row>
        <row r="888">
          <cell r="A888">
            <v>0</v>
          </cell>
          <cell r="B888">
            <v>0</v>
          </cell>
          <cell r="C888" t="str">
            <v>Total 01.11.04</v>
          </cell>
          <cell r="D888">
            <v>1</v>
          </cell>
          <cell r="E888">
            <v>0</v>
          </cell>
          <cell r="F888">
            <v>0</v>
          </cell>
          <cell r="G888">
            <v>114.80059152542374</v>
          </cell>
          <cell r="H888">
            <v>17.31716847457627</v>
          </cell>
          <cell r="I888">
            <v>132.11776000000003</v>
          </cell>
        </row>
        <row r="889">
          <cell r="A889">
            <v>0</v>
          </cell>
          <cell r="B889">
            <v>0</v>
          </cell>
          <cell r="C889">
            <v>0</v>
          </cell>
          <cell r="D889">
            <v>0</v>
          </cell>
          <cell r="E889">
            <v>0</v>
          </cell>
          <cell r="F889">
            <v>0</v>
          </cell>
          <cell r="G889">
            <v>0</v>
          </cell>
          <cell r="H889">
            <v>0</v>
          </cell>
          <cell r="I889">
            <v>0</v>
          </cell>
        </row>
        <row r="890">
          <cell r="A890" t="str">
            <v>01.11.05</v>
          </cell>
          <cell r="B890" t="str">
            <v>Partida</v>
          </cell>
          <cell r="C890" t="str">
            <v>Epóxica en pared de área de duchas y vertedero</v>
          </cell>
          <cell r="D890">
            <v>1</v>
          </cell>
          <cell r="E890" t="str">
            <v>m²</v>
          </cell>
          <cell r="F890">
            <v>0</v>
          </cell>
          <cell r="G890">
            <v>276.69720169491529</v>
          </cell>
          <cell r="H890">
            <v>46.458558305084736</v>
          </cell>
          <cell r="I890">
            <v>323.15576000000004</v>
          </cell>
        </row>
        <row r="891">
          <cell r="A891" t="str">
            <v>P1204004</v>
          </cell>
          <cell r="B891" t="str">
            <v>Material</v>
          </cell>
          <cell r="C891" t="str">
            <v>Pintura Epóxica Popular</v>
          </cell>
          <cell r="D891">
            <v>0.12</v>
          </cell>
          <cell r="E891" t="str">
            <v>gl</v>
          </cell>
          <cell r="F891">
            <v>2118.6440677966102</v>
          </cell>
          <cell r="G891">
            <v>254.23728813559322</v>
          </cell>
          <cell r="H891">
            <v>45.762711864406775</v>
          </cell>
          <cell r="I891">
            <v>300</v>
          </cell>
        </row>
        <row r="892">
          <cell r="A892" t="str">
            <v>P1208002</v>
          </cell>
          <cell r="B892" t="str">
            <v>Material</v>
          </cell>
          <cell r="C892" t="str">
            <v>Bacineta para rolo pintor</v>
          </cell>
          <cell r="D892">
            <v>6.4000000000000003E-3</v>
          </cell>
          <cell r="E892" t="str">
            <v>u</v>
          </cell>
          <cell r="F892">
            <v>266.94915254237287</v>
          </cell>
          <cell r="G892">
            <v>1.7084745762711864</v>
          </cell>
          <cell r="H892">
            <v>0.30752542372881353</v>
          </cell>
          <cell r="I892">
            <v>2.016</v>
          </cell>
        </row>
        <row r="893">
          <cell r="A893" t="str">
            <v>P1208003</v>
          </cell>
          <cell r="B893" t="str">
            <v>Material</v>
          </cell>
          <cell r="C893" t="str">
            <v>Portarolo y Mota para pintar</v>
          </cell>
          <cell r="D893">
            <v>6.4000000000000003E-3</v>
          </cell>
          <cell r="E893" t="str">
            <v>u</v>
          </cell>
          <cell r="F893">
            <v>205</v>
          </cell>
          <cell r="G893">
            <v>1.3120000000000001</v>
          </cell>
          <cell r="H893">
            <v>0.23616000000000001</v>
          </cell>
          <cell r="I893">
            <v>1.54816</v>
          </cell>
        </row>
        <row r="894">
          <cell r="A894" t="str">
            <v>P1208007</v>
          </cell>
          <cell r="B894" t="str">
            <v>Material</v>
          </cell>
          <cell r="C894" t="str">
            <v>Brocha de pintar de 4"</v>
          </cell>
          <cell r="D894">
            <v>9.4999999999999998E-3</v>
          </cell>
          <cell r="E894" t="str">
            <v>u</v>
          </cell>
          <cell r="F894">
            <v>88.983050847457633</v>
          </cell>
          <cell r="G894">
            <v>0.84533898305084754</v>
          </cell>
          <cell r="H894">
            <v>0.15216101694915254</v>
          </cell>
          <cell r="I894">
            <v>0.99750000000000005</v>
          </cell>
        </row>
        <row r="895">
          <cell r="A895" t="str">
            <v>H0605053</v>
          </cell>
          <cell r="B895" t="str">
            <v>Mano de obra</v>
          </cell>
          <cell r="C895" t="str">
            <v>M.O. Aplicación Pintura en Muro, 2 Manos</v>
          </cell>
          <cell r="D895">
            <v>1</v>
          </cell>
          <cell r="E895" t="str">
            <v>m²</v>
          </cell>
          <cell r="F895">
            <v>18.41</v>
          </cell>
          <cell r="G895">
            <v>18.41</v>
          </cell>
          <cell r="H895">
            <v>0</v>
          </cell>
          <cell r="I895">
            <v>18.41</v>
          </cell>
        </row>
        <row r="896">
          <cell r="A896" t="str">
            <v>H%FH</v>
          </cell>
          <cell r="B896" t="str">
            <v>Otros</v>
          </cell>
          <cell r="C896" t="str">
            <v>Factor Herramientas</v>
          </cell>
          <cell r="D896">
            <v>1</v>
          </cell>
          <cell r="E896" t="str">
            <v>%</v>
          </cell>
          <cell r="F896">
            <v>18.41</v>
          </cell>
          <cell r="G896">
            <v>0.18410000000000001</v>
          </cell>
          <cell r="H896">
            <v>0</v>
          </cell>
          <cell r="I896">
            <v>0.18410000000000001</v>
          </cell>
        </row>
        <row r="897">
          <cell r="A897">
            <v>0</v>
          </cell>
          <cell r="B897">
            <v>0</v>
          </cell>
          <cell r="C897" t="str">
            <v>Total 01.11.05</v>
          </cell>
          <cell r="D897">
            <v>1</v>
          </cell>
          <cell r="E897">
            <v>0</v>
          </cell>
          <cell r="F897">
            <v>0</v>
          </cell>
          <cell r="G897">
            <v>276.69720169491529</v>
          </cell>
          <cell r="H897">
            <v>46.458558305084736</v>
          </cell>
          <cell r="I897">
            <v>323.15576000000004</v>
          </cell>
        </row>
        <row r="898">
          <cell r="A898">
            <v>0</v>
          </cell>
          <cell r="B898">
            <v>0</v>
          </cell>
          <cell r="C898">
            <v>0</v>
          </cell>
          <cell r="D898">
            <v>0</v>
          </cell>
          <cell r="E898">
            <v>0</v>
          </cell>
          <cell r="F898">
            <v>0</v>
          </cell>
          <cell r="G898">
            <v>0</v>
          </cell>
          <cell r="H898">
            <v>0</v>
          </cell>
          <cell r="I898">
            <v>0</v>
          </cell>
        </row>
        <row r="899">
          <cell r="A899" t="str">
            <v>01.11.06</v>
          </cell>
          <cell r="B899" t="str">
            <v>Partida</v>
          </cell>
          <cell r="C899" t="str">
            <v>Epóxica en piso de área de duchas</v>
          </cell>
          <cell r="D899">
            <v>1</v>
          </cell>
          <cell r="E899" t="str">
            <v>m²</v>
          </cell>
          <cell r="F899">
            <v>0</v>
          </cell>
          <cell r="G899">
            <v>276.69720169491529</v>
          </cell>
          <cell r="H899">
            <v>46.458558305084736</v>
          </cell>
          <cell r="I899">
            <v>323.15576000000004</v>
          </cell>
        </row>
        <row r="900">
          <cell r="A900" t="str">
            <v>P1204004</v>
          </cell>
          <cell r="B900" t="str">
            <v>Material</v>
          </cell>
          <cell r="C900" t="str">
            <v>Pintura Epóxica Popular</v>
          </cell>
          <cell r="D900">
            <v>0.12</v>
          </cell>
          <cell r="E900" t="str">
            <v>gl</v>
          </cell>
          <cell r="F900">
            <v>2118.6440677966102</v>
          </cell>
          <cell r="G900">
            <v>254.23728813559322</v>
          </cell>
          <cell r="H900">
            <v>45.762711864406775</v>
          </cell>
          <cell r="I900">
            <v>300</v>
          </cell>
        </row>
        <row r="901">
          <cell r="A901" t="str">
            <v>P1208002</v>
          </cell>
          <cell r="B901" t="str">
            <v>Material</v>
          </cell>
          <cell r="C901" t="str">
            <v>Bacineta para rolo pintor</v>
          </cell>
          <cell r="D901">
            <v>6.4000000000000003E-3</v>
          </cell>
          <cell r="E901" t="str">
            <v>u</v>
          </cell>
          <cell r="F901">
            <v>266.94915254237287</v>
          </cell>
          <cell r="G901">
            <v>1.7084745762711864</v>
          </cell>
          <cell r="H901">
            <v>0.30752542372881353</v>
          </cell>
          <cell r="I901">
            <v>2.016</v>
          </cell>
        </row>
        <row r="902">
          <cell r="A902" t="str">
            <v>P1208003</v>
          </cell>
          <cell r="B902" t="str">
            <v>Material</v>
          </cell>
          <cell r="C902" t="str">
            <v>Portarolo y Mota para pintar</v>
          </cell>
          <cell r="D902">
            <v>6.4000000000000003E-3</v>
          </cell>
          <cell r="E902" t="str">
            <v>u</v>
          </cell>
          <cell r="F902">
            <v>205</v>
          </cell>
          <cell r="G902">
            <v>1.3120000000000001</v>
          </cell>
          <cell r="H902">
            <v>0.23616000000000001</v>
          </cell>
          <cell r="I902">
            <v>1.54816</v>
          </cell>
        </row>
        <row r="903">
          <cell r="A903" t="str">
            <v>P1208007</v>
          </cell>
          <cell r="B903" t="str">
            <v>Material</v>
          </cell>
          <cell r="C903" t="str">
            <v>Brocha de pintar de 4"</v>
          </cell>
          <cell r="D903">
            <v>9.4999999999999998E-3</v>
          </cell>
          <cell r="E903" t="str">
            <v>u</v>
          </cell>
          <cell r="F903">
            <v>88.983050847457633</v>
          </cell>
          <cell r="G903">
            <v>0.84533898305084754</v>
          </cell>
          <cell r="H903">
            <v>0.15216101694915254</v>
          </cell>
          <cell r="I903">
            <v>0.99750000000000005</v>
          </cell>
        </row>
        <row r="904">
          <cell r="A904" t="str">
            <v>H0605053</v>
          </cell>
          <cell r="B904" t="str">
            <v>Mano de obra</v>
          </cell>
          <cell r="C904" t="str">
            <v>M.O. Aplicación Pintura en Muro, 2 Manos</v>
          </cell>
          <cell r="D904">
            <v>1</v>
          </cell>
          <cell r="E904" t="str">
            <v>m²</v>
          </cell>
          <cell r="F904">
            <v>18.41</v>
          </cell>
          <cell r="G904">
            <v>18.41</v>
          </cell>
          <cell r="H904">
            <v>0</v>
          </cell>
          <cell r="I904">
            <v>18.41</v>
          </cell>
        </row>
        <row r="905">
          <cell r="A905" t="str">
            <v>H%FH</v>
          </cell>
          <cell r="B905" t="str">
            <v>Otros</v>
          </cell>
          <cell r="C905" t="str">
            <v>Factor Herramientas</v>
          </cell>
          <cell r="D905">
            <v>1</v>
          </cell>
          <cell r="E905" t="str">
            <v>%</v>
          </cell>
          <cell r="F905">
            <v>18.41</v>
          </cell>
          <cell r="G905">
            <v>0.18410000000000001</v>
          </cell>
          <cell r="H905">
            <v>0</v>
          </cell>
          <cell r="I905">
            <v>0.18410000000000001</v>
          </cell>
        </row>
        <row r="906">
          <cell r="A906">
            <v>0</v>
          </cell>
          <cell r="B906">
            <v>0</v>
          </cell>
          <cell r="C906" t="str">
            <v>Total 01.11.06</v>
          </cell>
          <cell r="D906">
            <v>1</v>
          </cell>
          <cell r="E906">
            <v>0</v>
          </cell>
          <cell r="F906">
            <v>0</v>
          </cell>
          <cell r="G906">
            <v>276.69720169491529</v>
          </cell>
          <cell r="H906">
            <v>46.458558305084736</v>
          </cell>
          <cell r="I906">
            <v>323.15576000000004</v>
          </cell>
        </row>
        <row r="907">
          <cell r="A907">
            <v>0</v>
          </cell>
          <cell r="B907">
            <v>0</v>
          </cell>
          <cell r="C907">
            <v>0</v>
          </cell>
          <cell r="D907">
            <v>0</v>
          </cell>
          <cell r="E907">
            <v>0</v>
          </cell>
          <cell r="F907">
            <v>0</v>
          </cell>
          <cell r="G907">
            <v>0</v>
          </cell>
          <cell r="H907">
            <v>0</v>
          </cell>
          <cell r="I907">
            <v>0</v>
          </cell>
        </row>
        <row r="908">
          <cell r="A908" t="str">
            <v>01.11.07</v>
          </cell>
          <cell r="B908" t="str">
            <v>Partida</v>
          </cell>
          <cell r="C908" t="str">
            <v>Mantenimiento en hierro</v>
          </cell>
          <cell r="D908">
            <v>1</v>
          </cell>
          <cell r="E908" t="str">
            <v>m²</v>
          </cell>
          <cell r="F908">
            <v>0</v>
          </cell>
          <cell r="G908">
            <v>159.89720169491528</v>
          </cell>
          <cell r="H908">
            <v>25.434558305084746</v>
          </cell>
          <cell r="I908">
            <v>185.33176</v>
          </cell>
        </row>
        <row r="909">
          <cell r="A909" t="str">
            <v>P1205006</v>
          </cell>
          <cell r="B909" t="str">
            <v>Material</v>
          </cell>
          <cell r="C909" t="str">
            <v>Pintura Mant. Popular</v>
          </cell>
          <cell r="D909">
            <v>0.12670000000000001</v>
          </cell>
          <cell r="E909" t="str">
            <v>gl</v>
          </cell>
          <cell r="F909">
            <v>1084.7457627118645</v>
          </cell>
          <cell r="G909">
            <v>137.43728813559323</v>
          </cell>
          <cell r="H909">
            <v>24.738711864406781</v>
          </cell>
          <cell r="I909">
            <v>162.17600000000002</v>
          </cell>
        </row>
        <row r="910">
          <cell r="A910" t="str">
            <v>P1208002</v>
          </cell>
          <cell r="B910" t="str">
            <v>Material</v>
          </cell>
          <cell r="C910" t="str">
            <v>Bacineta para rolo pintor</v>
          </cell>
          <cell r="D910">
            <v>6.4000000000000003E-3</v>
          </cell>
          <cell r="E910" t="str">
            <v>u</v>
          </cell>
          <cell r="F910">
            <v>266.94915254237287</v>
          </cell>
          <cell r="G910">
            <v>1.7084745762711864</v>
          </cell>
          <cell r="H910">
            <v>0.30752542372881353</v>
          </cell>
          <cell r="I910">
            <v>2.016</v>
          </cell>
        </row>
        <row r="911">
          <cell r="A911" t="str">
            <v>P1208003</v>
          </cell>
          <cell r="B911" t="str">
            <v>Material</v>
          </cell>
          <cell r="C911" t="str">
            <v>Portarolo y Mota para pintar</v>
          </cell>
          <cell r="D911">
            <v>6.4000000000000003E-3</v>
          </cell>
          <cell r="E911" t="str">
            <v>u</v>
          </cell>
          <cell r="F911">
            <v>205</v>
          </cell>
          <cell r="G911">
            <v>1.3120000000000001</v>
          </cell>
          <cell r="H911">
            <v>0.23616000000000001</v>
          </cell>
          <cell r="I911">
            <v>1.54816</v>
          </cell>
        </row>
        <row r="912">
          <cell r="A912" t="str">
            <v>P1208007</v>
          </cell>
          <cell r="B912" t="str">
            <v>Material</v>
          </cell>
          <cell r="C912" t="str">
            <v>Brocha de pintar de 4"</v>
          </cell>
          <cell r="D912">
            <v>9.4999999999999998E-3</v>
          </cell>
          <cell r="E912" t="str">
            <v>u</v>
          </cell>
          <cell r="F912">
            <v>88.983050847457633</v>
          </cell>
          <cell r="G912">
            <v>0.84533898305084754</v>
          </cell>
          <cell r="H912">
            <v>0.15216101694915254</v>
          </cell>
          <cell r="I912">
            <v>0.99750000000000005</v>
          </cell>
        </row>
        <row r="913">
          <cell r="A913" t="str">
            <v>H0605054</v>
          </cell>
          <cell r="B913" t="str">
            <v>Mano de obra</v>
          </cell>
          <cell r="C913" t="str">
            <v>M.O. Aplicación Pintura de Mantenimiento, 2 Manos</v>
          </cell>
          <cell r="D913">
            <v>1</v>
          </cell>
          <cell r="E913" t="str">
            <v>m²</v>
          </cell>
          <cell r="F913">
            <v>18.41</v>
          </cell>
          <cell r="G913">
            <v>18.41</v>
          </cell>
          <cell r="H913">
            <v>0</v>
          </cell>
          <cell r="I913">
            <v>18.41</v>
          </cell>
        </row>
        <row r="914">
          <cell r="A914" t="str">
            <v>H%FH</v>
          </cell>
          <cell r="B914" t="str">
            <v>Otros</v>
          </cell>
          <cell r="C914" t="str">
            <v>Factor Herramientas</v>
          </cell>
          <cell r="D914">
            <v>1</v>
          </cell>
          <cell r="E914" t="str">
            <v>%</v>
          </cell>
          <cell r="F914">
            <v>18.41</v>
          </cell>
          <cell r="G914">
            <v>0.18410000000000001</v>
          </cell>
          <cell r="H914">
            <v>0</v>
          </cell>
          <cell r="I914">
            <v>0.18410000000000001</v>
          </cell>
        </row>
        <row r="915">
          <cell r="A915">
            <v>0</v>
          </cell>
          <cell r="B915">
            <v>0</v>
          </cell>
          <cell r="C915" t="str">
            <v>Total 01.11.07</v>
          </cell>
          <cell r="D915">
            <v>1</v>
          </cell>
          <cell r="E915">
            <v>0</v>
          </cell>
          <cell r="F915">
            <v>0</v>
          </cell>
          <cell r="G915">
            <v>159.89720169491528</v>
          </cell>
          <cell r="H915">
            <v>25.434558305084746</v>
          </cell>
          <cell r="I915">
            <v>185.33176</v>
          </cell>
        </row>
        <row r="916">
          <cell r="A916">
            <v>0</v>
          </cell>
          <cell r="B916">
            <v>0</v>
          </cell>
          <cell r="C916">
            <v>0</v>
          </cell>
          <cell r="D916">
            <v>0</v>
          </cell>
          <cell r="E916">
            <v>0</v>
          </cell>
          <cell r="F916">
            <v>0</v>
          </cell>
          <cell r="G916">
            <v>0</v>
          </cell>
          <cell r="H916">
            <v>0</v>
          </cell>
          <cell r="I916">
            <v>0</v>
          </cell>
        </row>
        <row r="917">
          <cell r="A917" t="str">
            <v>01.11.08</v>
          </cell>
          <cell r="B917" t="str">
            <v>Partida</v>
          </cell>
          <cell r="C917" t="str">
            <v>Pintura señalización en rampa para discapacitados</v>
          </cell>
          <cell r="D917">
            <v>1</v>
          </cell>
          <cell r="E917" t="str">
            <v>m²</v>
          </cell>
          <cell r="F917">
            <v>0</v>
          </cell>
          <cell r="G917">
            <v>825</v>
          </cell>
          <cell r="H917">
            <v>0</v>
          </cell>
          <cell r="I917">
            <v>825</v>
          </cell>
        </row>
        <row r="918">
          <cell r="A918" t="str">
            <v>O151521</v>
          </cell>
          <cell r="B918" t="str">
            <v>Otros</v>
          </cell>
          <cell r="C918" t="str">
            <v>Sum./ Colocación Pintura señalización en rampa para discapacitados</v>
          </cell>
          <cell r="D918">
            <v>1</v>
          </cell>
          <cell r="E918" t="str">
            <v>m²</v>
          </cell>
          <cell r="F918">
            <v>825</v>
          </cell>
          <cell r="G918">
            <v>825</v>
          </cell>
          <cell r="H918">
            <v>0</v>
          </cell>
          <cell r="I918">
            <v>825</v>
          </cell>
        </row>
        <row r="919">
          <cell r="A919">
            <v>0</v>
          </cell>
          <cell r="B919">
            <v>0</v>
          </cell>
          <cell r="C919" t="str">
            <v>Total 01.11.08</v>
          </cell>
          <cell r="D919">
            <v>1</v>
          </cell>
          <cell r="E919">
            <v>0</v>
          </cell>
          <cell r="F919">
            <v>0</v>
          </cell>
          <cell r="G919">
            <v>825</v>
          </cell>
          <cell r="H919">
            <v>0</v>
          </cell>
          <cell r="I919">
            <v>825</v>
          </cell>
        </row>
        <row r="920">
          <cell r="A920">
            <v>0</v>
          </cell>
          <cell r="B920">
            <v>0</v>
          </cell>
          <cell r="C920">
            <v>0</v>
          </cell>
          <cell r="D920">
            <v>0</v>
          </cell>
          <cell r="E920">
            <v>0</v>
          </cell>
          <cell r="F920">
            <v>0</v>
          </cell>
          <cell r="G920">
            <v>0</v>
          </cell>
          <cell r="H920">
            <v>0</v>
          </cell>
          <cell r="I920">
            <v>0</v>
          </cell>
        </row>
        <row r="921">
          <cell r="A921">
            <v>0</v>
          </cell>
          <cell r="B921">
            <v>0</v>
          </cell>
          <cell r="C921">
            <v>0</v>
          </cell>
          <cell r="D921">
            <v>0</v>
          </cell>
          <cell r="E921">
            <v>0</v>
          </cell>
          <cell r="F921">
            <v>0</v>
          </cell>
          <cell r="G921">
            <v>0</v>
          </cell>
          <cell r="H921">
            <v>0</v>
          </cell>
          <cell r="I921">
            <v>0</v>
          </cell>
        </row>
        <row r="922">
          <cell r="A922" t="str">
            <v>01.12</v>
          </cell>
          <cell r="B922" t="str">
            <v>Capítulo</v>
          </cell>
          <cell r="C922" t="str">
            <v>TERMINACION DE TECHO:</v>
          </cell>
          <cell r="D922">
            <v>0</v>
          </cell>
          <cell r="E922" t="str">
            <v/>
          </cell>
          <cell r="F922">
            <v>0</v>
          </cell>
          <cell r="G922">
            <v>0</v>
          </cell>
          <cell r="H922">
            <v>0</v>
          </cell>
          <cell r="I922">
            <v>0</v>
          </cell>
        </row>
        <row r="923">
          <cell r="A923" t="str">
            <v>01.12.01</v>
          </cell>
          <cell r="B923" t="str">
            <v>Partida</v>
          </cell>
          <cell r="C923" t="str">
            <v>Fino de mezcla</v>
          </cell>
          <cell r="D923">
            <v>1</v>
          </cell>
          <cell r="E923" t="str">
            <v>m²</v>
          </cell>
          <cell r="F923">
            <v>0</v>
          </cell>
          <cell r="G923">
            <v>627.72543999999994</v>
          </cell>
          <cell r="H923">
            <v>71.369143199999982</v>
          </cell>
          <cell r="I923">
            <v>699.09458319999999</v>
          </cell>
        </row>
        <row r="924">
          <cell r="A924" t="str">
            <v>A0120</v>
          </cell>
          <cell r="B924" t="str">
            <v>Auxiliar</v>
          </cell>
          <cell r="C924" t="str">
            <v>Mezcla de Mortero 1:3</v>
          </cell>
          <cell r="D924">
            <v>8.7999999999999995E-2</v>
          </cell>
          <cell r="E924" t="str">
            <v>m³</v>
          </cell>
          <cell r="F924">
            <v>4760.5050000000001</v>
          </cell>
          <cell r="G924">
            <v>418.92444</v>
          </cell>
          <cell r="H924">
            <v>70.254043199999984</v>
          </cell>
          <cell r="I924">
            <v>489.17848319999996</v>
          </cell>
        </row>
        <row r="925">
          <cell r="A925" t="str">
            <v>P0601003</v>
          </cell>
          <cell r="B925" t="str">
            <v>Material</v>
          </cell>
          <cell r="C925" t="str">
            <v>Cemento Gris 94 lbs. Tipo Portland</v>
          </cell>
          <cell r="D925">
            <v>2.1000000000000001E-2</v>
          </cell>
          <cell r="E925" t="str">
            <v>fd</v>
          </cell>
          <cell r="F925">
            <v>295</v>
          </cell>
          <cell r="G925">
            <v>6.1950000000000003</v>
          </cell>
          <cell r="H925">
            <v>1.1151</v>
          </cell>
          <cell r="I925">
            <v>7.3101000000000003</v>
          </cell>
        </row>
        <row r="926">
          <cell r="A926" t="str">
            <v>H0335351</v>
          </cell>
          <cell r="B926" t="str">
            <v>Mano de obra</v>
          </cell>
          <cell r="C926" t="str">
            <v>M.O. Alb Fino Techo Plano e=5cm</v>
          </cell>
          <cell r="D926">
            <v>1</v>
          </cell>
          <cell r="E926" t="str">
            <v>m²</v>
          </cell>
          <cell r="F926">
            <v>150</v>
          </cell>
          <cell r="G926">
            <v>150</v>
          </cell>
          <cell r="H926">
            <v>0</v>
          </cell>
          <cell r="I926">
            <v>150</v>
          </cell>
        </row>
        <row r="927">
          <cell r="A927" t="str">
            <v>H0330331</v>
          </cell>
          <cell r="B927" t="str">
            <v>Mano de obra</v>
          </cell>
          <cell r="C927" t="str">
            <v>M.O. Subida materiales p/fino eprom=8cm</v>
          </cell>
          <cell r="D927">
            <v>1</v>
          </cell>
          <cell r="E927" t="str">
            <v>m²</v>
          </cell>
          <cell r="F927">
            <v>50.6</v>
          </cell>
          <cell r="G927">
            <v>50.6</v>
          </cell>
          <cell r="H927">
            <v>0</v>
          </cell>
          <cell r="I927">
            <v>50.6</v>
          </cell>
        </row>
        <row r="928">
          <cell r="A928" t="str">
            <v>H%FH</v>
          </cell>
          <cell r="B928" t="str">
            <v>Otros</v>
          </cell>
          <cell r="C928" t="str">
            <v>Factor Herramientas</v>
          </cell>
          <cell r="D928">
            <v>1</v>
          </cell>
          <cell r="E928" t="str">
            <v>%</v>
          </cell>
          <cell r="F928">
            <v>200.6</v>
          </cell>
          <cell r="G928">
            <v>2.0059999999999998</v>
          </cell>
          <cell r="H928">
            <v>0</v>
          </cell>
          <cell r="I928">
            <v>2.0059999999999998</v>
          </cell>
        </row>
        <row r="929">
          <cell r="A929">
            <v>0</v>
          </cell>
          <cell r="B929">
            <v>0</v>
          </cell>
          <cell r="C929" t="str">
            <v>Total 01.12.01</v>
          </cell>
          <cell r="D929">
            <v>1</v>
          </cell>
          <cell r="E929">
            <v>0</v>
          </cell>
          <cell r="F929">
            <v>0</v>
          </cell>
          <cell r="G929">
            <v>627.72543999999994</v>
          </cell>
          <cell r="H929">
            <v>71.369143199999982</v>
          </cell>
          <cell r="I929">
            <v>699.09458319999999</v>
          </cell>
        </row>
        <row r="930">
          <cell r="A930">
            <v>0</v>
          </cell>
          <cell r="B930">
            <v>0</v>
          </cell>
          <cell r="C930">
            <v>0</v>
          </cell>
          <cell r="D930">
            <v>0</v>
          </cell>
          <cell r="E930">
            <v>0</v>
          </cell>
          <cell r="F930">
            <v>0</v>
          </cell>
          <cell r="G930">
            <v>0</v>
          </cell>
          <cell r="H930">
            <v>0</v>
          </cell>
          <cell r="I930">
            <v>0</v>
          </cell>
        </row>
        <row r="931">
          <cell r="A931" t="str">
            <v>01.12.02</v>
          </cell>
          <cell r="B931" t="str">
            <v>Partida</v>
          </cell>
          <cell r="C931" t="str">
            <v>Zabaleta</v>
          </cell>
          <cell r="D931">
            <v>1</v>
          </cell>
          <cell r="E931" t="str">
            <v>m</v>
          </cell>
          <cell r="F931">
            <v>0</v>
          </cell>
          <cell r="G931">
            <v>118.602452</v>
          </cell>
          <cell r="H931">
            <v>10.440441359999999</v>
          </cell>
          <cell r="I931">
            <v>129.04289335999999</v>
          </cell>
        </row>
        <row r="932">
          <cell r="A932" t="str">
            <v>P0603001</v>
          </cell>
          <cell r="B932" t="str">
            <v>Material</v>
          </cell>
          <cell r="C932" t="str">
            <v>Cal hidratada, funda de 50 Lbs</v>
          </cell>
          <cell r="D932">
            <v>2.1299999999999999E-2</v>
          </cell>
          <cell r="E932" t="str">
            <v>fd</v>
          </cell>
          <cell r="F932">
            <v>213.4</v>
          </cell>
          <cell r="G932">
            <v>4.54542</v>
          </cell>
          <cell r="H932">
            <v>0.8181756</v>
          </cell>
          <cell r="I932">
            <v>5.3635956</v>
          </cell>
        </row>
        <row r="933">
          <cell r="A933" t="str">
            <v>P0601003</v>
          </cell>
          <cell r="B933" t="str">
            <v>Material</v>
          </cell>
          <cell r="C933" t="str">
            <v>Cemento Gris 94 lbs. Tipo Portland</v>
          </cell>
          <cell r="D933">
            <v>0.10639999999999999</v>
          </cell>
          <cell r="E933" t="str">
            <v>fd</v>
          </cell>
          <cell r="F933">
            <v>295</v>
          </cell>
          <cell r="G933">
            <v>31.387999999999998</v>
          </cell>
          <cell r="H933">
            <v>5.6498399999999993</v>
          </cell>
          <cell r="I933">
            <v>37.037839999999996</v>
          </cell>
        </row>
        <row r="934">
          <cell r="A934" t="str">
            <v>P0201008</v>
          </cell>
          <cell r="B934" t="str">
            <v>Material</v>
          </cell>
          <cell r="C934" t="str">
            <v>Arena Itabo Lavada</v>
          </cell>
          <cell r="D934">
            <v>1.2200000000000001E-2</v>
          </cell>
          <cell r="E934" t="str">
            <v>m³</v>
          </cell>
          <cell r="F934">
            <v>930.76</v>
          </cell>
          <cell r="G934">
            <v>11.355272000000001</v>
          </cell>
          <cell r="H934">
            <v>2.0439489600000003</v>
          </cell>
          <cell r="I934">
            <v>13.399220960000001</v>
          </cell>
        </row>
        <row r="935">
          <cell r="A935" t="str">
            <v>P2403199</v>
          </cell>
          <cell r="B935" t="str">
            <v>Material</v>
          </cell>
          <cell r="C935" t="str">
            <v>Agua</v>
          </cell>
          <cell r="D935">
            <v>0.6</v>
          </cell>
          <cell r="E935" t="str">
            <v>gl</v>
          </cell>
          <cell r="F935">
            <v>1.58</v>
          </cell>
          <cell r="G935">
            <v>0.94799999999999995</v>
          </cell>
          <cell r="H935">
            <v>0.17063999999999999</v>
          </cell>
          <cell r="I935">
            <v>1.1186399999999999</v>
          </cell>
        </row>
        <row r="936">
          <cell r="A936" t="str">
            <v>P0701003</v>
          </cell>
          <cell r="B936" t="str">
            <v>Material</v>
          </cell>
          <cell r="C936" t="str">
            <v>Regla para pañete de PATC</v>
          </cell>
          <cell r="D936">
            <v>0.16400000000000001</v>
          </cell>
          <cell r="E936" t="str">
            <v>p²</v>
          </cell>
          <cell r="F936">
            <v>55.000000000000007</v>
          </cell>
          <cell r="G936">
            <v>9.0200000000000014</v>
          </cell>
          <cell r="H936">
            <v>1.6236000000000002</v>
          </cell>
          <cell r="I936">
            <v>10.643600000000001</v>
          </cell>
        </row>
        <row r="937">
          <cell r="A937" t="str">
            <v>P0420006</v>
          </cell>
          <cell r="B937" t="str">
            <v>Material</v>
          </cell>
          <cell r="C937" t="str">
            <v>Clavo de acero de 2 1/2"</v>
          </cell>
          <cell r="D937">
            <v>1.6E-2</v>
          </cell>
          <cell r="E937" t="str">
            <v>lb</v>
          </cell>
          <cell r="F937">
            <v>46.61</v>
          </cell>
          <cell r="G937">
            <v>0.74575999999999998</v>
          </cell>
          <cell r="H937">
            <v>0.13423679999999999</v>
          </cell>
          <cell r="I937">
            <v>0.87999680000000002</v>
          </cell>
        </row>
        <row r="938">
          <cell r="A938" t="str">
            <v>H0335353</v>
          </cell>
          <cell r="B938" t="str">
            <v>Mano de obra</v>
          </cell>
          <cell r="C938" t="str">
            <v>M.O. Alb zabaleta</v>
          </cell>
          <cell r="D938">
            <v>1</v>
          </cell>
          <cell r="E938" t="str">
            <v>m</v>
          </cell>
          <cell r="F938">
            <v>60</v>
          </cell>
          <cell r="G938">
            <v>60</v>
          </cell>
          <cell r="H938">
            <v>0</v>
          </cell>
          <cell r="I938">
            <v>60</v>
          </cell>
        </row>
        <row r="939">
          <cell r="A939" t="str">
            <v>H%FH</v>
          </cell>
          <cell r="B939" t="str">
            <v>Otros</v>
          </cell>
          <cell r="C939" t="str">
            <v>Factor Herramientas</v>
          </cell>
          <cell r="D939">
            <v>1</v>
          </cell>
          <cell r="E939" t="str">
            <v>%</v>
          </cell>
          <cell r="F939">
            <v>60</v>
          </cell>
          <cell r="G939">
            <v>0.6</v>
          </cell>
          <cell r="H939">
            <v>0</v>
          </cell>
          <cell r="I939">
            <v>0.6</v>
          </cell>
        </row>
        <row r="940">
          <cell r="A940">
            <v>0</v>
          </cell>
          <cell r="B940">
            <v>0</v>
          </cell>
          <cell r="C940" t="str">
            <v>Total 01.12.02</v>
          </cell>
          <cell r="D940">
            <v>1</v>
          </cell>
          <cell r="E940">
            <v>0</v>
          </cell>
          <cell r="F940">
            <v>0</v>
          </cell>
          <cell r="G940">
            <v>118.602452</v>
          </cell>
          <cell r="H940">
            <v>10.440441359999999</v>
          </cell>
          <cell r="I940">
            <v>129.04289335999999</v>
          </cell>
        </row>
        <row r="941">
          <cell r="A941">
            <v>0</v>
          </cell>
          <cell r="B941">
            <v>0</v>
          </cell>
          <cell r="C941">
            <v>0</v>
          </cell>
          <cell r="D941">
            <v>0</v>
          </cell>
          <cell r="E941">
            <v>0</v>
          </cell>
          <cell r="F941">
            <v>0</v>
          </cell>
          <cell r="G941">
            <v>0</v>
          </cell>
          <cell r="H941">
            <v>0</v>
          </cell>
          <cell r="I941">
            <v>0</v>
          </cell>
        </row>
        <row r="942">
          <cell r="A942" t="str">
            <v>01.12.03</v>
          </cell>
          <cell r="B942" t="str">
            <v>Partida</v>
          </cell>
          <cell r="C942" t="str">
            <v>Impermeabilizante acrílico, capa elastomérica para techo polybrite 24. Siete años de garantía.</v>
          </cell>
          <cell r="D942">
            <v>1</v>
          </cell>
          <cell r="E942" t="str">
            <v>m²</v>
          </cell>
          <cell r="F942">
            <v>0</v>
          </cell>
          <cell r="G942">
            <v>59.36</v>
          </cell>
          <cell r="H942">
            <v>0</v>
          </cell>
          <cell r="I942">
            <v>59.36</v>
          </cell>
        </row>
        <row r="943">
          <cell r="A943" t="str">
            <v>O0915401</v>
          </cell>
          <cell r="B943" t="str">
            <v>Otros</v>
          </cell>
          <cell r="C943" t="str">
            <v>Sum./ Instalación Impermeabilizante PolyBrite 24</v>
          </cell>
          <cell r="D943">
            <v>0.1696</v>
          </cell>
          <cell r="E943" t="str">
            <v>m²</v>
          </cell>
          <cell r="F943">
            <v>350</v>
          </cell>
          <cell r="G943">
            <v>59.36</v>
          </cell>
          <cell r="H943">
            <v>0</v>
          </cell>
          <cell r="I943">
            <v>59.36</v>
          </cell>
        </row>
        <row r="944">
          <cell r="A944">
            <v>0</v>
          </cell>
          <cell r="B944">
            <v>0</v>
          </cell>
          <cell r="C944" t="str">
            <v>Total 01.12.03</v>
          </cell>
          <cell r="D944">
            <v>1</v>
          </cell>
          <cell r="E944">
            <v>0</v>
          </cell>
          <cell r="F944">
            <v>0</v>
          </cell>
          <cell r="G944">
            <v>59.36</v>
          </cell>
          <cell r="H944">
            <v>0</v>
          </cell>
          <cell r="I944">
            <v>59.36</v>
          </cell>
        </row>
        <row r="945">
          <cell r="A945">
            <v>0</v>
          </cell>
          <cell r="B945">
            <v>0</v>
          </cell>
          <cell r="C945">
            <v>0</v>
          </cell>
          <cell r="D945">
            <v>0</v>
          </cell>
          <cell r="E945">
            <v>0</v>
          </cell>
          <cell r="F945">
            <v>0</v>
          </cell>
          <cell r="G945">
            <v>0</v>
          </cell>
          <cell r="H945">
            <v>0</v>
          </cell>
          <cell r="I945">
            <v>0</v>
          </cell>
        </row>
        <row r="946">
          <cell r="A946">
            <v>0</v>
          </cell>
          <cell r="B946">
            <v>0</v>
          </cell>
          <cell r="C946">
            <v>0</v>
          </cell>
          <cell r="D946">
            <v>0</v>
          </cell>
          <cell r="E946">
            <v>0</v>
          </cell>
          <cell r="F946">
            <v>0</v>
          </cell>
          <cell r="G946">
            <v>0</v>
          </cell>
          <cell r="H946">
            <v>0</v>
          </cell>
          <cell r="I946">
            <v>0</v>
          </cell>
        </row>
        <row r="947">
          <cell r="A947">
            <v>0</v>
          </cell>
          <cell r="B947">
            <v>0</v>
          </cell>
          <cell r="C947">
            <v>0</v>
          </cell>
          <cell r="D947">
            <v>0</v>
          </cell>
          <cell r="E947">
            <v>0</v>
          </cell>
          <cell r="F947">
            <v>0</v>
          </cell>
          <cell r="G947">
            <v>0</v>
          </cell>
          <cell r="H947">
            <v>0</v>
          </cell>
          <cell r="I947">
            <v>0</v>
          </cell>
        </row>
        <row r="948">
          <cell r="A948" t="str">
            <v>01.13</v>
          </cell>
          <cell r="B948" t="str">
            <v>Capítulo</v>
          </cell>
          <cell r="C948" t="str">
            <v>ACERAS/ PAVIMENTOS:</v>
          </cell>
          <cell r="D948">
            <v>0</v>
          </cell>
          <cell r="E948" t="str">
            <v/>
          </cell>
          <cell r="F948">
            <v>0</v>
          </cell>
          <cell r="G948">
            <v>0</v>
          </cell>
          <cell r="H948">
            <v>0</v>
          </cell>
          <cell r="I948">
            <v>0</v>
          </cell>
        </row>
        <row r="949">
          <cell r="A949" t="str">
            <v>01.13.01</v>
          </cell>
          <cell r="B949" t="str">
            <v>Partida</v>
          </cell>
          <cell r="C949" t="str">
            <v>Acera en Hormigón frotado</v>
          </cell>
          <cell r="D949">
            <v>1</v>
          </cell>
          <cell r="E949" t="str">
            <v>m²</v>
          </cell>
          <cell r="F949">
            <v>0</v>
          </cell>
          <cell r="G949">
            <v>861.5140283333335</v>
          </cell>
          <cell r="H949">
            <v>113.46935310000002</v>
          </cell>
          <cell r="I949">
            <v>974.98338143333342</v>
          </cell>
        </row>
        <row r="950">
          <cell r="A950" t="str">
            <v>P0602008</v>
          </cell>
          <cell r="B950" t="str">
            <v>Material</v>
          </cell>
          <cell r="C950" t="str">
            <v>Hormigón Industrial H210 kg/cm2, Bombeado</v>
          </cell>
          <cell r="D950">
            <v>0.10700000000000001</v>
          </cell>
          <cell r="E950" t="str">
            <v>m³</v>
          </cell>
          <cell r="F950">
            <v>4845.76</v>
          </cell>
          <cell r="G950">
            <v>518.49632000000008</v>
          </cell>
          <cell r="H950">
            <v>93.329337600000017</v>
          </cell>
          <cell r="I950">
            <v>611.82565760000011</v>
          </cell>
        </row>
        <row r="951">
          <cell r="A951" t="str">
            <v>P0301004</v>
          </cell>
          <cell r="B951" t="str">
            <v>Material</v>
          </cell>
          <cell r="C951" t="str">
            <v>Madera Pino Amer. Bruta 1"x4"</v>
          </cell>
          <cell r="D951">
            <v>0.1056</v>
          </cell>
          <cell r="E951" t="str">
            <v>p²</v>
          </cell>
          <cell r="F951">
            <v>41</v>
          </cell>
          <cell r="G951">
            <v>4.3296000000000001</v>
          </cell>
          <cell r="H951">
            <v>0.77932800000000002</v>
          </cell>
          <cell r="I951">
            <v>5.1089280000000006</v>
          </cell>
        </row>
        <row r="952">
          <cell r="A952" t="str">
            <v>P0402002</v>
          </cell>
          <cell r="B952" t="str">
            <v>Material</v>
          </cell>
          <cell r="C952" t="str">
            <v>Acero Malla D2.3xD2.3 (150x150)  Rollo 2.5x40=3.32qq</v>
          </cell>
          <cell r="D952">
            <v>1.1000000000000001</v>
          </cell>
          <cell r="E952" t="str">
            <v>m²</v>
          </cell>
          <cell r="F952">
            <v>97.78125</v>
          </cell>
          <cell r="G952">
            <v>107.559375</v>
          </cell>
          <cell r="H952">
            <v>19.360687500000001</v>
          </cell>
          <cell r="I952">
            <v>126.9200625</v>
          </cell>
        </row>
        <row r="953">
          <cell r="A953" t="str">
            <v>H0205059</v>
          </cell>
          <cell r="B953" t="str">
            <v>Mano de obra</v>
          </cell>
          <cell r="C953" t="str">
            <v>M.O. Preparación del Terreno</v>
          </cell>
          <cell r="D953">
            <v>1</v>
          </cell>
          <cell r="E953" t="str">
            <v>m²</v>
          </cell>
          <cell r="F953">
            <v>35</v>
          </cell>
          <cell r="G953">
            <v>35</v>
          </cell>
          <cell r="H953">
            <v>0</v>
          </cell>
          <cell r="I953">
            <v>35</v>
          </cell>
        </row>
        <row r="954">
          <cell r="A954" t="str">
            <v>H0302112</v>
          </cell>
          <cell r="B954" t="str">
            <v>Mano de obra</v>
          </cell>
          <cell r="C954" t="str">
            <v>M.O. Colocación Malla Electrosoldada</v>
          </cell>
          <cell r="D954">
            <v>1</v>
          </cell>
          <cell r="E954" t="str">
            <v>m²</v>
          </cell>
          <cell r="F954">
            <v>45</v>
          </cell>
          <cell r="G954">
            <v>45</v>
          </cell>
          <cell r="H954">
            <v>0</v>
          </cell>
          <cell r="I954">
            <v>45</v>
          </cell>
        </row>
        <row r="955">
          <cell r="A955" t="str">
            <v>H0355554</v>
          </cell>
          <cell r="B955" t="str">
            <v>Mano de obra</v>
          </cell>
          <cell r="C955" t="str">
            <v>M.O. Const. Acera 10cm esp. (promed.)</v>
          </cell>
          <cell r="D955">
            <v>0.1</v>
          </cell>
          <cell r="E955" t="str">
            <v>m³</v>
          </cell>
          <cell r="F955">
            <v>1450</v>
          </cell>
          <cell r="G955">
            <v>145</v>
          </cell>
          <cell r="H955">
            <v>0</v>
          </cell>
          <cell r="I955">
            <v>145</v>
          </cell>
        </row>
        <row r="956">
          <cell r="A956" t="str">
            <v>SC800001</v>
          </cell>
          <cell r="B956" t="str">
            <v>Otros</v>
          </cell>
          <cell r="C956" t="str">
            <v>Ensayos y pruebas de laboratorio hormigón (3 Probetas x c/45m3)</v>
          </cell>
          <cell r="D956">
            <v>6.6666666666666671E-3</v>
          </cell>
          <cell r="E956" t="str">
            <v>u</v>
          </cell>
          <cell r="F956">
            <v>581.80999999999995</v>
          </cell>
          <cell r="G956">
            <v>3.8787333333333334</v>
          </cell>
          <cell r="H956">
            <v>0</v>
          </cell>
          <cell r="I956">
            <v>3.8787333333333334</v>
          </cell>
        </row>
        <row r="957">
          <cell r="A957" t="str">
            <v>H%FH</v>
          </cell>
          <cell r="B957" t="str">
            <v>Otros</v>
          </cell>
          <cell r="C957" t="str">
            <v>Factor Herramientas</v>
          </cell>
          <cell r="D957">
            <v>1</v>
          </cell>
          <cell r="E957" t="str">
            <v>%</v>
          </cell>
          <cell r="F957">
            <v>225</v>
          </cell>
          <cell r="G957">
            <v>2.25</v>
          </cell>
          <cell r="H957">
            <v>0</v>
          </cell>
          <cell r="I957">
            <v>2.25</v>
          </cell>
        </row>
        <row r="958">
          <cell r="A958">
            <v>0</v>
          </cell>
          <cell r="B958">
            <v>0</v>
          </cell>
          <cell r="C958" t="str">
            <v>Total 01.13.01</v>
          </cell>
          <cell r="D958">
            <v>1</v>
          </cell>
          <cell r="E958">
            <v>0</v>
          </cell>
          <cell r="F958">
            <v>0</v>
          </cell>
          <cell r="G958">
            <v>861.5140283333335</v>
          </cell>
          <cell r="H958">
            <v>113.46935310000002</v>
          </cell>
          <cell r="I958">
            <v>974.98338143333342</v>
          </cell>
        </row>
        <row r="959">
          <cell r="A959">
            <v>0</v>
          </cell>
          <cell r="B959">
            <v>0</v>
          </cell>
          <cell r="C959">
            <v>0</v>
          </cell>
          <cell r="D959">
            <v>0</v>
          </cell>
          <cell r="E959">
            <v>0</v>
          </cell>
          <cell r="F959">
            <v>0</v>
          </cell>
          <cell r="G959">
            <v>0</v>
          </cell>
          <cell r="H959">
            <v>0</v>
          </cell>
          <cell r="I959">
            <v>0</v>
          </cell>
        </row>
        <row r="960">
          <cell r="A960" t="str">
            <v>01.13.02</v>
          </cell>
          <cell r="B960" t="str">
            <v>Partida</v>
          </cell>
          <cell r="C960" t="str">
            <v>Aceras exteriores. Piso hormigón rayado con color.</v>
          </cell>
          <cell r="D960">
            <v>1</v>
          </cell>
          <cell r="E960" t="str">
            <v>m²</v>
          </cell>
          <cell r="F960">
            <v>0</v>
          </cell>
          <cell r="G960">
            <v>876.66402833333348</v>
          </cell>
          <cell r="H960">
            <v>113.46935310000002</v>
          </cell>
          <cell r="I960">
            <v>990.1333814333334</v>
          </cell>
        </row>
        <row r="961">
          <cell r="A961" t="str">
            <v>P0602008</v>
          </cell>
          <cell r="B961" t="str">
            <v>Material</v>
          </cell>
          <cell r="C961" t="str">
            <v>Hormigón Industrial H210 kg/cm2, Bombeado</v>
          </cell>
          <cell r="D961">
            <v>0.10700000000000001</v>
          </cell>
          <cell r="E961" t="str">
            <v>m³</v>
          </cell>
          <cell r="F961">
            <v>4845.76</v>
          </cell>
          <cell r="G961">
            <v>518.49632000000008</v>
          </cell>
          <cell r="H961">
            <v>93.329337600000017</v>
          </cell>
          <cell r="I961">
            <v>611.82565760000011</v>
          </cell>
        </row>
        <row r="962">
          <cell r="A962" t="str">
            <v>P0301004</v>
          </cell>
          <cell r="B962" t="str">
            <v>Material</v>
          </cell>
          <cell r="C962" t="str">
            <v>Madera Pino Amer. Bruta 1"x4"</v>
          </cell>
          <cell r="D962">
            <v>0.1056</v>
          </cell>
          <cell r="E962" t="str">
            <v>p²</v>
          </cell>
          <cell r="F962">
            <v>41</v>
          </cell>
          <cell r="G962">
            <v>4.3296000000000001</v>
          </cell>
          <cell r="H962">
            <v>0.77932800000000002</v>
          </cell>
          <cell r="I962">
            <v>5.1089280000000006</v>
          </cell>
        </row>
        <row r="963">
          <cell r="A963" t="str">
            <v>P0402002</v>
          </cell>
          <cell r="B963" t="str">
            <v>Material</v>
          </cell>
          <cell r="C963" t="str">
            <v>Acero Malla D2.3xD2.3 (150x150)  Rollo 2.5x40=3.32qq</v>
          </cell>
          <cell r="D963">
            <v>1.1000000000000001</v>
          </cell>
          <cell r="E963" t="str">
            <v>m²</v>
          </cell>
          <cell r="F963">
            <v>97.78125</v>
          </cell>
          <cell r="G963">
            <v>107.559375</v>
          </cell>
          <cell r="H963">
            <v>19.360687500000001</v>
          </cell>
          <cell r="I963">
            <v>126.9200625</v>
          </cell>
        </row>
        <row r="964">
          <cell r="A964" t="str">
            <v>H0205059</v>
          </cell>
          <cell r="B964" t="str">
            <v>Mano de obra</v>
          </cell>
          <cell r="C964" t="str">
            <v>M.O. Preparación del Terreno</v>
          </cell>
          <cell r="D964">
            <v>1</v>
          </cell>
          <cell r="E964" t="str">
            <v>m²</v>
          </cell>
          <cell r="F964">
            <v>35</v>
          </cell>
          <cell r="G964">
            <v>35</v>
          </cell>
          <cell r="H964">
            <v>0</v>
          </cell>
          <cell r="I964">
            <v>35</v>
          </cell>
        </row>
        <row r="965">
          <cell r="A965" t="str">
            <v>H0302112</v>
          </cell>
          <cell r="B965" t="str">
            <v>Mano de obra</v>
          </cell>
          <cell r="C965" t="str">
            <v>M.O. Colocación Malla Electrosoldada</v>
          </cell>
          <cell r="D965">
            <v>1</v>
          </cell>
          <cell r="E965" t="str">
            <v>m²</v>
          </cell>
          <cell r="F965">
            <v>45</v>
          </cell>
          <cell r="G965">
            <v>45</v>
          </cell>
          <cell r="H965">
            <v>0</v>
          </cell>
          <cell r="I965">
            <v>45</v>
          </cell>
        </row>
        <row r="966">
          <cell r="A966" t="str">
            <v>H0355555</v>
          </cell>
          <cell r="B966" t="str">
            <v>Mano de obra</v>
          </cell>
          <cell r="C966" t="str">
            <v>M.O. Const. Acera c/Color 10cm esp. (promed.)</v>
          </cell>
          <cell r="D966">
            <v>0.1</v>
          </cell>
          <cell r="E966" t="str">
            <v>m³</v>
          </cell>
          <cell r="F966">
            <v>1600</v>
          </cell>
          <cell r="G966">
            <v>160</v>
          </cell>
          <cell r="H966">
            <v>0</v>
          </cell>
          <cell r="I966">
            <v>160</v>
          </cell>
        </row>
        <row r="967">
          <cell r="A967" t="str">
            <v>SC800001</v>
          </cell>
          <cell r="B967" t="str">
            <v>Otros</v>
          </cell>
          <cell r="C967" t="str">
            <v>Ensayos y pruebas de laboratorio hormigón (3 Probetas x c/45m3)</v>
          </cell>
          <cell r="D967">
            <v>6.6666666666666671E-3</v>
          </cell>
          <cell r="E967" t="str">
            <v>u</v>
          </cell>
          <cell r="F967">
            <v>581.80999999999995</v>
          </cell>
          <cell r="G967">
            <v>3.8787333333333334</v>
          </cell>
          <cell r="H967">
            <v>0</v>
          </cell>
          <cell r="I967">
            <v>3.8787333333333334</v>
          </cell>
        </row>
        <row r="968">
          <cell r="A968" t="str">
            <v>H%FH</v>
          </cell>
          <cell r="B968" t="str">
            <v>Otros</v>
          </cell>
          <cell r="C968" t="str">
            <v>Factor Herramientas</v>
          </cell>
          <cell r="D968">
            <v>1</v>
          </cell>
          <cell r="E968" t="str">
            <v>%</v>
          </cell>
          <cell r="F968">
            <v>240</v>
          </cell>
          <cell r="G968">
            <v>2.4</v>
          </cell>
          <cell r="H968">
            <v>0</v>
          </cell>
          <cell r="I968">
            <v>2.4</v>
          </cell>
        </row>
        <row r="969">
          <cell r="A969">
            <v>0</v>
          </cell>
          <cell r="B969">
            <v>0</v>
          </cell>
          <cell r="C969" t="str">
            <v>Total 01.13.02</v>
          </cell>
          <cell r="D969">
            <v>1</v>
          </cell>
          <cell r="E969">
            <v>0</v>
          </cell>
          <cell r="F969">
            <v>0</v>
          </cell>
          <cell r="G969">
            <v>876.66402833333348</v>
          </cell>
          <cell r="H969">
            <v>113.46935310000002</v>
          </cell>
          <cell r="I969">
            <v>990.1333814333334</v>
          </cell>
        </row>
        <row r="970">
          <cell r="A970">
            <v>0</v>
          </cell>
          <cell r="B970">
            <v>0</v>
          </cell>
          <cell r="C970">
            <v>0</v>
          </cell>
          <cell r="D970">
            <v>0</v>
          </cell>
          <cell r="E970">
            <v>0</v>
          </cell>
          <cell r="F970">
            <v>0</v>
          </cell>
          <cell r="G970">
            <v>0</v>
          </cell>
          <cell r="H970">
            <v>0</v>
          </cell>
          <cell r="I970">
            <v>0</v>
          </cell>
        </row>
        <row r="971">
          <cell r="A971" t="str">
            <v>01.13.03</v>
          </cell>
          <cell r="B971" t="str">
            <v>Partida</v>
          </cell>
          <cell r="C971" t="str">
            <v>Carpeta en Hormrigón hidraulico con microfibras, e= 0.14 mts</v>
          </cell>
          <cell r="D971">
            <v>1</v>
          </cell>
          <cell r="E971" t="str">
            <v>m³</v>
          </cell>
          <cell r="F971">
            <v>0</v>
          </cell>
          <cell r="G971">
            <v>9730.741173333332</v>
          </cell>
          <cell r="H971">
            <v>1503.1202004000002</v>
          </cell>
          <cell r="I971">
            <v>11233.861373733333</v>
          </cell>
        </row>
        <row r="972">
          <cell r="A972" t="str">
            <v>P0602009</v>
          </cell>
          <cell r="B972" t="str">
            <v>Material</v>
          </cell>
          <cell r="C972" t="str">
            <v>Hormigón Industrial H240 kg/cm2, Bombeado</v>
          </cell>
          <cell r="D972">
            <v>1.07</v>
          </cell>
          <cell r="E972" t="str">
            <v>m³</v>
          </cell>
          <cell r="F972">
            <v>5050</v>
          </cell>
          <cell r="G972">
            <v>5403.5</v>
          </cell>
          <cell r="H972">
            <v>972.63</v>
          </cell>
          <cell r="I972">
            <v>6376.13</v>
          </cell>
        </row>
        <row r="973">
          <cell r="A973" t="str">
            <v>P0602010</v>
          </cell>
          <cell r="B973" t="str">
            <v>Material</v>
          </cell>
          <cell r="C973" t="str">
            <v>Fibra forta ferro 2 1/4" (fdas de 1 Kg)</v>
          </cell>
          <cell r="D973">
            <v>4.4000000000000004</v>
          </cell>
          <cell r="E973" t="str">
            <v>lbs</v>
          </cell>
          <cell r="F973">
            <v>215.52</v>
          </cell>
          <cell r="G973">
            <v>948.28800000000012</v>
          </cell>
          <cell r="H973">
            <v>170.69184000000001</v>
          </cell>
          <cell r="I973">
            <v>1118.9798400000002</v>
          </cell>
        </row>
        <row r="974">
          <cell r="A974" t="str">
            <v>P0608013</v>
          </cell>
          <cell r="B974" t="str">
            <v>Material</v>
          </cell>
          <cell r="C974" t="str">
            <v>Supracure (Sellador de superficies) 1x55</v>
          </cell>
          <cell r="D974">
            <v>0.83299999999999996</v>
          </cell>
          <cell r="E974" t="str">
            <v>gl</v>
          </cell>
          <cell r="F974">
            <v>810.66</v>
          </cell>
          <cell r="G974">
            <v>675.27977999999996</v>
          </cell>
          <cell r="H974">
            <v>121.55036039999999</v>
          </cell>
          <cell r="I974">
            <v>796.83014039999989</v>
          </cell>
        </row>
        <row r="975">
          <cell r="A975" t="str">
            <v>P0602013</v>
          </cell>
          <cell r="B975" t="str">
            <v>Material</v>
          </cell>
          <cell r="C975" t="str">
            <v>Sellado de juntas y aplicacion</v>
          </cell>
          <cell r="D975">
            <v>8</v>
          </cell>
          <cell r="E975" t="str">
            <v>m</v>
          </cell>
          <cell r="F975">
            <v>165.45</v>
          </cell>
          <cell r="G975">
            <v>1323.6</v>
          </cell>
          <cell r="H975">
            <v>238.24799999999996</v>
          </cell>
          <cell r="I975">
            <v>1561.848</v>
          </cell>
        </row>
        <row r="976">
          <cell r="A976" t="str">
            <v>H0812011</v>
          </cell>
          <cell r="B976" t="str">
            <v>Mano de obra</v>
          </cell>
          <cell r="C976" t="str">
            <v>M.O. Sellador de superficie (TC)</v>
          </cell>
          <cell r="D976">
            <v>7.1429</v>
          </cell>
          <cell r="E976" t="str">
            <v>m²</v>
          </cell>
          <cell r="F976">
            <v>20</v>
          </cell>
          <cell r="G976">
            <v>142.858</v>
          </cell>
          <cell r="H976">
            <v>0</v>
          </cell>
          <cell r="I976">
            <v>142.858</v>
          </cell>
        </row>
        <row r="977">
          <cell r="A977" t="str">
            <v>H0812012</v>
          </cell>
          <cell r="B977" t="str">
            <v>Mano de obra</v>
          </cell>
          <cell r="C977" t="str">
            <v>M.O. Enguarderado de vias</v>
          </cell>
          <cell r="D977">
            <v>4.16</v>
          </cell>
          <cell r="E977" t="str">
            <v>m</v>
          </cell>
          <cell r="F977">
            <v>50</v>
          </cell>
          <cell r="G977">
            <v>208</v>
          </cell>
          <cell r="H977">
            <v>0</v>
          </cell>
          <cell r="I977">
            <v>208</v>
          </cell>
        </row>
        <row r="978">
          <cell r="A978" t="str">
            <v>H0812013</v>
          </cell>
          <cell r="B978" t="str">
            <v>Mano de obra</v>
          </cell>
          <cell r="C978" t="str">
            <v>M.O. Terminacion de superficie y corte de juntas</v>
          </cell>
          <cell r="D978">
            <v>7.1429</v>
          </cell>
          <cell r="E978" t="str">
            <v>m²</v>
          </cell>
          <cell r="F978">
            <v>120</v>
          </cell>
          <cell r="G978">
            <v>857.14800000000002</v>
          </cell>
          <cell r="H978">
            <v>0</v>
          </cell>
          <cell r="I978">
            <v>857.14800000000002</v>
          </cell>
        </row>
        <row r="979">
          <cell r="A979" t="str">
            <v>H0812014</v>
          </cell>
          <cell r="B979" t="str">
            <v>Mano de obra</v>
          </cell>
          <cell r="C979" t="str">
            <v>M.O. Sellado de juntas y aplicacion</v>
          </cell>
          <cell r="D979">
            <v>8</v>
          </cell>
          <cell r="E979" t="str">
            <v>m</v>
          </cell>
          <cell r="F979">
            <v>15</v>
          </cell>
          <cell r="G979">
            <v>120</v>
          </cell>
          <cell r="H979">
            <v>0</v>
          </cell>
          <cell r="I979">
            <v>120</v>
          </cell>
        </row>
        <row r="980">
          <cell r="A980" t="str">
            <v>SC800001</v>
          </cell>
          <cell r="B980" t="str">
            <v>Otros</v>
          </cell>
          <cell r="C980" t="str">
            <v>Ensayos y pruebas de laboratorio hormigón (3 Probetas x c/45m3)</v>
          </cell>
          <cell r="D980">
            <v>6.6666666666666666E-2</v>
          </cell>
          <cell r="E980" t="str">
            <v>u</v>
          </cell>
          <cell r="F980">
            <v>581.80999999999995</v>
          </cell>
          <cell r="G980">
            <v>38.787333333333329</v>
          </cell>
          <cell r="H980">
            <v>0</v>
          </cell>
          <cell r="I980">
            <v>38.787333333333329</v>
          </cell>
        </row>
        <row r="981">
          <cell r="A981" t="str">
            <v>H%FH</v>
          </cell>
          <cell r="B981" t="str">
            <v>Otros</v>
          </cell>
          <cell r="C981" t="str">
            <v>Factor Herramientas</v>
          </cell>
          <cell r="D981">
            <v>1</v>
          </cell>
          <cell r="E981" t="str">
            <v>%</v>
          </cell>
          <cell r="F981">
            <v>1328.0060000000001</v>
          </cell>
          <cell r="G981">
            <v>13.280060000000001</v>
          </cell>
          <cell r="H981">
            <v>0</v>
          </cell>
          <cell r="I981">
            <v>13.280060000000001</v>
          </cell>
        </row>
        <row r="982">
          <cell r="A982">
            <v>0</v>
          </cell>
          <cell r="B982">
            <v>0</v>
          </cell>
          <cell r="C982" t="str">
            <v>Total 01.13.03</v>
          </cell>
          <cell r="D982">
            <v>1</v>
          </cell>
          <cell r="E982">
            <v>0</v>
          </cell>
          <cell r="F982">
            <v>0</v>
          </cell>
          <cell r="G982">
            <v>9730.741173333332</v>
          </cell>
          <cell r="H982">
            <v>1503.1202004000002</v>
          </cell>
          <cell r="I982">
            <v>11233.861373733333</v>
          </cell>
        </row>
        <row r="983">
          <cell r="A983">
            <v>0</v>
          </cell>
          <cell r="B983">
            <v>0</v>
          </cell>
          <cell r="C983">
            <v>0</v>
          </cell>
          <cell r="D983">
            <v>0</v>
          </cell>
          <cell r="E983">
            <v>0</v>
          </cell>
          <cell r="F983">
            <v>0</v>
          </cell>
          <cell r="G983">
            <v>0</v>
          </cell>
          <cell r="H983">
            <v>0</v>
          </cell>
          <cell r="I983">
            <v>0</v>
          </cell>
        </row>
        <row r="984">
          <cell r="A984" t="str">
            <v>01.13.04</v>
          </cell>
          <cell r="B984" t="str">
            <v>Partida</v>
          </cell>
          <cell r="C984" t="str">
            <v>Torta de hormigón de base e=0.10mt con fIbra según especificaciones tecnicas</v>
          </cell>
          <cell r="D984">
            <v>1</v>
          </cell>
          <cell r="E984" t="str">
            <v>m³</v>
          </cell>
          <cell r="F984">
            <v>0</v>
          </cell>
          <cell r="G984">
            <v>8366.0786833333332</v>
          </cell>
          <cell r="H984">
            <v>1150.1764109999999</v>
          </cell>
          <cell r="I984">
            <v>9516.2550943333335</v>
          </cell>
        </row>
        <row r="985">
          <cell r="A985" t="str">
            <v>P0602008</v>
          </cell>
          <cell r="B985" t="str">
            <v>Material</v>
          </cell>
          <cell r="C985" t="str">
            <v>Hormigón Industrial H210 kg/cm2, Bombeado</v>
          </cell>
          <cell r="D985">
            <v>1.07</v>
          </cell>
          <cell r="E985" t="str">
            <v>m³</v>
          </cell>
          <cell r="F985">
            <v>4845.76</v>
          </cell>
          <cell r="G985">
            <v>5184.9632000000001</v>
          </cell>
          <cell r="H985">
            <v>933.29337599999997</v>
          </cell>
          <cell r="I985">
            <v>6118.2565759999998</v>
          </cell>
        </row>
        <row r="986">
          <cell r="A986" t="str">
            <v>P0190101</v>
          </cell>
          <cell r="B986" t="str">
            <v>Material</v>
          </cell>
          <cell r="C986" t="str">
            <v>FiberMesh Vinaldom Polipropileno 1 1/2" (2Lb/m³)</v>
          </cell>
          <cell r="D986">
            <v>0.6</v>
          </cell>
          <cell r="E986" t="str">
            <v>lb</v>
          </cell>
          <cell r="F986">
            <v>215.52</v>
          </cell>
          <cell r="G986">
            <v>129.31200000000001</v>
          </cell>
          <cell r="H986">
            <v>23.276160000000001</v>
          </cell>
          <cell r="I986">
            <v>152.58816000000002</v>
          </cell>
        </row>
        <row r="987">
          <cell r="A987" t="str">
            <v>P0402002</v>
          </cell>
          <cell r="B987" t="str">
            <v>Material</v>
          </cell>
          <cell r="C987" t="str">
            <v>Acero Malla D2.3xD2.3 (150x150)  Rollo 2.5x40=3.32qq</v>
          </cell>
          <cell r="D987">
            <v>11</v>
          </cell>
          <cell r="E987" t="str">
            <v>m²</v>
          </cell>
          <cell r="F987">
            <v>97.78125</v>
          </cell>
          <cell r="G987">
            <v>1075.59375</v>
          </cell>
          <cell r="H987">
            <v>193.606875</v>
          </cell>
          <cell r="I987">
            <v>1269.2006249999999</v>
          </cell>
        </row>
        <row r="988">
          <cell r="A988" t="str">
            <v>H0205059</v>
          </cell>
          <cell r="B988" t="str">
            <v>Mano de obra</v>
          </cell>
          <cell r="C988" t="str">
            <v>M.O. Preparación del Terreno</v>
          </cell>
          <cell r="D988">
            <v>10</v>
          </cell>
          <cell r="E988" t="str">
            <v>m²</v>
          </cell>
          <cell r="F988">
            <v>35</v>
          </cell>
          <cell r="G988">
            <v>350</v>
          </cell>
          <cell r="H988">
            <v>0</v>
          </cell>
          <cell r="I988">
            <v>350</v>
          </cell>
        </row>
        <row r="989">
          <cell r="A989" t="str">
            <v>H0510111</v>
          </cell>
          <cell r="B989" t="str">
            <v>Mano de obra</v>
          </cell>
          <cell r="C989" t="str">
            <v>M.O. Enc. Y Desc. Guardera Platea h=10 cm ( T.C )</v>
          </cell>
          <cell r="D989">
            <v>1.4019999999999999</v>
          </cell>
          <cell r="E989" t="str">
            <v>m</v>
          </cell>
          <cell r="F989">
            <v>120</v>
          </cell>
          <cell r="G989">
            <v>168.23999999999998</v>
          </cell>
          <cell r="H989">
            <v>0</v>
          </cell>
          <cell r="I989">
            <v>168.23999999999998</v>
          </cell>
        </row>
        <row r="990">
          <cell r="A990" t="str">
            <v>H0302112</v>
          </cell>
          <cell r="B990" t="str">
            <v>Mano de obra</v>
          </cell>
          <cell r="C990" t="str">
            <v>M.O. Colocación Malla Electrosoldada</v>
          </cell>
          <cell r="D990">
            <v>10</v>
          </cell>
          <cell r="E990" t="str">
            <v>m²</v>
          </cell>
          <cell r="F990">
            <v>45</v>
          </cell>
          <cell r="G990">
            <v>450</v>
          </cell>
          <cell r="H990">
            <v>0</v>
          </cell>
          <cell r="I990">
            <v>450</v>
          </cell>
        </row>
        <row r="991">
          <cell r="A991" t="str">
            <v>H0340581</v>
          </cell>
          <cell r="B991" t="str">
            <v>Mano de obra</v>
          </cell>
          <cell r="C991" t="str">
            <v>M.O. Construcción Torta de Piso</v>
          </cell>
          <cell r="D991">
            <v>10</v>
          </cell>
          <cell r="E991" t="str">
            <v>m²</v>
          </cell>
          <cell r="F991">
            <v>95</v>
          </cell>
          <cell r="G991">
            <v>950</v>
          </cell>
          <cell r="H991">
            <v>0</v>
          </cell>
          <cell r="I991">
            <v>950</v>
          </cell>
        </row>
        <row r="992">
          <cell r="A992" t="str">
            <v>SC800001</v>
          </cell>
          <cell r="B992" t="str">
            <v>Otros</v>
          </cell>
          <cell r="C992" t="str">
            <v>Ensayos y pruebas de laboratorio hormigón (3 Probetas x c/45m3)</v>
          </cell>
          <cell r="D992">
            <v>6.6666666666666666E-2</v>
          </cell>
          <cell r="E992" t="str">
            <v>u</v>
          </cell>
          <cell r="F992">
            <v>581.80999999999995</v>
          </cell>
          <cell r="G992">
            <v>38.787333333333329</v>
          </cell>
          <cell r="H992">
            <v>0</v>
          </cell>
          <cell r="I992">
            <v>38.787333333333329</v>
          </cell>
        </row>
        <row r="993">
          <cell r="A993" t="str">
            <v>H%FH</v>
          </cell>
          <cell r="B993" t="str">
            <v>Otros</v>
          </cell>
          <cell r="C993" t="str">
            <v>Factor Herramientas</v>
          </cell>
          <cell r="D993">
            <v>1</v>
          </cell>
          <cell r="E993" t="str">
            <v>%</v>
          </cell>
          <cell r="F993">
            <v>1918.24</v>
          </cell>
          <cell r="G993">
            <v>19.182400000000001</v>
          </cell>
          <cell r="H993">
            <v>0</v>
          </cell>
          <cell r="I993">
            <v>19.182400000000001</v>
          </cell>
        </row>
        <row r="994">
          <cell r="A994">
            <v>0</v>
          </cell>
          <cell r="B994">
            <v>0</v>
          </cell>
          <cell r="C994" t="str">
            <v>Total 01.13.04</v>
          </cell>
          <cell r="D994">
            <v>1</v>
          </cell>
          <cell r="E994">
            <v>0</v>
          </cell>
          <cell r="F994">
            <v>0</v>
          </cell>
          <cell r="G994">
            <v>8366.0786833333332</v>
          </cell>
          <cell r="H994">
            <v>1150.1764109999999</v>
          </cell>
          <cell r="I994">
            <v>9516.2550943333335</v>
          </cell>
        </row>
        <row r="995">
          <cell r="A995">
            <v>0</v>
          </cell>
          <cell r="B995">
            <v>0</v>
          </cell>
          <cell r="C995">
            <v>0</v>
          </cell>
          <cell r="D995">
            <v>0</v>
          </cell>
          <cell r="E995">
            <v>0</v>
          </cell>
          <cell r="F995">
            <v>0</v>
          </cell>
          <cell r="G995">
            <v>0</v>
          </cell>
          <cell r="H995">
            <v>0</v>
          </cell>
          <cell r="I995">
            <v>0</v>
          </cell>
        </row>
        <row r="996">
          <cell r="A996" t="str">
            <v>01.13.05</v>
          </cell>
          <cell r="B996" t="str">
            <v>Partida</v>
          </cell>
          <cell r="C996" t="str">
            <v>Torta de hormigón de base e=0.15mt</v>
          </cell>
          <cell r="D996">
            <v>1</v>
          </cell>
          <cell r="E996" t="str">
            <v>m³</v>
          </cell>
          <cell r="F996">
            <v>0</v>
          </cell>
          <cell r="G996">
            <v>7362.0598</v>
          </cell>
          <cell r="H996">
            <v>1085.6407859999999</v>
          </cell>
          <cell r="I996">
            <v>8447.7005860000008</v>
          </cell>
        </row>
        <row r="997">
          <cell r="A997" t="str">
            <v>P0602008</v>
          </cell>
          <cell r="B997" t="str">
            <v>Material</v>
          </cell>
          <cell r="C997" t="str">
            <v>Hormigón Industrial H210 kg/cm2, Bombeado</v>
          </cell>
          <cell r="D997">
            <v>1.07</v>
          </cell>
          <cell r="E997" t="str">
            <v>m³</v>
          </cell>
          <cell r="F997">
            <v>4845.76</v>
          </cell>
          <cell r="G997">
            <v>5184.9632000000001</v>
          </cell>
          <cell r="H997">
            <v>933.29337599999997</v>
          </cell>
          <cell r="I997">
            <v>6118.2565759999998</v>
          </cell>
        </row>
        <row r="998">
          <cell r="A998" t="str">
            <v>P0190101</v>
          </cell>
          <cell r="B998" t="str">
            <v>Material</v>
          </cell>
          <cell r="C998" t="str">
            <v>FiberMesh Vinaldom Polipropileno 1 1/2" (2Lb/m³)</v>
          </cell>
          <cell r="D998">
            <v>0.6</v>
          </cell>
          <cell r="E998" t="str">
            <v>lb</v>
          </cell>
          <cell r="F998">
            <v>215.52</v>
          </cell>
          <cell r="G998">
            <v>129.31200000000001</v>
          </cell>
          <cell r="H998">
            <v>23.276160000000001</v>
          </cell>
          <cell r="I998">
            <v>152.58816000000002</v>
          </cell>
        </row>
        <row r="999">
          <cell r="A999" t="str">
            <v>P0402002</v>
          </cell>
          <cell r="B999" t="str">
            <v>Material</v>
          </cell>
          <cell r="C999" t="str">
            <v>Acero Malla D2.3xD2.3 (150x150)  Rollo 2.5x40=3.32qq</v>
          </cell>
          <cell r="D999">
            <v>7.3333333333333339</v>
          </cell>
          <cell r="E999" t="str">
            <v>m²</v>
          </cell>
          <cell r="F999">
            <v>97.78125</v>
          </cell>
          <cell r="G999">
            <v>717.06250000000011</v>
          </cell>
          <cell r="H999">
            <v>129.07125000000002</v>
          </cell>
          <cell r="I999">
            <v>846.13375000000019</v>
          </cell>
        </row>
        <row r="1000">
          <cell r="A1000" t="str">
            <v>H0205059</v>
          </cell>
          <cell r="B1000" t="str">
            <v>Mano de obra</v>
          </cell>
          <cell r="C1000" t="str">
            <v>M.O. Preparación del Terreno</v>
          </cell>
          <cell r="D1000">
            <v>6.666666666666667</v>
          </cell>
          <cell r="E1000" t="str">
            <v>m²</v>
          </cell>
          <cell r="F1000">
            <v>35</v>
          </cell>
          <cell r="G1000">
            <v>233.33333333333334</v>
          </cell>
          <cell r="H1000">
            <v>0</v>
          </cell>
          <cell r="I1000">
            <v>233.33333333333334</v>
          </cell>
        </row>
        <row r="1001">
          <cell r="A1001" t="str">
            <v>H0510111</v>
          </cell>
          <cell r="B1001" t="str">
            <v>Mano de obra</v>
          </cell>
          <cell r="C1001" t="str">
            <v>M.O. Enc. Y Desc. Guardera Platea h=10 cm ( T.C )</v>
          </cell>
          <cell r="D1001">
            <v>0.93466666666666665</v>
          </cell>
          <cell r="E1001" t="str">
            <v>m</v>
          </cell>
          <cell r="F1001">
            <v>120</v>
          </cell>
          <cell r="G1001">
            <v>112.16</v>
          </cell>
          <cell r="H1001">
            <v>0</v>
          </cell>
          <cell r="I1001">
            <v>112.16</v>
          </cell>
        </row>
        <row r="1002">
          <cell r="A1002" t="str">
            <v>H0302112</v>
          </cell>
          <cell r="B1002" t="str">
            <v>Mano de obra</v>
          </cell>
          <cell r="C1002" t="str">
            <v>M.O. Colocación Malla Electrosoldada</v>
          </cell>
          <cell r="D1002">
            <v>6.666666666666667</v>
          </cell>
          <cell r="E1002" t="str">
            <v>m²</v>
          </cell>
          <cell r="F1002">
            <v>45</v>
          </cell>
          <cell r="G1002">
            <v>300</v>
          </cell>
          <cell r="H1002">
            <v>0</v>
          </cell>
          <cell r="I1002">
            <v>300</v>
          </cell>
        </row>
        <row r="1003">
          <cell r="A1003" t="str">
            <v>H0340581</v>
          </cell>
          <cell r="B1003" t="str">
            <v>Mano de obra</v>
          </cell>
          <cell r="C1003" t="str">
            <v>M.O. Construcción Torta de Piso</v>
          </cell>
          <cell r="D1003">
            <v>6.67</v>
          </cell>
          <cell r="E1003" t="str">
            <v>m²</v>
          </cell>
          <cell r="F1003">
            <v>95</v>
          </cell>
          <cell r="G1003">
            <v>633.65</v>
          </cell>
          <cell r="H1003">
            <v>0</v>
          </cell>
          <cell r="I1003">
            <v>633.65</v>
          </cell>
        </row>
        <row r="1004">
          <cell r="A1004" t="str">
            <v>SC800001</v>
          </cell>
          <cell r="B1004" t="str">
            <v>Otros</v>
          </cell>
          <cell r="C1004" t="str">
            <v>Ensayos y pruebas de laboratorio hormigón (3 Probetas x c/45m3)</v>
          </cell>
          <cell r="D1004">
            <v>6.6666666666666666E-2</v>
          </cell>
          <cell r="E1004" t="str">
            <v>u</v>
          </cell>
          <cell r="F1004">
            <v>581.80999999999995</v>
          </cell>
          <cell r="G1004">
            <v>38.787333333333329</v>
          </cell>
          <cell r="H1004">
            <v>0</v>
          </cell>
          <cell r="I1004">
            <v>38.787333333333329</v>
          </cell>
        </row>
        <row r="1005">
          <cell r="A1005" t="str">
            <v>H%FH</v>
          </cell>
          <cell r="B1005" t="str">
            <v>Otros</v>
          </cell>
          <cell r="C1005" t="str">
            <v>Factor Herramientas</v>
          </cell>
          <cell r="D1005">
            <v>1</v>
          </cell>
          <cell r="E1005" t="str">
            <v>%</v>
          </cell>
          <cell r="F1005">
            <v>1279.1433333333334</v>
          </cell>
          <cell r="G1005">
            <v>12.791433333333334</v>
          </cell>
          <cell r="H1005">
            <v>0</v>
          </cell>
          <cell r="I1005">
            <v>12.791433333333334</v>
          </cell>
        </row>
        <row r="1006">
          <cell r="A1006">
            <v>0</v>
          </cell>
          <cell r="B1006">
            <v>0</v>
          </cell>
          <cell r="C1006" t="str">
            <v>Total 01.13.05</v>
          </cell>
          <cell r="D1006">
            <v>1</v>
          </cell>
          <cell r="E1006">
            <v>0</v>
          </cell>
          <cell r="F1006">
            <v>0</v>
          </cell>
          <cell r="G1006">
            <v>7362.0598</v>
          </cell>
          <cell r="H1006">
            <v>1085.6407859999999</v>
          </cell>
          <cell r="I1006">
            <v>8447.7005860000008</v>
          </cell>
        </row>
        <row r="1007">
          <cell r="A1007">
            <v>0</v>
          </cell>
          <cell r="B1007">
            <v>0</v>
          </cell>
          <cell r="C1007">
            <v>0</v>
          </cell>
          <cell r="D1007">
            <v>0</v>
          </cell>
          <cell r="E1007">
            <v>0</v>
          </cell>
          <cell r="F1007">
            <v>0</v>
          </cell>
          <cell r="G1007">
            <v>0</v>
          </cell>
          <cell r="H1007">
            <v>0</v>
          </cell>
          <cell r="I1007">
            <v>0</v>
          </cell>
        </row>
        <row r="1008">
          <cell r="A1008" t="str">
            <v>01.13.06</v>
          </cell>
          <cell r="B1008" t="str">
            <v>Partida</v>
          </cell>
          <cell r="C1008" t="str">
            <v>Torta de Hormigón fc=210 k/cm2 Ø⅜@0.25, Frotado para planta de emergencia, e=0.10 mts, no incluye la base de la planta.</v>
          </cell>
          <cell r="D1008">
            <v>1</v>
          </cell>
          <cell r="E1008" t="str">
            <v>m²</v>
          </cell>
          <cell r="F1008">
            <v>0</v>
          </cell>
          <cell r="G1008">
            <v>1259.872181</v>
          </cell>
          <cell r="H1008">
            <v>171.64568231999999</v>
          </cell>
          <cell r="I1008">
            <v>1431.5178633200003</v>
          </cell>
        </row>
        <row r="1009">
          <cell r="A1009" t="str">
            <v>P0602008</v>
          </cell>
          <cell r="B1009" t="str">
            <v>Material</v>
          </cell>
          <cell r="C1009" t="str">
            <v>Hormigón Industrial H210 kg/cm2, Bombeado</v>
          </cell>
          <cell r="D1009">
            <v>0.10700000000000001</v>
          </cell>
          <cell r="E1009" t="str">
            <v>m³</v>
          </cell>
          <cell r="F1009">
            <v>4845.76</v>
          </cell>
          <cell r="G1009">
            <v>518.49632000000008</v>
          </cell>
          <cell r="H1009">
            <v>93.329337600000017</v>
          </cell>
          <cell r="I1009">
            <v>611.82565760000011</v>
          </cell>
        </row>
        <row r="1010">
          <cell r="A1010" t="str">
            <v>P0401066</v>
          </cell>
          <cell r="B1010" t="str">
            <v>Material</v>
          </cell>
          <cell r="C1010" t="str">
            <v>Acero G-60, Long. Variable</v>
          </cell>
          <cell r="D1010">
            <v>0.18210000000000001</v>
          </cell>
          <cell r="E1010" t="str">
            <v>qq</v>
          </cell>
          <cell r="F1010">
            <v>2285</v>
          </cell>
          <cell r="G1010">
            <v>416.0985</v>
          </cell>
          <cell r="H1010">
            <v>74.897729999999996</v>
          </cell>
          <cell r="I1010">
            <v>490.99622999999997</v>
          </cell>
        </row>
        <row r="1011">
          <cell r="A1011" t="str">
            <v>P0418006</v>
          </cell>
          <cell r="B1011" t="str">
            <v>Material</v>
          </cell>
          <cell r="C1011" t="str">
            <v>Alambre galvanizado liso #18</v>
          </cell>
          <cell r="D1011">
            <v>0.3468</v>
          </cell>
          <cell r="E1011" t="str">
            <v>lb</v>
          </cell>
          <cell r="F1011">
            <v>42.28</v>
          </cell>
          <cell r="G1011">
            <v>14.662704</v>
          </cell>
          <cell r="H1011">
            <v>2.6392867199999999</v>
          </cell>
          <cell r="I1011">
            <v>17.301990719999999</v>
          </cell>
        </row>
        <row r="1012">
          <cell r="A1012" t="str">
            <v>P0301004</v>
          </cell>
          <cell r="B1012" t="str">
            <v>Material</v>
          </cell>
          <cell r="C1012" t="str">
            <v>Madera Pino Amer. Bruta 1"x4"</v>
          </cell>
          <cell r="D1012">
            <v>0.1056</v>
          </cell>
          <cell r="E1012" t="str">
            <v>p²</v>
          </cell>
          <cell r="F1012">
            <v>41</v>
          </cell>
          <cell r="G1012">
            <v>4.3296000000000001</v>
          </cell>
          <cell r="H1012">
            <v>0.77932800000000002</v>
          </cell>
          <cell r="I1012">
            <v>5.1089280000000006</v>
          </cell>
        </row>
        <row r="1013">
          <cell r="A1013" t="str">
            <v>H0205059</v>
          </cell>
          <cell r="B1013" t="str">
            <v>Mano de obra</v>
          </cell>
          <cell r="C1013" t="str">
            <v>M.O. Preparación del Terreno</v>
          </cell>
          <cell r="D1013">
            <v>1</v>
          </cell>
          <cell r="E1013" t="str">
            <v>m²</v>
          </cell>
          <cell r="F1013">
            <v>35</v>
          </cell>
          <cell r="G1013">
            <v>35</v>
          </cell>
          <cell r="H1013">
            <v>0</v>
          </cell>
          <cell r="I1013">
            <v>35</v>
          </cell>
        </row>
        <row r="1014">
          <cell r="A1014" t="str">
            <v>H0510111</v>
          </cell>
          <cell r="B1014" t="str">
            <v>Mano de obra</v>
          </cell>
          <cell r="C1014" t="str">
            <v>M.O. Enc. Y Desc. Guardera Platea h=10 cm ( T.C )</v>
          </cell>
          <cell r="D1014">
            <v>1.4019999999999999</v>
          </cell>
          <cell r="E1014" t="str">
            <v>m</v>
          </cell>
          <cell r="F1014">
            <v>120</v>
          </cell>
          <cell r="G1014">
            <v>168.23999999999998</v>
          </cell>
          <cell r="H1014">
            <v>0</v>
          </cell>
          <cell r="I1014">
            <v>168.23999999999998</v>
          </cell>
        </row>
        <row r="1015">
          <cell r="A1015" t="str">
            <v>H0405056</v>
          </cell>
          <cell r="B1015" t="str">
            <v>Mano de obra</v>
          </cell>
          <cell r="C1015" t="str">
            <v>M.O. Confec. Y Coloc. De Acero En Platea</v>
          </cell>
          <cell r="D1015">
            <v>0.1734</v>
          </cell>
          <cell r="E1015" t="str">
            <v>qq</v>
          </cell>
          <cell r="F1015">
            <v>295</v>
          </cell>
          <cell r="G1015">
            <v>51.152999999999999</v>
          </cell>
          <cell r="H1015">
            <v>0</v>
          </cell>
          <cell r="I1015">
            <v>51.152999999999999</v>
          </cell>
        </row>
        <row r="1016">
          <cell r="A1016" t="str">
            <v>H0405071</v>
          </cell>
          <cell r="B1016" t="str">
            <v>Mano de obra</v>
          </cell>
          <cell r="C1016" t="str">
            <v>M.O. Confec. Y Coloc. De Calzo e7 Para Nivelación</v>
          </cell>
          <cell r="D1016">
            <v>1.8</v>
          </cell>
          <cell r="E1016" t="str">
            <v>u</v>
          </cell>
          <cell r="F1016">
            <v>25</v>
          </cell>
          <cell r="G1016">
            <v>45</v>
          </cell>
          <cell r="H1016">
            <v>0</v>
          </cell>
          <cell r="I1016">
            <v>45</v>
          </cell>
        </row>
        <row r="1017">
          <cell r="A1017" t="str">
            <v>SC800001</v>
          </cell>
          <cell r="B1017" t="str">
            <v>Otros</v>
          </cell>
          <cell r="C1017" t="str">
            <v>Ensayos y pruebas de laboratorio hormigón (3 Probetas x c/45m3)</v>
          </cell>
          <cell r="D1017">
            <v>6.7000000000000002E-3</v>
          </cell>
          <cell r="E1017" t="str">
            <v>u</v>
          </cell>
          <cell r="F1017">
            <v>581.80999999999995</v>
          </cell>
          <cell r="G1017">
            <v>3.8981269999999997</v>
          </cell>
          <cell r="H1017">
            <v>0</v>
          </cell>
          <cell r="I1017">
            <v>3.8981269999999997</v>
          </cell>
        </row>
        <row r="1018">
          <cell r="A1018" t="str">
            <v>H%FH</v>
          </cell>
          <cell r="B1018" t="str">
            <v>Otros</v>
          </cell>
          <cell r="C1018" t="str">
            <v>Factor Herramientas</v>
          </cell>
          <cell r="D1018">
            <v>1</v>
          </cell>
          <cell r="E1018" t="str">
            <v>%</v>
          </cell>
          <cell r="F1018">
            <v>299.39299999999997</v>
          </cell>
          <cell r="G1018">
            <v>2.9939299999999998</v>
          </cell>
          <cell r="H1018">
            <v>0</v>
          </cell>
          <cell r="I1018">
            <v>2.9939299999999998</v>
          </cell>
        </row>
        <row r="1019">
          <cell r="A1019">
            <v>0</v>
          </cell>
          <cell r="B1019">
            <v>0</v>
          </cell>
          <cell r="C1019" t="str">
            <v>Total 01.13.06</v>
          </cell>
          <cell r="D1019">
            <v>1</v>
          </cell>
          <cell r="E1019">
            <v>0</v>
          </cell>
          <cell r="F1019">
            <v>0</v>
          </cell>
          <cell r="G1019">
            <v>1259.872181</v>
          </cell>
          <cell r="H1019">
            <v>171.64568231999999</v>
          </cell>
          <cell r="I1019">
            <v>1431.5178633200003</v>
          </cell>
        </row>
        <row r="1020">
          <cell r="A1020">
            <v>0</v>
          </cell>
          <cell r="B1020">
            <v>0</v>
          </cell>
          <cell r="C1020">
            <v>0</v>
          </cell>
          <cell r="D1020">
            <v>0</v>
          </cell>
          <cell r="E1020">
            <v>0</v>
          </cell>
          <cell r="F1020">
            <v>0</v>
          </cell>
          <cell r="G1020">
            <v>0</v>
          </cell>
          <cell r="H1020">
            <v>0</v>
          </cell>
          <cell r="I1020">
            <v>0</v>
          </cell>
        </row>
        <row r="1021">
          <cell r="A1021" t="str">
            <v>01.13.07</v>
          </cell>
          <cell r="B1021" t="str">
            <v>Partida</v>
          </cell>
          <cell r="C1021" t="str">
            <v>Torta de Hormigón de base E=0.10mt Incl. Barrera Plástica de Polietileno entre torta y Relleno Granular</v>
          </cell>
          <cell r="D1021">
            <v>1</v>
          </cell>
          <cell r="E1021" t="str">
            <v>m³</v>
          </cell>
          <cell r="F1021">
            <v>0</v>
          </cell>
          <cell r="G1021">
            <v>10114.778683333334</v>
          </cell>
          <cell r="H1021">
            <v>1437.672411</v>
          </cell>
          <cell r="I1021">
            <v>11552.451094333333</v>
          </cell>
        </row>
        <row r="1022">
          <cell r="A1022" t="str">
            <v>P0602008</v>
          </cell>
          <cell r="B1022" t="str">
            <v>Material</v>
          </cell>
          <cell r="C1022" t="str">
            <v>Hormigón Industrial H210 kg/cm2, Bombeado</v>
          </cell>
          <cell r="D1022">
            <v>1.07</v>
          </cell>
          <cell r="E1022" t="str">
            <v>m³</v>
          </cell>
          <cell r="F1022">
            <v>4845.76</v>
          </cell>
          <cell r="G1022">
            <v>5184.9632000000001</v>
          </cell>
          <cell r="H1022">
            <v>933.29337599999997</v>
          </cell>
          <cell r="I1022">
            <v>6118.2565759999998</v>
          </cell>
        </row>
        <row r="1023">
          <cell r="A1023" t="str">
            <v>P0190101</v>
          </cell>
          <cell r="B1023" t="str">
            <v>Material</v>
          </cell>
          <cell r="C1023" t="str">
            <v>FiberMesh Vinaldom Polipropileno 1 1/2" (2Lb/m³)</v>
          </cell>
          <cell r="D1023">
            <v>0.6</v>
          </cell>
          <cell r="E1023" t="str">
            <v>lb</v>
          </cell>
          <cell r="F1023">
            <v>215.52</v>
          </cell>
          <cell r="G1023">
            <v>129.31200000000001</v>
          </cell>
          <cell r="H1023">
            <v>23.276160000000001</v>
          </cell>
          <cell r="I1023">
            <v>152.58816000000002</v>
          </cell>
        </row>
        <row r="1024">
          <cell r="A1024" t="str">
            <v>P0402002</v>
          </cell>
          <cell r="B1024" t="str">
            <v>Material</v>
          </cell>
          <cell r="C1024" t="str">
            <v>Acero Malla D2.3xD2.3 (150x150)  Rollo 2.5x40=3.32qq</v>
          </cell>
          <cell r="D1024">
            <v>11</v>
          </cell>
          <cell r="E1024" t="str">
            <v>m²</v>
          </cell>
          <cell r="F1024">
            <v>97.78125</v>
          </cell>
          <cell r="G1024">
            <v>1075.59375</v>
          </cell>
          <cell r="H1024">
            <v>193.606875</v>
          </cell>
          <cell r="I1024">
            <v>1269.2006249999999</v>
          </cell>
        </row>
        <row r="1025">
          <cell r="A1025" t="str">
            <v>P1402005</v>
          </cell>
          <cell r="B1025" t="str">
            <v>Material</v>
          </cell>
          <cell r="C1025" t="str">
            <v>Barrera de Vapor Stego 10 mil</v>
          </cell>
          <cell r="D1025">
            <v>12</v>
          </cell>
          <cell r="E1025" t="str">
            <v>m²</v>
          </cell>
          <cell r="F1025">
            <v>133.1</v>
          </cell>
          <cell r="G1025">
            <v>1597.1999999999998</v>
          </cell>
          <cell r="H1025">
            <v>287.49599999999998</v>
          </cell>
          <cell r="I1025">
            <v>1884.6959999999999</v>
          </cell>
        </row>
        <row r="1026">
          <cell r="A1026" t="str">
            <v>H0205059</v>
          </cell>
          <cell r="B1026" t="str">
            <v>Mano de obra</v>
          </cell>
          <cell r="C1026" t="str">
            <v>M.O. Preparación del Terreno</v>
          </cell>
          <cell r="D1026">
            <v>10</v>
          </cell>
          <cell r="E1026" t="str">
            <v>m²</v>
          </cell>
          <cell r="F1026">
            <v>35</v>
          </cell>
          <cell r="G1026">
            <v>350</v>
          </cell>
          <cell r="H1026">
            <v>0</v>
          </cell>
          <cell r="I1026">
            <v>350</v>
          </cell>
        </row>
        <row r="1027">
          <cell r="A1027" t="str">
            <v>H0510111</v>
          </cell>
          <cell r="B1027" t="str">
            <v>Mano de obra</v>
          </cell>
          <cell r="C1027" t="str">
            <v>M.O. Enc. Y Desc. Guardera Platea h=10 cm ( T.C )</v>
          </cell>
          <cell r="D1027">
            <v>1.4019999999999999</v>
          </cell>
          <cell r="E1027" t="str">
            <v>m</v>
          </cell>
          <cell r="F1027">
            <v>120</v>
          </cell>
          <cell r="G1027">
            <v>168.23999999999998</v>
          </cell>
          <cell r="H1027">
            <v>0</v>
          </cell>
          <cell r="I1027">
            <v>168.23999999999998</v>
          </cell>
        </row>
        <row r="1028">
          <cell r="A1028" t="str">
            <v>H0302112</v>
          </cell>
          <cell r="B1028" t="str">
            <v>Mano de obra</v>
          </cell>
          <cell r="C1028" t="str">
            <v>M.O. Colocación Malla Electrosoldada</v>
          </cell>
          <cell r="D1028">
            <v>10</v>
          </cell>
          <cell r="E1028" t="str">
            <v>m²</v>
          </cell>
          <cell r="F1028">
            <v>45</v>
          </cell>
          <cell r="G1028">
            <v>450</v>
          </cell>
          <cell r="H1028">
            <v>0</v>
          </cell>
          <cell r="I1028">
            <v>450</v>
          </cell>
        </row>
        <row r="1029">
          <cell r="A1029" t="str">
            <v>H0202004</v>
          </cell>
          <cell r="B1029" t="str">
            <v>Mano de obra</v>
          </cell>
          <cell r="C1029" t="str">
            <v>M.O. Instalación Plastico Barrera de Vapor</v>
          </cell>
          <cell r="D1029">
            <v>10</v>
          </cell>
          <cell r="E1029" t="str">
            <v>m²</v>
          </cell>
          <cell r="F1029">
            <v>15</v>
          </cell>
          <cell r="G1029">
            <v>150</v>
          </cell>
          <cell r="H1029">
            <v>0</v>
          </cell>
          <cell r="I1029">
            <v>150</v>
          </cell>
        </row>
        <row r="1030">
          <cell r="A1030" t="str">
            <v>H0340581</v>
          </cell>
          <cell r="B1030" t="str">
            <v>Mano de obra</v>
          </cell>
          <cell r="C1030" t="str">
            <v>M.O. Construcción Torta de Piso</v>
          </cell>
          <cell r="D1030">
            <v>10</v>
          </cell>
          <cell r="E1030" t="str">
            <v>m²</v>
          </cell>
          <cell r="F1030">
            <v>95</v>
          </cell>
          <cell r="G1030">
            <v>950</v>
          </cell>
          <cell r="H1030">
            <v>0</v>
          </cell>
          <cell r="I1030">
            <v>950</v>
          </cell>
        </row>
        <row r="1031">
          <cell r="A1031" t="str">
            <v>SC800001</v>
          </cell>
          <cell r="B1031" t="str">
            <v>Otros</v>
          </cell>
          <cell r="C1031" t="str">
            <v>Ensayos y pruebas de laboratorio hormigón (3 Probetas x c/45m3)</v>
          </cell>
          <cell r="D1031">
            <v>6.6666666666666666E-2</v>
          </cell>
          <cell r="E1031" t="str">
            <v>u</v>
          </cell>
          <cell r="F1031">
            <v>581.80999999999995</v>
          </cell>
          <cell r="G1031">
            <v>38.787333333333329</v>
          </cell>
          <cell r="H1031">
            <v>0</v>
          </cell>
          <cell r="I1031">
            <v>38.787333333333329</v>
          </cell>
        </row>
        <row r="1032">
          <cell r="A1032" t="str">
            <v>H%FH</v>
          </cell>
          <cell r="B1032" t="str">
            <v>Otros</v>
          </cell>
          <cell r="C1032" t="str">
            <v>Factor Herramientas</v>
          </cell>
          <cell r="D1032">
            <v>1</v>
          </cell>
          <cell r="E1032" t="str">
            <v>%</v>
          </cell>
          <cell r="F1032">
            <v>2068.2399999999998</v>
          </cell>
          <cell r="G1032">
            <v>20.682399999999998</v>
          </cell>
          <cell r="H1032">
            <v>0</v>
          </cell>
          <cell r="I1032">
            <v>20.682399999999998</v>
          </cell>
        </row>
        <row r="1033">
          <cell r="A1033">
            <v>0</v>
          </cell>
          <cell r="B1033">
            <v>0</v>
          </cell>
          <cell r="C1033" t="str">
            <v>Total 01.13.07</v>
          </cell>
          <cell r="D1033">
            <v>1</v>
          </cell>
          <cell r="E1033">
            <v>0</v>
          </cell>
          <cell r="F1033">
            <v>0</v>
          </cell>
          <cell r="G1033">
            <v>10114.778683333334</v>
          </cell>
          <cell r="H1033">
            <v>1437.672411</v>
          </cell>
          <cell r="I1033">
            <v>11552.451094333333</v>
          </cell>
        </row>
        <row r="1034">
          <cell r="A1034" t="str">
            <v>01.13.08</v>
          </cell>
          <cell r="B1034" t="str">
            <v>Partida</v>
          </cell>
          <cell r="C1034" t="str">
            <v>CONTEN PULIDO DE h=0.40m - HORMIGON INDUSTRIAL 210KG/CM2</v>
          </cell>
          <cell r="D1034">
            <v>1</v>
          </cell>
          <cell r="E1034" t="str">
            <v>m</v>
          </cell>
          <cell r="F1034">
            <v>0</v>
          </cell>
          <cell r="G1034">
            <v>1121.2941086315182</v>
          </cell>
          <cell r="H1034">
            <v>119.08051865214611</v>
          </cell>
          <cell r="I1034">
            <v>1240.3746272836643</v>
          </cell>
        </row>
        <row r="1035">
          <cell r="A1035" t="str">
            <v>P0602008</v>
          </cell>
          <cell r="B1035" t="str">
            <v>Material</v>
          </cell>
          <cell r="C1035" t="str">
            <v>Hormigón Industrial H210 kg/cm2, Bombeado</v>
          </cell>
          <cell r="D1035">
            <v>0.13498405858830601</v>
          </cell>
          <cell r="E1035" t="str">
            <v>m³</v>
          </cell>
          <cell r="F1035">
            <v>4845.76</v>
          </cell>
          <cell r="G1035">
            <v>654.10035174486973</v>
          </cell>
          <cell r="H1035">
            <v>117.73806331407654</v>
          </cell>
          <cell r="I1035">
            <v>771.83841505894623</v>
          </cell>
        </row>
        <row r="1036">
          <cell r="A1036" t="str">
            <v>P0301012</v>
          </cell>
          <cell r="B1036" t="str">
            <v>Material</v>
          </cell>
          <cell r="C1036" t="str">
            <v>Madera Pino Amer. Cepillado 10"x1"</v>
          </cell>
          <cell r="D1036">
            <v>0.16603039206361639</v>
          </cell>
          <cell r="E1036" t="str">
            <v>p²</v>
          </cell>
          <cell r="F1036">
            <v>44.92</v>
          </cell>
          <cell r="G1036">
            <v>7.4580852114976484</v>
          </cell>
          <cell r="H1036">
            <v>1.3424553380695767</v>
          </cell>
          <cell r="I1036">
            <v>8.8005405495672253</v>
          </cell>
        </row>
        <row r="1037">
          <cell r="A1037" t="str">
            <v>H0355565</v>
          </cell>
          <cell r="B1037" t="str">
            <v>Mano de obra</v>
          </cell>
          <cell r="C1037" t="str">
            <v xml:space="preserve">M.O. Const. de Contenes </v>
          </cell>
          <cell r="D1037">
            <v>1</v>
          </cell>
          <cell r="E1037" t="str">
            <v>m</v>
          </cell>
          <cell r="F1037">
            <v>450</v>
          </cell>
          <cell r="G1037">
            <v>450</v>
          </cell>
          <cell r="H1037">
            <v>0</v>
          </cell>
          <cell r="I1037">
            <v>450</v>
          </cell>
        </row>
        <row r="1038">
          <cell r="A1038" t="str">
            <v>SC800001</v>
          </cell>
          <cell r="B1038" t="str">
            <v>Otros</v>
          </cell>
          <cell r="C1038" t="str">
            <v>Ensayos y pruebas de laboratorio hormigón (3 Probetas x c/45m3)</v>
          </cell>
          <cell r="D1038">
            <v>8.9989372392204007E-3</v>
          </cell>
          <cell r="E1038" t="str">
            <v>u</v>
          </cell>
          <cell r="F1038">
            <v>581.80999999999995</v>
          </cell>
          <cell r="G1038">
            <v>5.2356716751508205</v>
          </cell>
          <cell r="H1038">
            <v>0</v>
          </cell>
          <cell r="I1038">
            <v>5.2356716751508205</v>
          </cell>
        </row>
        <row r="1039">
          <cell r="A1039" t="str">
            <v>H%FH</v>
          </cell>
          <cell r="B1039" t="str">
            <v>Otros</v>
          </cell>
          <cell r="C1039" t="str">
            <v>Factor Herramientas</v>
          </cell>
          <cell r="D1039">
            <v>1</v>
          </cell>
          <cell r="E1039" t="str">
            <v>%</v>
          </cell>
          <cell r="F1039">
            <v>450</v>
          </cell>
          <cell r="G1039">
            <v>4.5</v>
          </cell>
          <cell r="H1039">
            <v>0</v>
          </cell>
          <cell r="I1039">
            <v>4.5</v>
          </cell>
        </row>
        <row r="1040">
          <cell r="A1040">
            <v>0</v>
          </cell>
          <cell r="B1040">
            <v>0</v>
          </cell>
          <cell r="C1040" t="str">
            <v>Total 01.13.08</v>
          </cell>
          <cell r="D1040">
            <v>1</v>
          </cell>
          <cell r="E1040">
            <v>0</v>
          </cell>
          <cell r="F1040">
            <v>0</v>
          </cell>
          <cell r="G1040">
            <v>1121.2941086315182</v>
          </cell>
          <cell r="H1040">
            <v>119.08051865214611</v>
          </cell>
          <cell r="I1040">
            <v>1240.3746272836643</v>
          </cell>
        </row>
        <row r="1041">
          <cell r="A1041">
            <v>0</v>
          </cell>
          <cell r="B1041">
            <v>0</v>
          </cell>
          <cell r="C1041">
            <v>0</v>
          </cell>
          <cell r="D1041">
            <v>0</v>
          </cell>
          <cell r="E1041">
            <v>0</v>
          </cell>
          <cell r="F1041">
            <v>0</v>
          </cell>
          <cell r="G1041">
            <v>0</v>
          </cell>
          <cell r="H1041">
            <v>0</v>
          </cell>
          <cell r="I1041">
            <v>0</v>
          </cell>
        </row>
        <row r="1042">
          <cell r="A1042">
            <v>0</v>
          </cell>
          <cell r="B1042">
            <v>0</v>
          </cell>
          <cell r="C1042">
            <v>0</v>
          </cell>
          <cell r="D1042">
            <v>0</v>
          </cell>
          <cell r="E1042">
            <v>0</v>
          </cell>
          <cell r="F1042">
            <v>0</v>
          </cell>
          <cell r="G1042">
            <v>0</v>
          </cell>
          <cell r="H1042">
            <v>0</v>
          </cell>
          <cell r="I1042">
            <v>0</v>
          </cell>
        </row>
        <row r="1043">
          <cell r="A1043" t="str">
            <v>01.14</v>
          </cell>
          <cell r="B1043" t="str">
            <v>Capítulo</v>
          </cell>
          <cell r="C1043" t="str">
            <v>CERRAMIENTOS:</v>
          </cell>
          <cell r="D1043">
            <v>0</v>
          </cell>
          <cell r="E1043" t="str">
            <v/>
          </cell>
          <cell r="F1043">
            <v>0</v>
          </cell>
          <cell r="G1043">
            <v>0</v>
          </cell>
          <cell r="H1043">
            <v>0</v>
          </cell>
          <cell r="I1043">
            <v>0</v>
          </cell>
        </row>
        <row r="1044">
          <cell r="A1044" t="str">
            <v>01.14.01</v>
          </cell>
          <cell r="B1044" t="str">
            <v>Partida</v>
          </cell>
          <cell r="C1044" t="str">
            <v>Alambre trinchera</v>
          </cell>
          <cell r="D1044">
            <v>1</v>
          </cell>
          <cell r="E1044" t="str">
            <v>m</v>
          </cell>
          <cell r="F1044">
            <v>0</v>
          </cell>
          <cell r="G1044">
            <v>450</v>
          </cell>
          <cell r="H1044">
            <v>0</v>
          </cell>
          <cell r="I1044">
            <v>450</v>
          </cell>
        </row>
        <row r="1045">
          <cell r="A1045" t="str">
            <v>SC451125</v>
          </cell>
          <cell r="B1045" t="str">
            <v>Otros</v>
          </cell>
          <cell r="C1045" t="str">
            <v>Sum./ Instalación Alambre Trinchera en Cerramientos, c/Palometa Doble</v>
          </cell>
          <cell r="D1045">
            <v>1</v>
          </cell>
          <cell r="E1045" t="str">
            <v>m</v>
          </cell>
          <cell r="F1045">
            <v>450</v>
          </cell>
          <cell r="G1045">
            <v>450</v>
          </cell>
          <cell r="H1045">
            <v>0</v>
          </cell>
          <cell r="I1045">
            <v>450</v>
          </cell>
        </row>
        <row r="1046">
          <cell r="A1046">
            <v>0</v>
          </cell>
          <cell r="B1046">
            <v>0</v>
          </cell>
          <cell r="C1046" t="str">
            <v>Total 01.14.01</v>
          </cell>
          <cell r="D1046">
            <v>1</v>
          </cell>
          <cell r="E1046">
            <v>0</v>
          </cell>
          <cell r="F1046">
            <v>0</v>
          </cell>
          <cell r="G1046">
            <v>450</v>
          </cell>
          <cell r="H1046">
            <v>0</v>
          </cell>
          <cell r="I1046">
            <v>450</v>
          </cell>
        </row>
        <row r="1047">
          <cell r="A1047">
            <v>0</v>
          </cell>
          <cell r="B1047">
            <v>0</v>
          </cell>
          <cell r="C1047">
            <v>0</v>
          </cell>
          <cell r="D1047">
            <v>0</v>
          </cell>
          <cell r="E1047">
            <v>0</v>
          </cell>
          <cell r="F1047">
            <v>0</v>
          </cell>
          <cell r="G1047">
            <v>0</v>
          </cell>
          <cell r="H1047">
            <v>0</v>
          </cell>
          <cell r="I1047">
            <v>0</v>
          </cell>
        </row>
        <row r="1048">
          <cell r="A1048" t="str">
            <v>01.14.02</v>
          </cell>
          <cell r="B1048" t="str">
            <v>Partida</v>
          </cell>
          <cell r="C1048" t="str">
            <v>Alambre trinchera en parte inferior del muro de base. 2 líneas paralelas de alambre trinchera</v>
          </cell>
          <cell r="D1048">
            <v>1</v>
          </cell>
          <cell r="E1048" t="str">
            <v>m</v>
          </cell>
          <cell r="F1048">
            <v>0</v>
          </cell>
          <cell r="G1048">
            <v>450</v>
          </cell>
          <cell r="H1048">
            <v>0</v>
          </cell>
          <cell r="I1048">
            <v>450</v>
          </cell>
        </row>
        <row r="1049">
          <cell r="A1049" t="str">
            <v>SC451125</v>
          </cell>
          <cell r="B1049" t="str">
            <v>Otros</v>
          </cell>
          <cell r="C1049" t="str">
            <v>Sum./ Instalación Alambre Trinchera en Cerramientos, c/Palometa Doble</v>
          </cell>
          <cell r="D1049">
            <v>1</v>
          </cell>
          <cell r="E1049" t="str">
            <v>m</v>
          </cell>
          <cell r="F1049">
            <v>450</v>
          </cell>
          <cell r="G1049">
            <v>450</v>
          </cell>
          <cell r="H1049">
            <v>0</v>
          </cell>
          <cell r="I1049">
            <v>450</v>
          </cell>
        </row>
        <row r="1050">
          <cell r="A1050">
            <v>0</v>
          </cell>
          <cell r="B1050">
            <v>0</v>
          </cell>
          <cell r="C1050" t="str">
            <v>Total 01.14.02</v>
          </cell>
          <cell r="D1050">
            <v>1</v>
          </cell>
          <cell r="E1050">
            <v>0</v>
          </cell>
          <cell r="F1050">
            <v>0</v>
          </cell>
          <cell r="G1050">
            <v>450</v>
          </cell>
          <cell r="H1050">
            <v>0</v>
          </cell>
          <cell r="I1050">
            <v>450</v>
          </cell>
        </row>
        <row r="1051">
          <cell r="A1051">
            <v>0</v>
          </cell>
          <cell r="B1051">
            <v>0</v>
          </cell>
          <cell r="C1051">
            <v>0</v>
          </cell>
          <cell r="D1051">
            <v>0</v>
          </cell>
          <cell r="E1051">
            <v>0</v>
          </cell>
          <cell r="F1051">
            <v>0</v>
          </cell>
          <cell r="G1051">
            <v>0</v>
          </cell>
          <cell r="H1051">
            <v>0</v>
          </cell>
          <cell r="I1051">
            <v>0</v>
          </cell>
        </row>
        <row r="1052">
          <cell r="A1052" t="str">
            <v>01.14.03</v>
          </cell>
          <cell r="B1052" t="str">
            <v>Partida</v>
          </cell>
          <cell r="C1052" t="str">
            <v>Alambre trinchera en parte superior de verja con palometa doble</v>
          </cell>
          <cell r="D1052">
            <v>1</v>
          </cell>
          <cell r="E1052" t="str">
            <v>m</v>
          </cell>
          <cell r="F1052">
            <v>0</v>
          </cell>
          <cell r="G1052">
            <v>450</v>
          </cell>
          <cell r="H1052">
            <v>0</v>
          </cell>
          <cell r="I1052">
            <v>450</v>
          </cell>
        </row>
        <row r="1053">
          <cell r="A1053" t="str">
            <v>SC451125</v>
          </cell>
          <cell r="B1053" t="str">
            <v>Otros</v>
          </cell>
          <cell r="C1053" t="str">
            <v>Sum./ Instalación Alambre Trinchera en Cerramientos, c/Palometa Doble</v>
          </cell>
          <cell r="D1053">
            <v>1</v>
          </cell>
          <cell r="E1053" t="str">
            <v>m</v>
          </cell>
          <cell r="F1053">
            <v>450</v>
          </cell>
          <cell r="G1053">
            <v>450</v>
          </cell>
          <cell r="H1053">
            <v>0</v>
          </cell>
          <cell r="I1053">
            <v>450</v>
          </cell>
        </row>
        <row r="1054">
          <cell r="A1054">
            <v>0</v>
          </cell>
          <cell r="B1054">
            <v>0</v>
          </cell>
          <cell r="C1054" t="str">
            <v>Total 01.14.03</v>
          </cell>
          <cell r="D1054">
            <v>1</v>
          </cell>
          <cell r="E1054">
            <v>0</v>
          </cell>
          <cell r="F1054">
            <v>0</v>
          </cell>
          <cell r="G1054">
            <v>450</v>
          </cell>
          <cell r="H1054">
            <v>0</v>
          </cell>
          <cell r="I1054">
            <v>450</v>
          </cell>
        </row>
        <row r="1055">
          <cell r="A1055">
            <v>0</v>
          </cell>
          <cell r="B1055">
            <v>0</v>
          </cell>
          <cell r="C1055">
            <v>0</v>
          </cell>
          <cell r="D1055">
            <v>0</v>
          </cell>
          <cell r="E1055">
            <v>0</v>
          </cell>
          <cell r="F1055">
            <v>0</v>
          </cell>
          <cell r="G1055">
            <v>0</v>
          </cell>
          <cell r="H1055">
            <v>0</v>
          </cell>
          <cell r="I1055">
            <v>0</v>
          </cell>
        </row>
        <row r="1056">
          <cell r="A1056" t="str">
            <v>01.14.04</v>
          </cell>
          <cell r="B1056" t="str">
            <v>Partida</v>
          </cell>
          <cell r="C1056" t="str">
            <v>Malla ciclónica, con H=2.44 m.</v>
          </cell>
          <cell r="D1056">
            <v>1</v>
          </cell>
          <cell r="E1056" t="str">
            <v>m</v>
          </cell>
          <cell r="F1056">
            <v>0</v>
          </cell>
          <cell r="G1056">
            <v>1305</v>
          </cell>
          <cell r="H1056">
            <v>0</v>
          </cell>
          <cell r="I1056">
            <v>1305</v>
          </cell>
        </row>
        <row r="1057">
          <cell r="A1057" t="str">
            <v>SC451126</v>
          </cell>
          <cell r="B1057" t="str">
            <v>Otros</v>
          </cell>
          <cell r="C1057" t="str">
            <v>Sum./ Instalación Malla Ciclónica, con H=2.44 m.</v>
          </cell>
          <cell r="D1057">
            <v>1</v>
          </cell>
          <cell r="E1057" t="str">
            <v>m</v>
          </cell>
          <cell r="F1057">
            <v>1305</v>
          </cell>
          <cell r="G1057">
            <v>1305</v>
          </cell>
          <cell r="H1057">
            <v>0</v>
          </cell>
          <cell r="I1057">
            <v>1305</v>
          </cell>
        </row>
        <row r="1058">
          <cell r="A1058">
            <v>0</v>
          </cell>
          <cell r="B1058">
            <v>0</v>
          </cell>
          <cell r="C1058" t="str">
            <v>Total 01.14.04</v>
          </cell>
          <cell r="D1058">
            <v>1</v>
          </cell>
          <cell r="E1058">
            <v>0</v>
          </cell>
          <cell r="F1058">
            <v>0</v>
          </cell>
          <cell r="G1058">
            <v>1305</v>
          </cell>
          <cell r="H1058">
            <v>0</v>
          </cell>
          <cell r="I1058">
            <v>1305</v>
          </cell>
        </row>
        <row r="1059">
          <cell r="A1059">
            <v>0</v>
          </cell>
          <cell r="B1059">
            <v>0</v>
          </cell>
          <cell r="C1059">
            <v>0</v>
          </cell>
          <cell r="D1059">
            <v>0</v>
          </cell>
          <cell r="E1059">
            <v>0</v>
          </cell>
          <cell r="F1059">
            <v>0</v>
          </cell>
          <cell r="G1059">
            <v>0</v>
          </cell>
          <cell r="H1059">
            <v>0</v>
          </cell>
          <cell r="I1059">
            <v>0</v>
          </cell>
        </row>
        <row r="1060">
          <cell r="A1060" t="str">
            <v>01.14.05</v>
          </cell>
          <cell r="B1060" t="str">
            <v>Partida</v>
          </cell>
          <cell r="C1060" t="str">
            <v>Malla electrosoldada en marco 2 x 1" área comedor</v>
          </cell>
          <cell r="D1060">
            <v>1</v>
          </cell>
          <cell r="E1060" t="str">
            <v>m²</v>
          </cell>
          <cell r="F1060">
            <v>0</v>
          </cell>
          <cell r="G1060">
            <v>510</v>
          </cell>
          <cell r="H1060">
            <v>0</v>
          </cell>
          <cell r="I1060">
            <v>510</v>
          </cell>
        </row>
        <row r="1061">
          <cell r="A1061" t="str">
            <v>SC451127</v>
          </cell>
          <cell r="B1061" t="str">
            <v>Otros</v>
          </cell>
          <cell r="C1061" t="str">
            <v>Sum./ Instalación Malla electrosoldada en marco 2 x 1"</v>
          </cell>
          <cell r="D1061">
            <v>1</v>
          </cell>
          <cell r="E1061" t="str">
            <v>m²</v>
          </cell>
          <cell r="F1061">
            <v>510</v>
          </cell>
          <cell r="G1061">
            <v>510</v>
          </cell>
          <cell r="H1061">
            <v>0</v>
          </cell>
          <cell r="I1061">
            <v>510</v>
          </cell>
        </row>
        <row r="1062">
          <cell r="A1062">
            <v>0</v>
          </cell>
          <cell r="B1062">
            <v>0</v>
          </cell>
          <cell r="C1062" t="str">
            <v>Total 01.14.05</v>
          </cell>
          <cell r="D1062">
            <v>1</v>
          </cell>
          <cell r="E1062">
            <v>0</v>
          </cell>
          <cell r="F1062">
            <v>0</v>
          </cell>
          <cell r="G1062">
            <v>510</v>
          </cell>
          <cell r="H1062">
            <v>0</v>
          </cell>
          <cell r="I1062">
            <v>510</v>
          </cell>
        </row>
        <row r="1063">
          <cell r="A1063">
            <v>0</v>
          </cell>
          <cell r="B1063">
            <v>0</v>
          </cell>
          <cell r="C1063">
            <v>0</v>
          </cell>
          <cell r="D1063">
            <v>0</v>
          </cell>
          <cell r="E1063">
            <v>0</v>
          </cell>
          <cell r="F1063">
            <v>0</v>
          </cell>
          <cell r="G1063">
            <v>0</v>
          </cell>
          <cell r="H1063">
            <v>0</v>
          </cell>
          <cell r="I1063">
            <v>0</v>
          </cell>
        </row>
        <row r="1064">
          <cell r="A1064" t="str">
            <v>01.14.06</v>
          </cell>
          <cell r="B1064" t="str">
            <v>Partida</v>
          </cell>
          <cell r="C1064" t="str">
            <v>Malla FENS en hueco de escalera (1er a 4to nivel)</v>
          </cell>
          <cell r="D1064">
            <v>1</v>
          </cell>
          <cell r="E1064" t="str">
            <v>m²</v>
          </cell>
          <cell r="F1064">
            <v>0</v>
          </cell>
          <cell r="G1064">
            <v>510</v>
          </cell>
          <cell r="H1064">
            <v>0</v>
          </cell>
          <cell r="I1064">
            <v>510</v>
          </cell>
        </row>
        <row r="1065">
          <cell r="A1065" t="str">
            <v>SC451129</v>
          </cell>
          <cell r="B1065" t="str">
            <v>Otros</v>
          </cell>
          <cell r="C1065" t="str">
            <v>Sum./ Instalación Malla Soldada y Plastificada con perfiles 2"*2" (Fens)</v>
          </cell>
          <cell r="D1065">
            <v>1</v>
          </cell>
          <cell r="E1065" t="str">
            <v>m²</v>
          </cell>
          <cell r="F1065">
            <v>510</v>
          </cell>
          <cell r="G1065">
            <v>510</v>
          </cell>
          <cell r="H1065">
            <v>0</v>
          </cell>
          <cell r="I1065">
            <v>510</v>
          </cell>
        </row>
        <row r="1066">
          <cell r="A1066">
            <v>0</v>
          </cell>
          <cell r="B1066">
            <v>0</v>
          </cell>
          <cell r="C1066" t="str">
            <v>Total 01.14.06</v>
          </cell>
          <cell r="D1066">
            <v>1</v>
          </cell>
          <cell r="E1066">
            <v>0</v>
          </cell>
          <cell r="F1066">
            <v>0</v>
          </cell>
          <cell r="G1066">
            <v>510</v>
          </cell>
          <cell r="H1066">
            <v>0</v>
          </cell>
          <cell r="I1066">
            <v>510</v>
          </cell>
        </row>
        <row r="1067">
          <cell r="A1067">
            <v>0</v>
          </cell>
          <cell r="B1067">
            <v>0</v>
          </cell>
          <cell r="C1067">
            <v>0</v>
          </cell>
          <cell r="D1067">
            <v>0</v>
          </cell>
          <cell r="E1067">
            <v>0</v>
          </cell>
          <cell r="F1067">
            <v>0</v>
          </cell>
          <cell r="G1067">
            <v>0</v>
          </cell>
          <cell r="H1067">
            <v>0</v>
          </cell>
          <cell r="I1067">
            <v>0</v>
          </cell>
        </row>
        <row r="1068">
          <cell r="A1068" t="str">
            <v>01.14.07</v>
          </cell>
          <cell r="B1068" t="str">
            <v>Partida</v>
          </cell>
          <cell r="C1068" t="str">
            <v>Malla soldada y plastificada con perfiles 2"*2"en hueco de escalera (1er a 5to nivel)</v>
          </cell>
          <cell r="D1068">
            <v>1</v>
          </cell>
          <cell r="E1068" t="str">
            <v>m²</v>
          </cell>
          <cell r="F1068">
            <v>0</v>
          </cell>
          <cell r="G1068">
            <v>510</v>
          </cell>
          <cell r="H1068">
            <v>0</v>
          </cell>
          <cell r="I1068">
            <v>510</v>
          </cell>
        </row>
        <row r="1069">
          <cell r="A1069" t="str">
            <v>SC451129</v>
          </cell>
          <cell r="B1069" t="str">
            <v>Otros</v>
          </cell>
          <cell r="C1069" t="str">
            <v>Sum./ Instalación Malla Soldada y Plastificada con perfiles 2"*2" (Fens)</v>
          </cell>
          <cell r="D1069">
            <v>1</v>
          </cell>
          <cell r="E1069" t="str">
            <v>m²</v>
          </cell>
          <cell r="F1069">
            <v>510</v>
          </cell>
          <cell r="G1069">
            <v>510</v>
          </cell>
          <cell r="H1069">
            <v>0</v>
          </cell>
          <cell r="I1069">
            <v>510</v>
          </cell>
        </row>
        <row r="1070">
          <cell r="A1070">
            <v>0</v>
          </cell>
          <cell r="B1070">
            <v>0</v>
          </cell>
          <cell r="C1070" t="str">
            <v>Total 01.14.07</v>
          </cell>
          <cell r="D1070">
            <v>1</v>
          </cell>
          <cell r="E1070">
            <v>0</v>
          </cell>
          <cell r="F1070">
            <v>0</v>
          </cell>
          <cell r="G1070">
            <v>510</v>
          </cell>
          <cell r="H1070">
            <v>0</v>
          </cell>
          <cell r="I1070">
            <v>510</v>
          </cell>
        </row>
        <row r="1071">
          <cell r="A1071">
            <v>0</v>
          </cell>
          <cell r="B1071">
            <v>0</v>
          </cell>
          <cell r="C1071">
            <v>0</v>
          </cell>
          <cell r="D1071">
            <v>0</v>
          </cell>
          <cell r="E1071">
            <v>0</v>
          </cell>
          <cell r="F1071">
            <v>0</v>
          </cell>
          <cell r="G1071">
            <v>0</v>
          </cell>
          <cell r="H1071">
            <v>0</v>
          </cell>
          <cell r="I1071">
            <v>0</v>
          </cell>
        </row>
        <row r="1072">
          <cell r="A1072" t="str">
            <v>01.14.08</v>
          </cell>
          <cell r="B1072" t="str">
            <v>Partida</v>
          </cell>
          <cell r="C1072" t="str">
            <v>Techo de protección en perfiles y malla tipo piñonate</v>
          </cell>
          <cell r="D1072">
            <v>1</v>
          </cell>
          <cell r="E1072" t="str">
            <v>m²</v>
          </cell>
          <cell r="F1072">
            <v>0</v>
          </cell>
          <cell r="G1072">
            <v>450</v>
          </cell>
          <cell r="H1072">
            <v>0</v>
          </cell>
          <cell r="I1072">
            <v>450</v>
          </cell>
        </row>
        <row r="1073">
          <cell r="A1073" t="str">
            <v>SC451137</v>
          </cell>
          <cell r="B1073" t="str">
            <v>Otros</v>
          </cell>
          <cell r="C1073" t="str">
            <v>Sum./ Instalación Techo de protección en perfiles y malla tipo piñonate</v>
          </cell>
          <cell r="D1073">
            <v>1</v>
          </cell>
          <cell r="E1073" t="str">
            <v>m²</v>
          </cell>
          <cell r="F1073">
            <v>450</v>
          </cell>
          <cell r="G1073">
            <v>450</v>
          </cell>
          <cell r="H1073">
            <v>0</v>
          </cell>
          <cell r="I1073">
            <v>450</v>
          </cell>
        </row>
        <row r="1074">
          <cell r="A1074">
            <v>0</v>
          </cell>
          <cell r="B1074">
            <v>0</v>
          </cell>
          <cell r="C1074" t="str">
            <v>Total 01.14.08</v>
          </cell>
          <cell r="D1074">
            <v>1</v>
          </cell>
          <cell r="E1074">
            <v>0</v>
          </cell>
          <cell r="F1074">
            <v>0</v>
          </cell>
          <cell r="G1074">
            <v>450</v>
          </cell>
          <cell r="H1074">
            <v>0</v>
          </cell>
          <cell r="I1074">
            <v>450</v>
          </cell>
        </row>
        <row r="1075">
          <cell r="A1075">
            <v>0</v>
          </cell>
          <cell r="B1075">
            <v>0</v>
          </cell>
          <cell r="C1075">
            <v>0</v>
          </cell>
          <cell r="D1075">
            <v>0</v>
          </cell>
          <cell r="E1075">
            <v>0</v>
          </cell>
          <cell r="F1075">
            <v>0</v>
          </cell>
          <cell r="G1075">
            <v>0</v>
          </cell>
          <cell r="H1075">
            <v>0</v>
          </cell>
          <cell r="I1075">
            <v>0</v>
          </cell>
        </row>
        <row r="1076">
          <cell r="A1076">
            <v>0</v>
          </cell>
          <cell r="B1076">
            <v>0</v>
          </cell>
          <cell r="C1076">
            <v>0</v>
          </cell>
          <cell r="D1076">
            <v>0</v>
          </cell>
          <cell r="E1076">
            <v>0</v>
          </cell>
          <cell r="F1076">
            <v>0</v>
          </cell>
          <cell r="G1076">
            <v>0</v>
          </cell>
          <cell r="H1076">
            <v>0</v>
          </cell>
          <cell r="I1076">
            <v>0</v>
          </cell>
        </row>
        <row r="1077">
          <cell r="A1077" t="str">
            <v>01.15</v>
          </cell>
          <cell r="B1077" t="str">
            <v>Capítulo</v>
          </cell>
          <cell r="C1077" t="str">
            <v>EXTERIORES:</v>
          </cell>
          <cell r="D1077">
            <v>0</v>
          </cell>
          <cell r="E1077" t="str">
            <v/>
          </cell>
          <cell r="F1077">
            <v>0</v>
          </cell>
          <cell r="G1077">
            <v>0</v>
          </cell>
          <cell r="H1077">
            <v>0</v>
          </cell>
          <cell r="I1077">
            <v>0</v>
          </cell>
        </row>
        <row r="1078">
          <cell r="A1078" t="str">
            <v>01.15.01</v>
          </cell>
          <cell r="B1078" t="str">
            <v>Partida</v>
          </cell>
          <cell r="C1078" t="str">
            <v>Arenilla roja: Suministro, regado, nivelado y compactado con equipos, e= 0.10 mts. (campo corto, montículo del pitcher y fuera l</v>
          </cell>
          <cell r="D1078">
            <v>1</v>
          </cell>
          <cell r="E1078" t="str">
            <v>m³c</v>
          </cell>
          <cell r="F1078">
            <v>0</v>
          </cell>
          <cell r="G1078">
            <v>1570</v>
          </cell>
          <cell r="H1078">
            <v>0</v>
          </cell>
          <cell r="I1078">
            <v>1570</v>
          </cell>
        </row>
        <row r="1079">
          <cell r="A1079" t="str">
            <v>SC087201</v>
          </cell>
          <cell r="B1079" t="str">
            <v>Otros</v>
          </cell>
          <cell r="C1079" t="str">
            <v>Suministro, regado, nivelado y compactado de Arenilla Roja c/ Equipos</v>
          </cell>
          <cell r="D1079">
            <v>1</v>
          </cell>
          <cell r="E1079" t="str">
            <v>m³c</v>
          </cell>
          <cell r="F1079">
            <v>1570</v>
          </cell>
          <cell r="G1079">
            <v>1570</v>
          </cell>
          <cell r="H1079">
            <v>0</v>
          </cell>
          <cell r="I1079">
            <v>1570</v>
          </cell>
        </row>
        <row r="1080">
          <cell r="A1080">
            <v>0</v>
          </cell>
          <cell r="B1080">
            <v>0</v>
          </cell>
          <cell r="C1080" t="str">
            <v>Total 01.15.01</v>
          </cell>
          <cell r="D1080">
            <v>1</v>
          </cell>
          <cell r="E1080">
            <v>0</v>
          </cell>
          <cell r="F1080">
            <v>0</v>
          </cell>
          <cell r="G1080">
            <v>1570</v>
          </cell>
          <cell r="H1080">
            <v>0</v>
          </cell>
          <cell r="I1080">
            <v>1570</v>
          </cell>
        </row>
        <row r="1081">
          <cell r="A1081">
            <v>0</v>
          </cell>
          <cell r="B1081">
            <v>0</v>
          </cell>
          <cell r="C1081">
            <v>0</v>
          </cell>
          <cell r="D1081">
            <v>0</v>
          </cell>
          <cell r="E1081">
            <v>0</v>
          </cell>
          <cell r="F1081">
            <v>0</v>
          </cell>
          <cell r="G1081">
            <v>0</v>
          </cell>
          <cell r="H1081">
            <v>0</v>
          </cell>
          <cell r="I1081">
            <v>0</v>
          </cell>
        </row>
        <row r="1082">
          <cell r="A1082" t="str">
            <v>01.15.02</v>
          </cell>
          <cell r="B1082" t="str">
            <v>Partida</v>
          </cell>
          <cell r="C1082" t="str">
            <v>Bancos de hormigón</v>
          </cell>
          <cell r="D1082">
            <v>1</v>
          </cell>
          <cell r="E1082" t="str">
            <v>m</v>
          </cell>
          <cell r="F1082">
            <v>0</v>
          </cell>
          <cell r="G1082">
            <v>3226.3114764000002</v>
          </cell>
          <cell r="H1082">
            <v>123.61166575199999</v>
          </cell>
          <cell r="I1082">
            <v>3349.9231421519999</v>
          </cell>
        </row>
        <row r="1083">
          <cell r="A1083" t="str">
            <v>P1805011</v>
          </cell>
          <cell r="B1083" t="str">
            <v>Material</v>
          </cell>
          <cell r="C1083" t="str">
            <v>Bloque de hormigón de 6"</v>
          </cell>
          <cell r="D1083">
            <v>1.5390999999999999</v>
          </cell>
          <cell r="E1083" t="str">
            <v>u</v>
          </cell>
          <cell r="F1083">
            <v>23.52</v>
          </cell>
          <cell r="G1083">
            <v>36.199631999999994</v>
          </cell>
          <cell r="H1083">
            <v>6.5159337599999985</v>
          </cell>
          <cell r="I1083">
            <v>42.71556575999999</v>
          </cell>
        </row>
        <row r="1084">
          <cell r="A1084" t="str">
            <v>P0401066</v>
          </cell>
          <cell r="B1084" t="str">
            <v>Material</v>
          </cell>
          <cell r="C1084" t="str">
            <v>Acero G-60, Long. Variable</v>
          </cell>
          <cell r="D1084">
            <v>0.16850000000000001</v>
          </cell>
          <cell r="E1084" t="str">
            <v>qq</v>
          </cell>
          <cell r="F1084">
            <v>2285</v>
          </cell>
          <cell r="G1084">
            <v>385.02250000000004</v>
          </cell>
          <cell r="H1084">
            <v>69.304050000000004</v>
          </cell>
          <cell r="I1084">
            <v>454.32655000000005</v>
          </cell>
        </row>
        <row r="1085">
          <cell r="A1085" t="str">
            <v>P0418006</v>
          </cell>
          <cell r="B1085" t="str">
            <v>Material</v>
          </cell>
          <cell r="C1085" t="str">
            <v>Alambre galvanizado liso #18</v>
          </cell>
          <cell r="D1085">
            <v>0.32100000000000001</v>
          </cell>
          <cell r="E1085" t="str">
            <v>lb</v>
          </cell>
          <cell r="F1085">
            <v>42.28</v>
          </cell>
          <cell r="G1085">
            <v>13.57188</v>
          </cell>
          <cell r="H1085">
            <v>2.4429384000000001</v>
          </cell>
          <cell r="I1085">
            <v>16.014818399999999</v>
          </cell>
        </row>
        <row r="1086">
          <cell r="A1086" t="str">
            <v>P0201008</v>
          </cell>
          <cell r="B1086" t="str">
            <v>Material</v>
          </cell>
          <cell r="C1086" t="str">
            <v>Arena Itabo Lavada</v>
          </cell>
          <cell r="D1086">
            <v>2.8799999999999999E-2</v>
          </cell>
          <cell r="E1086" t="str">
            <v>m³</v>
          </cell>
          <cell r="F1086">
            <v>930.76</v>
          </cell>
          <cell r="G1086">
            <v>26.805887999999999</v>
          </cell>
          <cell r="H1086">
            <v>4.8250598399999998</v>
          </cell>
          <cell r="I1086">
            <v>31.630947839999997</v>
          </cell>
        </row>
        <row r="1087">
          <cell r="A1087" t="str">
            <v>P0201005</v>
          </cell>
          <cell r="B1087" t="str">
            <v>Material</v>
          </cell>
          <cell r="C1087" t="str">
            <v>Arena fina p/pañete</v>
          </cell>
          <cell r="D1087">
            <v>5.8999999999999999E-3</v>
          </cell>
          <cell r="E1087" t="str">
            <v>m³</v>
          </cell>
          <cell r="F1087">
            <v>1200</v>
          </cell>
          <cell r="G1087">
            <v>7.08</v>
          </cell>
          <cell r="H1087">
            <v>1.2744</v>
          </cell>
          <cell r="I1087">
            <v>8.3544</v>
          </cell>
        </row>
        <row r="1088">
          <cell r="A1088" t="str">
            <v>P0201007</v>
          </cell>
          <cell r="B1088" t="str">
            <v>Material</v>
          </cell>
          <cell r="C1088" t="str">
            <v>Grava de 1/2"</v>
          </cell>
          <cell r="D1088">
            <v>2.0400000000000001E-2</v>
          </cell>
          <cell r="E1088" t="str">
            <v>m³</v>
          </cell>
          <cell r="F1088">
            <v>1100</v>
          </cell>
          <cell r="G1088">
            <v>22.44</v>
          </cell>
          <cell r="H1088">
            <v>4.0392000000000001</v>
          </cell>
          <cell r="I1088">
            <v>26.479200000000002</v>
          </cell>
        </row>
        <row r="1089">
          <cell r="A1089" t="str">
            <v>P0601003</v>
          </cell>
          <cell r="B1089" t="str">
            <v>Material</v>
          </cell>
          <cell r="C1089" t="str">
            <v>Cemento Gris 94 lbs. Tipo Portland</v>
          </cell>
          <cell r="D1089">
            <v>0.52339999999999998</v>
          </cell>
          <cell r="E1089" t="str">
            <v>fd</v>
          </cell>
          <cell r="F1089">
            <v>295</v>
          </cell>
          <cell r="G1089">
            <v>154.40299999999999</v>
          </cell>
          <cell r="H1089">
            <v>27.792539999999999</v>
          </cell>
          <cell r="I1089">
            <v>182.19553999999999</v>
          </cell>
        </row>
        <row r="1090">
          <cell r="A1090" t="str">
            <v>P0603001</v>
          </cell>
          <cell r="B1090" t="str">
            <v>Material</v>
          </cell>
          <cell r="C1090" t="str">
            <v>Cal hidratada, funda de 50 Lbs</v>
          </cell>
          <cell r="D1090">
            <v>1.2999999999999999E-2</v>
          </cell>
          <cell r="E1090" t="str">
            <v>fd</v>
          </cell>
          <cell r="F1090">
            <v>213.4</v>
          </cell>
          <cell r="G1090">
            <v>2.7742</v>
          </cell>
          <cell r="H1090">
            <v>0.49935599999999997</v>
          </cell>
          <cell r="I1090">
            <v>3.2735560000000001</v>
          </cell>
        </row>
        <row r="1091">
          <cell r="A1091" t="str">
            <v>P2403199</v>
          </cell>
          <cell r="B1091" t="str">
            <v>Material</v>
          </cell>
          <cell r="C1091" t="str">
            <v>Agua</v>
          </cell>
          <cell r="D1091">
            <v>3.0209000000000001</v>
          </cell>
          <cell r="E1091" t="str">
            <v>gl</v>
          </cell>
          <cell r="F1091">
            <v>1.58</v>
          </cell>
          <cell r="G1091">
            <v>4.7730220000000001</v>
          </cell>
          <cell r="H1091">
            <v>0.85914396000000004</v>
          </cell>
          <cell r="I1091">
            <v>5.63216596</v>
          </cell>
        </row>
        <row r="1092">
          <cell r="A1092" t="str">
            <v>P0109018</v>
          </cell>
          <cell r="B1092" t="str">
            <v>Auxiliar</v>
          </cell>
          <cell r="C1092" t="str">
            <v>Hormigón In Situ fc=120Kg/Cm²  Agreg 3/8@1/2</v>
          </cell>
          <cell r="D1092">
            <v>1.0800000000000001E-2</v>
          </cell>
          <cell r="E1092" t="str">
            <v>m³</v>
          </cell>
          <cell r="F1092">
            <v>4435.2180000000008</v>
          </cell>
          <cell r="G1092">
            <v>47.900354400000012</v>
          </cell>
          <cell r="H1092">
            <v>5.9976637919999991</v>
          </cell>
          <cell r="I1092">
            <v>53.898018192000009</v>
          </cell>
        </row>
        <row r="1093">
          <cell r="A1093" t="str">
            <v>P0701003</v>
          </cell>
          <cell r="B1093" t="str">
            <v>Material</v>
          </cell>
          <cell r="C1093" t="str">
            <v>Regla para pañete de PATC</v>
          </cell>
          <cell r="D1093">
            <v>6.1999999999999998E-3</v>
          </cell>
          <cell r="E1093" t="str">
            <v>p²</v>
          </cell>
          <cell r="F1093">
            <v>55.000000000000007</v>
          </cell>
          <cell r="G1093">
            <v>0.34100000000000003</v>
          </cell>
          <cell r="H1093">
            <v>6.1380000000000004E-2</v>
          </cell>
          <cell r="I1093">
            <v>0.40238000000000002</v>
          </cell>
        </row>
        <row r="1094">
          <cell r="A1094" t="str">
            <v>H0320214</v>
          </cell>
          <cell r="B1094" t="str">
            <v>Mano de obra</v>
          </cell>
          <cell r="C1094" t="str">
            <v>M.O. Alb. Construccion de Banco H.A.</v>
          </cell>
          <cell r="D1094">
            <v>1</v>
          </cell>
          <cell r="E1094" t="str">
            <v>m</v>
          </cell>
          <cell r="F1094">
            <v>2500</v>
          </cell>
          <cell r="G1094">
            <v>2500</v>
          </cell>
          <cell r="H1094">
            <v>0</v>
          </cell>
          <cell r="I1094">
            <v>2500</v>
          </cell>
        </row>
        <row r="1095">
          <cell r="A1095" t="str">
            <v>H%FH</v>
          </cell>
          <cell r="B1095" t="str">
            <v>Otros</v>
          </cell>
          <cell r="C1095" t="str">
            <v>Factor Herramientas</v>
          </cell>
          <cell r="D1095">
            <v>1</v>
          </cell>
          <cell r="E1095" t="str">
            <v>%</v>
          </cell>
          <cell r="F1095">
            <v>2500</v>
          </cell>
          <cell r="G1095">
            <v>25</v>
          </cell>
          <cell r="H1095">
            <v>0</v>
          </cell>
          <cell r="I1095">
            <v>25</v>
          </cell>
        </row>
        <row r="1096">
          <cell r="A1096">
            <v>0</v>
          </cell>
          <cell r="B1096">
            <v>0</v>
          </cell>
          <cell r="C1096" t="str">
            <v>Total 01.15.02</v>
          </cell>
          <cell r="D1096">
            <v>1</v>
          </cell>
          <cell r="E1096">
            <v>0</v>
          </cell>
          <cell r="F1096">
            <v>0</v>
          </cell>
          <cell r="G1096">
            <v>3226.3114764000002</v>
          </cell>
          <cell r="H1096">
            <v>123.61166575199999</v>
          </cell>
          <cell r="I1096">
            <v>3349.9231421519999</v>
          </cell>
        </row>
        <row r="1097">
          <cell r="A1097">
            <v>0</v>
          </cell>
          <cell r="B1097">
            <v>0</v>
          </cell>
          <cell r="C1097">
            <v>0</v>
          </cell>
          <cell r="D1097">
            <v>0</v>
          </cell>
          <cell r="E1097">
            <v>0</v>
          </cell>
          <cell r="F1097">
            <v>0</v>
          </cell>
          <cell r="G1097">
            <v>0</v>
          </cell>
          <cell r="H1097">
            <v>0</v>
          </cell>
          <cell r="I1097">
            <v>0</v>
          </cell>
        </row>
        <row r="1098">
          <cell r="A1098">
            <v>0</v>
          </cell>
          <cell r="B1098">
            <v>0</v>
          </cell>
          <cell r="C1098">
            <v>0</v>
          </cell>
          <cell r="D1098">
            <v>0</v>
          </cell>
          <cell r="E1098">
            <v>0</v>
          </cell>
          <cell r="F1098">
            <v>0</v>
          </cell>
          <cell r="G1098">
            <v>0</v>
          </cell>
          <cell r="H1098">
            <v>0</v>
          </cell>
          <cell r="I1098">
            <v>0</v>
          </cell>
        </row>
        <row r="1099">
          <cell r="A1099">
            <v>0</v>
          </cell>
          <cell r="B1099">
            <v>0</v>
          </cell>
          <cell r="C1099">
            <v>0</v>
          </cell>
          <cell r="D1099">
            <v>0</v>
          </cell>
          <cell r="E1099">
            <v>0</v>
          </cell>
          <cell r="F1099">
            <v>0</v>
          </cell>
          <cell r="G1099">
            <v>0</v>
          </cell>
          <cell r="H1099">
            <v>0</v>
          </cell>
          <cell r="I1099">
            <v>0</v>
          </cell>
        </row>
        <row r="1100">
          <cell r="A1100" t="str">
            <v>01.16</v>
          </cell>
          <cell r="B1100" t="str">
            <v>Capítulo</v>
          </cell>
          <cell r="C1100" t="str">
            <v>BARANDAS:</v>
          </cell>
          <cell r="D1100">
            <v>0</v>
          </cell>
          <cell r="E1100" t="str">
            <v/>
          </cell>
          <cell r="F1100">
            <v>0</v>
          </cell>
          <cell r="G1100">
            <v>0</v>
          </cell>
          <cell r="H1100">
            <v>0</v>
          </cell>
          <cell r="I1100">
            <v>0</v>
          </cell>
        </row>
        <row r="1101">
          <cell r="A1101" t="str">
            <v>01.16.01</v>
          </cell>
          <cell r="B1101" t="str">
            <v>Partida</v>
          </cell>
          <cell r="C1101" t="str">
            <v>Baranda de Perfil en área de Escalera</v>
          </cell>
          <cell r="D1101">
            <v>1</v>
          </cell>
          <cell r="E1101" t="str">
            <v>m</v>
          </cell>
          <cell r="F1101">
            <v>0</v>
          </cell>
          <cell r="G1101">
            <v>4290</v>
          </cell>
          <cell r="H1101">
            <v>0</v>
          </cell>
          <cell r="I1101">
            <v>4290</v>
          </cell>
        </row>
        <row r="1102">
          <cell r="A1102" t="str">
            <v>O051421</v>
          </cell>
          <cell r="B1102" t="str">
            <v>Otros</v>
          </cell>
          <cell r="C1102" t="str">
            <v>Sum./ Instalación de Baranda de Perfil</v>
          </cell>
          <cell r="D1102">
            <v>1</v>
          </cell>
          <cell r="E1102" t="str">
            <v>m</v>
          </cell>
          <cell r="F1102">
            <v>4290</v>
          </cell>
          <cell r="G1102">
            <v>4290</v>
          </cell>
          <cell r="H1102">
            <v>0</v>
          </cell>
          <cell r="I1102">
            <v>4290</v>
          </cell>
        </row>
        <row r="1103">
          <cell r="A1103">
            <v>0</v>
          </cell>
          <cell r="B1103">
            <v>0</v>
          </cell>
          <cell r="C1103" t="str">
            <v>Total 01.16.01</v>
          </cell>
          <cell r="D1103">
            <v>1</v>
          </cell>
          <cell r="E1103">
            <v>0</v>
          </cell>
          <cell r="F1103">
            <v>0</v>
          </cell>
          <cell r="G1103">
            <v>4290</v>
          </cell>
          <cell r="H1103">
            <v>0</v>
          </cell>
          <cell r="I1103">
            <v>4290</v>
          </cell>
        </row>
        <row r="1104">
          <cell r="A1104">
            <v>0</v>
          </cell>
          <cell r="B1104">
            <v>0</v>
          </cell>
          <cell r="C1104">
            <v>0</v>
          </cell>
          <cell r="D1104">
            <v>0</v>
          </cell>
          <cell r="E1104">
            <v>0</v>
          </cell>
          <cell r="F1104">
            <v>0</v>
          </cell>
          <cell r="G1104">
            <v>0</v>
          </cell>
          <cell r="H1104">
            <v>0</v>
          </cell>
          <cell r="I1104">
            <v>0</v>
          </cell>
        </row>
        <row r="1105">
          <cell r="A1105" t="str">
            <v>01.16.02</v>
          </cell>
          <cell r="B1105" t="str">
            <v>Partida</v>
          </cell>
          <cell r="C1105" t="str">
            <v>Baranda en elementos tubulares de 2.5". (ver detalle estructural)</v>
          </cell>
          <cell r="D1105">
            <v>1</v>
          </cell>
          <cell r="E1105" t="str">
            <v>m</v>
          </cell>
          <cell r="F1105">
            <v>0</v>
          </cell>
          <cell r="G1105">
            <v>4290</v>
          </cell>
          <cell r="H1105">
            <v>0</v>
          </cell>
          <cell r="I1105">
            <v>4290</v>
          </cell>
        </row>
        <row r="1106">
          <cell r="A1106" t="str">
            <v>O051422</v>
          </cell>
          <cell r="B1106" t="str">
            <v>Otros</v>
          </cell>
          <cell r="C1106" t="str">
            <v>Sum./ Instalación de Baranda en elementos tubulares de 2.5"</v>
          </cell>
          <cell r="D1106">
            <v>1</v>
          </cell>
          <cell r="E1106" t="str">
            <v>m</v>
          </cell>
          <cell r="F1106">
            <v>4290</v>
          </cell>
          <cell r="G1106">
            <v>4290</v>
          </cell>
          <cell r="H1106">
            <v>0</v>
          </cell>
          <cell r="I1106">
            <v>4290</v>
          </cell>
        </row>
        <row r="1107">
          <cell r="A1107">
            <v>0</v>
          </cell>
          <cell r="B1107">
            <v>0</v>
          </cell>
          <cell r="C1107" t="str">
            <v>Total 01.16.02</v>
          </cell>
          <cell r="D1107">
            <v>1</v>
          </cell>
          <cell r="E1107">
            <v>0</v>
          </cell>
          <cell r="F1107">
            <v>0</v>
          </cell>
          <cell r="G1107">
            <v>4290</v>
          </cell>
          <cell r="H1107">
            <v>0</v>
          </cell>
          <cell r="I1107">
            <v>4290</v>
          </cell>
        </row>
        <row r="1108">
          <cell r="A1108">
            <v>0</v>
          </cell>
          <cell r="B1108">
            <v>0</v>
          </cell>
          <cell r="C1108">
            <v>0</v>
          </cell>
          <cell r="D1108">
            <v>0</v>
          </cell>
          <cell r="E1108">
            <v>0</v>
          </cell>
          <cell r="F1108">
            <v>0</v>
          </cell>
          <cell r="G1108">
            <v>0</v>
          </cell>
          <cell r="H1108">
            <v>0</v>
          </cell>
          <cell r="I1108">
            <v>0</v>
          </cell>
        </row>
        <row r="1109">
          <cell r="A1109" t="str">
            <v>01.16.03</v>
          </cell>
          <cell r="B1109" t="str">
            <v>Partida</v>
          </cell>
          <cell r="C1109" t="str">
            <v>Baranda en perfiles de aluminio en rampa de entrada</v>
          </cell>
          <cell r="D1109">
            <v>1</v>
          </cell>
          <cell r="E1109" t="str">
            <v>m</v>
          </cell>
          <cell r="F1109">
            <v>0</v>
          </cell>
          <cell r="G1109">
            <v>4290</v>
          </cell>
          <cell r="H1109">
            <v>0</v>
          </cell>
          <cell r="I1109">
            <v>4290</v>
          </cell>
        </row>
        <row r="1110">
          <cell r="A1110" t="str">
            <v>O051423</v>
          </cell>
          <cell r="B1110" t="str">
            <v>Otros</v>
          </cell>
          <cell r="C1110" t="str">
            <v>Sum./ Instalación de Baranda en Perfiles de Alumnio en Rampa</v>
          </cell>
          <cell r="D1110">
            <v>1</v>
          </cell>
          <cell r="E1110" t="str">
            <v>m</v>
          </cell>
          <cell r="F1110">
            <v>4290</v>
          </cell>
          <cell r="G1110">
            <v>4290</v>
          </cell>
          <cell r="H1110">
            <v>0</v>
          </cell>
          <cell r="I1110">
            <v>4290</v>
          </cell>
        </row>
        <row r="1111">
          <cell r="A1111">
            <v>0</v>
          </cell>
          <cell r="B1111">
            <v>0</v>
          </cell>
          <cell r="C1111" t="str">
            <v>Total 01.16.03</v>
          </cell>
          <cell r="D1111">
            <v>1</v>
          </cell>
          <cell r="E1111">
            <v>0</v>
          </cell>
          <cell r="F1111">
            <v>0</v>
          </cell>
          <cell r="G1111">
            <v>4290</v>
          </cell>
          <cell r="H1111">
            <v>0</v>
          </cell>
          <cell r="I1111">
            <v>4290</v>
          </cell>
        </row>
        <row r="1112">
          <cell r="A1112">
            <v>0</v>
          </cell>
          <cell r="B1112">
            <v>0</v>
          </cell>
          <cell r="C1112">
            <v>0</v>
          </cell>
          <cell r="D1112">
            <v>0</v>
          </cell>
          <cell r="E1112">
            <v>0</v>
          </cell>
          <cell r="F1112">
            <v>0</v>
          </cell>
          <cell r="G1112">
            <v>0</v>
          </cell>
          <cell r="H1112">
            <v>0</v>
          </cell>
          <cell r="I1112">
            <v>0</v>
          </cell>
        </row>
        <row r="1113">
          <cell r="A1113" t="str">
            <v>01.16.04</v>
          </cell>
          <cell r="B1113" t="str">
            <v>Partida</v>
          </cell>
          <cell r="C1113" t="str">
            <v>Baranda en perfiles de aluminio para escaleras</v>
          </cell>
          <cell r="D1113">
            <v>1</v>
          </cell>
          <cell r="E1113" t="str">
            <v>m</v>
          </cell>
          <cell r="F1113">
            <v>0</v>
          </cell>
          <cell r="G1113">
            <v>4290</v>
          </cell>
          <cell r="H1113">
            <v>0</v>
          </cell>
          <cell r="I1113">
            <v>4290</v>
          </cell>
        </row>
        <row r="1114">
          <cell r="A1114" t="str">
            <v>O051424</v>
          </cell>
          <cell r="B1114" t="str">
            <v>Otros</v>
          </cell>
          <cell r="C1114" t="str">
            <v>Sum./ Instalación de Baranda en Perfiles de Alumnio en Escalera</v>
          </cell>
          <cell r="D1114">
            <v>1</v>
          </cell>
          <cell r="E1114" t="str">
            <v>m</v>
          </cell>
          <cell r="F1114">
            <v>4290</v>
          </cell>
          <cell r="G1114">
            <v>4290</v>
          </cell>
          <cell r="H1114">
            <v>0</v>
          </cell>
          <cell r="I1114">
            <v>4290</v>
          </cell>
        </row>
        <row r="1115">
          <cell r="A1115">
            <v>0</v>
          </cell>
          <cell r="B1115">
            <v>0</v>
          </cell>
          <cell r="C1115" t="str">
            <v>Total 01.16.04</v>
          </cell>
          <cell r="D1115">
            <v>1</v>
          </cell>
          <cell r="E1115">
            <v>0</v>
          </cell>
          <cell r="F1115">
            <v>0</v>
          </cell>
          <cell r="G1115">
            <v>4290</v>
          </cell>
          <cell r="H1115">
            <v>0</v>
          </cell>
          <cell r="I1115">
            <v>4290</v>
          </cell>
        </row>
        <row r="1116">
          <cell r="A1116">
            <v>0</v>
          </cell>
          <cell r="B1116">
            <v>0</v>
          </cell>
          <cell r="C1116">
            <v>0</v>
          </cell>
          <cell r="D1116">
            <v>0</v>
          </cell>
          <cell r="E1116">
            <v>0</v>
          </cell>
          <cell r="F1116">
            <v>0</v>
          </cell>
          <cell r="G1116">
            <v>0</v>
          </cell>
          <cell r="H1116">
            <v>0</v>
          </cell>
          <cell r="I1116">
            <v>0</v>
          </cell>
        </row>
        <row r="1117">
          <cell r="A1117" t="str">
            <v>01.16.05</v>
          </cell>
          <cell r="B1117" t="str">
            <v>Partida</v>
          </cell>
          <cell r="C1117" t="str">
            <v>Baranda escaleras  empotrada en pared</v>
          </cell>
          <cell r="D1117">
            <v>1</v>
          </cell>
          <cell r="E1117" t="str">
            <v>m</v>
          </cell>
          <cell r="F1117">
            <v>0</v>
          </cell>
          <cell r="G1117">
            <v>1980.0000000000002</v>
          </cell>
          <cell r="H1117">
            <v>0</v>
          </cell>
          <cell r="I1117">
            <v>1980.0000000000002</v>
          </cell>
        </row>
        <row r="1118">
          <cell r="A1118" t="str">
            <v>O051425</v>
          </cell>
          <cell r="B1118" t="str">
            <v>Otros</v>
          </cell>
          <cell r="C1118" t="str">
            <v>Sum./ Instalación de Baranda Escalera Empotrada en Pared</v>
          </cell>
          <cell r="D1118">
            <v>1</v>
          </cell>
          <cell r="E1118" t="str">
            <v>m</v>
          </cell>
          <cell r="F1118">
            <v>1980.0000000000002</v>
          </cell>
          <cell r="G1118">
            <v>1980.0000000000002</v>
          </cell>
          <cell r="H1118">
            <v>0</v>
          </cell>
          <cell r="I1118">
            <v>1980.0000000000002</v>
          </cell>
        </row>
        <row r="1119">
          <cell r="A1119">
            <v>0</v>
          </cell>
          <cell r="B1119">
            <v>0</v>
          </cell>
          <cell r="C1119" t="str">
            <v>Total 01.16.05</v>
          </cell>
          <cell r="D1119">
            <v>1</v>
          </cell>
          <cell r="E1119">
            <v>0</v>
          </cell>
          <cell r="F1119">
            <v>0</v>
          </cell>
          <cell r="G1119">
            <v>1980.0000000000002</v>
          </cell>
          <cell r="H1119">
            <v>0</v>
          </cell>
          <cell r="I1119">
            <v>1980.0000000000002</v>
          </cell>
        </row>
        <row r="1120">
          <cell r="A1120">
            <v>0</v>
          </cell>
          <cell r="B1120">
            <v>0</v>
          </cell>
          <cell r="C1120">
            <v>0</v>
          </cell>
          <cell r="D1120">
            <v>0</v>
          </cell>
          <cell r="E1120">
            <v>0</v>
          </cell>
          <cell r="F1120">
            <v>0</v>
          </cell>
          <cell r="G1120">
            <v>0</v>
          </cell>
          <cell r="H1120">
            <v>0</v>
          </cell>
          <cell r="I1120">
            <v>0</v>
          </cell>
        </row>
        <row r="1121">
          <cell r="A1121" t="str">
            <v>01.16.07</v>
          </cell>
          <cell r="B1121" t="str">
            <v>Partida</v>
          </cell>
          <cell r="C1121" t="str">
            <v>Barandas para minusválidos</v>
          </cell>
          <cell r="D1121">
            <v>1</v>
          </cell>
          <cell r="E1121" t="str">
            <v>m</v>
          </cell>
          <cell r="F1121">
            <v>0</v>
          </cell>
          <cell r="G1121">
            <v>1980.0000000000002</v>
          </cell>
          <cell r="H1121">
            <v>0</v>
          </cell>
          <cell r="I1121">
            <v>1980.0000000000002</v>
          </cell>
        </row>
        <row r="1122">
          <cell r="A1122" t="str">
            <v>O051426</v>
          </cell>
          <cell r="B1122" t="str">
            <v>Otros</v>
          </cell>
          <cell r="C1122" t="str">
            <v>Sum./ Instalación de Baranda p/Minisvalidos</v>
          </cell>
          <cell r="D1122">
            <v>1</v>
          </cell>
          <cell r="E1122" t="str">
            <v>m</v>
          </cell>
          <cell r="F1122">
            <v>1980.0000000000002</v>
          </cell>
          <cell r="G1122">
            <v>1980.0000000000002</v>
          </cell>
          <cell r="H1122">
            <v>0</v>
          </cell>
          <cell r="I1122">
            <v>1980.0000000000002</v>
          </cell>
        </row>
        <row r="1123">
          <cell r="A1123">
            <v>0</v>
          </cell>
          <cell r="B1123">
            <v>0</v>
          </cell>
          <cell r="C1123" t="str">
            <v>Total 01.16.07</v>
          </cell>
          <cell r="D1123">
            <v>1</v>
          </cell>
          <cell r="E1123">
            <v>0</v>
          </cell>
          <cell r="F1123">
            <v>0</v>
          </cell>
          <cell r="G1123">
            <v>1980.0000000000002</v>
          </cell>
          <cell r="H1123">
            <v>0</v>
          </cell>
          <cell r="I1123">
            <v>1980.0000000000002</v>
          </cell>
        </row>
        <row r="1124">
          <cell r="A1124">
            <v>0</v>
          </cell>
          <cell r="B1124">
            <v>0</v>
          </cell>
          <cell r="C1124">
            <v>0</v>
          </cell>
          <cell r="D1124">
            <v>0</v>
          </cell>
          <cell r="E1124">
            <v>0</v>
          </cell>
          <cell r="F1124">
            <v>0</v>
          </cell>
          <cell r="G1124">
            <v>0</v>
          </cell>
          <cell r="H1124">
            <v>0</v>
          </cell>
          <cell r="I1124">
            <v>0</v>
          </cell>
        </row>
        <row r="1125">
          <cell r="A1125">
            <v>0</v>
          </cell>
          <cell r="B1125">
            <v>0</v>
          </cell>
          <cell r="C1125">
            <v>0</v>
          </cell>
          <cell r="D1125">
            <v>0</v>
          </cell>
          <cell r="E1125">
            <v>0</v>
          </cell>
          <cell r="F1125">
            <v>0</v>
          </cell>
          <cell r="G1125">
            <v>0</v>
          </cell>
          <cell r="H1125">
            <v>0</v>
          </cell>
          <cell r="I1125">
            <v>0</v>
          </cell>
        </row>
        <row r="1126">
          <cell r="A1126">
            <v>0</v>
          </cell>
          <cell r="B1126">
            <v>0</v>
          </cell>
          <cell r="C1126">
            <v>0</v>
          </cell>
          <cell r="D1126">
            <v>0</v>
          </cell>
          <cell r="E1126">
            <v>0</v>
          </cell>
          <cell r="F1126">
            <v>0</v>
          </cell>
          <cell r="G1126">
            <v>0</v>
          </cell>
          <cell r="H1126">
            <v>0</v>
          </cell>
          <cell r="I1126">
            <v>0</v>
          </cell>
        </row>
        <row r="1127">
          <cell r="A1127" t="str">
            <v>01.17</v>
          </cell>
          <cell r="B1127" t="str">
            <v>Capítulo</v>
          </cell>
          <cell r="C1127" t="str">
            <v>VARIOS:</v>
          </cell>
          <cell r="D1127">
            <v>0</v>
          </cell>
          <cell r="E1127" t="str">
            <v/>
          </cell>
          <cell r="F1127">
            <v>0</v>
          </cell>
          <cell r="G1127">
            <v>0</v>
          </cell>
          <cell r="H1127">
            <v>0</v>
          </cell>
          <cell r="I1127">
            <v>0</v>
          </cell>
        </row>
        <row r="1128">
          <cell r="A1128" t="str">
            <v>01.17.01</v>
          </cell>
          <cell r="B1128" t="str">
            <v>Partida</v>
          </cell>
          <cell r="C1128" t="str">
            <v>Colocación de poliuretano de 1" en juntas</v>
          </cell>
          <cell r="D1128">
            <v>1</v>
          </cell>
          <cell r="E1128" t="str">
            <v>m</v>
          </cell>
          <cell r="F1128">
            <v>0</v>
          </cell>
          <cell r="G1128">
            <v>392.38432400000005</v>
          </cell>
          <cell r="H1128">
            <v>28.815178319999998</v>
          </cell>
          <cell r="I1128">
            <v>421.19950232000002</v>
          </cell>
        </row>
        <row r="1129">
          <cell r="A1129" t="str">
            <v>P0604025</v>
          </cell>
          <cell r="B1129" t="str">
            <v>Material</v>
          </cell>
          <cell r="C1129" t="str">
            <v>Sikaflex Construction (Cartucho 300ml - 3m/cartucho)</v>
          </cell>
          <cell r="D1129">
            <v>0.36630000000000001</v>
          </cell>
          <cell r="E1129" t="str">
            <v>u</v>
          </cell>
          <cell r="F1129">
            <v>392.68</v>
          </cell>
          <cell r="G1129">
            <v>143.838684</v>
          </cell>
          <cell r="H1129">
            <v>25.890963119999999</v>
          </cell>
          <cell r="I1129">
            <v>169.72964712000001</v>
          </cell>
        </row>
        <row r="1130">
          <cell r="A1130" t="str">
            <v>P1301057</v>
          </cell>
          <cell r="B1130" t="str">
            <v>Material</v>
          </cell>
          <cell r="C1130" t="str">
            <v>Foam compresible</v>
          </cell>
          <cell r="D1130">
            <v>2.9999999999999997E-4</v>
          </cell>
          <cell r="E1130" t="str">
            <v>m³</v>
          </cell>
          <cell r="F1130">
            <v>2350</v>
          </cell>
          <cell r="G1130">
            <v>0.70499999999999996</v>
          </cell>
          <cell r="H1130">
            <v>0.12689999999999999</v>
          </cell>
          <cell r="I1130">
            <v>0.83189999999999997</v>
          </cell>
        </row>
        <row r="1131">
          <cell r="A1131" t="str">
            <v>P1404008</v>
          </cell>
          <cell r="B1131" t="str">
            <v>Material</v>
          </cell>
          <cell r="C1131" t="str">
            <v>Malla de polietileno</v>
          </cell>
          <cell r="D1131">
            <v>0.20599999999999999</v>
          </cell>
          <cell r="E1131" t="str">
            <v>m²</v>
          </cell>
          <cell r="F1131">
            <v>75.44</v>
          </cell>
          <cell r="G1131">
            <v>15.540639999999998</v>
          </cell>
          <cell r="H1131">
            <v>2.7973151999999994</v>
          </cell>
          <cell r="I1131">
            <v>18.337955199999996</v>
          </cell>
        </row>
        <row r="1132">
          <cell r="A1132" t="str">
            <v>H122101</v>
          </cell>
          <cell r="B1132" t="str">
            <v>Mano de obra</v>
          </cell>
          <cell r="C1132" t="str">
            <v>M.O. Construcción de Junta de Expansión, incluye violinado</v>
          </cell>
          <cell r="D1132">
            <v>1</v>
          </cell>
          <cell r="E1132" t="str">
            <v>m</v>
          </cell>
          <cell r="F1132">
            <v>230</v>
          </cell>
          <cell r="G1132">
            <v>230</v>
          </cell>
          <cell r="H1132">
            <v>0</v>
          </cell>
          <cell r="I1132">
            <v>230</v>
          </cell>
        </row>
        <row r="1133">
          <cell r="A1133" t="str">
            <v>H%FH</v>
          </cell>
          <cell r="B1133" t="str">
            <v>Otros</v>
          </cell>
          <cell r="C1133" t="str">
            <v>Factor Herramientas</v>
          </cell>
          <cell r="D1133">
            <v>1</v>
          </cell>
          <cell r="E1133" t="str">
            <v>%</v>
          </cell>
          <cell r="F1133">
            <v>230</v>
          </cell>
          <cell r="G1133">
            <v>2.3000000000000003</v>
          </cell>
          <cell r="H1133">
            <v>0</v>
          </cell>
          <cell r="I1133">
            <v>2.3000000000000003</v>
          </cell>
        </row>
        <row r="1134">
          <cell r="A1134">
            <v>0</v>
          </cell>
          <cell r="B1134">
            <v>0</v>
          </cell>
          <cell r="C1134" t="str">
            <v>Total 01.17.01</v>
          </cell>
          <cell r="D1134">
            <v>1</v>
          </cell>
          <cell r="E1134">
            <v>0</v>
          </cell>
          <cell r="F1134">
            <v>0</v>
          </cell>
          <cell r="G1134">
            <v>392.38432400000005</v>
          </cell>
          <cell r="H1134">
            <v>28.815178319999998</v>
          </cell>
          <cell r="I1134">
            <v>421.19950232000002</v>
          </cell>
        </row>
        <row r="1135">
          <cell r="A1135">
            <v>0</v>
          </cell>
          <cell r="B1135">
            <v>0</v>
          </cell>
          <cell r="C1135">
            <v>0</v>
          </cell>
          <cell r="D1135">
            <v>0</v>
          </cell>
          <cell r="E1135">
            <v>0</v>
          </cell>
          <cell r="F1135">
            <v>0</v>
          </cell>
          <cell r="G1135">
            <v>0</v>
          </cell>
          <cell r="H1135">
            <v>0</v>
          </cell>
          <cell r="I1135">
            <v>0</v>
          </cell>
        </row>
        <row r="1136">
          <cell r="A1136" t="str">
            <v>01.17.02</v>
          </cell>
          <cell r="B1136" t="str">
            <v>Partida</v>
          </cell>
          <cell r="C1136" t="str">
            <v>Colocación de poliuretano de 2" en juntas de expansión y de HA.</v>
          </cell>
          <cell r="D1136">
            <v>1</v>
          </cell>
          <cell r="E1136" t="str">
            <v>m</v>
          </cell>
          <cell r="F1136">
            <v>0</v>
          </cell>
          <cell r="G1136">
            <v>392.85432400000002</v>
          </cell>
          <cell r="H1136">
            <v>28.899778319999999</v>
          </cell>
          <cell r="I1136">
            <v>421.75410232000002</v>
          </cell>
        </row>
        <row r="1137">
          <cell r="A1137" t="str">
            <v>P0604025</v>
          </cell>
          <cell r="B1137" t="str">
            <v>Material</v>
          </cell>
          <cell r="C1137" t="str">
            <v>Sikaflex Construction (Cartucho 300ml - 3m/cartucho)</v>
          </cell>
          <cell r="D1137">
            <v>0.36630000000000001</v>
          </cell>
          <cell r="E1137" t="str">
            <v>u</v>
          </cell>
          <cell r="F1137">
            <v>392.68</v>
          </cell>
          <cell r="G1137">
            <v>143.838684</v>
          </cell>
          <cell r="H1137">
            <v>25.890963119999999</v>
          </cell>
          <cell r="I1137">
            <v>169.72964712000001</v>
          </cell>
        </row>
        <row r="1138">
          <cell r="A1138" t="str">
            <v>P1301057</v>
          </cell>
          <cell r="B1138" t="str">
            <v>Material</v>
          </cell>
          <cell r="C1138" t="str">
            <v>Foam compresible</v>
          </cell>
          <cell r="D1138">
            <v>5.0000000000000001E-4</v>
          </cell>
          <cell r="E1138" t="str">
            <v>m³</v>
          </cell>
          <cell r="F1138">
            <v>2350</v>
          </cell>
          <cell r="G1138">
            <v>1.175</v>
          </cell>
          <cell r="H1138">
            <v>0.21149999999999999</v>
          </cell>
          <cell r="I1138">
            <v>1.3865000000000001</v>
          </cell>
        </row>
        <row r="1139">
          <cell r="A1139" t="str">
            <v>P1404008</v>
          </cell>
          <cell r="B1139" t="str">
            <v>Material</v>
          </cell>
          <cell r="C1139" t="str">
            <v>Malla de polietileno</v>
          </cell>
          <cell r="D1139">
            <v>0.20599999999999999</v>
          </cell>
          <cell r="E1139" t="str">
            <v>m²</v>
          </cell>
          <cell r="F1139">
            <v>75.44</v>
          </cell>
          <cell r="G1139">
            <v>15.540639999999998</v>
          </cell>
          <cell r="H1139">
            <v>2.7973151999999994</v>
          </cell>
          <cell r="I1139">
            <v>18.337955199999996</v>
          </cell>
        </row>
        <row r="1140">
          <cell r="A1140" t="str">
            <v>H122101</v>
          </cell>
          <cell r="B1140" t="str">
            <v>Mano de obra</v>
          </cell>
          <cell r="C1140" t="str">
            <v>M.O. Construcción de Junta de Expansión, incluye violinado</v>
          </cell>
          <cell r="D1140">
            <v>1</v>
          </cell>
          <cell r="E1140" t="str">
            <v>m</v>
          </cell>
          <cell r="F1140">
            <v>230</v>
          </cell>
          <cell r="G1140">
            <v>230</v>
          </cell>
          <cell r="H1140">
            <v>0</v>
          </cell>
          <cell r="I1140">
            <v>230</v>
          </cell>
        </row>
        <row r="1141">
          <cell r="A1141" t="str">
            <v>H%FH</v>
          </cell>
          <cell r="B1141" t="str">
            <v>Otros</v>
          </cell>
          <cell r="C1141" t="str">
            <v>Factor Herramientas</v>
          </cell>
          <cell r="D1141">
            <v>1</v>
          </cell>
          <cell r="E1141" t="str">
            <v>%</v>
          </cell>
          <cell r="F1141">
            <v>230</v>
          </cell>
          <cell r="G1141">
            <v>2.3000000000000003</v>
          </cell>
          <cell r="H1141">
            <v>0</v>
          </cell>
          <cell r="I1141">
            <v>2.3000000000000003</v>
          </cell>
        </row>
        <row r="1142">
          <cell r="A1142">
            <v>0</v>
          </cell>
          <cell r="B1142">
            <v>0</v>
          </cell>
          <cell r="C1142" t="str">
            <v>Total 01.17.02</v>
          </cell>
          <cell r="D1142">
            <v>1</v>
          </cell>
          <cell r="E1142">
            <v>0</v>
          </cell>
          <cell r="F1142">
            <v>0</v>
          </cell>
          <cell r="G1142">
            <v>392.85432400000002</v>
          </cell>
          <cell r="H1142">
            <v>28.899778319999999</v>
          </cell>
          <cell r="I1142">
            <v>421.75410232000002</v>
          </cell>
        </row>
        <row r="1143">
          <cell r="A1143">
            <v>0</v>
          </cell>
          <cell r="B1143">
            <v>0</v>
          </cell>
          <cell r="C1143">
            <v>0</v>
          </cell>
          <cell r="D1143">
            <v>0</v>
          </cell>
          <cell r="E1143">
            <v>0</v>
          </cell>
          <cell r="F1143">
            <v>0</v>
          </cell>
          <cell r="G1143">
            <v>0</v>
          </cell>
          <cell r="H1143">
            <v>0</v>
          </cell>
          <cell r="I1143">
            <v>0</v>
          </cell>
        </row>
        <row r="1144">
          <cell r="A1144" t="str">
            <v>01.17.03</v>
          </cell>
          <cell r="B1144" t="str">
            <v>Partida</v>
          </cell>
          <cell r="C1144" t="str">
            <v>Construcción de filtrante de 10" Prof. 130' con camara de inspeccion</v>
          </cell>
          <cell r="D1144">
            <v>1</v>
          </cell>
          <cell r="E1144" t="str">
            <v>pies</v>
          </cell>
          <cell r="F1144">
            <v>0</v>
          </cell>
          <cell r="G1144">
            <v>1275</v>
          </cell>
          <cell r="H1144">
            <v>0</v>
          </cell>
          <cell r="I1144">
            <v>1275</v>
          </cell>
        </row>
        <row r="1145">
          <cell r="A1145" t="str">
            <v>O115142</v>
          </cell>
          <cell r="B1145" t="str">
            <v>Otros</v>
          </cell>
          <cell r="C1145" t="str">
            <v>Construcción de filtrante de 10" Prof. 130' con camara de inspeccion</v>
          </cell>
          <cell r="D1145">
            <v>1</v>
          </cell>
          <cell r="E1145" t="str">
            <v>P</v>
          </cell>
          <cell r="F1145">
            <v>1275</v>
          </cell>
          <cell r="G1145">
            <v>1275</v>
          </cell>
          <cell r="H1145">
            <v>0</v>
          </cell>
          <cell r="I1145">
            <v>1275</v>
          </cell>
        </row>
        <row r="1146">
          <cell r="A1146">
            <v>0</v>
          </cell>
          <cell r="B1146">
            <v>0</v>
          </cell>
          <cell r="C1146" t="str">
            <v>Total 01.17.03</v>
          </cell>
          <cell r="D1146">
            <v>1</v>
          </cell>
          <cell r="E1146">
            <v>0</v>
          </cell>
          <cell r="F1146">
            <v>0</v>
          </cell>
          <cell r="G1146">
            <v>1275</v>
          </cell>
          <cell r="H1146">
            <v>0</v>
          </cell>
          <cell r="I1146">
            <v>1275</v>
          </cell>
        </row>
        <row r="1147">
          <cell r="A1147">
            <v>0</v>
          </cell>
          <cell r="B1147">
            <v>0</v>
          </cell>
          <cell r="C1147">
            <v>0</v>
          </cell>
          <cell r="D1147">
            <v>0</v>
          </cell>
          <cell r="E1147">
            <v>0</v>
          </cell>
          <cell r="F1147">
            <v>0</v>
          </cell>
          <cell r="G1147">
            <v>0</v>
          </cell>
          <cell r="H1147">
            <v>0</v>
          </cell>
          <cell r="I1147">
            <v>0</v>
          </cell>
        </row>
        <row r="1148">
          <cell r="A1148" t="str">
            <v>01.17.04</v>
          </cell>
          <cell r="B1148" t="str">
            <v>Partida</v>
          </cell>
          <cell r="C1148" t="str">
            <v>Construcción de registro (0.60x0.60x0.80)</v>
          </cell>
          <cell r="D1148">
            <v>1</v>
          </cell>
          <cell r="E1148" t="str">
            <v>u</v>
          </cell>
          <cell r="F1148">
            <v>0</v>
          </cell>
          <cell r="G1148">
            <v>6353.1132490850005</v>
          </cell>
          <cell r="H1148">
            <v>597.5523448353</v>
          </cell>
          <cell r="I1148">
            <v>6950.6655939203001</v>
          </cell>
        </row>
        <row r="1149">
          <cell r="A1149" t="str">
            <v>TSISP002</v>
          </cell>
          <cell r="B1149" t="str">
            <v>Partida</v>
          </cell>
          <cell r="C1149" t="str">
            <v>Pañete Pulido e=1.75cm (Sin M.O.)</v>
          </cell>
          <cell r="D1149">
            <v>2.25</v>
          </cell>
          <cell r="E1149" t="str">
            <v>m²</v>
          </cell>
          <cell r="F1149">
            <v>0</v>
          </cell>
          <cell r="G1149">
            <v>110.94622</v>
          </cell>
          <cell r="H1149">
            <v>19.9703196</v>
          </cell>
          <cell r="I1149">
            <v>130.91653959999999</v>
          </cell>
        </row>
        <row r="1150">
          <cell r="A1150" t="str">
            <v>P0603001</v>
          </cell>
          <cell r="B1150" t="str">
            <v>Material</v>
          </cell>
          <cell r="C1150" t="str">
            <v>Cal hidratada, funda de 50 Lbs</v>
          </cell>
          <cell r="D1150">
            <v>4.8300000000000003E-2</v>
          </cell>
          <cell r="E1150" t="str">
            <v>fd</v>
          </cell>
          <cell r="F1150">
            <v>213.4</v>
          </cell>
          <cell r="G1150">
            <v>10.307220000000001</v>
          </cell>
          <cell r="H1150">
            <v>1.8552996000000002</v>
          </cell>
          <cell r="I1150">
            <v>12.162519600000001</v>
          </cell>
        </row>
        <row r="1151">
          <cell r="A1151" t="str">
            <v>P0601003</v>
          </cell>
          <cell r="B1151" t="str">
            <v>Material</v>
          </cell>
          <cell r="C1151" t="str">
            <v>Cemento Gris 94 lbs. Tipo Portland</v>
          </cell>
          <cell r="D1151">
            <v>0.24149999999999999</v>
          </cell>
          <cell r="E1151" t="str">
            <v>fd</v>
          </cell>
          <cell r="F1151">
            <v>295</v>
          </cell>
          <cell r="G1151">
            <v>71.242499999999993</v>
          </cell>
          <cell r="H1151">
            <v>12.823649999999999</v>
          </cell>
          <cell r="I1151">
            <v>84.066149999999993</v>
          </cell>
        </row>
        <row r="1152">
          <cell r="A1152" t="str">
            <v>P0201005</v>
          </cell>
          <cell r="B1152" t="str">
            <v>Material</v>
          </cell>
          <cell r="C1152" t="str">
            <v>Arena fina p/pañete</v>
          </cell>
          <cell r="D1152">
            <v>2.1899999999999999E-2</v>
          </cell>
          <cell r="E1152" t="str">
            <v>m³</v>
          </cell>
          <cell r="F1152">
            <v>1200</v>
          </cell>
          <cell r="G1152">
            <v>26.279999999999998</v>
          </cell>
          <cell r="H1152">
            <v>4.7303999999999995</v>
          </cell>
          <cell r="I1152">
            <v>31.010399999999997</v>
          </cell>
        </row>
        <row r="1153">
          <cell r="A1153" t="str">
            <v>P2403199</v>
          </cell>
          <cell r="B1153" t="str">
            <v>Material</v>
          </cell>
          <cell r="C1153" t="str">
            <v>Agua</v>
          </cell>
          <cell r="D1153">
            <v>1.05</v>
          </cell>
          <cell r="E1153" t="str">
            <v>gl</v>
          </cell>
          <cell r="F1153">
            <v>1.58</v>
          </cell>
          <cell r="G1153">
            <v>1.6590000000000003</v>
          </cell>
          <cell r="H1153">
            <v>0.29862000000000005</v>
          </cell>
          <cell r="I1153">
            <v>1.9576200000000004</v>
          </cell>
        </row>
        <row r="1154">
          <cell r="A1154" t="str">
            <v>P0701003</v>
          </cell>
          <cell r="B1154" t="str">
            <v>Material</v>
          </cell>
          <cell r="C1154" t="str">
            <v>Regla para pañete de PATC</v>
          </cell>
          <cell r="D1154">
            <v>2.6499999999999999E-2</v>
          </cell>
          <cell r="E1154" t="str">
            <v>p²</v>
          </cell>
          <cell r="F1154">
            <v>55.000000000000007</v>
          </cell>
          <cell r="G1154">
            <v>1.4575000000000002</v>
          </cell>
          <cell r="H1154">
            <v>0.26235000000000003</v>
          </cell>
          <cell r="I1154">
            <v>1.7198500000000003</v>
          </cell>
        </row>
        <row r="1155">
          <cell r="A1155">
            <v>0</v>
          </cell>
          <cell r="B1155">
            <v>0</v>
          </cell>
          <cell r="C1155" t="str">
            <v>Total TSISP002</v>
          </cell>
          <cell r="D1155">
            <v>2.25</v>
          </cell>
          <cell r="E1155">
            <v>0</v>
          </cell>
          <cell r="F1155">
            <v>0</v>
          </cell>
          <cell r="G1155">
            <v>110.94622</v>
          </cell>
          <cell r="H1155">
            <v>19.9703196</v>
          </cell>
          <cell r="I1155">
            <v>130.91653959999999</v>
          </cell>
        </row>
        <row r="1156">
          <cell r="A1156">
            <v>0</v>
          </cell>
          <cell r="B1156">
            <v>0</v>
          </cell>
          <cell r="C1156">
            <v>0</v>
          </cell>
          <cell r="D1156">
            <v>0</v>
          </cell>
          <cell r="E1156">
            <v>0</v>
          </cell>
          <cell r="F1156">
            <v>0</v>
          </cell>
          <cell r="G1156">
            <v>0</v>
          </cell>
          <cell r="H1156">
            <v>0</v>
          </cell>
          <cell r="I1156">
            <v>0</v>
          </cell>
        </row>
        <row r="1157">
          <cell r="A1157" t="str">
            <v>BT5210102</v>
          </cell>
          <cell r="B1157" t="str">
            <v>Partida</v>
          </cell>
          <cell r="C1157" t="str">
            <v>Muro Bloques 15x20x40 SNP V1Ø3/8"G60@80 (Sin M.O.)</v>
          </cell>
          <cell r="D1157">
            <v>2.6</v>
          </cell>
          <cell r="E1157" t="str">
            <v>m²</v>
          </cell>
          <cell r="F1157">
            <v>0</v>
          </cell>
          <cell r="G1157">
            <v>708.17840439999998</v>
          </cell>
          <cell r="H1157">
            <v>115.856712792</v>
          </cell>
          <cell r="I1157">
            <v>824.03511719200014</v>
          </cell>
        </row>
        <row r="1158">
          <cell r="A1158" t="str">
            <v>P1805011</v>
          </cell>
          <cell r="B1158" t="str">
            <v>Material</v>
          </cell>
          <cell r="C1158" t="str">
            <v>Bloque de hormigón de 6"</v>
          </cell>
          <cell r="D1158">
            <v>13.125</v>
          </cell>
          <cell r="E1158" t="str">
            <v>u</v>
          </cell>
          <cell r="F1158">
            <v>23.52</v>
          </cell>
          <cell r="G1158">
            <v>308.7</v>
          </cell>
          <cell r="H1158">
            <v>55.565999999999995</v>
          </cell>
          <cell r="I1158">
            <v>364.26599999999996</v>
          </cell>
        </row>
        <row r="1159">
          <cell r="A1159" t="str">
            <v>P0201008</v>
          </cell>
          <cell r="B1159" t="str">
            <v>Material</v>
          </cell>
          <cell r="C1159" t="str">
            <v>Arena Itabo Lavada</v>
          </cell>
          <cell r="D1159">
            <v>3.49E-2</v>
          </cell>
          <cell r="E1159" t="str">
            <v>m³</v>
          </cell>
          <cell r="F1159">
            <v>930.76</v>
          </cell>
          <cell r="G1159">
            <v>32.483524000000003</v>
          </cell>
          <cell r="H1159">
            <v>5.8470343200000006</v>
          </cell>
          <cell r="I1159">
            <v>38.330558320000002</v>
          </cell>
        </row>
        <row r="1160">
          <cell r="A1160" t="str">
            <v>P0601003</v>
          </cell>
          <cell r="B1160" t="str">
            <v>Material</v>
          </cell>
          <cell r="C1160" t="str">
            <v>Cemento Gris 94 lbs. Tipo Portland</v>
          </cell>
          <cell r="D1160">
            <v>0.30049999999999999</v>
          </cell>
          <cell r="E1160" t="str">
            <v>fd</v>
          </cell>
          <cell r="F1160">
            <v>295</v>
          </cell>
          <cell r="G1160">
            <v>88.647499999999994</v>
          </cell>
          <cell r="H1160">
            <v>15.956549999999998</v>
          </cell>
          <cell r="I1160">
            <v>104.60404999999999</v>
          </cell>
        </row>
        <row r="1161">
          <cell r="A1161" t="str">
            <v>P2403199</v>
          </cell>
          <cell r="B1161" t="str">
            <v>Material</v>
          </cell>
          <cell r="C1161" t="str">
            <v>Agua</v>
          </cell>
          <cell r="D1161">
            <v>1.8720000000000001</v>
          </cell>
          <cell r="E1161" t="str">
            <v>gl</v>
          </cell>
          <cell r="F1161">
            <v>1.58</v>
          </cell>
          <cell r="G1161">
            <v>2.9577600000000004</v>
          </cell>
          <cell r="H1161">
            <v>0.5323968</v>
          </cell>
          <cell r="I1161">
            <v>3.4901568000000003</v>
          </cell>
        </row>
        <row r="1162">
          <cell r="A1162" t="str">
            <v>P0109018</v>
          </cell>
          <cell r="B1162" t="str">
            <v>Auxiliar</v>
          </cell>
          <cell r="C1162" t="str">
            <v>Hormigón In Situ fc=120Kg/Cm²  Agreg 3/8@1/2</v>
          </cell>
          <cell r="D1162">
            <v>4.7800000000000002E-2</v>
          </cell>
          <cell r="E1162" t="str">
            <v>m³</v>
          </cell>
          <cell r="F1162">
            <v>4435.2180000000008</v>
          </cell>
          <cell r="G1162">
            <v>212.00342040000004</v>
          </cell>
          <cell r="H1162">
            <v>26.545215671999998</v>
          </cell>
          <cell r="I1162">
            <v>238.54863607200002</v>
          </cell>
        </row>
        <row r="1163">
          <cell r="A1163" t="str">
            <v>P0401066</v>
          </cell>
          <cell r="B1163" t="str">
            <v>Material</v>
          </cell>
          <cell r="C1163" t="str">
            <v>Acero G-60, Long. Variable</v>
          </cell>
          <cell r="D1163">
            <v>2.7E-2</v>
          </cell>
          <cell r="E1163" t="str">
            <v>qq</v>
          </cell>
          <cell r="F1163">
            <v>2285</v>
          </cell>
          <cell r="G1163">
            <v>61.695</v>
          </cell>
          <cell r="H1163">
            <v>11.1051</v>
          </cell>
          <cell r="I1163">
            <v>72.8001</v>
          </cell>
        </row>
        <row r="1164">
          <cell r="A1164" t="str">
            <v>P0418006</v>
          </cell>
          <cell r="B1164" t="str">
            <v>Material</v>
          </cell>
          <cell r="C1164" t="str">
            <v>Alambre galvanizado liso #18</v>
          </cell>
          <cell r="D1164">
            <v>0.04</v>
          </cell>
          <cell r="E1164" t="str">
            <v>lb</v>
          </cell>
          <cell r="F1164">
            <v>42.28</v>
          </cell>
          <cell r="G1164">
            <v>1.6912</v>
          </cell>
          <cell r="H1164">
            <v>0.30441600000000002</v>
          </cell>
          <cell r="I1164">
            <v>1.9956160000000001</v>
          </cell>
        </row>
        <row r="1165">
          <cell r="A1165">
            <v>0</v>
          </cell>
          <cell r="B1165">
            <v>0</v>
          </cell>
          <cell r="C1165" t="str">
            <v>Total BT5210102</v>
          </cell>
          <cell r="D1165">
            <v>2.6</v>
          </cell>
          <cell r="E1165">
            <v>0</v>
          </cell>
          <cell r="F1165">
            <v>0</v>
          </cell>
          <cell r="G1165">
            <v>708.17840439999998</v>
          </cell>
          <cell r="H1165">
            <v>115.856712792</v>
          </cell>
          <cell r="I1165">
            <v>824.03511719200014</v>
          </cell>
        </row>
        <row r="1166">
          <cell r="A1166">
            <v>0</v>
          </cell>
          <cell r="B1166">
            <v>0</v>
          </cell>
          <cell r="C1166">
            <v>0</v>
          </cell>
          <cell r="D1166">
            <v>0</v>
          </cell>
          <cell r="E1166">
            <v>0</v>
          </cell>
          <cell r="F1166">
            <v>0</v>
          </cell>
          <cell r="G1166">
            <v>0</v>
          </cell>
          <cell r="H1166">
            <v>0</v>
          </cell>
          <cell r="I1166">
            <v>0</v>
          </cell>
        </row>
        <row r="1167">
          <cell r="A1167" t="str">
            <v>HAISLT016</v>
          </cell>
          <cell r="B1167" t="str">
            <v>Partida</v>
          </cell>
          <cell r="C1167" t="str">
            <v>Losa Tapa Reg e=10cm G-60H- H210</v>
          </cell>
          <cell r="D1167">
            <v>0.12</v>
          </cell>
          <cell r="E1167" t="str">
            <v>m³</v>
          </cell>
          <cell r="F1167">
            <v>0</v>
          </cell>
          <cell r="G1167">
            <v>7530.7632040000008</v>
          </cell>
          <cell r="H1167">
            <v>1251.5873767199998</v>
          </cell>
          <cell r="I1167">
            <v>8782.3505807200017</v>
          </cell>
        </row>
        <row r="1168">
          <cell r="A1168" t="str">
            <v>P2101223</v>
          </cell>
          <cell r="B1168" t="str">
            <v>Auxiliar</v>
          </cell>
          <cell r="C1168" t="str">
            <v>Hormigón H210 Ligado en Obra</v>
          </cell>
          <cell r="D1168">
            <v>1.05</v>
          </cell>
          <cell r="E1168" t="str">
            <v>m³</v>
          </cell>
          <cell r="F1168">
            <v>4372.7180000000008</v>
          </cell>
          <cell r="G1168">
            <v>4591.353900000001</v>
          </cell>
          <cell r="H1168">
            <v>722.49370199999998</v>
          </cell>
          <cell r="I1168">
            <v>5313.8476020000007</v>
          </cell>
        </row>
        <row r="1169">
          <cell r="A1169" t="str">
            <v>P0401066</v>
          </cell>
          <cell r="B1169" t="str">
            <v>Material</v>
          </cell>
          <cell r="C1169" t="str">
            <v>Acero G-60, Long. Variable</v>
          </cell>
          <cell r="D1169">
            <v>1.2425999999999999</v>
          </cell>
          <cell r="E1169" t="str">
            <v>qq</v>
          </cell>
          <cell r="F1169">
            <v>2285</v>
          </cell>
          <cell r="G1169">
            <v>2839.3409999999999</v>
          </cell>
          <cell r="H1169">
            <v>511.08137999999997</v>
          </cell>
          <cell r="I1169">
            <v>3350.42238</v>
          </cell>
        </row>
        <row r="1170">
          <cell r="A1170" t="str">
            <v>P0418006</v>
          </cell>
          <cell r="B1170" t="str">
            <v>Material</v>
          </cell>
          <cell r="C1170" t="str">
            <v>Alambre galvanizado liso #18</v>
          </cell>
          <cell r="D1170">
            <v>2.3668</v>
          </cell>
          <cell r="E1170" t="str">
            <v>lb</v>
          </cell>
          <cell r="F1170">
            <v>42.28</v>
          </cell>
          <cell r="G1170">
            <v>100.068304</v>
          </cell>
          <cell r="H1170">
            <v>18.01229472</v>
          </cell>
          <cell r="I1170">
            <v>118.08059872</v>
          </cell>
        </row>
        <row r="1171">
          <cell r="A1171">
            <v>0</v>
          </cell>
          <cell r="B1171">
            <v>0</v>
          </cell>
          <cell r="C1171" t="str">
            <v>Total HAISLT016</v>
          </cell>
          <cell r="D1171">
            <v>0.12</v>
          </cell>
          <cell r="E1171">
            <v>0</v>
          </cell>
          <cell r="F1171">
            <v>0</v>
          </cell>
          <cell r="G1171">
            <v>7530.7632040000008</v>
          </cell>
          <cell r="H1171">
            <v>1251.5873767199998</v>
          </cell>
          <cell r="I1171">
            <v>8782.3505807200017</v>
          </cell>
        </row>
        <row r="1172">
          <cell r="A1172">
            <v>0</v>
          </cell>
          <cell r="B1172">
            <v>0</v>
          </cell>
          <cell r="C1172">
            <v>0</v>
          </cell>
          <cell r="D1172">
            <v>0</v>
          </cell>
          <cell r="E1172">
            <v>0</v>
          </cell>
          <cell r="F1172">
            <v>0</v>
          </cell>
          <cell r="G1172">
            <v>0</v>
          </cell>
          <cell r="H1172">
            <v>0</v>
          </cell>
          <cell r="I1172">
            <v>0</v>
          </cell>
        </row>
        <row r="1173">
          <cell r="A1173" t="str">
            <v>HAISLF009</v>
          </cell>
          <cell r="B1173" t="str">
            <v>Partida</v>
          </cell>
          <cell r="C1173" t="str">
            <v>Losa Fondo e=15 m, D2.3xD2.3 (150x150) H-210</v>
          </cell>
          <cell r="D1173">
            <v>0.12</v>
          </cell>
          <cell r="E1173" t="str">
            <v>m³</v>
          </cell>
          <cell r="F1173">
            <v>0</v>
          </cell>
          <cell r="G1173">
            <v>5262.740151375001</v>
          </cell>
          <cell r="H1173">
            <v>843.34322724749995</v>
          </cell>
          <cell r="I1173">
            <v>6106.0833786225003</v>
          </cell>
        </row>
        <row r="1174">
          <cell r="A1174" t="str">
            <v>P2101223</v>
          </cell>
          <cell r="B1174" t="str">
            <v>Auxiliar</v>
          </cell>
          <cell r="C1174" t="str">
            <v>Hormigón H210 Ligado en Obra</v>
          </cell>
          <cell r="D1174">
            <v>1.05</v>
          </cell>
          <cell r="E1174" t="str">
            <v>m³</v>
          </cell>
          <cell r="F1174">
            <v>4372.7180000000008</v>
          </cell>
          <cell r="G1174">
            <v>4591.353900000001</v>
          </cell>
          <cell r="H1174">
            <v>722.49370199999998</v>
          </cell>
          <cell r="I1174">
            <v>5313.8476020000007</v>
          </cell>
        </row>
        <row r="1175">
          <cell r="A1175" t="str">
            <v>P0402002</v>
          </cell>
          <cell r="B1175" t="str">
            <v>Material</v>
          </cell>
          <cell r="C1175" t="str">
            <v>Acero Malla D2.3xD2.3 (150x150)  Rollo 2.5x40=3.32qq</v>
          </cell>
          <cell r="D1175">
            <v>6.6666999999999996</v>
          </cell>
          <cell r="E1175" t="str">
            <v>m²</v>
          </cell>
          <cell r="F1175">
            <v>97.78125</v>
          </cell>
          <cell r="G1175">
            <v>651.87825937499997</v>
          </cell>
          <cell r="H1175">
            <v>117.3380866875</v>
          </cell>
          <cell r="I1175">
            <v>769.21634606249995</v>
          </cell>
        </row>
        <row r="1176">
          <cell r="A1176" t="str">
            <v>P0418006</v>
          </cell>
          <cell r="B1176" t="str">
            <v>Material</v>
          </cell>
          <cell r="C1176" t="str">
            <v>Alambre galvanizado liso #18</v>
          </cell>
          <cell r="D1176">
            <v>0.46139999999999998</v>
          </cell>
          <cell r="E1176" t="str">
            <v>lb</v>
          </cell>
          <cell r="F1176">
            <v>42.28</v>
          </cell>
          <cell r="G1176">
            <v>19.507991999999998</v>
          </cell>
          <cell r="H1176">
            <v>3.5114385599999993</v>
          </cell>
          <cell r="I1176">
            <v>23.019430559999996</v>
          </cell>
        </row>
        <row r="1177">
          <cell r="A1177">
            <v>0</v>
          </cell>
          <cell r="B1177">
            <v>0</v>
          </cell>
          <cell r="C1177" t="str">
            <v>Total HAISLF009</v>
          </cell>
          <cell r="D1177">
            <v>0.12</v>
          </cell>
          <cell r="E1177">
            <v>0</v>
          </cell>
          <cell r="F1177">
            <v>0</v>
          </cell>
          <cell r="G1177">
            <v>5262.740151375001</v>
          </cell>
          <cell r="H1177">
            <v>843.34322724749995</v>
          </cell>
          <cell r="I1177">
            <v>6106.0833786225003</v>
          </cell>
        </row>
        <row r="1178">
          <cell r="A1178">
            <v>0</v>
          </cell>
          <cell r="B1178">
            <v>0</v>
          </cell>
          <cell r="C1178">
            <v>0</v>
          </cell>
          <cell r="D1178">
            <v>0</v>
          </cell>
          <cell r="E1178">
            <v>0</v>
          </cell>
          <cell r="F1178">
            <v>0</v>
          </cell>
          <cell r="G1178">
            <v>0</v>
          </cell>
          <cell r="H1178">
            <v>0</v>
          </cell>
          <cell r="I1178">
            <v>0</v>
          </cell>
        </row>
        <row r="1179">
          <cell r="A1179" t="str">
            <v>H122012</v>
          </cell>
          <cell r="B1179" t="str">
            <v>Mano de obra</v>
          </cell>
          <cell r="C1179" t="str">
            <v>M.O. Construcción Registro 60x60x100</v>
          </cell>
          <cell r="D1179">
            <v>1</v>
          </cell>
          <cell r="E1179" t="str">
            <v>u</v>
          </cell>
          <cell r="F1179">
            <v>2700</v>
          </cell>
          <cell r="G1179">
            <v>2700</v>
          </cell>
          <cell r="H1179">
            <v>0</v>
          </cell>
          <cell r="I1179">
            <v>2700</v>
          </cell>
        </row>
        <row r="1180">
          <cell r="A1180" t="str">
            <v>H%FH</v>
          </cell>
          <cell r="B1180" t="str">
            <v>Otros</v>
          </cell>
          <cell r="C1180" t="str">
            <v>Factor Herramientas</v>
          </cell>
          <cell r="D1180">
            <v>1</v>
          </cell>
          <cell r="E1180" t="str">
            <v>%</v>
          </cell>
          <cell r="F1180">
            <v>2700</v>
          </cell>
          <cell r="G1180">
            <v>27</v>
          </cell>
          <cell r="H1180">
            <v>0</v>
          </cell>
          <cell r="I1180">
            <v>27</v>
          </cell>
        </row>
        <row r="1181">
          <cell r="A1181">
            <v>0</v>
          </cell>
          <cell r="B1181">
            <v>0</v>
          </cell>
          <cell r="C1181" t="str">
            <v>Total 01.17.04</v>
          </cell>
          <cell r="D1181">
            <v>1</v>
          </cell>
          <cell r="E1181">
            <v>0</v>
          </cell>
          <cell r="G1181">
            <v>6353.1132490850005</v>
          </cell>
          <cell r="H1181">
            <v>597.5523448353</v>
          </cell>
          <cell r="I1181">
            <v>6950.6655939203001</v>
          </cell>
        </row>
        <row r="1182">
          <cell r="A1182">
            <v>0</v>
          </cell>
          <cell r="B1182">
            <v>0</v>
          </cell>
          <cell r="C1182">
            <v>0</v>
          </cell>
          <cell r="D1182">
            <v>0</v>
          </cell>
          <cell r="E1182">
            <v>0</v>
          </cell>
          <cell r="F1182">
            <v>0</v>
          </cell>
          <cell r="G1182">
            <v>0</v>
          </cell>
          <cell r="H1182">
            <v>0</v>
          </cell>
          <cell r="I1182">
            <v>0</v>
          </cell>
        </row>
        <row r="1183">
          <cell r="A1183" t="str">
            <v>01.17.05</v>
          </cell>
          <cell r="B1183" t="str">
            <v>Partida</v>
          </cell>
          <cell r="C1183" t="str">
            <v>Facias en tola para tapar tuberias colgantes</v>
          </cell>
          <cell r="D1183">
            <v>1</v>
          </cell>
          <cell r="E1183" t="str">
            <v>m²</v>
          </cell>
          <cell r="F1183">
            <v>0</v>
          </cell>
          <cell r="G1183">
            <v>2100</v>
          </cell>
          <cell r="H1183">
            <v>0</v>
          </cell>
          <cell r="I1183">
            <v>2100</v>
          </cell>
        </row>
        <row r="1184">
          <cell r="A1184" t="str">
            <v>O115178</v>
          </cell>
          <cell r="B1184" t="str">
            <v>Otros</v>
          </cell>
          <cell r="C1184" t="str">
            <v>Sum./ Instalación Facias en tola para tapar tuberias colgantes</v>
          </cell>
          <cell r="D1184">
            <v>1</v>
          </cell>
          <cell r="E1184" t="str">
            <v>m²</v>
          </cell>
          <cell r="F1184">
            <v>2100</v>
          </cell>
          <cell r="G1184">
            <v>2100</v>
          </cell>
          <cell r="H1184">
            <v>0</v>
          </cell>
          <cell r="I1184">
            <v>2100</v>
          </cell>
        </row>
        <row r="1185">
          <cell r="A1185">
            <v>0</v>
          </cell>
          <cell r="B1185">
            <v>0</v>
          </cell>
          <cell r="C1185" t="str">
            <v>Total 01.17.05</v>
          </cell>
          <cell r="D1185">
            <v>1</v>
          </cell>
          <cell r="E1185">
            <v>0</v>
          </cell>
          <cell r="F1185">
            <v>0</v>
          </cell>
          <cell r="G1185">
            <v>2100</v>
          </cell>
          <cell r="H1185">
            <v>0</v>
          </cell>
          <cell r="I1185">
            <v>2100</v>
          </cell>
        </row>
        <row r="1186">
          <cell r="A1186" t="str">
            <v>01.17.06</v>
          </cell>
          <cell r="B1186" t="str">
            <v>Partida</v>
          </cell>
          <cell r="C1186" t="str">
            <v>Imbornal de dos rejillas. Con cámara de cantación y cámara de agua.</v>
          </cell>
          <cell r="D1186">
            <v>1</v>
          </cell>
          <cell r="E1186" t="str">
            <v>u</v>
          </cell>
          <cell r="F1186">
            <v>0</v>
          </cell>
          <cell r="G1186">
            <v>34102.493034199448</v>
          </cell>
          <cell r="H1186">
            <v>2596.6514098003504</v>
          </cell>
          <cell r="I1186">
            <v>36699.144443999801</v>
          </cell>
        </row>
        <row r="1187">
          <cell r="A1187" t="str">
            <v>SCMT007</v>
          </cell>
          <cell r="B1187" t="str">
            <v>Otros</v>
          </cell>
          <cell r="C1187" t="str">
            <v>Sub-Contrato Excavación de Zapatas c/ Compresor</v>
          </cell>
          <cell r="D1187">
            <v>3.2928000000000002</v>
          </cell>
          <cell r="E1187" t="str">
            <v>m³</v>
          </cell>
          <cell r="F1187">
            <v>1300</v>
          </cell>
          <cell r="G1187">
            <v>4280.6400000000003</v>
          </cell>
          <cell r="H1187">
            <v>0</v>
          </cell>
          <cell r="I1187">
            <v>4280.6400000000003</v>
          </cell>
        </row>
        <row r="1188">
          <cell r="A1188" t="str">
            <v>SCMT003</v>
          </cell>
          <cell r="B1188" t="str">
            <v>Otros</v>
          </cell>
          <cell r="C1188" t="str">
            <v>Sub-Contrato Bote de Material Producto de Excavación @5 Km</v>
          </cell>
          <cell r="D1188">
            <v>4.28</v>
          </cell>
          <cell r="E1188" t="str">
            <v>m³</v>
          </cell>
          <cell r="F1188">
            <v>267.76271186440675</v>
          </cell>
          <cell r="G1188">
            <v>1146.0244067796609</v>
          </cell>
          <cell r="H1188">
            <v>0</v>
          </cell>
          <cell r="I1188">
            <v>1146.0244067796609</v>
          </cell>
        </row>
        <row r="1189">
          <cell r="A1189" t="str">
            <v>HAISLT020</v>
          </cell>
          <cell r="B1189" t="str">
            <v>Partida</v>
          </cell>
          <cell r="C1189" t="str">
            <v>Losa T Reg e15  D2.3xD2.3 (150x150) H-210 (q=.6080qq/m³)</v>
          </cell>
          <cell r="D1189">
            <v>0.28999999999999998</v>
          </cell>
          <cell r="E1189" t="str">
            <v>m³</v>
          </cell>
          <cell r="F1189">
            <v>0</v>
          </cell>
          <cell r="G1189">
            <v>4702.217380000001</v>
          </cell>
          <cell r="H1189">
            <v>742.44912839999995</v>
          </cell>
          <cell r="I1189">
            <v>5444.6665084000006</v>
          </cell>
        </row>
        <row r="1190">
          <cell r="A1190" t="str">
            <v>P0402002</v>
          </cell>
          <cell r="B1190" t="str">
            <v>Material</v>
          </cell>
          <cell r="C1190" t="str">
            <v>Acero Malla D2.3xD2.3 (150x150)  Rollo 2.5x40=3.32qq</v>
          </cell>
          <cell r="D1190">
            <v>0.60799999999999998</v>
          </cell>
          <cell r="E1190" t="str">
            <v>m²</v>
          </cell>
          <cell r="F1190">
            <v>97.78125</v>
          </cell>
          <cell r="G1190">
            <v>59.451000000000001</v>
          </cell>
          <cell r="H1190">
            <v>10.701179999999999</v>
          </cell>
          <cell r="I1190">
            <v>70.152180000000001</v>
          </cell>
        </row>
        <row r="1191">
          <cell r="A1191" t="str">
            <v>P0418006</v>
          </cell>
          <cell r="B1191" t="str">
            <v>Material</v>
          </cell>
          <cell r="C1191" t="str">
            <v>Alambre galvanizado liso #18</v>
          </cell>
          <cell r="D1191">
            <v>1.216</v>
          </cell>
          <cell r="E1191" t="str">
            <v>lb</v>
          </cell>
          <cell r="F1191">
            <v>42.28</v>
          </cell>
          <cell r="G1191">
            <v>51.412480000000002</v>
          </cell>
          <cell r="H1191">
            <v>9.2542463999999995</v>
          </cell>
          <cell r="I1191">
            <v>60.666726400000002</v>
          </cell>
        </row>
        <row r="1192">
          <cell r="A1192" t="str">
            <v>P2101223</v>
          </cell>
          <cell r="B1192" t="str">
            <v>Auxiliar</v>
          </cell>
          <cell r="C1192" t="str">
            <v>Hormigón H210 Ligado en Obra</v>
          </cell>
          <cell r="D1192">
            <v>1.05</v>
          </cell>
          <cell r="E1192" t="str">
            <v>m³</v>
          </cell>
          <cell r="F1192">
            <v>4372.7180000000008</v>
          </cell>
          <cell r="G1192">
            <v>4591.353900000001</v>
          </cell>
          <cell r="H1192">
            <v>722.49370199999998</v>
          </cell>
          <cell r="I1192">
            <v>5313.8476020000007</v>
          </cell>
        </row>
        <row r="1193">
          <cell r="A1193">
            <v>0</v>
          </cell>
          <cell r="B1193">
            <v>0</v>
          </cell>
          <cell r="C1193" t="str">
            <v>Total HAISLT020</v>
          </cell>
          <cell r="D1193">
            <v>0.28999999999999998</v>
          </cell>
          <cell r="E1193">
            <v>0</v>
          </cell>
          <cell r="G1193">
            <v>4702.217380000001</v>
          </cell>
          <cell r="H1193">
            <v>742.44912839999995</v>
          </cell>
          <cell r="I1193">
            <v>5444.6665084000006</v>
          </cell>
        </row>
        <row r="1194">
          <cell r="A1194">
            <v>0</v>
          </cell>
          <cell r="B1194">
            <v>0</v>
          </cell>
          <cell r="C1194">
            <v>0</v>
          </cell>
          <cell r="D1194">
            <v>0</v>
          </cell>
          <cell r="E1194">
            <v>0</v>
          </cell>
          <cell r="F1194">
            <v>0</v>
          </cell>
          <cell r="G1194">
            <v>0</v>
          </cell>
          <cell r="H1194">
            <v>0</v>
          </cell>
          <cell r="I1194">
            <v>0</v>
          </cell>
        </row>
        <row r="1195">
          <cell r="A1195" t="str">
            <v>HAISLF020</v>
          </cell>
          <cell r="B1195" t="str">
            <v>Partida</v>
          </cell>
          <cell r="C1195" t="str">
            <v>Losa F Reg e15 D2.3xD2.3 H-210 LO (q=.2850qq/m³)</v>
          </cell>
          <cell r="D1195">
            <v>0.28999999999999998</v>
          </cell>
          <cell r="E1195" t="str">
            <v>m²</v>
          </cell>
          <cell r="F1195">
            <v>0</v>
          </cell>
          <cell r="G1195">
            <v>4643.321156250001</v>
          </cell>
          <cell r="H1195">
            <v>731.84780812500003</v>
          </cell>
          <cell r="I1195">
            <v>5375.1689643750005</v>
          </cell>
        </row>
        <row r="1196">
          <cell r="A1196" t="str">
            <v>P0402002</v>
          </cell>
          <cell r="B1196" t="str">
            <v>Material</v>
          </cell>
          <cell r="C1196" t="str">
            <v>Acero Malla D2.3xD2.3 (150x150)  Rollo 2.5x40=3.32qq</v>
          </cell>
          <cell r="D1196">
            <v>0.28499999999999998</v>
          </cell>
          <cell r="E1196" t="str">
            <v>m²</v>
          </cell>
          <cell r="F1196">
            <v>97.78125</v>
          </cell>
          <cell r="G1196">
            <v>27.867656249999996</v>
          </cell>
          <cell r="H1196">
            <v>5.0161781249999988</v>
          </cell>
          <cell r="I1196">
            <v>32.883834374999992</v>
          </cell>
        </row>
        <row r="1197">
          <cell r="A1197" t="str">
            <v>P0418006</v>
          </cell>
          <cell r="B1197" t="str">
            <v>Material</v>
          </cell>
          <cell r="C1197" t="str">
            <v>Alambre galvanizado liso #18</v>
          </cell>
          <cell r="D1197">
            <v>0.56999999999999995</v>
          </cell>
          <cell r="E1197" t="str">
            <v>lb</v>
          </cell>
          <cell r="F1197">
            <v>42.28</v>
          </cell>
          <cell r="G1197">
            <v>24.099599999999999</v>
          </cell>
          <cell r="H1197">
            <v>4.3379279999999998</v>
          </cell>
          <cell r="I1197">
            <v>28.437528</v>
          </cell>
        </row>
        <row r="1198">
          <cell r="A1198" t="str">
            <v>P2101223</v>
          </cell>
          <cell r="B1198" t="str">
            <v>Auxiliar</v>
          </cell>
          <cell r="C1198" t="str">
            <v>Hormigón H210 Ligado en Obra</v>
          </cell>
          <cell r="D1198">
            <v>1.05</v>
          </cell>
          <cell r="E1198" t="str">
            <v>m³</v>
          </cell>
          <cell r="F1198">
            <v>4372.7180000000008</v>
          </cell>
          <cell r="G1198">
            <v>4591.353900000001</v>
          </cell>
          <cell r="H1198">
            <v>722.49370199999998</v>
          </cell>
          <cell r="I1198">
            <v>5313.8476020000007</v>
          </cell>
        </row>
        <row r="1199">
          <cell r="A1199">
            <v>0</v>
          </cell>
          <cell r="B1199">
            <v>0</v>
          </cell>
          <cell r="C1199" t="str">
            <v>Total HAISLF020</v>
          </cell>
          <cell r="D1199">
            <v>0.28999999999999998</v>
          </cell>
          <cell r="E1199">
            <v>0</v>
          </cell>
          <cell r="G1199">
            <v>4643.321156250001</v>
          </cell>
          <cell r="H1199">
            <v>731.84780812500003</v>
          </cell>
          <cell r="I1199">
            <v>5375.1689643750005</v>
          </cell>
        </row>
        <row r="1200">
          <cell r="A1200">
            <v>0</v>
          </cell>
          <cell r="B1200">
            <v>0</v>
          </cell>
          <cell r="C1200">
            <v>0</v>
          </cell>
          <cell r="D1200">
            <v>0</v>
          </cell>
          <cell r="E1200">
            <v>0</v>
          </cell>
          <cell r="F1200">
            <v>0</v>
          </cell>
          <cell r="G1200">
            <v>0</v>
          </cell>
          <cell r="H1200">
            <v>0</v>
          </cell>
          <cell r="I1200">
            <v>0</v>
          </cell>
        </row>
        <row r="1201">
          <cell r="A1201" t="str">
            <v>02.04.45</v>
          </cell>
          <cell r="B1201" t="str">
            <v>Partida</v>
          </cell>
          <cell r="C1201" t="str">
            <v>Blocks de 6" (bastones @ 0.60 mts - sin mano de obra)</v>
          </cell>
          <cell r="D1201">
            <v>6.25</v>
          </cell>
          <cell r="E1201" t="str">
            <v>m²</v>
          </cell>
          <cell r="F1201">
            <v>0</v>
          </cell>
          <cell r="G1201">
            <v>656.04954069999997</v>
          </cell>
          <cell r="H1201">
            <v>109.586408076</v>
          </cell>
          <cell r="I1201">
            <v>765.63594877599996</v>
          </cell>
        </row>
        <row r="1202">
          <cell r="A1202" t="str">
            <v>P1805011</v>
          </cell>
          <cell r="B1202" t="str">
            <v>Material</v>
          </cell>
          <cell r="C1202" t="str">
            <v>Bloque de hormigón de 6"</v>
          </cell>
          <cell r="D1202">
            <v>13.75</v>
          </cell>
          <cell r="E1202" t="str">
            <v>u</v>
          </cell>
          <cell r="F1202">
            <v>23.52</v>
          </cell>
          <cell r="G1202">
            <v>323.39999999999998</v>
          </cell>
          <cell r="H1202">
            <v>58.211999999999996</v>
          </cell>
          <cell r="I1202">
            <v>381.61199999999997</v>
          </cell>
        </row>
        <row r="1203">
          <cell r="A1203" t="str">
            <v>A0120</v>
          </cell>
          <cell r="B1203" t="str">
            <v>Auxiliar</v>
          </cell>
          <cell r="C1203" t="str">
            <v>Mezcla de Mortero 1:3</v>
          </cell>
          <cell r="D1203">
            <v>3.15E-2</v>
          </cell>
          <cell r="E1203" t="str">
            <v>m³</v>
          </cell>
          <cell r="F1203">
            <v>4760.5050000000001</v>
          </cell>
          <cell r="G1203">
            <v>149.9559075</v>
          </cell>
          <cell r="H1203">
            <v>25.147754099999997</v>
          </cell>
          <cell r="I1203">
            <v>175.10366159999998</v>
          </cell>
        </row>
        <row r="1204">
          <cell r="A1204" t="str">
            <v>P0109018</v>
          </cell>
          <cell r="B1204" t="str">
            <v>Auxiliar</v>
          </cell>
          <cell r="C1204" t="str">
            <v>Hormigón In Situ fc=120Kg/Cm²  Agreg 3/8@1/2</v>
          </cell>
          <cell r="D1204">
            <v>2.7400000000000001E-2</v>
          </cell>
          <cell r="E1204" t="str">
            <v>m³</v>
          </cell>
          <cell r="F1204">
            <v>4435.2180000000008</v>
          </cell>
          <cell r="G1204">
            <v>121.52497320000002</v>
          </cell>
          <cell r="H1204">
            <v>15.216295175999997</v>
          </cell>
          <cell r="I1204">
            <v>136.74126837600002</v>
          </cell>
        </row>
        <row r="1205">
          <cell r="A1205" t="str">
            <v>P0401066</v>
          </cell>
          <cell r="B1205" t="str">
            <v>Material</v>
          </cell>
          <cell r="C1205" t="str">
            <v>Acero G-60, Long. Variable</v>
          </cell>
          <cell r="D1205">
            <v>2.5899999999999999E-2</v>
          </cell>
          <cell r="E1205" t="str">
            <v>qq</v>
          </cell>
          <cell r="F1205">
            <v>2285</v>
          </cell>
          <cell r="G1205">
            <v>59.1815</v>
          </cell>
          <cell r="H1205">
            <v>10.652669999999999</v>
          </cell>
          <cell r="I1205">
            <v>69.83417</v>
          </cell>
        </row>
        <row r="1206">
          <cell r="A1206" t="str">
            <v>P0418006</v>
          </cell>
          <cell r="B1206" t="str">
            <v>Material</v>
          </cell>
          <cell r="C1206" t="str">
            <v>Alambre galvanizado liso #18</v>
          </cell>
          <cell r="D1206">
            <v>4.7E-2</v>
          </cell>
          <cell r="E1206" t="str">
            <v>lb</v>
          </cell>
          <cell r="F1206">
            <v>42.28</v>
          </cell>
          <cell r="G1206">
            <v>1.98716</v>
          </cell>
          <cell r="H1206">
            <v>0.35768879999999997</v>
          </cell>
          <cell r="I1206">
            <v>2.3448487999999998</v>
          </cell>
        </row>
        <row r="1207">
          <cell r="A1207">
            <v>0</v>
          </cell>
          <cell r="B1207">
            <v>0</v>
          </cell>
          <cell r="C1207" t="str">
            <v>Total 02.04.45</v>
          </cell>
          <cell r="D1207">
            <v>6.25</v>
          </cell>
          <cell r="E1207">
            <v>0</v>
          </cell>
          <cell r="F1207">
            <v>0</v>
          </cell>
          <cell r="G1207">
            <v>656.04954069999997</v>
          </cell>
          <cell r="H1207">
            <v>109.586408076</v>
          </cell>
          <cell r="I1207">
            <v>765.63594877599996</v>
          </cell>
        </row>
        <row r="1208">
          <cell r="A1208">
            <v>0</v>
          </cell>
          <cell r="B1208">
            <v>0</v>
          </cell>
          <cell r="C1208">
            <v>0</v>
          </cell>
          <cell r="D1208">
            <v>0</v>
          </cell>
          <cell r="E1208">
            <v>0</v>
          </cell>
          <cell r="F1208">
            <v>0</v>
          </cell>
          <cell r="G1208">
            <v>0</v>
          </cell>
          <cell r="H1208">
            <v>0</v>
          </cell>
          <cell r="I1208">
            <v>0</v>
          </cell>
        </row>
        <row r="1209">
          <cell r="A1209" t="str">
            <v>TSUPUFIN01</v>
          </cell>
          <cell r="B1209" t="str">
            <v>Partida</v>
          </cell>
          <cell r="C1209" t="str">
            <v>Fino en fondo</v>
          </cell>
          <cell r="D1209">
            <v>1.21</v>
          </cell>
          <cell r="E1209" t="str">
            <v>m²</v>
          </cell>
          <cell r="F1209">
            <v>0</v>
          </cell>
          <cell r="G1209">
            <v>5351.6709574999995</v>
          </cell>
          <cell r="H1209">
            <v>963.30077234999999</v>
          </cell>
          <cell r="I1209">
            <v>6314.97172985</v>
          </cell>
        </row>
        <row r="1210">
          <cell r="A1210" t="str">
            <v>I0070</v>
          </cell>
          <cell r="B1210" t="str">
            <v>Auxiliar</v>
          </cell>
          <cell r="C1210" t="str">
            <v>Mortero 1:5 (Fino de techo)</v>
          </cell>
          <cell r="D1210">
            <v>5.2499999999999998E-2</v>
          </cell>
          <cell r="E1210" t="str">
            <v>m³</v>
          </cell>
          <cell r="F1210">
            <v>5084.723</v>
          </cell>
          <cell r="G1210">
            <v>266.94795749999997</v>
          </cell>
          <cell r="H1210">
            <v>48.050632350000001</v>
          </cell>
          <cell r="I1210">
            <v>314.99858984999997</v>
          </cell>
        </row>
        <row r="1211">
          <cell r="A1211" t="str">
            <v>P0201008</v>
          </cell>
          <cell r="B1211" t="str">
            <v>Material</v>
          </cell>
          <cell r="C1211" t="str">
            <v>Arena Itabo Lavada</v>
          </cell>
          <cell r="D1211">
            <v>1.2749999999999999</v>
          </cell>
          <cell r="E1211" t="str">
            <v>m³</v>
          </cell>
          <cell r="F1211">
            <v>930.76</v>
          </cell>
          <cell r="G1211">
            <v>1186.7189999999998</v>
          </cell>
          <cell r="H1211">
            <v>213.60941999999997</v>
          </cell>
          <cell r="I1211">
            <v>1400.3284199999998</v>
          </cell>
        </row>
        <row r="1212">
          <cell r="A1212" t="str">
            <v>P0601003</v>
          </cell>
          <cell r="B1212" t="str">
            <v>Material</v>
          </cell>
          <cell r="C1212" t="str">
            <v>Cemento Gris 94 lbs. Tipo Portland</v>
          </cell>
          <cell r="D1212">
            <v>11</v>
          </cell>
          <cell r="E1212" t="str">
            <v>fd</v>
          </cell>
          <cell r="F1212">
            <v>295</v>
          </cell>
          <cell r="G1212">
            <v>3245</v>
          </cell>
          <cell r="H1212">
            <v>584.1</v>
          </cell>
          <cell r="I1212">
            <v>3829.1</v>
          </cell>
        </row>
        <row r="1213">
          <cell r="A1213" t="str">
            <v>P0603001</v>
          </cell>
          <cell r="B1213" t="str">
            <v>Material</v>
          </cell>
          <cell r="C1213" t="str">
            <v>Cal hidratada, funda de 50 Lbs</v>
          </cell>
          <cell r="D1213">
            <v>3.06</v>
          </cell>
          <cell r="E1213" t="str">
            <v>fd</v>
          </cell>
          <cell r="F1213">
            <v>213.4</v>
          </cell>
          <cell r="G1213">
            <v>653.00400000000002</v>
          </cell>
          <cell r="H1213">
            <v>117.54071999999999</v>
          </cell>
          <cell r="I1213">
            <v>770.54471999999998</v>
          </cell>
        </row>
        <row r="1214">
          <cell r="A1214" t="str">
            <v>P2403199</v>
          </cell>
          <cell r="B1214" t="str">
            <v>Material</v>
          </cell>
          <cell r="C1214" t="str">
            <v>Agua</v>
          </cell>
          <cell r="D1214">
            <v>0</v>
          </cell>
          <cell r="E1214" t="str">
            <v>gl</v>
          </cell>
          <cell r="F1214">
            <v>1.58</v>
          </cell>
          <cell r="G1214">
            <v>0</v>
          </cell>
          <cell r="H1214">
            <v>0</v>
          </cell>
          <cell r="I1214">
            <v>0</v>
          </cell>
        </row>
        <row r="1215">
          <cell r="A1215">
            <v>0</v>
          </cell>
          <cell r="B1215">
            <v>0</v>
          </cell>
          <cell r="C1215">
            <v>0</v>
          </cell>
          <cell r="D1215">
            <v>0</v>
          </cell>
          <cell r="E1215">
            <v>0</v>
          </cell>
          <cell r="F1215">
            <v>0</v>
          </cell>
          <cell r="G1215">
            <v>0</v>
          </cell>
          <cell r="H1215">
            <v>0</v>
          </cell>
          <cell r="I1215">
            <v>0</v>
          </cell>
        </row>
        <row r="1216">
          <cell r="A1216">
            <v>0</v>
          </cell>
          <cell r="B1216">
            <v>0</v>
          </cell>
          <cell r="C1216" t="str">
            <v>Total TSUPUFIN01</v>
          </cell>
          <cell r="D1216">
            <v>1.21</v>
          </cell>
          <cell r="E1216">
            <v>0</v>
          </cell>
          <cell r="F1216">
            <v>0</v>
          </cell>
          <cell r="G1216">
            <v>5351.6709574999995</v>
          </cell>
          <cell r="H1216">
            <v>963.30077234999999</v>
          </cell>
          <cell r="I1216">
            <v>6314.97172985</v>
          </cell>
        </row>
        <row r="1217">
          <cell r="A1217">
            <v>0</v>
          </cell>
          <cell r="B1217">
            <v>0</v>
          </cell>
          <cell r="C1217">
            <v>0</v>
          </cell>
          <cell r="D1217">
            <v>0</v>
          </cell>
          <cell r="E1217">
            <v>0</v>
          </cell>
          <cell r="F1217">
            <v>0</v>
          </cell>
          <cell r="G1217">
            <v>0</v>
          </cell>
          <cell r="H1217">
            <v>0</v>
          </cell>
          <cell r="I1217">
            <v>0</v>
          </cell>
        </row>
        <row r="1218">
          <cell r="A1218" t="str">
            <v>TSISP002.NC</v>
          </cell>
          <cell r="B1218" t="str">
            <v>Partida</v>
          </cell>
          <cell r="C1218" t="str">
            <v>Pañete Pulido (sin Mano De Obra) e=1.75cm</v>
          </cell>
          <cell r="D1218">
            <v>6.05</v>
          </cell>
          <cell r="E1218" t="str">
            <v>m²</v>
          </cell>
          <cell r="F1218">
            <v>0</v>
          </cell>
          <cell r="G1218">
            <v>118.33629999999999</v>
          </cell>
          <cell r="H1218">
            <v>21.300533999999999</v>
          </cell>
          <cell r="I1218">
            <v>139.63683399999999</v>
          </cell>
        </row>
        <row r="1219">
          <cell r="A1219" t="str">
            <v>P0603001</v>
          </cell>
          <cell r="B1219" t="str">
            <v>Material</v>
          </cell>
          <cell r="C1219" t="str">
            <v>Cal hidratada, funda de 50 Lbs</v>
          </cell>
          <cell r="D1219">
            <v>4.2000000000000003E-2</v>
          </cell>
          <cell r="E1219" t="str">
            <v>fd</v>
          </cell>
          <cell r="F1219">
            <v>213.4</v>
          </cell>
          <cell r="G1219">
            <v>8.9628000000000014</v>
          </cell>
          <cell r="H1219">
            <v>1.6133040000000003</v>
          </cell>
          <cell r="I1219">
            <v>10.576104000000001</v>
          </cell>
        </row>
        <row r="1220">
          <cell r="A1220" t="str">
            <v>P0601003</v>
          </cell>
          <cell r="B1220" t="str">
            <v>Material</v>
          </cell>
          <cell r="C1220" t="str">
            <v>Cemento Gris 94 lbs. Tipo Portland</v>
          </cell>
          <cell r="D1220">
            <v>0.22750000000000001</v>
          </cell>
          <cell r="E1220" t="str">
            <v>fd</v>
          </cell>
          <cell r="F1220">
            <v>295</v>
          </cell>
          <cell r="G1220">
            <v>67.112499999999997</v>
          </cell>
          <cell r="H1220">
            <v>12.080249999999999</v>
          </cell>
          <cell r="I1220">
            <v>79.19274999999999</v>
          </cell>
        </row>
        <row r="1221">
          <cell r="A1221" t="str">
            <v>P0201005</v>
          </cell>
          <cell r="B1221" t="str">
            <v>Material</v>
          </cell>
          <cell r="C1221" t="str">
            <v>Arena fina p/pañete</v>
          </cell>
          <cell r="D1221">
            <v>1.7999999999999999E-2</v>
          </cell>
          <cell r="E1221" t="str">
            <v>m³</v>
          </cell>
          <cell r="F1221">
            <v>1200</v>
          </cell>
          <cell r="G1221">
            <v>21.599999999999998</v>
          </cell>
          <cell r="H1221">
            <v>3.8879999999999995</v>
          </cell>
          <cell r="I1221">
            <v>25.487999999999996</v>
          </cell>
        </row>
        <row r="1222">
          <cell r="A1222" t="str">
            <v>P2403199</v>
          </cell>
          <cell r="B1222" t="str">
            <v>Material</v>
          </cell>
          <cell r="C1222" t="str">
            <v>Agua</v>
          </cell>
          <cell r="D1222">
            <v>0.9</v>
          </cell>
          <cell r="E1222" t="str">
            <v>gl</v>
          </cell>
          <cell r="F1222">
            <v>1.58</v>
          </cell>
          <cell r="G1222">
            <v>1.4220000000000002</v>
          </cell>
          <cell r="H1222">
            <v>0.25596000000000002</v>
          </cell>
          <cell r="I1222">
            <v>1.6779600000000001</v>
          </cell>
        </row>
        <row r="1223">
          <cell r="A1223" t="str">
            <v>P0701003</v>
          </cell>
          <cell r="B1223" t="str">
            <v>Material</v>
          </cell>
          <cell r="C1223" t="str">
            <v>Regla para pañete de PATC</v>
          </cell>
          <cell r="D1223">
            <v>0.3498</v>
          </cell>
          <cell r="E1223" t="str">
            <v>p²</v>
          </cell>
          <cell r="F1223">
            <v>55.000000000000007</v>
          </cell>
          <cell r="G1223">
            <v>19.239000000000001</v>
          </cell>
          <cell r="H1223">
            <v>3.4630200000000002</v>
          </cell>
          <cell r="I1223">
            <v>22.702020000000001</v>
          </cell>
        </row>
        <row r="1224">
          <cell r="A1224">
            <v>0</v>
          </cell>
          <cell r="B1224">
            <v>0</v>
          </cell>
          <cell r="C1224" t="str">
            <v>Total TSISP002.NC</v>
          </cell>
          <cell r="D1224">
            <v>6.05</v>
          </cell>
          <cell r="E1224">
            <v>0</v>
          </cell>
          <cell r="G1224">
            <v>118.33629999999999</v>
          </cell>
          <cell r="H1224">
            <v>21.300533999999999</v>
          </cell>
          <cell r="I1224">
            <v>139.63683399999999</v>
          </cell>
        </row>
        <row r="1225">
          <cell r="A1225">
            <v>0</v>
          </cell>
          <cell r="B1225">
            <v>0</v>
          </cell>
          <cell r="C1225">
            <v>0</v>
          </cell>
          <cell r="D1225">
            <v>0</v>
          </cell>
          <cell r="E1225">
            <v>0</v>
          </cell>
          <cell r="F1225">
            <v>0</v>
          </cell>
          <cell r="G1225">
            <v>0</v>
          </cell>
          <cell r="H1225">
            <v>0</v>
          </cell>
          <cell r="I1225">
            <v>0</v>
          </cell>
        </row>
        <row r="1226">
          <cell r="A1226" t="str">
            <v>HAVIGAM1520</v>
          </cell>
          <cell r="B1226" t="str">
            <v>Partida</v>
          </cell>
          <cell r="C1226" t="str">
            <v>Viga de amarre 0.15x0.20 m</v>
          </cell>
          <cell r="D1226">
            <v>0.08</v>
          </cell>
          <cell r="E1226" t="str">
            <v>m³</v>
          </cell>
          <cell r="F1226">
            <v>0</v>
          </cell>
          <cell r="G1226">
            <v>13753.061283999999</v>
          </cell>
          <cell r="H1226">
            <v>2371.6010311199998</v>
          </cell>
          <cell r="I1226">
            <v>16124.66231512</v>
          </cell>
        </row>
        <row r="1227">
          <cell r="A1227" t="str">
            <v>P0401066</v>
          </cell>
          <cell r="B1227" t="str">
            <v>Material</v>
          </cell>
          <cell r="C1227" t="str">
            <v>Acero G-60, Long. Variable</v>
          </cell>
          <cell r="D1227">
            <v>3.879</v>
          </cell>
          <cell r="E1227" t="str">
            <v>qq</v>
          </cell>
          <cell r="F1227">
            <v>2285</v>
          </cell>
          <cell r="G1227">
            <v>8863.5149999999994</v>
          </cell>
          <cell r="H1227">
            <v>1595.4326999999998</v>
          </cell>
          <cell r="I1227">
            <v>10458.947699999999</v>
          </cell>
        </row>
        <row r="1228">
          <cell r="A1228" t="str">
            <v>P0418006</v>
          </cell>
          <cell r="B1228" t="str">
            <v>Material</v>
          </cell>
          <cell r="C1228" t="str">
            <v>Alambre galvanizado liso #18</v>
          </cell>
          <cell r="D1228">
            <v>7.0528000000000004</v>
          </cell>
          <cell r="E1228" t="str">
            <v>lb</v>
          </cell>
          <cell r="F1228">
            <v>42.28</v>
          </cell>
          <cell r="G1228">
            <v>298.192384</v>
          </cell>
          <cell r="H1228">
            <v>53.674629119999999</v>
          </cell>
          <cell r="I1228">
            <v>351.86701312000002</v>
          </cell>
        </row>
        <row r="1229">
          <cell r="A1229" t="str">
            <v>P2101223</v>
          </cell>
          <cell r="B1229" t="str">
            <v>Auxiliar</v>
          </cell>
          <cell r="C1229" t="str">
            <v>Hormigón H210 Ligado en Obra</v>
          </cell>
          <cell r="D1229">
            <v>1.05</v>
          </cell>
          <cell r="E1229" t="str">
            <v>m³</v>
          </cell>
          <cell r="F1229">
            <v>4372.7180000000008</v>
          </cell>
          <cell r="G1229">
            <v>4591.353900000001</v>
          </cell>
          <cell r="H1229">
            <v>722.49370199999998</v>
          </cell>
          <cell r="I1229">
            <v>5313.8476020000007</v>
          </cell>
        </row>
        <row r="1230">
          <cell r="A1230">
            <v>0</v>
          </cell>
          <cell r="B1230">
            <v>0</v>
          </cell>
          <cell r="C1230" t="str">
            <v>Total HAVIGAM1520</v>
          </cell>
          <cell r="D1230">
            <v>0.08</v>
          </cell>
          <cell r="E1230">
            <v>0</v>
          </cell>
          <cell r="F1230">
            <v>0</v>
          </cell>
          <cell r="G1230">
            <v>13753.061283999999</v>
          </cell>
          <cell r="H1230">
            <v>2371.6010311199998</v>
          </cell>
          <cell r="I1230">
            <v>16124.66231512</v>
          </cell>
        </row>
        <row r="1231">
          <cell r="A1231">
            <v>0</v>
          </cell>
          <cell r="B1231">
            <v>0</v>
          </cell>
          <cell r="C1231">
            <v>0</v>
          </cell>
          <cell r="D1231">
            <v>0</v>
          </cell>
          <cell r="E1231">
            <v>0</v>
          </cell>
          <cell r="F1231">
            <v>0</v>
          </cell>
          <cell r="G1231">
            <v>0</v>
          </cell>
          <cell r="H1231">
            <v>0</v>
          </cell>
          <cell r="I1231">
            <v>0</v>
          </cell>
        </row>
        <row r="1232">
          <cell r="A1232" t="str">
            <v>P5210122</v>
          </cell>
          <cell r="B1232" t="str">
            <v>Material</v>
          </cell>
          <cell r="C1232" t="str">
            <v>Tapa de HF 24" pesada</v>
          </cell>
          <cell r="D1232">
            <v>1</v>
          </cell>
          <cell r="E1232" t="str">
            <v>u</v>
          </cell>
          <cell r="F1232">
            <v>7800</v>
          </cell>
          <cell r="G1232">
            <v>7800</v>
          </cell>
          <cell r="H1232">
            <v>1404</v>
          </cell>
          <cell r="I1232">
            <v>9204</v>
          </cell>
        </row>
        <row r="1233">
          <cell r="A1233" t="str">
            <v>P200105</v>
          </cell>
          <cell r="B1233" t="str">
            <v>Material</v>
          </cell>
          <cell r="C1233" t="str">
            <v>Parrilla para imborna  hf l 29''x14''</v>
          </cell>
          <cell r="D1233">
            <v>2</v>
          </cell>
          <cell r="E1233" t="str">
            <v>u</v>
          </cell>
          <cell r="F1233">
            <v>2300</v>
          </cell>
          <cell r="G1233">
            <v>4600</v>
          </cell>
          <cell r="H1233">
            <v>828</v>
          </cell>
          <cell r="I1233">
            <v>5428</v>
          </cell>
        </row>
        <row r="1234">
          <cell r="A1234" t="str">
            <v>H040341</v>
          </cell>
          <cell r="B1234" t="str">
            <v>Mano de obra</v>
          </cell>
          <cell r="C1234" t="str">
            <v>M.O. Construcción imbornal</v>
          </cell>
          <cell r="D1234">
            <v>1</v>
          </cell>
          <cell r="E1234" t="str">
            <v>p.a.</v>
          </cell>
          <cell r="F1234">
            <v>5500</v>
          </cell>
          <cell r="G1234">
            <v>5500</v>
          </cell>
          <cell r="H1234">
            <v>0</v>
          </cell>
          <cell r="I1234">
            <v>5500</v>
          </cell>
        </row>
        <row r="1235">
          <cell r="A1235" t="str">
            <v>H%FH</v>
          </cell>
          <cell r="B1235" t="str">
            <v>Otros</v>
          </cell>
          <cell r="C1235" t="str">
            <v>Factor Herramientas</v>
          </cell>
          <cell r="D1235">
            <v>1</v>
          </cell>
          <cell r="E1235" t="str">
            <v>%</v>
          </cell>
          <cell r="F1235">
            <v>5500</v>
          </cell>
          <cell r="G1235">
            <v>55</v>
          </cell>
          <cell r="H1235">
            <v>0</v>
          </cell>
          <cell r="I1235">
            <v>55</v>
          </cell>
        </row>
        <row r="1236">
          <cell r="A1236">
            <v>0</v>
          </cell>
          <cell r="B1236">
            <v>0</v>
          </cell>
          <cell r="C1236" t="str">
            <v>Total 01.17.06</v>
          </cell>
          <cell r="D1236">
            <v>1</v>
          </cell>
          <cell r="E1236">
            <v>0</v>
          </cell>
          <cell r="F1236">
            <v>0</v>
          </cell>
          <cell r="G1236">
            <v>34102.493034199448</v>
          </cell>
          <cell r="H1236">
            <v>2596.6514098003504</v>
          </cell>
          <cell r="I1236">
            <v>36699.144443999801</v>
          </cell>
        </row>
        <row r="1237">
          <cell r="A1237">
            <v>0</v>
          </cell>
          <cell r="B1237">
            <v>0</v>
          </cell>
          <cell r="C1237">
            <v>0</v>
          </cell>
          <cell r="D1237">
            <v>0</v>
          </cell>
          <cell r="E1237">
            <v>0</v>
          </cell>
          <cell r="F1237">
            <v>0</v>
          </cell>
          <cell r="G1237">
            <v>0</v>
          </cell>
          <cell r="H1237">
            <v>0</v>
          </cell>
          <cell r="I1237">
            <v>0</v>
          </cell>
        </row>
        <row r="1238">
          <cell r="A1238" t="str">
            <v>01.17.07</v>
          </cell>
          <cell r="B1238" t="str">
            <v>Partida</v>
          </cell>
          <cell r="C1238" t="str">
            <v>Para gomas en parqueos</v>
          </cell>
          <cell r="D1238">
            <v>1</v>
          </cell>
          <cell r="E1238" t="str">
            <v>u</v>
          </cell>
          <cell r="F1238">
            <v>0</v>
          </cell>
          <cell r="G1238">
            <v>2056.5</v>
          </cell>
          <cell r="H1238">
            <v>252</v>
          </cell>
          <cell r="I1238">
            <v>2308.5</v>
          </cell>
        </row>
        <row r="1239">
          <cell r="A1239" t="str">
            <v>P1214515</v>
          </cell>
          <cell r="B1239" t="str">
            <v>Material</v>
          </cell>
          <cell r="C1239" t="str">
            <v>Paragomas en Goma</v>
          </cell>
          <cell r="D1239">
            <v>1</v>
          </cell>
          <cell r="E1239" t="str">
            <v>u</v>
          </cell>
          <cell r="F1239">
            <v>1400</v>
          </cell>
          <cell r="G1239">
            <v>1400</v>
          </cell>
          <cell r="H1239">
            <v>252</v>
          </cell>
          <cell r="I1239">
            <v>1652</v>
          </cell>
        </row>
        <row r="1240">
          <cell r="A1240" t="str">
            <v>H002332</v>
          </cell>
          <cell r="B1240" t="str">
            <v>Mano de obra</v>
          </cell>
          <cell r="C1240" t="str">
            <v>M.O. Instalación de Paragomas</v>
          </cell>
          <cell r="D1240">
            <v>1</v>
          </cell>
          <cell r="E1240" t="str">
            <v>u</v>
          </cell>
          <cell r="F1240">
            <v>650</v>
          </cell>
          <cell r="G1240">
            <v>650</v>
          </cell>
          <cell r="H1240">
            <v>0</v>
          </cell>
          <cell r="I1240">
            <v>650</v>
          </cell>
        </row>
        <row r="1241">
          <cell r="A1241" t="str">
            <v>H%FH</v>
          </cell>
          <cell r="B1241" t="str">
            <v>Otros</v>
          </cell>
          <cell r="C1241" t="str">
            <v>Factor Herramientas</v>
          </cell>
          <cell r="D1241">
            <v>1</v>
          </cell>
          <cell r="E1241" t="str">
            <v>%</v>
          </cell>
          <cell r="F1241">
            <v>650</v>
          </cell>
          <cell r="G1241">
            <v>6.5</v>
          </cell>
          <cell r="H1241">
            <v>0</v>
          </cell>
          <cell r="I1241">
            <v>6.5</v>
          </cell>
        </row>
        <row r="1242">
          <cell r="A1242">
            <v>0</v>
          </cell>
          <cell r="B1242">
            <v>0</v>
          </cell>
          <cell r="C1242" t="str">
            <v>Total 01.17.07</v>
          </cell>
          <cell r="D1242">
            <v>1</v>
          </cell>
          <cell r="E1242">
            <v>0</v>
          </cell>
          <cell r="F1242">
            <v>0</v>
          </cell>
          <cell r="G1242">
            <v>2056.5</v>
          </cell>
          <cell r="H1242">
            <v>252</v>
          </cell>
          <cell r="I1242">
            <v>2308.5</v>
          </cell>
        </row>
        <row r="1243">
          <cell r="A1243">
            <v>0</v>
          </cell>
          <cell r="B1243">
            <v>0</v>
          </cell>
          <cell r="C1243">
            <v>0</v>
          </cell>
          <cell r="D1243">
            <v>0</v>
          </cell>
          <cell r="E1243">
            <v>0</v>
          </cell>
          <cell r="F1243">
            <v>0</v>
          </cell>
          <cell r="G1243">
            <v>0</v>
          </cell>
          <cell r="H1243">
            <v>0</v>
          </cell>
          <cell r="I1243">
            <v>0</v>
          </cell>
        </row>
        <row r="1244">
          <cell r="A1244" t="str">
            <v>01.17.08</v>
          </cell>
          <cell r="B1244" t="str">
            <v>Partida</v>
          </cell>
          <cell r="C1244" t="str">
            <v>Registro Residual 0.60x0.60x1.00 m</v>
          </cell>
          <cell r="D1244">
            <v>1</v>
          </cell>
          <cell r="E1244" t="str">
            <v>u</v>
          </cell>
          <cell r="F1244">
            <v>6950.66</v>
          </cell>
          <cell r="G1244">
            <v>0</v>
          </cell>
          <cell r="H1244">
            <v>0</v>
          </cell>
          <cell r="I1244">
            <v>6950.66</v>
          </cell>
        </row>
        <row r="1245">
          <cell r="A1245" t="str">
            <v>TSISP002</v>
          </cell>
          <cell r="B1245" t="str">
            <v>Partida</v>
          </cell>
          <cell r="C1245" t="str">
            <v>Pañete Pulido e=1.75cm (Sin M.O.)</v>
          </cell>
          <cell r="D1245">
            <v>2.25</v>
          </cell>
          <cell r="E1245" t="str">
            <v>m²</v>
          </cell>
          <cell r="F1245">
            <v>130.91653959999999</v>
          </cell>
          <cell r="G1245">
            <v>0</v>
          </cell>
          <cell r="H1245">
            <v>0</v>
          </cell>
          <cell r="I1245">
            <v>294.56</v>
          </cell>
        </row>
        <row r="1246">
          <cell r="A1246" t="str">
            <v>P0603001</v>
          </cell>
          <cell r="B1246" t="str">
            <v>Material</v>
          </cell>
          <cell r="C1246" t="str">
            <v>Cal hidratada, funda de 50 Lbs</v>
          </cell>
          <cell r="D1246">
            <v>4.8300000000000003E-2</v>
          </cell>
          <cell r="E1246" t="str">
            <v>fd</v>
          </cell>
          <cell r="F1246">
            <v>213.4</v>
          </cell>
          <cell r="G1246">
            <v>10.307220000000001</v>
          </cell>
          <cell r="H1246">
            <v>1.8552996000000002</v>
          </cell>
          <cell r="I1246">
            <v>12.162519600000001</v>
          </cell>
        </row>
        <row r="1247">
          <cell r="A1247" t="str">
            <v>P0601003</v>
          </cell>
          <cell r="B1247" t="str">
            <v>Material</v>
          </cell>
          <cell r="C1247" t="str">
            <v>Cemento Gris 94 lbs. Tipo Portland</v>
          </cell>
          <cell r="D1247">
            <v>0.24149999999999999</v>
          </cell>
          <cell r="E1247" t="str">
            <v>fd</v>
          </cell>
          <cell r="F1247">
            <v>295</v>
          </cell>
          <cell r="G1247">
            <v>71.242499999999993</v>
          </cell>
          <cell r="H1247">
            <v>12.823649999999999</v>
          </cell>
          <cell r="I1247">
            <v>84.066149999999993</v>
          </cell>
        </row>
        <row r="1248">
          <cell r="A1248" t="str">
            <v>P0201005</v>
          </cell>
          <cell r="B1248" t="str">
            <v>Material</v>
          </cell>
          <cell r="C1248" t="str">
            <v>Arena fina p/pañete</v>
          </cell>
          <cell r="D1248">
            <v>2.1899999999999999E-2</v>
          </cell>
          <cell r="E1248" t="str">
            <v>m³</v>
          </cell>
          <cell r="F1248">
            <v>1200</v>
          </cell>
          <cell r="G1248">
            <v>26.279999999999998</v>
          </cell>
          <cell r="H1248">
            <v>4.7303999999999995</v>
          </cell>
          <cell r="I1248">
            <v>31.010399999999997</v>
          </cell>
        </row>
        <row r="1249">
          <cell r="A1249" t="str">
            <v>P2403199</v>
          </cell>
          <cell r="B1249" t="str">
            <v>Material</v>
          </cell>
          <cell r="C1249" t="str">
            <v>Agua</v>
          </cell>
          <cell r="D1249">
            <v>1.05</v>
          </cell>
          <cell r="E1249" t="str">
            <v>gl</v>
          </cell>
          <cell r="F1249">
            <v>1.58</v>
          </cell>
          <cell r="G1249">
            <v>1.6590000000000003</v>
          </cell>
          <cell r="H1249">
            <v>0.29862000000000005</v>
          </cell>
          <cell r="I1249">
            <v>1.9576200000000004</v>
          </cell>
        </row>
        <row r="1250">
          <cell r="A1250" t="str">
            <v>P0701003</v>
          </cell>
          <cell r="B1250" t="str">
            <v>Material</v>
          </cell>
          <cell r="C1250" t="str">
            <v>Regla para pañete de PATC</v>
          </cell>
          <cell r="D1250">
            <v>2.6499999999999999E-2</v>
          </cell>
          <cell r="E1250" t="str">
            <v>p²</v>
          </cell>
          <cell r="F1250">
            <v>55.000000000000007</v>
          </cell>
          <cell r="G1250">
            <v>1.4575000000000002</v>
          </cell>
          <cell r="H1250">
            <v>0.26235000000000003</v>
          </cell>
          <cell r="I1250">
            <v>1.7198500000000003</v>
          </cell>
        </row>
        <row r="1251">
          <cell r="A1251">
            <v>0</v>
          </cell>
          <cell r="B1251">
            <v>0</v>
          </cell>
          <cell r="C1251" t="str">
            <v>Total TSISP002</v>
          </cell>
          <cell r="D1251">
            <v>2.25</v>
          </cell>
          <cell r="E1251">
            <v>0</v>
          </cell>
          <cell r="F1251">
            <v>130.91653959999999</v>
          </cell>
          <cell r="G1251">
            <v>0</v>
          </cell>
          <cell r="H1251">
            <v>0</v>
          </cell>
          <cell r="I1251">
            <v>294.56</v>
          </cell>
        </row>
        <row r="1252">
          <cell r="A1252">
            <v>0</v>
          </cell>
          <cell r="B1252">
            <v>0</v>
          </cell>
          <cell r="C1252">
            <v>0</v>
          </cell>
          <cell r="D1252">
            <v>0</v>
          </cell>
          <cell r="E1252">
            <v>0</v>
          </cell>
          <cell r="F1252">
            <v>0</v>
          </cell>
          <cell r="G1252">
            <v>0</v>
          </cell>
          <cell r="H1252">
            <v>0</v>
          </cell>
          <cell r="I1252">
            <v>0</v>
          </cell>
        </row>
        <row r="1253">
          <cell r="A1253" t="str">
            <v>BT5210102</v>
          </cell>
          <cell r="B1253" t="str">
            <v>Partida</v>
          </cell>
          <cell r="C1253" t="str">
            <v>Muro Bloques 15x20x40 SNP V1Ø3/8"G60@80 (Sin M.O.)</v>
          </cell>
          <cell r="D1253">
            <v>2.6</v>
          </cell>
          <cell r="E1253" t="str">
            <v>m²</v>
          </cell>
          <cell r="F1253">
            <v>824.03511719200014</v>
          </cell>
          <cell r="G1253">
            <v>0</v>
          </cell>
          <cell r="H1253">
            <v>0</v>
          </cell>
          <cell r="I1253">
            <v>2142.4899999999998</v>
          </cell>
        </row>
        <row r="1254">
          <cell r="A1254" t="str">
            <v>P1805011</v>
          </cell>
          <cell r="B1254" t="str">
            <v>Material</v>
          </cell>
          <cell r="C1254" t="str">
            <v>Bloque de hormigón de 6"</v>
          </cell>
          <cell r="D1254">
            <v>13.125</v>
          </cell>
          <cell r="E1254" t="str">
            <v>u</v>
          </cell>
          <cell r="F1254">
            <v>23.52</v>
          </cell>
          <cell r="G1254">
            <v>308.7</v>
          </cell>
          <cell r="H1254">
            <v>55.565999999999995</v>
          </cell>
          <cell r="I1254">
            <v>364.26599999999996</v>
          </cell>
        </row>
        <row r="1255">
          <cell r="A1255" t="str">
            <v>P0201008</v>
          </cell>
          <cell r="B1255" t="str">
            <v>Material</v>
          </cell>
          <cell r="C1255" t="str">
            <v>Arena Itabo Lavada</v>
          </cell>
          <cell r="D1255">
            <v>3.49E-2</v>
          </cell>
          <cell r="E1255" t="str">
            <v>m³</v>
          </cell>
          <cell r="F1255">
            <v>930.76</v>
          </cell>
          <cell r="G1255">
            <v>32.483524000000003</v>
          </cell>
          <cell r="H1255">
            <v>5.8470343200000006</v>
          </cell>
          <cell r="I1255">
            <v>38.330558320000002</v>
          </cell>
        </row>
        <row r="1256">
          <cell r="A1256" t="str">
            <v>P0601003</v>
          </cell>
          <cell r="B1256" t="str">
            <v>Material</v>
          </cell>
          <cell r="C1256" t="str">
            <v>Cemento Gris 94 lbs. Tipo Portland</v>
          </cell>
          <cell r="D1256">
            <v>0.30049999999999999</v>
          </cell>
          <cell r="E1256" t="str">
            <v>fd</v>
          </cell>
          <cell r="F1256">
            <v>295</v>
          </cell>
          <cell r="G1256">
            <v>88.647499999999994</v>
          </cell>
          <cell r="H1256">
            <v>15.956549999999998</v>
          </cell>
          <cell r="I1256">
            <v>104.60404999999999</v>
          </cell>
        </row>
        <row r="1257">
          <cell r="A1257" t="str">
            <v>P2403199</v>
          </cell>
          <cell r="B1257" t="str">
            <v>Material</v>
          </cell>
          <cell r="C1257" t="str">
            <v>Agua</v>
          </cell>
          <cell r="D1257">
            <v>1.8720000000000001</v>
          </cell>
          <cell r="E1257" t="str">
            <v>gl</v>
          </cell>
          <cell r="F1257">
            <v>1.58</v>
          </cell>
          <cell r="G1257">
            <v>2.9577600000000004</v>
          </cell>
          <cell r="H1257">
            <v>0.5323968</v>
          </cell>
          <cell r="I1257">
            <v>3.4901568000000003</v>
          </cell>
        </row>
        <row r="1258">
          <cell r="A1258" t="str">
            <v>P0109018</v>
          </cell>
          <cell r="B1258" t="str">
            <v>Auxiliar</v>
          </cell>
          <cell r="C1258" t="str">
            <v>Hormigón In Situ fc=120Kg/Cm²  Agreg 3/8@1/2</v>
          </cell>
          <cell r="D1258">
            <v>4.7800000000000002E-2</v>
          </cell>
          <cell r="E1258" t="str">
            <v>m³</v>
          </cell>
          <cell r="F1258">
            <v>4990.5572400000001</v>
          </cell>
          <cell r="G1258">
            <v>238.54863607200002</v>
          </cell>
          <cell r="H1258">
            <v>0</v>
          </cell>
          <cell r="I1258">
            <v>238.54863607200002</v>
          </cell>
        </row>
        <row r="1259">
          <cell r="A1259" t="str">
            <v>P0601003</v>
          </cell>
          <cell r="B1259" t="str">
            <v>Material</v>
          </cell>
          <cell r="C1259" t="str">
            <v>Cemento Gris 94 lbs. Tipo Portland</v>
          </cell>
          <cell r="D1259">
            <v>6.5</v>
          </cell>
          <cell r="E1259" t="str">
            <v>fd</v>
          </cell>
          <cell r="F1259">
            <v>295</v>
          </cell>
          <cell r="G1259">
            <v>1917.5</v>
          </cell>
          <cell r="H1259">
            <v>345.15</v>
          </cell>
          <cell r="I1259">
            <v>2262.65</v>
          </cell>
        </row>
        <row r="1260">
          <cell r="A1260" t="str">
            <v>P0201008</v>
          </cell>
          <cell r="B1260" t="str">
            <v>Material</v>
          </cell>
          <cell r="C1260" t="str">
            <v>Arena Itabo Lavada</v>
          </cell>
          <cell r="D1260">
            <v>0.55000000000000004</v>
          </cell>
          <cell r="E1260" t="str">
            <v>m³</v>
          </cell>
          <cell r="F1260">
            <v>930.76</v>
          </cell>
          <cell r="G1260">
            <v>511.91800000000006</v>
          </cell>
          <cell r="H1260">
            <v>92.145240000000001</v>
          </cell>
          <cell r="I1260">
            <v>604.06324000000006</v>
          </cell>
        </row>
        <row r="1261">
          <cell r="A1261" t="str">
            <v>P0201007</v>
          </cell>
          <cell r="B1261" t="str">
            <v>Material</v>
          </cell>
          <cell r="C1261" t="str">
            <v>Grava de 1/2"</v>
          </cell>
          <cell r="D1261">
            <v>0.51</v>
          </cell>
          <cell r="E1261" t="str">
            <v>m³</v>
          </cell>
          <cell r="F1261">
            <v>1100</v>
          </cell>
          <cell r="G1261">
            <v>561</v>
          </cell>
          <cell r="H1261">
            <v>100.97999999999999</v>
          </cell>
          <cell r="I1261">
            <v>661.98</v>
          </cell>
        </row>
        <row r="1262">
          <cell r="A1262" t="str">
            <v>P2403199</v>
          </cell>
          <cell r="B1262" t="str">
            <v>Material</v>
          </cell>
          <cell r="C1262" t="str">
            <v>Agua</v>
          </cell>
          <cell r="D1262">
            <v>60</v>
          </cell>
          <cell r="E1262" t="str">
            <v>gl</v>
          </cell>
          <cell r="F1262">
            <v>1.58</v>
          </cell>
          <cell r="G1262">
            <v>94.800000000000011</v>
          </cell>
          <cell r="H1262">
            <v>17.064</v>
          </cell>
          <cell r="I1262">
            <v>111.864</v>
          </cell>
        </row>
        <row r="1263">
          <cell r="A1263" t="str">
            <v>O0202001</v>
          </cell>
          <cell r="B1263" t="str">
            <v>Mano de obra</v>
          </cell>
          <cell r="C1263" t="str">
            <v>M.O. Ligado y Vaciado Con Equipo</v>
          </cell>
          <cell r="D1263">
            <v>1</v>
          </cell>
          <cell r="E1263" t="str">
            <v>m³</v>
          </cell>
          <cell r="F1263">
            <v>1350</v>
          </cell>
          <cell r="G1263">
            <v>1350</v>
          </cell>
          <cell r="H1263">
            <v>0</v>
          </cell>
          <cell r="I1263">
            <v>1350</v>
          </cell>
        </row>
        <row r="1264">
          <cell r="A1264">
            <v>0</v>
          </cell>
          <cell r="B1264">
            <v>0</v>
          </cell>
          <cell r="C1264" t="str">
            <v>Total P0109018</v>
          </cell>
          <cell r="D1264">
            <v>4.7800000000000002E-2</v>
          </cell>
          <cell r="E1264">
            <v>0</v>
          </cell>
          <cell r="F1264">
            <v>4990.5572400000001</v>
          </cell>
          <cell r="G1264">
            <v>0</v>
          </cell>
          <cell r="H1264">
            <v>0</v>
          </cell>
          <cell r="I1264">
            <v>238.55</v>
          </cell>
        </row>
        <row r="1265">
          <cell r="A1265">
            <v>0</v>
          </cell>
          <cell r="B1265">
            <v>0</v>
          </cell>
          <cell r="C1265">
            <v>0</v>
          </cell>
          <cell r="D1265">
            <v>0</v>
          </cell>
          <cell r="E1265">
            <v>0</v>
          </cell>
          <cell r="F1265">
            <v>0</v>
          </cell>
          <cell r="G1265">
            <v>0</v>
          </cell>
          <cell r="H1265">
            <v>0</v>
          </cell>
          <cell r="I1265">
            <v>0</v>
          </cell>
        </row>
        <row r="1266">
          <cell r="A1266" t="str">
            <v>P0401066</v>
          </cell>
          <cell r="B1266" t="str">
            <v>Material</v>
          </cell>
          <cell r="C1266" t="str">
            <v>Acero G-60, Long. Variable</v>
          </cell>
          <cell r="D1266">
            <v>2.7E-2</v>
          </cell>
          <cell r="E1266" t="str">
            <v>qq</v>
          </cell>
          <cell r="F1266">
            <v>2285</v>
          </cell>
          <cell r="G1266">
            <v>61.695</v>
          </cell>
          <cell r="H1266">
            <v>11.1051</v>
          </cell>
          <cell r="I1266">
            <v>72.8001</v>
          </cell>
        </row>
        <row r="1267">
          <cell r="A1267" t="str">
            <v>P0418006</v>
          </cell>
          <cell r="B1267" t="str">
            <v>Material</v>
          </cell>
          <cell r="C1267" t="str">
            <v>Alambre galvanizado liso #18</v>
          </cell>
          <cell r="D1267">
            <v>0.04</v>
          </cell>
          <cell r="E1267" t="str">
            <v>lb</v>
          </cell>
          <cell r="F1267">
            <v>42.28</v>
          </cell>
          <cell r="G1267">
            <v>1.6912</v>
          </cell>
          <cell r="H1267">
            <v>0.30441600000000002</v>
          </cell>
          <cell r="I1267">
            <v>1.9956160000000001</v>
          </cell>
        </row>
        <row r="1268">
          <cell r="A1268">
            <v>0</v>
          </cell>
          <cell r="B1268">
            <v>0</v>
          </cell>
          <cell r="C1268" t="str">
            <v>Total BT5210102</v>
          </cell>
          <cell r="D1268">
            <v>2.6</v>
          </cell>
          <cell r="E1268">
            <v>0</v>
          </cell>
          <cell r="F1268">
            <v>824.03511719200014</v>
          </cell>
          <cell r="G1268">
            <v>0</v>
          </cell>
          <cell r="H1268">
            <v>0</v>
          </cell>
          <cell r="I1268">
            <v>2142.4899999999998</v>
          </cell>
        </row>
        <row r="1269">
          <cell r="A1269">
            <v>0</v>
          </cell>
          <cell r="B1269">
            <v>0</v>
          </cell>
          <cell r="C1269">
            <v>0</v>
          </cell>
          <cell r="D1269">
            <v>0</v>
          </cell>
          <cell r="E1269">
            <v>0</v>
          </cell>
          <cell r="F1269">
            <v>0</v>
          </cell>
          <cell r="G1269">
            <v>0</v>
          </cell>
          <cell r="H1269">
            <v>0</v>
          </cell>
          <cell r="I1269">
            <v>0</v>
          </cell>
        </row>
        <row r="1270">
          <cell r="A1270" t="str">
            <v>HAISLT016</v>
          </cell>
          <cell r="B1270" t="str">
            <v>Partida</v>
          </cell>
          <cell r="C1270" t="str">
            <v>Losa Tapa Reg e=10cm G-60H- H210</v>
          </cell>
          <cell r="D1270">
            <v>0.12</v>
          </cell>
          <cell r="E1270" t="str">
            <v>m³</v>
          </cell>
          <cell r="F1270">
            <v>8782.3505807200017</v>
          </cell>
          <cell r="G1270">
            <v>0</v>
          </cell>
          <cell r="H1270">
            <v>0</v>
          </cell>
          <cell r="I1270">
            <v>1053.8800000000001</v>
          </cell>
        </row>
        <row r="1271">
          <cell r="A1271" t="str">
            <v>P2101223</v>
          </cell>
          <cell r="B1271" t="str">
            <v>Auxiliar</v>
          </cell>
          <cell r="C1271" t="str">
            <v>Hormigón H210 Ligado en Obra</v>
          </cell>
          <cell r="D1271">
            <v>1.05</v>
          </cell>
          <cell r="E1271" t="str">
            <v>m³</v>
          </cell>
          <cell r="F1271">
            <v>5060.8072400000001</v>
          </cell>
          <cell r="G1271">
            <v>5313.8476020000007</v>
          </cell>
          <cell r="H1271">
            <v>0</v>
          </cell>
          <cell r="I1271">
            <v>5313.8476020000007</v>
          </cell>
        </row>
        <row r="1272">
          <cell r="A1272" t="str">
            <v>P0201008</v>
          </cell>
          <cell r="B1272" t="str">
            <v>Material</v>
          </cell>
          <cell r="C1272" t="str">
            <v>Arena Itabo Lavada</v>
          </cell>
          <cell r="D1272">
            <v>0.55000000000000004</v>
          </cell>
          <cell r="E1272" t="str">
            <v>m³</v>
          </cell>
          <cell r="F1272">
            <v>930.76</v>
          </cell>
          <cell r="G1272">
            <v>511.91800000000006</v>
          </cell>
          <cell r="H1272">
            <v>92.145240000000001</v>
          </cell>
          <cell r="I1272">
            <v>604.06324000000006</v>
          </cell>
        </row>
        <row r="1273">
          <cell r="A1273" t="str">
            <v>P0201007</v>
          </cell>
          <cell r="B1273" t="str">
            <v>Material</v>
          </cell>
          <cell r="C1273" t="str">
            <v>Grava de 1/2"</v>
          </cell>
          <cell r="D1273">
            <v>0.51</v>
          </cell>
          <cell r="E1273" t="str">
            <v>m³</v>
          </cell>
          <cell r="F1273">
            <v>1100</v>
          </cell>
          <cell r="G1273">
            <v>561</v>
          </cell>
          <cell r="H1273">
            <v>100.97999999999999</v>
          </cell>
          <cell r="I1273">
            <v>661.98</v>
          </cell>
        </row>
        <row r="1274">
          <cell r="A1274" t="str">
            <v>P0601003</v>
          </cell>
          <cell r="B1274" t="str">
            <v>Material</v>
          </cell>
          <cell r="C1274" t="str">
            <v>Cemento Gris 94 lbs. Tipo Portland</v>
          </cell>
          <cell r="D1274">
            <v>9</v>
          </cell>
          <cell r="E1274" t="str">
            <v>fd</v>
          </cell>
          <cell r="F1274">
            <v>295</v>
          </cell>
          <cell r="G1274">
            <v>2655</v>
          </cell>
          <cell r="H1274">
            <v>477.9</v>
          </cell>
          <cell r="I1274">
            <v>3132.9</v>
          </cell>
        </row>
        <row r="1275">
          <cell r="A1275" t="str">
            <v>P2403199</v>
          </cell>
          <cell r="B1275" t="str">
            <v>Material</v>
          </cell>
          <cell r="C1275" t="str">
            <v>Agua</v>
          </cell>
          <cell r="D1275">
            <v>60</v>
          </cell>
          <cell r="E1275" t="str">
            <v>gl</v>
          </cell>
          <cell r="F1275">
            <v>1.58</v>
          </cell>
          <cell r="G1275">
            <v>94.800000000000011</v>
          </cell>
          <cell r="H1275">
            <v>17.064</v>
          </cell>
          <cell r="I1275">
            <v>111.864</v>
          </cell>
        </row>
        <row r="1276">
          <cell r="A1276" t="str">
            <v>P4002000</v>
          </cell>
          <cell r="B1276" t="str">
            <v>Maquinaria</v>
          </cell>
          <cell r="C1276" t="str">
            <v>Ligado y Vaciado Con Equipo</v>
          </cell>
          <cell r="D1276">
            <v>1</v>
          </cell>
          <cell r="E1276" t="str">
            <v>m³</v>
          </cell>
          <cell r="F1276">
            <v>550</v>
          </cell>
          <cell r="G1276">
            <v>550</v>
          </cell>
          <cell r="H1276">
            <v>0</v>
          </cell>
          <cell r="I1276">
            <v>550</v>
          </cell>
        </row>
        <row r="1277">
          <cell r="A1277">
            <v>0</v>
          </cell>
          <cell r="B1277">
            <v>0</v>
          </cell>
          <cell r="C1277" t="str">
            <v>Total P2101223</v>
          </cell>
          <cell r="D1277">
            <v>1.05</v>
          </cell>
          <cell r="E1277">
            <v>0</v>
          </cell>
          <cell r="F1277">
            <v>5060.8072400000001</v>
          </cell>
          <cell r="G1277">
            <v>0</v>
          </cell>
          <cell r="H1277">
            <v>0</v>
          </cell>
          <cell r="I1277">
            <v>5313.85</v>
          </cell>
        </row>
        <row r="1278">
          <cell r="A1278">
            <v>0</v>
          </cell>
          <cell r="B1278">
            <v>0</v>
          </cell>
          <cell r="C1278">
            <v>0</v>
          </cell>
          <cell r="D1278">
            <v>0</v>
          </cell>
          <cell r="E1278">
            <v>0</v>
          </cell>
          <cell r="F1278">
            <v>0</v>
          </cell>
          <cell r="G1278">
            <v>0</v>
          </cell>
          <cell r="H1278">
            <v>0</v>
          </cell>
          <cell r="I1278">
            <v>0</v>
          </cell>
        </row>
        <row r="1279">
          <cell r="A1279" t="str">
            <v>P0401066</v>
          </cell>
          <cell r="B1279" t="str">
            <v>Material</v>
          </cell>
          <cell r="C1279" t="str">
            <v>Acero G-60, Long. Variable</v>
          </cell>
          <cell r="D1279">
            <v>1.2425999999999999</v>
          </cell>
          <cell r="E1279" t="str">
            <v>qq</v>
          </cell>
          <cell r="F1279">
            <v>2285</v>
          </cell>
          <cell r="G1279">
            <v>2839.3409999999999</v>
          </cell>
          <cell r="H1279">
            <v>511.08137999999997</v>
          </cell>
          <cell r="I1279">
            <v>3350.42238</v>
          </cell>
        </row>
        <row r="1280">
          <cell r="A1280" t="str">
            <v>P0418006</v>
          </cell>
          <cell r="B1280" t="str">
            <v>Material</v>
          </cell>
          <cell r="C1280" t="str">
            <v>Alambre galvanizado liso #18</v>
          </cell>
          <cell r="D1280">
            <v>2.3668</v>
          </cell>
          <cell r="E1280" t="str">
            <v>lb</v>
          </cell>
          <cell r="F1280">
            <v>42.28</v>
          </cell>
          <cell r="G1280">
            <v>100.068304</v>
          </cell>
          <cell r="H1280">
            <v>18.01229472</v>
          </cell>
          <cell r="I1280">
            <v>118.08059872</v>
          </cell>
        </row>
        <row r="1281">
          <cell r="A1281">
            <v>0</v>
          </cell>
          <cell r="B1281">
            <v>0</v>
          </cell>
          <cell r="C1281" t="str">
            <v>Total HAISLT016</v>
          </cell>
          <cell r="D1281">
            <v>0.12</v>
          </cell>
          <cell r="E1281">
            <v>0</v>
          </cell>
          <cell r="F1281">
            <v>8782.3505807200017</v>
          </cell>
          <cell r="G1281">
            <v>0</v>
          </cell>
          <cell r="H1281">
            <v>0</v>
          </cell>
          <cell r="I1281">
            <v>1053.8800000000001</v>
          </cell>
        </row>
        <row r="1282">
          <cell r="A1282">
            <v>0</v>
          </cell>
          <cell r="B1282">
            <v>0</v>
          </cell>
          <cell r="C1282">
            <v>0</v>
          </cell>
          <cell r="D1282">
            <v>0</v>
          </cell>
          <cell r="E1282">
            <v>0</v>
          </cell>
          <cell r="F1282">
            <v>0</v>
          </cell>
          <cell r="G1282">
            <v>0</v>
          </cell>
          <cell r="H1282">
            <v>0</v>
          </cell>
          <cell r="I1282">
            <v>0</v>
          </cell>
        </row>
        <row r="1283">
          <cell r="A1283" t="str">
            <v>HAISLF009</v>
          </cell>
          <cell r="B1283" t="str">
            <v>Partida</v>
          </cell>
          <cell r="C1283" t="str">
            <v>Losa Fondo e=15 m, D2.3xD2.3 (150x150) H-210</v>
          </cell>
          <cell r="D1283">
            <v>0.12</v>
          </cell>
          <cell r="E1283" t="str">
            <v>m³</v>
          </cell>
          <cell r="F1283">
            <v>6106.0833786225003</v>
          </cell>
          <cell r="G1283">
            <v>0</v>
          </cell>
          <cell r="H1283">
            <v>0</v>
          </cell>
          <cell r="I1283">
            <v>732.73</v>
          </cell>
        </row>
        <row r="1284">
          <cell r="A1284" t="str">
            <v>P2101223</v>
          </cell>
          <cell r="B1284" t="str">
            <v>Auxiliar</v>
          </cell>
          <cell r="C1284" t="str">
            <v>Hormigón H210 Ligado en Obra</v>
          </cell>
          <cell r="D1284">
            <v>1.05</v>
          </cell>
          <cell r="E1284" t="str">
            <v>m³</v>
          </cell>
          <cell r="F1284">
            <v>5060.8072400000001</v>
          </cell>
          <cell r="G1284">
            <v>5313.8476020000007</v>
          </cell>
          <cell r="H1284">
            <v>0</v>
          </cell>
          <cell r="I1284">
            <v>5313.8476020000007</v>
          </cell>
        </row>
        <row r="1285">
          <cell r="A1285" t="str">
            <v>P0201008</v>
          </cell>
          <cell r="B1285" t="str">
            <v>Material</v>
          </cell>
          <cell r="C1285" t="str">
            <v>Arena Itabo Lavada</v>
          </cell>
          <cell r="D1285">
            <v>0.55000000000000004</v>
          </cell>
          <cell r="E1285" t="str">
            <v>m³</v>
          </cell>
          <cell r="F1285">
            <v>930.76</v>
          </cell>
          <cell r="G1285">
            <v>511.91800000000006</v>
          </cell>
          <cell r="H1285">
            <v>92.145240000000001</v>
          </cell>
          <cell r="I1285">
            <v>604.06324000000006</v>
          </cell>
        </row>
        <row r="1286">
          <cell r="A1286" t="str">
            <v>P0201007</v>
          </cell>
          <cell r="B1286" t="str">
            <v>Material</v>
          </cell>
          <cell r="C1286" t="str">
            <v>Grava de 1/2"</v>
          </cell>
          <cell r="D1286">
            <v>0.51</v>
          </cell>
          <cell r="E1286" t="str">
            <v>m³</v>
          </cell>
          <cell r="F1286">
            <v>1100</v>
          </cell>
          <cell r="G1286">
            <v>561</v>
          </cell>
          <cell r="H1286">
            <v>100.97999999999999</v>
          </cell>
          <cell r="I1286">
            <v>661.98</v>
          </cell>
        </row>
        <row r="1287">
          <cell r="A1287" t="str">
            <v>P0601003</v>
          </cell>
          <cell r="B1287" t="str">
            <v>Material</v>
          </cell>
          <cell r="C1287" t="str">
            <v>Cemento Gris 94 lbs. Tipo Portland</v>
          </cell>
          <cell r="D1287">
            <v>9</v>
          </cell>
          <cell r="E1287" t="str">
            <v>fd</v>
          </cell>
          <cell r="F1287">
            <v>295</v>
          </cell>
          <cell r="G1287">
            <v>2655</v>
          </cell>
          <cell r="H1287">
            <v>477.9</v>
          </cell>
          <cell r="I1287">
            <v>3132.9</v>
          </cell>
        </row>
        <row r="1288">
          <cell r="A1288" t="str">
            <v>P2403199</v>
          </cell>
          <cell r="B1288" t="str">
            <v>Material</v>
          </cell>
          <cell r="C1288" t="str">
            <v>Agua</v>
          </cell>
          <cell r="D1288">
            <v>60</v>
          </cell>
          <cell r="E1288" t="str">
            <v>gl</v>
          </cell>
          <cell r="F1288">
            <v>1.58</v>
          </cell>
          <cell r="G1288">
            <v>94.800000000000011</v>
          </cell>
          <cell r="H1288">
            <v>17.064</v>
          </cell>
          <cell r="I1288">
            <v>111.864</v>
          </cell>
        </row>
        <row r="1289">
          <cell r="A1289" t="str">
            <v>P4002000</v>
          </cell>
          <cell r="B1289" t="str">
            <v>Maquinaria</v>
          </cell>
          <cell r="C1289" t="str">
            <v>Ligado y Vaciado Con Equipo</v>
          </cell>
          <cell r="D1289">
            <v>1</v>
          </cell>
          <cell r="E1289" t="str">
            <v>m³</v>
          </cell>
          <cell r="F1289">
            <v>550</v>
          </cell>
          <cell r="G1289">
            <v>550</v>
          </cell>
          <cell r="H1289">
            <v>0</v>
          </cell>
          <cell r="I1289">
            <v>550</v>
          </cell>
        </row>
        <row r="1290">
          <cell r="A1290">
            <v>0</v>
          </cell>
          <cell r="B1290">
            <v>0</v>
          </cell>
          <cell r="C1290" t="str">
            <v>Total P2101223</v>
          </cell>
          <cell r="D1290">
            <v>1.05</v>
          </cell>
          <cell r="E1290">
            <v>0</v>
          </cell>
          <cell r="F1290">
            <v>5060.8072400000001</v>
          </cell>
          <cell r="G1290">
            <v>0</v>
          </cell>
          <cell r="H1290">
            <v>0</v>
          </cell>
          <cell r="I1290">
            <v>5313.85</v>
          </cell>
        </row>
        <row r="1291">
          <cell r="A1291">
            <v>0</v>
          </cell>
          <cell r="B1291">
            <v>0</v>
          </cell>
          <cell r="C1291">
            <v>0</v>
          </cell>
          <cell r="D1291">
            <v>0</v>
          </cell>
          <cell r="E1291">
            <v>0</v>
          </cell>
          <cell r="F1291">
            <v>0</v>
          </cell>
          <cell r="G1291">
            <v>0</v>
          </cell>
          <cell r="H1291">
            <v>0</v>
          </cell>
          <cell r="I1291">
            <v>0</v>
          </cell>
        </row>
        <row r="1292">
          <cell r="A1292" t="str">
            <v>P0402002</v>
          </cell>
          <cell r="B1292" t="str">
            <v>Material</v>
          </cell>
          <cell r="C1292" t="str">
            <v>Acero Malla D2.3xD2.3 (150x150)  Rollo 2.5x40=3.32qq</v>
          </cell>
          <cell r="D1292">
            <v>6.6666999999999996</v>
          </cell>
          <cell r="E1292" t="str">
            <v>m²</v>
          </cell>
          <cell r="F1292">
            <v>97.78125</v>
          </cell>
          <cell r="G1292">
            <v>651.87825937499997</v>
          </cell>
          <cell r="H1292">
            <v>117.3380866875</v>
          </cell>
          <cell r="I1292">
            <v>769.21634606249995</v>
          </cell>
        </row>
        <row r="1293">
          <cell r="A1293" t="str">
            <v>P0418006</v>
          </cell>
          <cell r="B1293" t="str">
            <v>Material</v>
          </cell>
          <cell r="C1293" t="str">
            <v>Alambre galvanizado liso #18</v>
          </cell>
          <cell r="D1293">
            <v>0.46139999999999998</v>
          </cell>
          <cell r="E1293" t="str">
            <v>lb</v>
          </cell>
          <cell r="F1293">
            <v>42.28</v>
          </cell>
          <cell r="G1293">
            <v>19.507991999999998</v>
          </cell>
          <cell r="H1293">
            <v>3.5114385599999993</v>
          </cell>
          <cell r="I1293">
            <v>23.019430559999996</v>
          </cell>
        </row>
        <row r="1294">
          <cell r="A1294">
            <v>0</v>
          </cell>
          <cell r="B1294">
            <v>0</v>
          </cell>
          <cell r="C1294" t="str">
            <v>Total HAISLF009</v>
          </cell>
          <cell r="D1294">
            <v>0.12</v>
          </cell>
          <cell r="E1294">
            <v>0</v>
          </cell>
          <cell r="F1294">
            <v>6106.0833786225003</v>
          </cell>
          <cell r="G1294">
            <v>0</v>
          </cell>
          <cell r="H1294">
            <v>0</v>
          </cell>
          <cell r="I1294">
            <v>732.73</v>
          </cell>
        </row>
        <row r="1295">
          <cell r="A1295">
            <v>0</v>
          </cell>
          <cell r="B1295">
            <v>0</v>
          </cell>
          <cell r="C1295">
            <v>0</v>
          </cell>
          <cell r="D1295">
            <v>0</v>
          </cell>
          <cell r="E1295">
            <v>0</v>
          </cell>
          <cell r="F1295">
            <v>0</v>
          </cell>
          <cell r="G1295">
            <v>0</v>
          </cell>
          <cell r="H1295">
            <v>0</v>
          </cell>
          <cell r="I1295">
            <v>0</v>
          </cell>
        </row>
        <row r="1296">
          <cell r="A1296" t="str">
            <v>H122012</v>
          </cell>
          <cell r="B1296" t="str">
            <v>Mano de obra</v>
          </cell>
          <cell r="C1296" t="str">
            <v>M.O. Construcción Registro 60x60x100</v>
          </cell>
          <cell r="D1296">
            <v>1</v>
          </cell>
          <cell r="E1296" t="str">
            <v>u</v>
          </cell>
          <cell r="F1296">
            <v>2700</v>
          </cell>
          <cell r="G1296">
            <v>2700</v>
          </cell>
          <cell r="H1296">
            <v>0</v>
          </cell>
          <cell r="I1296">
            <v>2700</v>
          </cell>
        </row>
        <row r="1297">
          <cell r="A1297" t="str">
            <v>H%FH</v>
          </cell>
          <cell r="B1297" t="str">
            <v>Otros</v>
          </cell>
          <cell r="C1297" t="str">
            <v>Factor Herramientas</v>
          </cell>
          <cell r="D1297">
            <v>1</v>
          </cell>
          <cell r="E1297" t="str">
            <v>%</v>
          </cell>
          <cell r="F1297">
            <v>2700</v>
          </cell>
          <cell r="G1297">
            <v>27</v>
          </cell>
          <cell r="H1297">
            <v>0</v>
          </cell>
          <cell r="I1297">
            <v>27</v>
          </cell>
        </row>
        <row r="1298">
          <cell r="A1298">
            <v>0</v>
          </cell>
          <cell r="B1298">
            <v>0</v>
          </cell>
          <cell r="C1298" t="str">
            <v>Total 01.17.08</v>
          </cell>
          <cell r="D1298">
            <v>1</v>
          </cell>
          <cell r="E1298">
            <v>0</v>
          </cell>
          <cell r="F1298">
            <v>6950.66</v>
          </cell>
          <cell r="G1298">
            <v>0</v>
          </cell>
          <cell r="H1298">
            <v>0</v>
          </cell>
          <cell r="I1298">
            <v>6950.66</v>
          </cell>
        </row>
        <row r="1299">
          <cell r="A1299">
            <v>0</v>
          </cell>
          <cell r="B1299">
            <v>0</v>
          </cell>
          <cell r="C1299">
            <v>0</v>
          </cell>
          <cell r="D1299">
            <v>0</v>
          </cell>
          <cell r="E1299">
            <v>0</v>
          </cell>
          <cell r="F1299">
            <v>0</v>
          </cell>
          <cell r="G1299">
            <v>0</v>
          </cell>
          <cell r="H1299">
            <v>0</v>
          </cell>
          <cell r="I1299">
            <v>0</v>
          </cell>
        </row>
        <row r="1300">
          <cell r="A1300" t="str">
            <v>01.17.09</v>
          </cell>
          <cell r="B1300" t="str">
            <v>Partida</v>
          </cell>
          <cell r="C1300" t="str">
            <v>Registros de Ladrillos In Situ o prefabricados 0.80x1.50m</v>
          </cell>
          <cell r="D1300">
            <v>1</v>
          </cell>
          <cell r="E1300" t="str">
            <v>u</v>
          </cell>
          <cell r="F1300">
            <v>57546.962959452001</v>
          </cell>
          <cell r="G1300">
            <v>0</v>
          </cell>
          <cell r="H1300">
            <v>0</v>
          </cell>
          <cell r="I1300">
            <v>57546.96</v>
          </cell>
        </row>
        <row r="1301">
          <cell r="A1301" t="str">
            <v>P2101223</v>
          </cell>
          <cell r="B1301" t="str">
            <v>Auxiliar</v>
          </cell>
          <cell r="C1301" t="str">
            <v>Hormigón H210 Ligado en Obra</v>
          </cell>
          <cell r="D1301">
            <v>0.67230000000000001</v>
          </cell>
          <cell r="E1301" t="str">
            <v>m³</v>
          </cell>
          <cell r="F1301">
            <v>5060.8072400000001</v>
          </cell>
          <cell r="G1301">
            <v>3402.380707452</v>
          </cell>
          <cell r="H1301">
            <v>0</v>
          </cell>
          <cell r="I1301">
            <v>3402.380707452</v>
          </cell>
        </row>
        <row r="1302">
          <cell r="A1302" t="str">
            <v>P0201008</v>
          </cell>
          <cell r="B1302" t="str">
            <v>Material</v>
          </cell>
          <cell r="C1302" t="str">
            <v>Arena Itabo Lavada</v>
          </cell>
          <cell r="D1302">
            <v>0.55000000000000004</v>
          </cell>
          <cell r="E1302" t="str">
            <v>m³</v>
          </cell>
          <cell r="F1302">
            <v>930.76</v>
          </cell>
          <cell r="G1302">
            <v>511.91800000000006</v>
          </cell>
          <cell r="H1302">
            <v>92.145240000000001</v>
          </cell>
          <cell r="I1302">
            <v>604.06324000000006</v>
          </cell>
        </row>
        <row r="1303">
          <cell r="A1303" t="str">
            <v>P0201007</v>
          </cell>
          <cell r="B1303" t="str">
            <v>Material</v>
          </cell>
          <cell r="C1303" t="str">
            <v>Grava de 1/2"</v>
          </cell>
          <cell r="D1303">
            <v>0.51</v>
          </cell>
          <cell r="E1303" t="str">
            <v>m³</v>
          </cell>
          <cell r="F1303">
            <v>1100</v>
          </cell>
          <cell r="G1303">
            <v>561</v>
          </cell>
          <cell r="H1303">
            <v>100.97999999999999</v>
          </cell>
          <cell r="I1303">
            <v>661.98</v>
          </cell>
        </row>
        <row r="1304">
          <cell r="A1304" t="str">
            <v>P0601003</v>
          </cell>
          <cell r="B1304" t="str">
            <v>Material</v>
          </cell>
          <cell r="C1304" t="str">
            <v>Cemento Gris 94 lbs. Tipo Portland</v>
          </cell>
          <cell r="D1304">
            <v>9</v>
          </cell>
          <cell r="E1304" t="str">
            <v>fd</v>
          </cell>
          <cell r="F1304">
            <v>295</v>
          </cell>
          <cell r="G1304">
            <v>2655</v>
          </cell>
          <cell r="H1304">
            <v>477.9</v>
          </cell>
          <cell r="I1304">
            <v>3132.9</v>
          </cell>
        </row>
        <row r="1305">
          <cell r="A1305" t="str">
            <v>P2403199</v>
          </cell>
          <cell r="B1305" t="str">
            <v>Material</v>
          </cell>
          <cell r="C1305" t="str">
            <v>Agua</v>
          </cell>
          <cell r="D1305">
            <v>60</v>
          </cell>
          <cell r="E1305" t="str">
            <v>gl</v>
          </cell>
          <cell r="F1305">
            <v>1.58</v>
          </cell>
          <cell r="G1305">
            <v>94.800000000000011</v>
          </cell>
          <cell r="H1305">
            <v>17.064</v>
          </cell>
          <cell r="I1305">
            <v>111.864</v>
          </cell>
        </row>
        <row r="1306">
          <cell r="A1306" t="str">
            <v>P4002000</v>
          </cell>
          <cell r="B1306" t="str">
            <v>Maquinaria</v>
          </cell>
          <cell r="C1306" t="str">
            <v>Ligado y Vaciado Con Equipo</v>
          </cell>
          <cell r="D1306">
            <v>1</v>
          </cell>
          <cell r="E1306" t="str">
            <v>m³</v>
          </cell>
          <cell r="F1306">
            <v>550</v>
          </cell>
          <cell r="G1306">
            <v>550</v>
          </cell>
          <cell r="H1306">
            <v>0</v>
          </cell>
          <cell r="I1306">
            <v>550</v>
          </cell>
        </row>
        <row r="1307">
          <cell r="A1307">
            <v>0</v>
          </cell>
          <cell r="B1307">
            <v>0</v>
          </cell>
          <cell r="C1307" t="str">
            <v>Total P2101223</v>
          </cell>
          <cell r="D1307">
            <v>0.67230000000000001</v>
          </cell>
          <cell r="E1307">
            <v>0</v>
          </cell>
          <cell r="F1307">
            <v>5060.8072400000001</v>
          </cell>
          <cell r="G1307">
            <v>0</v>
          </cell>
          <cell r="H1307">
            <v>0</v>
          </cell>
          <cell r="I1307">
            <v>3402.38</v>
          </cell>
        </row>
        <row r="1308">
          <cell r="A1308">
            <v>0</v>
          </cell>
          <cell r="B1308">
            <v>0</v>
          </cell>
          <cell r="C1308">
            <v>0</v>
          </cell>
          <cell r="D1308">
            <v>0</v>
          </cell>
          <cell r="E1308">
            <v>0</v>
          </cell>
          <cell r="F1308">
            <v>0</v>
          </cell>
          <cell r="G1308">
            <v>0</v>
          </cell>
          <cell r="H1308">
            <v>0</v>
          </cell>
          <cell r="I1308">
            <v>0</v>
          </cell>
        </row>
        <row r="1309">
          <cell r="A1309" t="str">
            <v>P1805016</v>
          </cell>
          <cell r="B1309" t="str">
            <v>Material</v>
          </cell>
          <cell r="C1309" t="str">
            <v>Ladrillo de Hormigon 0.20x0.10x0.05m</v>
          </cell>
          <cell r="D1309">
            <v>1102.5</v>
          </cell>
          <cell r="E1309" t="str">
            <v>u</v>
          </cell>
          <cell r="F1309">
            <v>20</v>
          </cell>
          <cell r="G1309">
            <v>22050</v>
          </cell>
          <cell r="H1309">
            <v>3969</v>
          </cell>
          <cell r="I1309">
            <v>26019</v>
          </cell>
        </row>
        <row r="1310">
          <cell r="A1310" t="str">
            <v>P0603001</v>
          </cell>
          <cell r="B1310" t="str">
            <v>Material</v>
          </cell>
          <cell r="C1310" t="str">
            <v>Cal hidratada, funda de 50 Lbs</v>
          </cell>
          <cell r="D1310">
            <v>0.43359999999999999</v>
          </cell>
          <cell r="E1310" t="str">
            <v>fd</v>
          </cell>
          <cell r="F1310">
            <v>213.4</v>
          </cell>
          <cell r="G1310">
            <v>92.530240000000006</v>
          </cell>
          <cell r="H1310">
            <v>16.655443200000001</v>
          </cell>
          <cell r="I1310">
            <v>109.1856832</v>
          </cell>
        </row>
        <row r="1311">
          <cell r="A1311" t="str">
            <v>P0601003</v>
          </cell>
          <cell r="B1311" t="str">
            <v>Material</v>
          </cell>
          <cell r="C1311" t="str">
            <v>Cemento Gris 94 lbs. Tipo Portland</v>
          </cell>
          <cell r="D1311">
            <v>2.1678000000000002</v>
          </cell>
          <cell r="E1311" t="str">
            <v>fd</v>
          </cell>
          <cell r="F1311">
            <v>295</v>
          </cell>
          <cell r="G1311">
            <v>639.50100000000009</v>
          </cell>
          <cell r="H1311">
            <v>115.11018000000001</v>
          </cell>
          <cell r="I1311">
            <v>754.6111800000001</v>
          </cell>
        </row>
        <row r="1312">
          <cell r="A1312" t="str">
            <v>P0201005</v>
          </cell>
          <cell r="B1312" t="str">
            <v>Material</v>
          </cell>
          <cell r="C1312" t="str">
            <v>Arena fina p/pañete</v>
          </cell>
          <cell r="D1312">
            <v>0.19639999999999999</v>
          </cell>
          <cell r="E1312" t="str">
            <v>m³</v>
          </cell>
          <cell r="F1312">
            <v>1200</v>
          </cell>
          <cell r="G1312">
            <v>235.67999999999998</v>
          </cell>
          <cell r="H1312">
            <v>42.422399999999996</v>
          </cell>
          <cell r="I1312">
            <v>278.10239999999999</v>
          </cell>
        </row>
        <row r="1313">
          <cell r="A1313" t="str">
            <v>P2403199</v>
          </cell>
          <cell r="B1313" t="str">
            <v>Material</v>
          </cell>
          <cell r="C1313" t="str">
            <v>Agua</v>
          </cell>
          <cell r="D1313">
            <v>9.4247999999999994</v>
          </cell>
          <cell r="E1313" t="str">
            <v>gl</v>
          </cell>
          <cell r="F1313">
            <v>1.58</v>
          </cell>
          <cell r="G1313">
            <v>14.891183999999999</v>
          </cell>
          <cell r="H1313">
            <v>2.6804131199999999</v>
          </cell>
          <cell r="I1313">
            <v>17.57159712</v>
          </cell>
        </row>
        <row r="1314">
          <cell r="A1314" t="str">
            <v>P0701003</v>
          </cell>
          <cell r="B1314" t="str">
            <v>Material</v>
          </cell>
          <cell r="C1314" t="str">
            <v>Regla para pañete de PATC</v>
          </cell>
          <cell r="D1314">
            <v>6.6600000000000006E-2</v>
          </cell>
          <cell r="E1314" t="str">
            <v>p²</v>
          </cell>
          <cell r="F1314">
            <v>55.000000000000007</v>
          </cell>
          <cell r="G1314">
            <v>3.6630000000000007</v>
          </cell>
          <cell r="H1314">
            <v>0.65934000000000015</v>
          </cell>
          <cell r="I1314">
            <v>4.3223400000000005</v>
          </cell>
        </row>
        <row r="1315">
          <cell r="A1315" t="str">
            <v>A0120</v>
          </cell>
          <cell r="B1315" t="str">
            <v>Auxiliar</v>
          </cell>
          <cell r="C1315" t="str">
            <v>Mezcla de Mortero 1:3</v>
          </cell>
          <cell r="D1315">
            <v>0.67869999999999997</v>
          </cell>
          <cell r="E1315" t="str">
            <v>m³</v>
          </cell>
          <cell r="F1315">
            <v>5558.8463999999994</v>
          </cell>
          <cell r="G1315">
            <v>3772.7890516799994</v>
          </cell>
          <cell r="H1315">
            <v>0</v>
          </cell>
          <cell r="I1315">
            <v>3772.7890516799994</v>
          </cell>
        </row>
        <row r="1316">
          <cell r="A1316" t="str">
            <v>P0601003</v>
          </cell>
          <cell r="B1316" t="str">
            <v>Material</v>
          </cell>
          <cell r="C1316" t="str">
            <v>Cemento Gris 94 lbs. Tipo Portland</v>
          </cell>
          <cell r="D1316">
            <v>11.51</v>
          </cell>
          <cell r="E1316" t="str">
            <v>fd</v>
          </cell>
          <cell r="F1316">
            <v>295</v>
          </cell>
          <cell r="G1316">
            <v>3395.45</v>
          </cell>
          <cell r="H1316">
            <v>611.18099999999993</v>
          </cell>
          <cell r="I1316">
            <v>4006.6309999999999</v>
          </cell>
        </row>
        <row r="1317">
          <cell r="A1317" t="str">
            <v>P0201008</v>
          </cell>
          <cell r="B1317" t="str">
            <v>Material</v>
          </cell>
          <cell r="C1317" t="str">
            <v>Arena Itabo Lavada</v>
          </cell>
          <cell r="D1317">
            <v>1</v>
          </cell>
          <cell r="E1317" t="str">
            <v>m³</v>
          </cell>
          <cell r="F1317">
            <v>930.76</v>
          </cell>
          <cell r="G1317">
            <v>930.76</v>
          </cell>
          <cell r="H1317">
            <v>167.5368</v>
          </cell>
          <cell r="I1317">
            <v>1098.2968000000001</v>
          </cell>
        </row>
        <row r="1318">
          <cell r="A1318" t="str">
            <v>P2403199</v>
          </cell>
          <cell r="B1318" t="str">
            <v>Material</v>
          </cell>
          <cell r="C1318" t="str">
            <v>Agua</v>
          </cell>
          <cell r="D1318">
            <v>69</v>
          </cell>
          <cell r="E1318" t="str">
            <v>gl</v>
          </cell>
          <cell r="F1318">
            <v>1.58</v>
          </cell>
          <cell r="G1318">
            <v>109.02000000000001</v>
          </cell>
          <cell r="H1318">
            <v>19.6236</v>
          </cell>
          <cell r="I1318">
            <v>128.64360000000002</v>
          </cell>
        </row>
        <row r="1319">
          <cell r="A1319" t="str">
            <v>H0105056</v>
          </cell>
          <cell r="B1319" t="str">
            <v>Mano de obra</v>
          </cell>
          <cell r="C1319" t="str">
            <v>M.O. Ayudante o Peon</v>
          </cell>
          <cell r="D1319">
            <v>0.5</v>
          </cell>
          <cell r="E1319" t="str">
            <v>d</v>
          </cell>
          <cell r="F1319">
            <v>650.54999999999995</v>
          </cell>
          <cell r="G1319">
            <v>325.27499999999998</v>
          </cell>
          <cell r="H1319">
            <v>0</v>
          </cell>
          <cell r="I1319">
            <v>325.27499999999998</v>
          </cell>
        </row>
        <row r="1320">
          <cell r="A1320">
            <v>0</v>
          </cell>
          <cell r="B1320">
            <v>0</v>
          </cell>
          <cell r="C1320" t="str">
            <v>Total A0120</v>
          </cell>
          <cell r="D1320">
            <v>0.67869999999999997</v>
          </cell>
          <cell r="E1320">
            <v>0</v>
          </cell>
          <cell r="F1320">
            <v>5558.8463999999994</v>
          </cell>
          <cell r="G1320">
            <v>0</v>
          </cell>
          <cell r="H1320">
            <v>0</v>
          </cell>
          <cell r="I1320">
            <v>3772.79</v>
          </cell>
        </row>
        <row r="1321">
          <cell r="A1321">
            <v>0</v>
          </cell>
          <cell r="B1321">
            <v>0</v>
          </cell>
          <cell r="C1321">
            <v>0</v>
          </cell>
          <cell r="D1321">
            <v>0</v>
          </cell>
          <cell r="E1321">
            <v>0</v>
          </cell>
          <cell r="F1321">
            <v>0</v>
          </cell>
          <cell r="G1321">
            <v>0</v>
          </cell>
          <cell r="H1321">
            <v>0</v>
          </cell>
          <cell r="I1321">
            <v>0</v>
          </cell>
        </row>
        <row r="1322">
          <cell r="A1322" t="str">
            <v>I00054</v>
          </cell>
          <cell r="B1322" t="str">
            <v>Material</v>
          </cell>
          <cell r="C1322" t="str">
            <v>Escalera  con barras 3/8</v>
          </cell>
          <cell r="D1322">
            <v>1</v>
          </cell>
          <cell r="E1322" t="str">
            <v>u</v>
          </cell>
          <cell r="F1322">
            <v>8000</v>
          </cell>
          <cell r="G1322">
            <v>8000</v>
          </cell>
          <cell r="H1322">
            <v>1440</v>
          </cell>
          <cell r="I1322">
            <v>9440</v>
          </cell>
        </row>
        <row r="1323">
          <cell r="A1323" t="str">
            <v>P5210122</v>
          </cell>
          <cell r="B1323" t="str">
            <v>Material</v>
          </cell>
          <cell r="C1323" t="str">
            <v>Tapa de HF 60" pesada</v>
          </cell>
          <cell r="D1323">
            <v>1</v>
          </cell>
          <cell r="E1323" t="str">
            <v>u</v>
          </cell>
          <cell r="F1323">
            <v>7800</v>
          </cell>
          <cell r="G1323">
            <v>7800</v>
          </cell>
          <cell r="H1323">
            <v>1404</v>
          </cell>
          <cell r="I1323">
            <v>9204</v>
          </cell>
        </row>
        <row r="1324">
          <cell r="A1324" t="str">
            <v>H145215</v>
          </cell>
          <cell r="B1324" t="str">
            <v>Mano de obra</v>
          </cell>
          <cell r="C1324" t="str">
            <v>M.O. Confección de Registro de Ladrillo 1.00@1.50 m</v>
          </cell>
          <cell r="D1324">
            <v>1</v>
          </cell>
          <cell r="E1324" t="str">
            <v>u</v>
          </cell>
          <cell r="F1324">
            <v>4500</v>
          </cell>
          <cell r="G1324">
            <v>4500</v>
          </cell>
          <cell r="H1324">
            <v>0</v>
          </cell>
          <cell r="I1324">
            <v>4500</v>
          </cell>
        </row>
        <row r="1325">
          <cell r="A1325" t="str">
            <v>H%FH</v>
          </cell>
          <cell r="B1325" t="str">
            <v>Otros</v>
          </cell>
          <cell r="C1325" t="str">
            <v>Factor Herramientas</v>
          </cell>
          <cell r="D1325">
            <v>1</v>
          </cell>
          <cell r="E1325" t="str">
            <v>%</v>
          </cell>
          <cell r="F1325">
            <v>4500</v>
          </cell>
          <cell r="G1325">
            <v>45</v>
          </cell>
          <cell r="H1325">
            <v>0</v>
          </cell>
          <cell r="I1325">
            <v>45</v>
          </cell>
        </row>
        <row r="1326">
          <cell r="A1326">
            <v>0</v>
          </cell>
          <cell r="B1326">
            <v>0</v>
          </cell>
          <cell r="C1326" t="str">
            <v>Total 01.17.09</v>
          </cell>
          <cell r="D1326">
            <v>1</v>
          </cell>
          <cell r="E1326">
            <v>0</v>
          </cell>
          <cell r="F1326">
            <v>57546.962959452001</v>
          </cell>
          <cell r="G1326">
            <v>0</v>
          </cell>
          <cell r="H1326">
            <v>0</v>
          </cell>
          <cell r="I1326">
            <v>57546.96</v>
          </cell>
        </row>
        <row r="1327">
          <cell r="A1327">
            <v>0</v>
          </cell>
          <cell r="B1327">
            <v>0</v>
          </cell>
          <cell r="C1327">
            <v>0</v>
          </cell>
          <cell r="D1327">
            <v>0</v>
          </cell>
          <cell r="E1327">
            <v>0</v>
          </cell>
          <cell r="F1327">
            <v>0</v>
          </cell>
          <cell r="G1327">
            <v>0</v>
          </cell>
          <cell r="H1327">
            <v>0</v>
          </cell>
          <cell r="I1327">
            <v>0</v>
          </cell>
        </row>
        <row r="1328">
          <cell r="A1328">
            <v>0</v>
          </cell>
          <cell r="B1328">
            <v>0</v>
          </cell>
          <cell r="C1328">
            <v>0</v>
          </cell>
          <cell r="D1328">
            <v>0</v>
          </cell>
          <cell r="E1328">
            <v>0</v>
          </cell>
          <cell r="F1328">
            <v>0</v>
          </cell>
          <cell r="G1328">
            <v>0</v>
          </cell>
          <cell r="H1328">
            <v>0</v>
          </cell>
          <cell r="I1328">
            <v>0</v>
          </cell>
        </row>
        <row r="1329">
          <cell r="A1329">
            <v>0</v>
          </cell>
          <cell r="B1329">
            <v>0</v>
          </cell>
          <cell r="C1329">
            <v>0</v>
          </cell>
          <cell r="D1329">
            <v>0</v>
          </cell>
          <cell r="E1329">
            <v>0</v>
          </cell>
          <cell r="F1329">
            <v>0</v>
          </cell>
          <cell r="G1329">
            <v>0</v>
          </cell>
          <cell r="H1329">
            <v>0</v>
          </cell>
          <cell r="I1329">
            <v>0</v>
          </cell>
        </row>
        <row r="1330">
          <cell r="A1330" t="str">
            <v>01.18</v>
          </cell>
          <cell r="B1330" t="str">
            <v>Capítulo</v>
          </cell>
          <cell r="C1330" t="str">
            <v>PAISAJISMO:</v>
          </cell>
          <cell r="D1330">
            <v>0</v>
          </cell>
          <cell r="E1330" t="str">
            <v/>
          </cell>
          <cell r="F1330">
            <v>0</v>
          </cell>
          <cell r="G1330">
            <v>0</v>
          </cell>
          <cell r="H1330">
            <v>0</v>
          </cell>
          <cell r="I1330">
            <v>0</v>
          </cell>
        </row>
        <row r="1331">
          <cell r="A1331" t="str">
            <v>01.18.01</v>
          </cell>
          <cell r="B1331" t="str">
            <v>Partida</v>
          </cell>
          <cell r="C1331" t="str">
            <v>Grama: Suministro y colocación (Tipo Bermuda)</v>
          </cell>
          <cell r="D1331">
            <v>1</v>
          </cell>
          <cell r="E1331" t="str">
            <v>m²</v>
          </cell>
          <cell r="F1331">
            <v>0</v>
          </cell>
          <cell r="G1331">
            <v>281.25</v>
          </cell>
          <cell r="H1331">
            <v>0</v>
          </cell>
          <cell r="I1331">
            <v>281.25</v>
          </cell>
        </row>
        <row r="1332">
          <cell r="A1332" t="str">
            <v>O082212</v>
          </cell>
          <cell r="B1332" t="str">
            <v>Otros</v>
          </cell>
          <cell r="C1332" t="str">
            <v>Sum./ Colocación de Grama (Tipo Bermuda)</v>
          </cell>
          <cell r="D1332">
            <v>1</v>
          </cell>
          <cell r="E1332" t="str">
            <v>m²</v>
          </cell>
          <cell r="F1332">
            <v>281.25</v>
          </cell>
          <cell r="G1332">
            <v>281.25</v>
          </cell>
          <cell r="H1332">
            <v>0</v>
          </cell>
          <cell r="I1332">
            <v>281.25</v>
          </cell>
        </row>
        <row r="1333">
          <cell r="A1333">
            <v>0</v>
          </cell>
          <cell r="B1333">
            <v>0</v>
          </cell>
          <cell r="C1333" t="str">
            <v>Total 01.18.01</v>
          </cell>
          <cell r="D1333">
            <v>1</v>
          </cell>
          <cell r="E1333">
            <v>0</v>
          </cell>
          <cell r="F1333">
            <v>0</v>
          </cell>
          <cell r="G1333">
            <v>281.25</v>
          </cell>
          <cell r="H1333">
            <v>0</v>
          </cell>
          <cell r="I1333">
            <v>281.25</v>
          </cell>
        </row>
        <row r="1334">
          <cell r="A1334">
            <v>0</v>
          </cell>
          <cell r="B1334">
            <v>0</v>
          </cell>
          <cell r="C1334">
            <v>0</v>
          </cell>
          <cell r="D1334">
            <v>0</v>
          </cell>
          <cell r="E1334">
            <v>0</v>
          </cell>
          <cell r="F1334">
            <v>0</v>
          </cell>
          <cell r="G1334">
            <v>0</v>
          </cell>
          <cell r="H1334">
            <v>0</v>
          </cell>
          <cell r="I1334">
            <v>0</v>
          </cell>
        </row>
        <row r="1335">
          <cell r="A1335">
            <v>0</v>
          </cell>
          <cell r="B1335">
            <v>0</v>
          </cell>
          <cell r="C1335">
            <v>0</v>
          </cell>
          <cell r="D1335">
            <v>0</v>
          </cell>
          <cell r="E1335">
            <v>0</v>
          </cell>
          <cell r="F1335">
            <v>0</v>
          </cell>
          <cell r="G1335">
            <v>0</v>
          </cell>
          <cell r="H1335">
            <v>0</v>
          </cell>
          <cell r="I1335">
            <v>0</v>
          </cell>
        </row>
        <row r="1336">
          <cell r="A1336">
            <v>0</v>
          </cell>
          <cell r="B1336">
            <v>0</v>
          </cell>
          <cell r="C1336">
            <v>0</v>
          </cell>
          <cell r="D1336">
            <v>0</v>
          </cell>
          <cell r="E1336">
            <v>0</v>
          </cell>
          <cell r="F1336">
            <v>0</v>
          </cell>
          <cell r="G1336">
            <v>0</v>
          </cell>
          <cell r="H1336">
            <v>0</v>
          </cell>
          <cell r="I1336">
            <v>0</v>
          </cell>
        </row>
        <row r="1337">
          <cell r="A1337" t="str">
            <v>01.19</v>
          </cell>
          <cell r="B1337" t="str">
            <v>Capítulo</v>
          </cell>
          <cell r="C1337" t="str">
            <v>IMPERMEABILIZACION:</v>
          </cell>
          <cell r="D1337">
            <v>0</v>
          </cell>
          <cell r="E1337" t="str">
            <v/>
          </cell>
          <cell r="F1337">
            <v>0</v>
          </cell>
          <cell r="G1337">
            <v>0</v>
          </cell>
          <cell r="H1337">
            <v>0</v>
          </cell>
          <cell r="I1337">
            <v>0</v>
          </cell>
        </row>
        <row r="1338">
          <cell r="A1338" t="str">
            <v>01.19.01</v>
          </cell>
          <cell r="B1338" t="str">
            <v>Partida</v>
          </cell>
          <cell r="C1338" t="str">
            <v>Impermeabilizante acrílico, capa elastomérica para techo polybrite 24. Siete años de garantía.</v>
          </cell>
          <cell r="D1338">
            <v>1</v>
          </cell>
          <cell r="E1338" t="str">
            <v>m²</v>
          </cell>
          <cell r="F1338">
            <v>0</v>
          </cell>
          <cell r="G1338">
            <v>350</v>
          </cell>
          <cell r="H1338">
            <v>0</v>
          </cell>
          <cell r="I1338">
            <v>350</v>
          </cell>
        </row>
        <row r="1339">
          <cell r="A1339" t="str">
            <v>O0915401</v>
          </cell>
          <cell r="B1339" t="str">
            <v>Otros</v>
          </cell>
          <cell r="C1339" t="str">
            <v>Sum./ Colocación Impermeabilizante acrílico, capa elastomérica para techo polybrite 24</v>
          </cell>
          <cell r="D1339">
            <v>1</v>
          </cell>
          <cell r="E1339" t="str">
            <v>m²</v>
          </cell>
          <cell r="F1339">
            <v>350</v>
          </cell>
          <cell r="G1339">
            <v>350</v>
          </cell>
          <cell r="H1339">
            <v>0</v>
          </cell>
          <cell r="I1339">
            <v>350</v>
          </cell>
        </row>
        <row r="1340">
          <cell r="A1340">
            <v>0</v>
          </cell>
          <cell r="B1340">
            <v>0</v>
          </cell>
          <cell r="C1340" t="str">
            <v>Total 01.19.01</v>
          </cell>
          <cell r="D1340">
            <v>1</v>
          </cell>
          <cell r="E1340">
            <v>0</v>
          </cell>
          <cell r="F1340">
            <v>0</v>
          </cell>
          <cell r="G1340">
            <v>350</v>
          </cell>
          <cell r="H1340">
            <v>0</v>
          </cell>
          <cell r="I1340">
            <v>350</v>
          </cell>
        </row>
        <row r="1341">
          <cell r="A1341">
            <v>0</v>
          </cell>
          <cell r="B1341">
            <v>0</v>
          </cell>
          <cell r="C1341">
            <v>0</v>
          </cell>
          <cell r="D1341">
            <v>0</v>
          </cell>
          <cell r="E1341">
            <v>0</v>
          </cell>
          <cell r="F1341">
            <v>0</v>
          </cell>
          <cell r="G1341">
            <v>0</v>
          </cell>
          <cell r="H1341">
            <v>0</v>
          </cell>
          <cell r="I1341">
            <v>0</v>
          </cell>
        </row>
        <row r="1342">
          <cell r="A1342" t="str">
            <v>01.19.02</v>
          </cell>
          <cell r="B1342" t="str">
            <v>Partida</v>
          </cell>
          <cell r="C1342" t="str">
            <v>Impermeabilizante, Lona Asfáltica Granulada en poliester 4 kilo,
2.8 mm, incluye Primer. Siete años de garantía.</v>
          </cell>
          <cell r="D1342">
            <v>1</v>
          </cell>
          <cell r="E1342" t="str">
            <v>m²</v>
          </cell>
          <cell r="F1342">
            <v>550</v>
          </cell>
          <cell r="G1342">
            <v>0</v>
          </cell>
          <cell r="H1342">
            <v>0</v>
          </cell>
          <cell r="I1342">
            <v>550</v>
          </cell>
        </row>
        <row r="1343">
          <cell r="A1343" t="str">
            <v>O0915402</v>
          </cell>
          <cell r="B1343" t="str">
            <v>Otros</v>
          </cell>
          <cell r="C1343" t="str">
            <v>Sum./ Colocación Impermeabilizante, Lona Asfáltica Granulada en poliester 4 kilo,
2.8 mm</v>
          </cell>
          <cell r="D1343">
            <v>1</v>
          </cell>
          <cell r="E1343" t="str">
            <v>m²</v>
          </cell>
          <cell r="F1343">
            <v>550</v>
          </cell>
          <cell r="G1343">
            <v>550</v>
          </cell>
          <cell r="H1343">
            <v>0</v>
          </cell>
          <cell r="I1343">
            <v>550</v>
          </cell>
        </row>
        <row r="1344">
          <cell r="A1344">
            <v>0</v>
          </cell>
          <cell r="B1344">
            <v>0</v>
          </cell>
          <cell r="C1344" t="str">
            <v>Total 01.19.02</v>
          </cell>
          <cell r="D1344">
            <v>1</v>
          </cell>
          <cell r="E1344">
            <v>0</v>
          </cell>
          <cell r="F1344">
            <v>550</v>
          </cell>
          <cell r="G1344">
            <v>0</v>
          </cell>
          <cell r="H1344">
            <v>0</v>
          </cell>
          <cell r="I1344">
            <v>550</v>
          </cell>
        </row>
        <row r="1345">
          <cell r="A1345">
            <v>0</v>
          </cell>
          <cell r="B1345">
            <v>0</v>
          </cell>
          <cell r="C1345">
            <v>0</v>
          </cell>
          <cell r="D1345">
            <v>0</v>
          </cell>
          <cell r="E1345">
            <v>0</v>
          </cell>
          <cell r="F1345">
            <v>0</v>
          </cell>
          <cell r="G1345">
            <v>0</v>
          </cell>
          <cell r="H1345">
            <v>0</v>
          </cell>
          <cell r="I1345">
            <v>0</v>
          </cell>
        </row>
        <row r="1346">
          <cell r="A1346" t="str">
            <v>01.19.03</v>
          </cell>
          <cell r="B1346" t="str">
            <v>Partida</v>
          </cell>
          <cell r="C1346" t="str">
            <v>Sellador en Superficie Pañetada en Fachada Exterior</v>
          </cell>
          <cell r="D1346">
            <v>1</v>
          </cell>
          <cell r="E1346" t="str">
            <v>m²</v>
          </cell>
          <cell r="F1346">
            <v>245.14863448</v>
          </cell>
          <cell r="G1346">
            <v>0</v>
          </cell>
          <cell r="H1346">
            <v>0</v>
          </cell>
          <cell r="I1346">
            <v>245.15</v>
          </cell>
        </row>
        <row r="1347">
          <cell r="A1347" t="str">
            <v>P0521153</v>
          </cell>
          <cell r="B1347" t="str">
            <v>Material</v>
          </cell>
          <cell r="C1347" t="str">
            <v>Tamoseal White 50 Lbs</v>
          </cell>
          <cell r="D1347">
            <v>7.3400000000000007E-2</v>
          </cell>
          <cell r="E1347" t="str">
            <v>fd</v>
          </cell>
          <cell r="F1347">
            <v>1713.5</v>
          </cell>
          <cell r="G1347">
            <v>125.77090000000001</v>
          </cell>
          <cell r="H1347">
            <v>22.638762</v>
          </cell>
          <cell r="I1347">
            <v>148.40966200000003</v>
          </cell>
        </row>
        <row r="1348">
          <cell r="A1348" t="str">
            <v>P0521154</v>
          </cell>
          <cell r="B1348" t="str">
            <v>Material</v>
          </cell>
          <cell r="C1348" t="str">
            <v>Akkro-7T</v>
          </cell>
          <cell r="D1348">
            <v>7.3400000000000007E-2</v>
          </cell>
          <cell r="E1348" t="str">
            <v>gl</v>
          </cell>
          <cell r="F1348">
            <v>880.83</v>
          </cell>
          <cell r="G1348">
            <v>64.652922000000004</v>
          </cell>
          <cell r="H1348">
            <v>11.63752596</v>
          </cell>
          <cell r="I1348">
            <v>76.290447960000009</v>
          </cell>
        </row>
        <row r="1349">
          <cell r="A1349" t="str">
            <v>P2403199</v>
          </cell>
          <cell r="B1349" t="str">
            <v>Material</v>
          </cell>
          <cell r="C1349" t="str">
            <v>Agua</v>
          </cell>
          <cell r="D1349">
            <v>0.1333</v>
          </cell>
          <cell r="E1349" t="str">
            <v>gl</v>
          </cell>
          <cell r="F1349">
            <v>1.58</v>
          </cell>
          <cell r="G1349">
            <v>0.21061400000000002</v>
          </cell>
          <cell r="H1349">
            <v>3.7910520000000003E-2</v>
          </cell>
          <cell r="I1349">
            <v>0.24852452000000003</v>
          </cell>
        </row>
        <row r="1350">
          <cell r="A1350" t="str">
            <v>H1215533</v>
          </cell>
          <cell r="B1350" t="str">
            <v>Mano de obra</v>
          </cell>
          <cell r="C1350" t="str">
            <v>M.O. Aplicacion de Tamoseal (hand brush)</v>
          </cell>
          <cell r="D1350">
            <v>1</v>
          </cell>
          <cell r="E1350" t="str">
            <v>m²</v>
          </cell>
          <cell r="F1350">
            <v>20</v>
          </cell>
          <cell r="G1350">
            <v>20</v>
          </cell>
          <cell r="H1350">
            <v>0</v>
          </cell>
          <cell r="I1350">
            <v>20</v>
          </cell>
        </row>
        <row r="1351">
          <cell r="A1351" t="str">
            <v>H%FH</v>
          </cell>
          <cell r="B1351" t="str">
            <v>Otros</v>
          </cell>
          <cell r="C1351" t="str">
            <v>Factor Herramientas</v>
          </cell>
          <cell r="D1351">
            <v>1</v>
          </cell>
          <cell r="E1351" t="str">
            <v>%</v>
          </cell>
          <cell r="F1351">
            <v>20</v>
          </cell>
          <cell r="G1351">
            <v>0.2</v>
          </cell>
          <cell r="H1351">
            <v>0</v>
          </cell>
          <cell r="I1351">
            <v>0.2</v>
          </cell>
        </row>
        <row r="1352">
          <cell r="A1352">
            <v>0</v>
          </cell>
          <cell r="B1352">
            <v>0</v>
          </cell>
          <cell r="C1352" t="str">
            <v>Total 01.19.03</v>
          </cell>
          <cell r="D1352">
            <v>1</v>
          </cell>
          <cell r="E1352">
            <v>0</v>
          </cell>
          <cell r="F1352">
            <v>245.14863448</v>
          </cell>
          <cell r="G1352">
            <v>0</v>
          </cell>
          <cell r="H1352">
            <v>0</v>
          </cell>
          <cell r="I1352">
            <v>245.15</v>
          </cell>
        </row>
        <row r="1353">
          <cell r="A1353">
            <v>0</v>
          </cell>
          <cell r="B1353">
            <v>0</v>
          </cell>
          <cell r="C1353">
            <v>0</v>
          </cell>
          <cell r="D1353">
            <v>0</v>
          </cell>
          <cell r="E1353">
            <v>0</v>
          </cell>
          <cell r="F1353">
            <v>0</v>
          </cell>
          <cell r="G1353">
            <v>0</v>
          </cell>
          <cell r="H1353">
            <v>0</v>
          </cell>
          <cell r="I1353">
            <v>0</v>
          </cell>
        </row>
        <row r="1354">
          <cell r="A1354">
            <v>0</v>
          </cell>
          <cell r="B1354">
            <v>0</v>
          </cell>
          <cell r="C1354">
            <v>0</v>
          </cell>
          <cell r="D1354">
            <v>0</v>
          </cell>
          <cell r="E1354">
            <v>0</v>
          </cell>
          <cell r="F1354">
            <v>0</v>
          </cell>
          <cell r="G1354">
            <v>0</v>
          </cell>
          <cell r="H1354">
            <v>0</v>
          </cell>
          <cell r="I1354">
            <v>0</v>
          </cell>
        </row>
        <row r="1355">
          <cell r="A1355">
            <v>0</v>
          </cell>
          <cell r="B1355">
            <v>0</v>
          </cell>
          <cell r="C1355">
            <v>0</v>
          </cell>
          <cell r="D1355">
            <v>0</v>
          </cell>
          <cell r="E1355">
            <v>0</v>
          </cell>
          <cell r="F1355">
            <v>0</v>
          </cell>
          <cell r="G1355">
            <v>0</v>
          </cell>
          <cell r="H1355">
            <v>0</v>
          </cell>
          <cell r="I1355">
            <v>0</v>
          </cell>
        </row>
        <row r="1356">
          <cell r="A1356" t="str">
            <v>01.20</v>
          </cell>
          <cell r="B1356" t="str">
            <v>Capítulo</v>
          </cell>
          <cell r="C1356" t="str">
            <v>TOPES:</v>
          </cell>
          <cell r="D1356">
            <v>0</v>
          </cell>
          <cell r="E1356" t="str">
            <v/>
          </cell>
          <cell r="F1356">
            <v>0</v>
          </cell>
          <cell r="G1356">
            <v>0</v>
          </cell>
          <cell r="H1356">
            <v>0</v>
          </cell>
          <cell r="I1356">
            <v>0</v>
          </cell>
        </row>
        <row r="1357">
          <cell r="A1357" t="str">
            <v>01.20.01</v>
          </cell>
          <cell r="B1357" t="str">
            <v>Partida</v>
          </cell>
          <cell r="C1357" t="str">
            <v>Mesetas en granito color gris chino 2.65 ft. X 18.40 ft.</v>
          </cell>
          <cell r="D1357">
            <v>1</v>
          </cell>
          <cell r="E1357" t="str">
            <v>p²</v>
          </cell>
          <cell r="F1357">
            <v>444.33085501858739</v>
          </cell>
          <cell r="G1357">
            <v>0</v>
          </cell>
          <cell r="H1357">
            <v>0</v>
          </cell>
          <cell r="I1357">
            <v>444.33</v>
          </cell>
        </row>
        <row r="1358">
          <cell r="A1358" t="str">
            <v>O632112</v>
          </cell>
          <cell r="B1358" t="str">
            <v>Otros</v>
          </cell>
          <cell r="C1358" t="str">
            <v>Sum./Instalación Tope Granito Imp.</v>
          </cell>
          <cell r="D1358">
            <v>1</v>
          </cell>
          <cell r="E1358" t="str">
            <v>p²</v>
          </cell>
          <cell r="F1358">
            <v>444.33085501858739</v>
          </cell>
          <cell r="G1358">
            <v>444.33085501858739</v>
          </cell>
          <cell r="H1358">
            <v>0</v>
          </cell>
          <cell r="I1358">
            <v>444.33085501858739</v>
          </cell>
        </row>
        <row r="1359">
          <cell r="A1359">
            <v>0</v>
          </cell>
          <cell r="B1359">
            <v>0</v>
          </cell>
          <cell r="C1359" t="str">
            <v>Total 01.20.01</v>
          </cell>
          <cell r="D1359">
            <v>1</v>
          </cell>
          <cell r="E1359">
            <v>0</v>
          </cell>
          <cell r="F1359">
            <v>444.33085501858739</v>
          </cell>
          <cell r="G1359">
            <v>0</v>
          </cell>
          <cell r="H1359">
            <v>0</v>
          </cell>
          <cell r="I1359">
            <v>444.33</v>
          </cell>
        </row>
        <row r="1360">
          <cell r="A1360">
            <v>0</v>
          </cell>
          <cell r="B1360">
            <v>0</v>
          </cell>
          <cell r="C1360">
            <v>0</v>
          </cell>
          <cell r="D1360">
            <v>0</v>
          </cell>
          <cell r="E1360">
            <v>0</v>
          </cell>
          <cell r="F1360">
            <v>0</v>
          </cell>
          <cell r="G1360">
            <v>0</v>
          </cell>
          <cell r="H1360">
            <v>0</v>
          </cell>
          <cell r="I1360">
            <v>0</v>
          </cell>
        </row>
        <row r="1361">
          <cell r="A1361" t="str">
            <v>01.20.02</v>
          </cell>
          <cell r="B1361" t="str">
            <v>Partida</v>
          </cell>
          <cell r="C1361" t="str">
            <v>Tope de granito natural chino, 2.5 ml</v>
          </cell>
          <cell r="D1361">
            <v>1</v>
          </cell>
          <cell r="E1361" t="str">
            <v>u</v>
          </cell>
          <cell r="F1361">
            <v>7171.5000000000009</v>
          </cell>
          <cell r="G1361">
            <v>0</v>
          </cell>
          <cell r="H1361">
            <v>0</v>
          </cell>
          <cell r="I1361">
            <v>7171.5</v>
          </cell>
        </row>
        <row r="1362">
          <cell r="A1362" t="str">
            <v>O632112</v>
          </cell>
          <cell r="B1362" t="str">
            <v>Otros</v>
          </cell>
          <cell r="C1362" t="str">
            <v>Sum./Instalación Tope Granito Imp.</v>
          </cell>
          <cell r="D1362">
            <v>16.14</v>
          </cell>
          <cell r="E1362" t="str">
            <v>p²</v>
          </cell>
          <cell r="F1362">
            <v>444.33085501858739</v>
          </cell>
          <cell r="G1362">
            <v>7171.5000000000009</v>
          </cell>
          <cell r="H1362">
            <v>0</v>
          </cell>
          <cell r="I1362">
            <v>7171.5000000000009</v>
          </cell>
        </row>
        <row r="1363">
          <cell r="A1363">
            <v>0</v>
          </cell>
          <cell r="B1363">
            <v>0</v>
          </cell>
          <cell r="C1363" t="str">
            <v>Total 01.20.02</v>
          </cell>
          <cell r="D1363">
            <v>1</v>
          </cell>
          <cell r="E1363">
            <v>0</v>
          </cell>
          <cell r="F1363">
            <v>7171.5000000000009</v>
          </cell>
          <cell r="G1363">
            <v>0</v>
          </cell>
          <cell r="H1363">
            <v>0</v>
          </cell>
          <cell r="I1363">
            <v>7171.5</v>
          </cell>
        </row>
        <row r="1364">
          <cell r="A1364">
            <v>0</v>
          </cell>
          <cell r="B1364">
            <v>0</v>
          </cell>
          <cell r="C1364">
            <v>0</v>
          </cell>
          <cell r="D1364">
            <v>0</v>
          </cell>
          <cell r="E1364">
            <v>0</v>
          </cell>
          <cell r="F1364">
            <v>0</v>
          </cell>
          <cell r="G1364">
            <v>0</v>
          </cell>
          <cell r="H1364">
            <v>0</v>
          </cell>
          <cell r="I1364">
            <v>0</v>
          </cell>
        </row>
        <row r="1365">
          <cell r="A1365" t="str">
            <v>01.20.03</v>
          </cell>
          <cell r="B1365" t="str">
            <v>Partida</v>
          </cell>
          <cell r="C1365" t="str">
            <v>Tope de granito natural chino, 3ml</v>
          </cell>
          <cell r="D1365">
            <v>1</v>
          </cell>
          <cell r="E1365" t="str">
            <v>u</v>
          </cell>
          <cell r="F1365">
            <v>8605.7999999999993</v>
          </cell>
          <cell r="G1365">
            <v>0</v>
          </cell>
          <cell r="H1365">
            <v>0</v>
          </cell>
          <cell r="I1365">
            <v>8605.7999999999993</v>
          </cell>
        </row>
        <row r="1366">
          <cell r="A1366" t="str">
            <v>O632112</v>
          </cell>
          <cell r="B1366" t="str">
            <v>Otros</v>
          </cell>
          <cell r="C1366" t="str">
            <v>Sum./Instalación Tope Granito Imp.</v>
          </cell>
          <cell r="D1366">
            <v>19.367999999999999</v>
          </cell>
          <cell r="E1366" t="str">
            <v>p²</v>
          </cell>
          <cell r="F1366">
            <v>444.33085501858739</v>
          </cell>
          <cell r="G1366">
            <v>8605.7999999999993</v>
          </cell>
          <cell r="H1366">
            <v>0</v>
          </cell>
          <cell r="I1366">
            <v>8605.7999999999993</v>
          </cell>
        </row>
        <row r="1367">
          <cell r="A1367">
            <v>0</v>
          </cell>
          <cell r="B1367">
            <v>0</v>
          </cell>
          <cell r="C1367" t="str">
            <v>Total 01.20.03</v>
          </cell>
          <cell r="D1367">
            <v>1</v>
          </cell>
          <cell r="E1367">
            <v>0</v>
          </cell>
          <cell r="F1367">
            <v>8605.7999999999993</v>
          </cell>
          <cell r="G1367">
            <v>0</v>
          </cell>
          <cell r="H1367">
            <v>0</v>
          </cell>
          <cell r="I1367">
            <v>8605.7999999999993</v>
          </cell>
        </row>
        <row r="1368">
          <cell r="A1368">
            <v>0</v>
          </cell>
          <cell r="B1368">
            <v>0</v>
          </cell>
          <cell r="C1368">
            <v>0</v>
          </cell>
          <cell r="D1368">
            <v>0</v>
          </cell>
          <cell r="E1368">
            <v>0</v>
          </cell>
          <cell r="F1368">
            <v>0</v>
          </cell>
          <cell r="G1368">
            <v>0</v>
          </cell>
          <cell r="H1368">
            <v>0</v>
          </cell>
          <cell r="I1368">
            <v>0</v>
          </cell>
        </row>
        <row r="1369">
          <cell r="A1369" t="str">
            <v>01.20.04</v>
          </cell>
          <cell r="B1369" t="str">
            <v>Partida</v>
          </cell>
          <cell r="C1369" t="str">
            <v>Tope de granito natural chino, ancho 0.60 mts</v>
          </cell>
          <cell r="D1369">
            <v>1</v>
          </cell>
          <cell r="E1369" t="str">
            <v>m</v>
          </cell>
          <cell r="F1369">
            <v>2868.6000000000004</v>
          </cell>
          <cell r="G1369">
            <v>0</v>
          </cell>
          <cell r="H1369">
            <v>0</v>
          </cell>
          <cell r="I1369">
            <v>2868.6</v>
          </cell>
        </row>
        <row r="1370">
          <cell r="A1370" t="str">
            <v>O632112</v>
          </cell>
          <cell r="B1370" t="str">
            <v>Otros</v>
          </cell>
          <cell r="C1370" t="str">
            <v>Sum./Instalación Tope Granito Imp.</v>
          </cell>
          <cell r="D1370">
            <v>6.4560000000000004</v>
          </cell>
          <cell r="E1370" t="str">
            <v>p²</v>
          </cell>
          <cell r="F1370">
            <v>444.33085501858739</v>
          </cell>
          <cell r="G1370">
            <v>2868.6000000000004</v>
          </cell>
          <cell r="H1370">
            <v>0</v>
          </cell>
          <cell r="I1370">
            <v>2868.6000000000004</v>
          </cell>
        </row>
        <row r="1371">
          <cell r="A1371">
            <v>0</v>
          </cell>
          <cell r="B1371">
            <v>0</v>
          </cell>
          <cell r="C1371" t="str">
            <v>Total 01.20.04</v>
          </cell>
          <cell r="D1371">
            <v>1</v>
          </cell>
          <cell r="E1371">
            <v>0</v>
          </cell>
          <cell r="F1371">
            <v>2868.6000000000004</v>
          </cell>
          <cell r="G1371">
            <v>0</v>
          </cell>
          <cell r="H1371">
            <v>0</v>
          </cell>
          <cell r="I1371">
            <v>2868.6</v>
          </cell>
        </row>
        <row r="1372">
          <cell r="A1372">
            <v>0</v>
          </cell>
          <cell r="B1372">
            <v>0</v>
          </cell>
          <cell r="C1372">
            <v>0</v>
          </cell>
          <cell r="D1372">
            <v>0</v>
          </cell>
          <cell r="E1372">
            <v>0</v>
          </cell>
          <cell r="F1372">
            <v>0</v>
          </cell>
          <cell r="G1372">
            <v>0</v>
          </cell>
          <cell r="H1372">
            <v>0</v>
          </cell>
          <cell r="I1372">
            <v>0</v>
          </cell>
        </row>
        <row r="1373">
          <cell r="A1373" t="str">
            <v>01.20.05</v>
          </cell>
          <cell r="B1373" t="str">
            <v>Partida</v>
          </cell>
          <cell r="C1373" t="str">
            <v>Tope de granito natural color gris en Control y Monitoreo</v>
          </cell>
          <cell r="D1373">
            <v>1</v>
          </cell>
          <cell r="E1373" t="str">
            <v>m²</v>
          </cell>
          <cell r="F1373">
            <v>4781</v>
          </cell>
          <cell r="G1373">
            <v>0</v>
          </cell>
          <cell r="H1373">
            <v>0</v>
          </cell>
          <cell r="I1373">
            <v>4781</v>
          </cell>
        </row>
        <row r="1374">
          <cell r="A1374" t="str">
            <v>O632112</v>
          </cell>
          <cell r="B1374" t="str">
            <v>Otros</v>
          </cell>
          <cell r="C1374" t="str">
            <v>Sum./Instalación Tope Granito Imp.</v>
          </cell>
          <cell r="D1374">
            <v>10.76</v>
          </cell>
          <cell r="E1374" t="str">
            <v>p²</v>
          </cell>
          <cell r="F1374">
            <v>444.33085501858739</v>
          </cell>
          <cell r="G1374">
            <v>4781</v>
          </cell>
          <cell r="H1374">
            <v>0</v>
          </cell>
          <cell r="I1374">
            <v>4781</v>
          </cell>
        </row>
        <row r="1375">
          <cell r="A1375">
            <v>0</v>
          </cell>
          <cell r="B1375">
            <v>0</v>
          </cell>
          <cell r="C1375" t="str">
            <v>Total 01.20.05</v>
          </cell>
          <cell r="D1375">
            <v>1</v>
          </cell>
          <cell r="E1375">
            <v>0</v>
          </cell>
          <cell r="F1375">
            <v>4781</v>
          </cell>
          <cell r="G1375">
            <v>0</v>
          </cell>
          <cell r="H1375">
            <v>0</v>
          </cell>
          <cell r="I1375">
            <v>4781</v>
          </cell>
        </row>
        <row r="1376">
          <cell r="A1376">
            <v>0</v>
          </cell>
          <cell r="B1376">
            <v>0</v>
          </cell>
          <cell r="C1376">
            <v>0</v>
          </cell>
          <cell r="D1376">
            <v>0</v>
          </cell>
          <cell r="E1376">
            <v>0</v>
          </cell>
          <cell r="F1376">
            <v>0</v>
          </cell>
          <cell r="G1376">
            <v>0</v>
          </cell>
          <cell r="H1376">
            <v>0</v>
          </cell>
          <cell r="I1376">
            <v>0</v>
          </cell>
        </row>
        <row r="1377">
          <cell r="A1377" t="str">
            <v>01.20.06</v>
          </cell>
          <cell r="B1377" t="str">
            <v>Partida</v>
          </cell>
          <cell r="C1377" t="str">
            <v>Tope de marmolite</v>
          </cell>
          <cell r="D1377">
            <v>1</v>
          </cell>
          <cell r="E1377" t="str">
            <v>p²</v>
          </cell>
          <cell r="F1377">
            <v>600</v>
          </cell>
          <cell r="G1377">
            <v>0</v>
          </cell>
          <cell r="H1377">
            <v>0</v>
          </cell>
          <cell r="I1377">
            <v>600</v>
          </cell>
        </row>
        <row r="1378">
          <cell r="A1378" t="str">
            <v>O632113</v>
          </cell>
          <cell r="B1378" t="str">
            <v>Otros</v>
          </cell>
          <cell r="C1378" t="str">
            <v>Sum./Instalación Tope de marmolite</v>
          </cell>
          <cell r="D1378">
            <v>1</v>
          </cell>
          <cell r="E1378" t="str">
            <v>p²</v>
          </cell>
          <cell r="F1378">
            <v>600</v>
          </cell>
          <cell r="G1378">
            <v>600</v>
          </cell>
          <cell r="H1378">
            <v>0</v>
          </cell>
          <cell r="I1378">
            <v>600</v>
          </cell>
        </row>
        <row r="1379">
          <cell r="A1379">
            <v>0</v>
          </cell>
          <cell r="B1379">
            <v>0</v>
          </cell>
          <cell r="C1379" t="str">
            <v>Total 01.20.06</v>
          </cell>
          <cell r="D1379">
            <v>1</v>
          </cell>
          <cell r="E1379">
            <v>0</v>
          </cell>
          <cell r="F1379">
            <v>600</v>
          </cell>
          <cell r="G1379">
            <v>0</v>
          </cell>
          <cell r="H1379">
            <v>0</v>
          </cell>
          <cell r="I1379">
            <v>600</v>
          </cell>
        </row>
        <row r="1380">
          <cell r="A1380">
            <v>0</v>
          </cell>
          <cell r="B1380">
            <v>0</v>
          </cell>
          <cell r="C1380">
            <v>0</v>
          </cell>
          <cell r="D1380">
            <v>0</v>
          </cell>
          <cell r="E1380">
            <v>0</v>
          </cell>
          <cell r="F1380">
            <v>0</v>
          </cell>
          <cell r="G1380">
            <v>0</v>
          </cell>
          <cell r="H1380">
            <v>0</v>
          </cell>
          <cell r="I1380">
            <v>0</v>
          </cell>
        </row>
        <row r="1381">
          <cell r="A1381">
            <v>0</v>
          </cell>
          <cell r="B1381">
            <v>0</v>
          </cell>
          <cell r="C1381">
            <v>0</v>
          </cell>
          <cell r="D1381">
            <v>0</v>
          </cell>
          <cell r="E1381">
            <v>0</v>
          </cell>
          <cell r="F1381">
            <v>0</v>
          </cell>
          <cell r="G1381">
            <v>0</v>
          </cell>
          <cell r="H1381">
            <v>0</v>
          </cell>
          <cell r="I1381">
            <v>0</v>
          </cell>
        </row>
        <row r="1382">
          <cell r="A1382" t="str">
            <v>01.21</v>
          </cell>
          <cell r="B1382" t="str">
            <v>Capítulo</v>
          </cell>
          <cell r="C1382" t="str">
            <v>PLAFONES:</v>
          </cell>
          <cell r="D1382">
            <v>0</v>
          </cell>
          <cell r="E1382" t="str">
            <v/>
          </cell>
          <cell r="F1382">
            <v>0</v>
          </cell>
          <cell r="G1382">
            <v>0</v>
          </cell>
          <cell r="H1382">
            <v>0</v>
          </cell>
          <cell r="I1382">
            <v>0</v>
          </cell>
        </row>
        <row r="1383">
          <cell r="A1383" t="str">
            <v>01.21.01</v>
          </cell>
          <cell r="B1383" t="str">
            <v>Partida</v>
          </cell>
          <cell r="C1383" t="str">
            <v>Plafón blanco en PVC</v>
          </cell>
          <cell r="D1383">
            <v>1</v>
          </cell>
          <cell r="E1383" t="str">
            <v>m²</v>
          </cell>
          <cell r="F1383">
            <v>650</v>
          </cell>
          <cell r="G1383">
            <v>0</v>
          </cell>
          <cell r="H1383">
            <v>0</v>
          </cell>
          <cell r="I1383">
            <v>650</v>
          </cell>
        </row>
        <row r="1384">
          <cell r="A1384" t="str">
            <v>P4011006</v>
          </cell>
          <cell r="B1384" t="str">
            <v>Otros</v>
          </cell>
          <cell r="C1384" t="str">
            <v>Sum./ Instal. de Plafón de PVC en Baños</v>
          </cell>
          <cell r="D1384">
            <v>1</v>
          </cell>
          <cell r="E1384" t="str">
            <v>m²</v>
          </cell>
          <cell r="F1384">
            <v>650</v>
          </cell>
          <cell r="G1384">
            <v>650</v>
          </cell>
          <cell r="H1384">
            <v>0</v>
          </cell>
          <cell r="I1384">
            <v>650</v>
          </cell>
        </row>
        <row r="1385">
          <cell r="A1385">
            <v>0</v>
          </cell>
          <cell r="B1385">
            <v>0</v>
          </cell>
          <cell r="C1385" t="str">
            <v>Total 01.21.01</v>
          </cell>
          <cell r="D1385">
            <v>1</v>
          </cell>
          <cell r="E1385">
            <v>0</v>
          </cell>
          <cell r="F1385">
            <v>650</v>
          </cell>
          <cell r="G1385">
            <v>0</v>
          </cell>
          <cell r="H1385">
            <v>0</v>
          </cell>
          <cell r="I1385">
            <v>650</v>
          </cell>
        </row>
        <row r="1386">
          <cell r="A1386">
            <v>0</v>
          </cell>
          <cell r="B1386">
            <v>0</v>
          </cell>
          <cell r="C1386">
            <v>0</v>
          </cell>
          <cell r="D1386">
            <v>0</v>
          </cell>
          <cell r="E1386">
            <v>0</v>
          </cell>
          <cell r="F1386">
            <v>0</v>
          </cell>
          <cell r="G1386">
            <v>0</v>
          </cell>
          <cell r="H1386">
            <v>0</v>
          </cell>
          <cell r="I1386">
            <v>0</v>
          </cell>
        </row>
        <row r="1387">
          <cell r="A1387" t="str">
            <v>01.22</v>
          </cell>
          <cell r="B1387" t="str">
            <v>Capítulo</v>
          </cell>
          <cell r="C1387" t="str">
            <v>OTROS:</v>
          </cell>
          <cell r="D1387">
            <v>0</v>
          </cell>
          <cell r="E1387" t="str">
            <v/>
          </cell>
          <cell r="F1387">
            <v>0</v>
          </cell>
          <cell r="G1387">
            <v>0</v>
          </cell>
          <cell r="H1387">
            <v>0</v>
          </cell>
          <cell r="I1387">
            <v>0</v>
          </cell>
        </row>
        <row r="1388">
          <cell r="A1388" t="str">
            <v>01.22.01</v>
          </cell>
          <cell r="B1388" t="str">
            <v>Partida</v>
          </cell>
          <cell r="C1388" t="str">
            <v>Perfiles metálicos HSS 2" x 2" x 20' en hueco ventana</v>
          </cell>
          <cell r="D1388">
            <v>1</v>
          </cell>
          <cell r="E1388" t="str">
            <v>m²</v>
          </cell>
          <cell r="F1388">
            <v>0</v>
          </cell>
          <cell r="G1388">
            <v>7636.0890936959986</v>
          </cell>
          <cell r="H1388">
            <v>523.74974399999996</v>
          </cell>
          <cell r="I1388">
            <v>8159.8388376959992</v>
          </cell>
        </row>
        <row r="1389">
          <cell r="A1389" t="str">
            <v>P0405022</v>
          </cell>
          <cell r="B1389" t="str">
            <v>Material</v>
          </cell>
          <cell r="C1389" t="str">
            <v>Tubo Rectangular HSS2X2X1/4, A500 Gr. B</v>
          </cell>
          <cell r="D1389">
            <v>126.50959999999998</v>
          </cell>
          <cell r="E1389" t="str">
            <v>lb</v>
          </cell>
          <cell r="F1389">
            <v>23</v>
          </cell>
          <cell r="G1389">
            <v>2909.7207999999996</v>
          </cell>
          <cell r="H1389">
            <v>523.74974399999996</v>
          </cell>
          <cell r="I1389">
            <v>3433.4705439999998</v>
          </cell>
        </row>
        <row r="1390">
          <cell r="A1390" t="str">
            <v>H5421425</v>
          </cell>
          <cell r="B1390" t="str">
            <v>Mano de obra</v>
          </cell>
          <cell r="C1390" t="str">
            <v>M.O. Fabr./ Instalación Estructura Metálica, Inc. Pintura</v>
          </cell>
          <cell r="D1390">
            <v>126.50959999999998</v>
          </cell>
          <cell r="E1390" t="str">
            <v>lb</v>
          </cell>
          <cell r="F1390">
            <v>18.8</v>
          </cell>
          <cell r="G1390">
            <v>2378.3804799999998</v>
          </cell>
          <cell r="H1390">
            <v>0</v>
          </cell>
          <cell r="I1390">
            <v>2378.3804799999998</v>
          </cell>
        </row>
        <row r="1391">
          <cell r="A1391" t="str">
            <v>%HEM</v>
          </cell>
          <cell r="B1391" t="str">
            <v>Otros</v>
          </cell>
          <cell r="C1391" t="str">
            <v>Herramientas Especiales Inst. Estructura Metálica</v>
          </cell>
          <cell r="D1391">
            <v>17</v>
          </cell>
          <cell r="E1391" t="str">
            <v>%</v>
          </cell>
          <cell r="F1391">
            <v>5811.8510239999996</v>
          </cell>
          <cell r="G1391">
            <v>988.01467407999996</v>
          </cell>
          <cell r="H1391">
            <v>0</v>
          </cell>
          <cell r="I1391">
            <v>988.01467407999996</v>
          </cell>
        </row>
        <row r="1392">
          <cell r="A1392" t="str">
            <v>%IEM</v>
          </cell>
          <cell r="B1392" t="str">
            <v>Otros</v>
          </cell>
          <cell r="C1392" t="str">
            <v>Indirectos Sub-Contrato Instalación Estructura Metálica</v>
          </cell>
          <cell r="D1392">
            <v>20</v>
          </cell>
          <cell r="E1392" t="str">
            <v>%</v>
          </cell>
          <cell r="F1392">
            <v>6799.8656980799997</v>
          </cell>
          <cell r="G1392">
            <v>1359.973139616</v>
          </cell>
          <cell r="H1392">
            <v>0</v>
          </cell>
          <cell r="I1392">
            <v>1359.973139616</v>
          </cell>
        </row>
        <row r="1393">
          <cell r="A1393">
            <v>0</v>
          </cell>
          <cell r="B1393">
            <v>0</v>
          </cell>
          <cell r="C1393" t="str">
            <v>Total 01.22.01</v>
          </cell>
          <cell r="D1393">
            <v>1</v>
          </cell>
          <cell r="E1393">
            <v>0</v>
          </cell>
          <cell r="F1393">
            <v>0</v>
          </cell>
          <cell r="G1393">
            <v>7636.0890936959986</v>
          </cell>
          <cell r="H1393">
            <v>523.74974399999996</v>
          </cell>
          <cell r="I1393">
            <v>8159.8388376959992</v>
          </cell>
        </row>
        <row r="1394">
          <cell r="A1394">
            <v>0</v>
          </cell>
          <cell r="B1394">
            <v>0</v>
          </cell>
          <cell r="C1394">
            <v>0</v>
          </cell>
          <cell r="D1394">
            <v>0</v>
          </cell>
          <cell r="E1394">
            <v>0</v>
          </cell>
          <cell r="F1394">
            <v>0</v>
          </cell>
          <cell r="G1394">
            <v>0</v>
          </cell>
          <cell r="H1394">
            <v>0</v>
          </cell>
          <cell r="I1394">
            <v>0</v>
          </cell>
        </row>
        <row r="1395">
          <cell r="A1395" t="str">
            <v>01.22.02</v>
          </cell>
          <cell r="B1395" t="str">
            <v>Partida</v>
          </cell>
          <cell r="C1395" t="str">
            <v>Perfiles metálicos HSS 6" x 4" x 40' en fachada de edificio</v>
          </cell>
          <cell r="D1395">
            <v>1</v>
          </cell>
          <cell r="E1395" t="str">
            <v>m²</v>
          </cell>
          <cell r="F1395">
            <v>0</v>
          </cell>
          <cell r="G1395">
            <v>10823.567299775998</v>
          </cell>
          <cell r="H1395">
            <v>742.37486399999977</v>
          </cell>
          <cell r="I1395">
            <v>11565.942163775997</v>
          </cell>
        </row>
        <row r="1396">
          <cell r="A1396" t="str">
            <v>P0405023</v>
          </cell>
          <cell r="B1396" t="str">
            <v>Material</v>
          </cell>
          <cell r="C1396" t="str">
            <v>Tubo Rectangular HSS6X4X1/4, A500 Gr. B</v>
          </cell>
          <cell r="D1396">
            <v>179.31759999999997</v>
          </cell>
          <cell r="E1396" t="str">
            <v>lb</v>
          </cell>
          <cell r="F1396">
            <v>23</v>
          </cell>
          <cell r="G1396">
            <v>4124.304799999999</v>
          </cell>
          <cell r="H1396">
            <v>742.37486399999977</v>
          </cell>
          <cell r="I1396">
            <v>4866.6796639999984</v>
          </cell>
        </row>
        <row r="1397">
          <cell r="A1397" t="str">
            <v>H5421425</v>
          </cell>
          <cell r="B1397" t="str">
            <v>Mano de obra</v>
          </cell>
          <cell r="C1397" t="str">
            <v>M.O. Fabr./ Instalación Estructura Metálica, Inc. Pintura</v>
          </cell>
          <cell r="D1397">
            <v>179.31759999999997</v>
          </cell>
          <cell r="E1397" t="str">
            <v>lb</v>
          </cell>
          <cell r="F1397">
            <v>18.8</v>
          </cell>
          <cell r="G1397">
            <v>3371.1708799999997</v>
          </cell>
          <cell r="H1397">
            <v>0</v>
          </cell>
          <cell r="I1397">
            <v>3371.1708799999997</v>
          </cell>
        </row>
        <row r="1398">
          <cell r="A1398" t="str">
            <v>%HEM</v>
          </cell>
          <cell r="B1398" t="str">
            <v>Otros</v>
          </cell>
          <cell r="C1398" t="str">
            <v>Herramientas Especiales Inst. Estructura Metálica</v>
          </cell>
          <cell r="D1398">
            <v>17</v>
          </cell>
          <cell r="E1398" t="str">
            <v>%</v>
          </cell>
          <cell r="F1398">
            <v>8237.8505439999972</v>
          </cell>
          <cell r="G1398">
            <v>1400.4345924799995</v>
          </cell>
          <cell r="H1398">
            <v>0</v>
          </cell>
          <cell r="I1398">
            <v>1400.4345924799995</v>
          </cell>
        </row>
        <row r="1399">
          <cell r="A1399" t="str">
            <v>%IEM</v>
          </cell>
          <cell r="B1399" t="str">
            <v>Otros</v>
          </cell>
          <cell r="C1399" t="str">
            <v>Indirectos Sub-Contrato Instalación Estructura Metálica</v>
          </cell>
          <cell r="D1399">
            <v>20</v>
          </cell>
          <cell r="E1399" t="str">
            <v>%</v>
          </cell>
          <cell r="F1399">
            <v>9638.2851364799972</v>
          </cell>
          <cell r="G1399">
            <v>1927.6570272959996</v>
          </cell>
          <cell r="H1399">
            <v>0</v>
          </cell>
          <cell r="I1399">
            <v>1927.6570272959996</v>
          </cell>
        </row>
        <row r="1400">
          <cell r="A1400">
            <v>0</v>
          </cell>
          <cell r="B1400">
            <v>0</v>
          </cell>
          <cell r="C1400" t="str">
            <v>Total 01.22.02</v>
          </cell>
          <cell r="D1400">
            <v>1</v>
          </cell>
          <cell r="E1400">
            <v>0</v>
          </cell>
          <cell r="F1400">
            <v>0</v>
          </cell>
          <cell r="G1400">
            <v>10823.567299775998</v>
          </cell>
          <cell r="H1400">
            <v>742.37486399999977</v>
          </cell>
          <cell r="I1400">
            <v>11565.942163775997</v>
          </cell>
        </row>
        <row r="1401">
          <cell r="A1401">
            <v>0</v>
          </cell>
          <cell r="B1401">
            <v>0</v>
          </cell>
          <cell r="C1401">
            <v>0</v>
          </cell>
          <cell r="D1401">
            <v>0</v>
          </cell>
          <cell r="E1401">
            <v>0</v>
          </cell>
          <cell r="F1401">
            <v>0</v>
          </cell>
          <cell r="G1401">
            <v>0</v>
          </cell>
          <cell r="H1401">
            <v>0</v>
          </cell>
          <cell r="I1401">
            <v>0</v>
          </cell>
        </row>
        <row r="1402">
          <cell r="A1402" t="str">
            <v>01.22.03</v>
          </cell>
          <cell r="B1402" t="str">
            <v>Partida</v>
          </cell>
          <cell r="C1402" t="str">
            <v>Perfiles HSS 2"*4" en área de escalera</v>
          </cell>
          <cell r="D1402">
            <v>1</v>
          </cell>
          <cell r="E1402" t="str">
            <v>m²</v>
          </cell>
          <cell r="F1402">
            <v>0</v>
          </cell>
          <cell r="G1402">
            <v>12209.427389376</v>
          </cell>
          <cell r="H1402">
            <v>837.42926399999999</v>
          </cell>
          <cell r="I1402">
            <v>13046.856653376002</v>
          </cell>
        </row>
        <row r="1403">
          <cell r="A1403" t="str">
            <v>P0405024</v>
          </cell>
          <cell r="B1403" t="str">
            <v>Material</v>
          </cell>
          <cell r="C1403" t="str">
            <v>Tubo Rectangular HSS2X4X1/4, A500 Gr. B</v>
          </cell>
          <cell r="D1403">
            <v>202.27759999999998</v>
          </cell>
          <cell r="E1403" t="str">
            <v>lb</v>
          </cell>
          <cell r="F1403">
            <v>23</v>
          </cell>
          <cell r="G1403">
            <v>4652.3847999999998</v>
          </cell>
          <cell r="H1403">
            <v>837.42926399999999</v>
          </cell>
          <cell r="I1403">
            <v>5489.8140640000001</v>
          </cell>
        </row>
        <row r="1404">
          <cell r="A1404" t="str">
            <v>H5421425</v>
          </cell>
          <cell r="B1404" t="str">
            <v>Mano de obra</v>
          </cell>
          <cell r="C1404" t="str">
            <v>M.O. Fabr./ Instalación Estructura Metálica, Inc. Pintura</v>
          </cell>
          <cell r="D1404">
            <v>202.27759999999998</v>
          </cell>
          <cell r="E1404" t="str">
            <v>lb</v>
          </cell>
          <cell r="F1404">
            <v>18.8</v>
          </cell>
          <cell r="G1404">
            <v>3802.8188799999998</v>
          </cell>
          <cell r="H1404">
            <v>0</v>
          </cell>
          <cell r="I1404">
            <v>3802.8188799999998</v>
          </cell>
        </row>
        <row r="1405">
          <cell r="A1405" t="str">
            <v>%HEM</v>
          </cell>
          <cell r="B1405" t="str">
            <v>Otros</v>
          </cell>
          <cell r="C1405" t="str">
            <v>Herramientas Especiales Inst. Estructura Metálica</v>
          </cell>
          <cell r="D1405">
            <v>17</v>
          </cell>
          <cell r="E1405" t="str">
            <v>%</v>
          </cell>
          <cell r="F1405">
            <v>9292.6329440000009</v>
          </cell>
          <cell r="G1405">
            <v>1579.7476004800003</v>
          </cell>
          <cell r="H1405">
            <v>0</v>
          </cell>
          <cell r="I1405">
            <v>1579.7476004800003</v>
          </cell>
        </row>
        <row r="1406">
          <cell r="A1406" t="str">
            <v>%IEM</v>
          </cell>
          <cell r="B1406" t="str">
            <v>Otros</v>
          </cell>
          <cell r="C1406" t="str">
            <v>Indirectos Sub-Contrato Instalación Estructura Metálica</v>
          </cell>
          <cell r="D1406">
            <v>20</v>
          </cell>
          <cell r="E1406" t="str">
            <v>%</v>
          </cell>
          <cell r="F1406">
            <v>10872.380544480002</v>
          </cell>
          <cell r="G1406">
            <v>2174.4761088960004</v>
          </cell>
          <cell r="H1406">
            <v>0</v>
          </cell>
          <cell r="I1406">
            <v>2174.4761088960004</v>
          </cell>
        </row>
        <row r="1407">
          <cell r="A1407">
            <v>0</v>
          </cell>
          <cell r="B1407">
            <v>0</v>
          </cell>
          <cell r="C1407" t="str">
            <v>Total 01.22.03</v>
          </cell>
          <cell r="D1407">
            <v>1</v>
          </cell>
          <cell r="E1407">
            <v>0</v>
          </cell>
          <cell r="F1407">
            <v>0</v>
          </cell>
          <cell r="G1407">
            <v>12209.427389376</v>
          </cell>
          <cell r="H1407">
            <v>837.42926399999999</v>
          </cell>
          <cell r="I1407">
            <v>13046.856653376002</v>
          </cell>
        </row>
        <row r="1408">
          <cell r="A1408" t="str">
            <v>01.22.04</v>
          </cell>
          <cell r="B1408" t="str">
            <v>Partida</v>
          </cell>
          <cell r="C1408" t="str">
            <v>Gabinete de pared de pino tratado</v>
          </cell>
          <cell r="D1408">
            <v>1</v>
          </cell>
          <cell r="E1408" t="str">
            <v>pies</v>
          </cell>
          <cell r="F1408">
            <v>0</v>
          </cell>
          <cell r="G1408">
            <v>1450</v>
          </cell>
          <cell r="H1408">
            <v>0</v>
          </cell>
          <cell r="I1408">
            <v>1450</v>
          </cell>
        </row>
        <row r="1409">
          <cell r="A1409" t="str">
            <v>O152122</v>
          </cell>
          <cell r="B1409" t="str">
            <v>Otros</v>
          </cell>
          <cell r="C1409" t="str">
            <v>Sum./ Instalación Gabinete de pared de pino tratado</v>
          </cell>
          <cell r="D1409">
            <v>1</v>
          </cell>
          <cell r="E1409" t="str">
            <v>pies</v>
          </cell>
          <cell r="F1409">
            <v>1450</v>
          </cell>
          <cell r="G1409">
            <v>1450</v>
          </cell>
          <cell r="H1409">
            <v>0</v>
          </cell>
          <cell r="I1409">
            <v>1450</v>
          </cell>
        </row>
        <row r="1410">
          <cell r="A1410">
            <v>0</v>
          </cell>
          <cell r="B1410">
            <v>0</v>
          </cell>
          <cell r="C1410" t="str">
            <v>Total 01.22.04</v>
          </cell>
          <cell r="D1410">
            <v>1</v>
          </cell>
          <cell r="E1410">
            <v>0</v>
          </cell>
          <cell r="F1410">
            <v>0</v>
          </cell>
          <cell r="G1410">
            <v>1450</v>
          </cell>
          <cell r="H1410">
            <v>0</v>
          </cell>
          <cell r="I1410">
            <v>1450</v>
          </cell>
        </row>
        <row r="1411">
          <cell r="A1411" t="str">
            <v>01.22.05</v>
          </cell>
          <cell r="B1411" t="str">
            <v>Partida</v>
          </cell>
          <cell r="C1411" t="str">
            <v>Gabinete de piso de pino tratado</v>
          </cell>
          <cell r="D1411">
            <v>1</v>
          </cell>
          <cell r="E1411" t="str">
            <v>pies</v>
          </cell>
          <cell r="F1411">
            <v>0</v>
          </cell>
          <cell r="G1411">
            <v>1500</v>
          </cell>
          <cell r="H1411">
            <v>0</v>
          </cell>
          <cell r="I1411">
            <v>1500</v>
          </cell>
        </row>
        <row r="1412">
          <cell r="A1412" t="str">
            <v>O152123</v>
          </cell>
          <cell r="B1412" t="str">
            <v>Otros</v>
          </cell>
          <cell r="C1412" t="str">
            <v>Gabinete de piso de pino tratado</v>
          </cell>
          <cell r="D1412">
            <v>1</v>
          </cell>
          <cell r="E1412" t="str">
            <v>pies</v>
          </cell>
          <cell r="F1412">
            <v>1500</v>
          </cell>
          <cell r="G1412">
            <v>1500</v>
          </cell>
          <cell r="H1412">
            <v>0</v>
          </cell>
          <cell r="I1412">
            <v>1500</v>
          </cell>
        </row>
        <row r="1413">
          <cell r="A1413">
            <v>0</v>
          </cell>
          <cell r="B1413">
            <v>0</v>
          </cell>
          <cell r="C1413" t="str">
            <v>Total 01.22.05</v>
          </cell>
          <cell r="D1413">
            <v>1</v>
          </cell>
          <cell r="E1413">
            <v>0</v>
          </cell>
          <cell r="F1413">
            <v>0</v>
          </cell>
          <cell r="G1413">
            <v>1500</v>
          </cell>
          <cell r="H1413">
            <v>0</v>
          </cell>
          <cell r="I1413">
            <v>1500</v>
          </cell>
        </row>
        <row r="1414">
          <cell r="A1414" t="str">
            <v>01.22.06</v>
          </cell>
          <cell r="B1414" t="str">
            <v>Partida</v>
          </cell>
          <cell r="C1414" t="str">
            <v xml:space="preserve">Laminado one vision </v>
          </cell>
          <cell r="D1414">
            <v>1</v>
          </cell>
          <cell r="E1414" t="str">
            <v>p²</v>
          </cell>
          <cell r="F1414">
            <v>0</v>
          </cell>
          <cell r="G1414">
            <v>218.988</v>
          </cell>
          <cell r="H1414">
            <v>0</v>
          </cell>
          <cell r="I1414">
            <v>218.988</v>
          </cell>
        </row>
        <row r="1415">
          <cell r="A1415" t="str">
            <v>O155128</v>
          </cell>
          <cell r="B1415" t="str">
            <v>Otros</v>
          </cell>
          <cell r="C1415" t="str">
            <v xml:space="preserve">Sum./ Instalación Laminado one vision </v>
          </cell>
          <cell r="D1415">
            <v>1</v>
          </cell>
          <cell r="E1415" t="str">
            <v>p²</v>
          </cell>
          <cell r="F1415">
            <v>218.988</v>
          </cell>
          <cell r="G1415">
            <v>218.988</v>
          </cell>
          <cell r="H1415">
            <v>0</v>
          </cell>
          <cell r="I1415">
            <v>218.988</v>
          </cell>
        </row>
        <row r="1416">
          <cell r="A1416">
            <v>0</v>
          </cell>
          <cell r="B1416">
            <v>0</v>
          </cell>
          <cell r="C1416" t="str">
            <v>Total 01.22.06</v>
          </cell>
          <cell r="D1416">
            <v>1</v>
          </cell>
          <cell r="E1416">
            <v>0</v>
          </cell>
          <cell r="F1416">
            <v>0</v>
          </cell>
          <cell r="G1416">
            <v>218.988</v>
          </cell>
          <cell r="H1416">
            <v>0</v>
          </cell>
          <cell r="I1416">
            <v>218.988</v>
          </cell>
        </row>
        <row r="1417">
          <cell r="A1417" t="str">
            <v>01.22.07</v>
          </cell>
          <cell r="B1417" t="str">
            <v>Partida</v>
          </cell>
          <cell r="C1417" t="str">
            <v>Limpieza continua y final</v>
          </cell>
          <cell r="D1417">
            <v>1</v>
          </cell>
          <cell r="E1417" t="str">
            <v>pa</v>
          </cell>
          <cell r="F1417">
            <v>0</v>
          </cell>
          <cell r="G1417">
            <v>3750019.74</v>
          </cell>
          <cell r="H1417">
            <v>0</v>
          </cell>
          <cell r="I1417">
            <v>3750019.74</v>
          </cell>
        </row>
        <row r="1418">
          <cell r="A1418" t="str">
            <v>PTR1521</v>
          </cell>
          <cell r="B1418" t="str">
            <v>Partida</v>
          </cell>
          <cell r="C1418" t="str">
            <v>Personal por la Casa (20 obreros x 9 meses x 26 dias)</v>
          </cell>
          <cell r="D1418">
            <v>0</v>
          </cell>
          <cell r="E1418">
            <v>0</v>
          </cell>
          <cell r="F1418">
            <v>0</v>
          </cell>
          <cell r="G1418">
            <v>0</v>
          </cell>
          <cell r="H1418">
            <v>0</v>
          </cell>
          <cell r="I1418">
            <v>0</v>
          </cell>
        </row>
        <row r="1419">
          <cell r="A1419" t="str">
            <v>H0105056</v>
          </cell>
          <cell r="B1419" t="str">
            <v>Mano de obra</v>
          </cell>
          <cell r="C1419" t="str">
            <v>M.O. Ayudante o Peon</v>
          </cell>
          <cell r="D1419">
            <v>4680</v>
          </cell>
          <cell r="E1419" t="str">
            <v>d</v>
          </cell>
          <cell r="F1419">
            <v>650.54999999999995</v>
          </cell>
          <cell r="G1419">
            <v>3044574</v>
          </cell>
          <cell r="H1419">
            <v>0</v>
          </cell>
          <cell r="I1419">
            <v>3044574</v>
          </cell>
        </row>
        <row r="1420">
          <cell r="A1420" t="str">
            <v>H%FH</v>
          </cell>
          <cell r="B1420" t="str">
            <v>Otros</v>
          </cell>
          <cell r="C1420" t="str">
            <v>Factor Herramientas</v>
          </cell>
          <cell r="D1420">
            <v>1</v>
          </cell>
          <cell r="E1420" t="str">
            <v>%</v>
          </cell>
          <cell r="F1420">
            <v>3044574</v>
          </cell>
          <cell r="G1420">
            <v>30445.74</v>
          </cell>
          <cell r="H1420">
            <v>0</v>
          </cell>
          <cell r="I1420">
            <v>30445.74</v>
          </cell>
        </row>
        <row r="1421">
          <cell r="A1421" t="str">
            <v>PTR1522</v>
          </cell>
          <cell r="B1421" t="str">
            <v>Partida</v>
          </cell>
          <cell r="C1421" t="str">
            <v>Bote de Escombros</v>
          </cell>
          <cell r="D1421">
            <v>0</v>
          </cell>
          <cell r="E1421">
            <v>0</v>
          </cell>
          <cell r="F1421">
            <v>0</v>
          </cell>
          <cell r="G1421">
            <v>0</v>
          </cell>
          <cell r="H1421">
            <v>0</v>
          </cell>
          <cell r="I1421">
            <v>0</v>
          </cell>
        </row>
        <row r="1422">
          <cell r="A1422" t="str">
            <v>M153212</v>
          </cell>
          <cell r="B1422">
            <v>0</v>
          </cell>
          <cell r="C1422" t="str">
            <v>Bote de Escombros</v>
          </cell>
          <cell r="D1422">
            <v>9</v>
          </cell>
          <cell r="E1422" t="str">
            <v>mes</v>
          </cell>
          <cell r="F1422">
            <v>75000</v>
          </cell>
          <cell r="G1422">
            <v>675000</v>
          </cell>
          <cell r="H1422">
            <v>0</v>
          </cell>
          <cell r="I1422">
            <v>675000</v>
          </cell>
        </row>
        <row r="1423">
          <cell r="A1423">
            <v>0</v>
          </cell>
          <cell r="B1423">
            <v>0</v>
          </cell>
          <cell r="C1423">
            <v>0</v>
          </cell>
          <cell r="D1423">
            <v>0</v>
          </cell>
          <cell r="E1423">
            <v>0</v>
          </cell>
          <cell r="F1423">
            <v>0</v>
          </cell>
          <cell r="G1423">
            <v>0</v>
          </cell>
          <cell r="H1423">
            <v>0</v>
          </cell>
          <cell r="I1423">
            <v>0</v>
          </cell>
        </row>
        <row r="1424">
          <cell r="A1424">
            <v>0</v>
          </cell>
          <cell r="B1424">
            <v>0</v>
          </cell>
          <cell r="C1424" t="str">
            <v>Total 01.22.07</v>
          </cell>
          <cell r="D1424">
            <v>1</v>
          </cell>
          <cell r="E1424">
            <v>0</v>
          </cell>
          <cell r="F1424">
            <v>0</v>
          </cell>
          <cell r="G1424">
            <v>3750019.74</v>
          </cell>
          <cell r="H1424">
            <v>0</v>
          </cell>
          <cell r="I1424">
            <v>3750019.74</v>
          </cell>
        </row>
        <row r="1425">
          <cell r="A1425" t="str">
            <v>01.22.08</v>
          </cell>
          <cell r="B1425" t="str">
            <v>Partida</v>
          </cell>
          <cell r="C1425" t="str">
            <v>Tubo metalico en Area de Recpecion, HSS 4'' X 4'' X 1/4', 10UDS Altura=13.60mts</v>
          </cell>
          <cell r="D1425">
            <v>1</v>
          </cell>
          <cell r="E1425" t="str">
            <v>u</v>
          </cell>
          <cell r="F1425">
            <v>0</v>
          </cell>
          <cell r="G1425">
            <v>32875.769005516799</v>
          </cell>
          <cell r="H1425">
            <v>2254.9076351999997</v>
          </cell>
          <cell r="I1425">
            <v>35130.676640716796</v>
          </cell>
        </row>
        <row r="1426">
          <cell r="A1426" t="str">
            <v>P0405025</v>
          </cell>
          <cell r="B1426" t="str">
            <v>Material</v>
          </cell>
          <cell r="C1426" t="str">
            <v>Tubo Rectangular HSS4X4X1/4, A500 Gr. B</v>
          </cell>
          <cell r="D1426">
            <v>544.66368</v>
          </cell>
          <cell r="E1426" t="str">
            <v>lb</v>
          </cell>
          <cell r="F1426">
            <v>23</v>
          </cell>
          <cell r="G1426">
            <v>12527.264639999999</v>
          </cell>
          <cell r="H1426">
            <v>2254.9076351999997</v>
          </cell>
          <cell r="I1426">
            <v>14782.172275199999</v>
          </cell>
        </row>
        <row r="1427">
          <cell r="A1427" t="str">
            <v>H5421425</v>
          </cell>
          <cell r="B1427" t="str">
            <v>Mano de obra</v>
          </cell>
          <cell r="C1427" t="str">
            <v>M.O. Fabr./ Instalación Estructura Metálica, Inc. Pintura</v>
          </cell>
          <cell r="D1427">
            <v>544.66368</v>
          </cell>
          <cell r="E1427" t="str">
            <v>lb</v>
          </cell>
          <cell r="F1427">
            <v>18.8</v>
          </cell>
          <cell r="G1427">
            <v>10239.677184</v>
          </cell>
          <cell r="H1427">
            <v>0</v>
          </cell>
          <cell r="I1427">
            <v>10239.677184</v>
          </cell>
        </row>
        <row r="1428">
          <cell r="A1428" t="str">
            <v>%HEM</v>
          </cell>
          <cell r="B1428" t="str">
            <v>Otros</v>
          </cell>
          <cell r="C1428" t="str">
            <v>Herramientas Especiales Inst. Estructura Metálica</v>
          </cell>
          <cell r="D1428">
            <v>17</v>
          </cell>
          <cell r="E1428" t="str">
            <v>%</v>
          </cell>
          <cell r="F1428">
            <v>25021.849459199999</v>
          </cell>
          <cell r="G1428">
            <v>4253.7144080640001</v>
          </cell>
          <cell r="H1428">
            <v>0</v>
          </cell>
          <cell r="I1428">
            <v>4253.7144080640001</v>
          </cell>
        </row>
        <row r="1429">
          <cell r="A1429" t="str">
            <v>%IEM</v>
          </cell>
          <cell r="B1429" t="str">
            <v>Otros</v>
          </cell>
          <cell r="C1429" t="str">
            <v>Indirectos Sub-Contrato Instalación Estructura Metálica</v>
          </cell>
          <cell r="D1429">
            <v>20</v>
          </cell>
          <cell r="E1429" t="str">
            <v>%</v>
          </cell>
          <cell r="F1429">
            <v>29275.563867263998</v>
          </cell>
          <cell r="G1429">
            <v>5855.1127734528</v>
          </cell>
          <cell r="H1429">
            <v>0</v>
          </cell>
          <cell r="I1429">
            <v>5855.1127734528</v>
          </cell>
        </row>
        <row r="1430">
          <cell r="A1430">
            <v>0</v>
          </cell>
          <cell r="B1430">
            <v>0</v>
          </cell>
          <cell r="C1430" t="str">
            <v>Total 01.22.08</v>
          </cell>
          <cell r="D1430">
            <v>1</v>
          </cell>
          <cell r="E1430">
            <v>0</v>
          </cell>
          <cell r="F1430">
            <v>0</v>
          </cell>
          <cell r="G1430">
            <v>32875.769005516799</v>
          </cell>
          <cell r="H1430">
            <v>2254.9076351999997</v>
          </cell>
          <cell r="I1430">
            <v>35130.676640716796</v>
          </cell>
        </row>
        <row r="1431">
          <cell r="A1431">
            <v>0</v>
          </cell>
          <cell r="B1431">
            <v>0</v>
          </cell>
          <cell r="C1431">
            <v>0</v>
          </cell>
          <cell r="D1431">
            <v>0</v>
          </cell>
          <cell r="E1431">
            <v>0</v>
          </cell>
          <cell r="F1431">
            <v>0</v>
          </cell>
          <cell r="G1431">
            <v>0</v>
          </cell>
          <cell r="H1431">
            <v>0</v>
          </cell>
          <cell r="I1431">
            <v>0</v>
          </cell>
        </row>
        <row r="1432">
          <cell r="A1432">
            <v>0</v>
          </cell>
          <cell r="B1432">
            <v>0</v>
          </cell>
          <cell r="C1432">
            <v>0</v>
          </cell>
          <cell r="D1432">
            <v>0</v>
          </cell>
          <cell r="E1432">
            <v>0</v>
          </cell>
          <cell r="F1432">
            <v>0</v>
          </cell>
          <cell r="G1432">
            <v>0</v>
          </cell>
          <cell r="H1432">
            <v>0</v>
          </cell>
          <cell r="I1432">
            <v>0</v>
          </cell>
        </row>
        <row r="1433">
          <cell r="A1433">
            <v>0</v>
          </cell>
          <cell r="B1433">
            <v>0</v>
          </cell>
          <cell r="C1433">
            <v>0</v>
          </cell>
          <cell r="D1433">
            <v>0</v>
          </cell>
          <cell r="E1433">
            <v>0</v>
          </cell>
          <cell r="F1433">
            <v>0</v>
          </cell>
          <cell r="G1433">
            <v>0</v>
          </cell>
          <cell r="H1433">
            <v>0</v>
          </cell>
          <cell r="I1433">
            <v>0</v>
          </cell>
        </row>
        <row r="1434">
          <cell r="A1434">
            <v>0</v>
          </cell>
          <cell r="B1434">
            <v>0</v>
          </cell>
          <cell r="C1434">
            <v>0</v>
          </cell>
          <cell r="D1434">
            <v>0</v>
          </cell>
          <cell r="E1434">
            <v>0</v>
          </cell>
          <cell r="F1434">
            <v>0</v>
          </cell>
          <cell r="G1434">
            <v>0</v>
          </cell>
          <cell r="H1434">
            <v>0</v>
          </cell>
          <cell r="I1434">
            <v>0</v>
          </cell>
        </row>
        <row r="1435">
          <cell r="A1435">
            <v>0</v>
          </cell>
          <cell r="B1435">
            <v>0</v>
          </cell>
          <cell r="C1435">
            <v>0</v>
          </cell>
          <cell r="D1435">
            <v>0</v>
          </cell>
          <cell r="E1435">
            <v>0</v>
          </cell>
          <cell r="F1435">
            <v>0</v>
          </cell>
          <cell r="G1435">
            <v>0</v>
          </cell>
          <cell r="H1435">
            <v>0</v>
          </cell>
          <cell r="I1435">
            <v>0</v>
          </cell>
        </row>
        <row r="1436">
          <cell r="A1436">
            <v>0</v>
          </cell>
          <cell r="B1436">
            <v>0</v>
          </cell>
          <cell r="C1436">
            <v>0</v>
          </cell>
          <cell r="D1436">
            <v>0</v>
          </cell>
          <cell r="E1436">
            <v>0</v>
          </cell>
          <cell r="F1436">
            <v>0</v>
          </cell>
          <cell r="G1436">
            <v>0</v>
          </cell>
          <cell r="H1436">
            <v>0</v>
          </cell>
          <cell r="I1436">
            <v>0</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Documento_de_Microsoft_Word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Documento_de_Microsoft_Word1.docx"/><Relationship Id="rId5" Type="http://schemas.openxmlformats.org/officeDocument/2006/relationships/image" Target="../media/image1.emf"/><Relationship Id="rId4" Type="http://schemas.openxmlformats.org/officeDocument/2006/relationships/package" Target="../embeddings/Documento_de_Microsoft_Word.docx"/><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787"/>
  <sheetViews>
    <sheetView topLeftCell="A28" workbookViewId="0">
      <selection activeCell="B29" sqref="B29"/>
    </sheetView>
  </sheetViews>
  <sheetFormatPr baseColWidth="10" defaultColWidth="11.42578125" defaultRowHeight="15"/>
  <cols>
    <col min="1" max="1" width="11.42578125" style="271"/>
    <col min="2" max="2" width="55.28515625" style="271" customWidth="1"/>
    <col min="3" max="5" width="11.42578125" style="271"/>
    <col min="6" max="6" width="14.7109375" style="271" customWidth="1"/>
    <col min="7" max="7" width="14.5703125" style="271" customWidth="1"/>
    <col min="8" max="257" width="11.42578125" style="271"/>
    <col min="258" max="258" width="55.28515625" style="271" customWidth="1"/>
    <col min="259" max="513" width="11.42578125" style="271"/>
    <col min="514" max="514" width="55.28515625" style="271" customWidth="1"/>
    <col min="515" max="769" width="11.42578125" style="271"/>
    <col min="770" max="770" width="55.28515625" style="271" customWidth="1"/>
    <col min="771" max="1025" width="11.42578125" style="271"/>
    <col min="1026" max="1026" width="55.28515625" style="271" customWidth="1"/>
    <col min="1027" max="1281" width="11.42578125" style="271"/>
    <col min="1282" max="1282" width="55.28515625" style="271" customWidth="1"/>
    <col min="1283" max="1537" width="11.42578125" style="271"/>
    <col min="1538" max="1538" width="55.28515625" style="271" customWidth="1"/>
    <col min="1539" max="1793" width="11.42578125" style="271"/>
    <col min="1794" max="1794" width="55.28515625" style="271" customWidth="1"/>
    <col min="1795" max="2049" width="11.42578125" style="271"/>
    <col min="2050" max="2050" width="55.28515625" style="271" customWidth="1"/>
    <col min="2051" max="2305" width="11.42578125" style="271"/>
    <col min="2306" max="2306" width="55.28515625" style="271" customWidth="1"/>
    <col min="2307" max="2561" width="11.42578125" style="271"/>
    <col min="2562" max="2562" width="55.28515625" style="271" customWidth="1"/>
    <col min="2563" max="2817" width="11.42578125" style="271"/>
    <col min="2818" max="2818" width="55.28515625" style="271" customWidth="1"/>
    <col min="2819" max="3073" width="11.42578125" style="271"/>
    <col min="3074" max="3074" width="55.28515625" style="271" customWidth="1"/>
    <col min="3075" max="3329" width="11.42578125" style="271"/>
    <col min="3330" max="3330" width="55.28515625" style="271" customWidth="1"/>
    <col min="3331" max="3585" width="11.42578125" style="271"/>
    <col min="3586" max="3586" width="55.28515625" style="271" customWidth="1"/>
    <col min="3587" max="3841" width="11.42578125" style="271"/>
    <col min="3842" max="3842" width="55.28515625" style="271" customWidth="1"/>
    <col min="3843" max="4097" width="11.42578125" style="271"/>
    <col min="4098" max="4098" width="55.28515625" style="271" customWidth="1"/>
    <col min="4099" max="4353" width="11.42578125" style="271"/>
    <col min="4354" max="4354" width="55.28515625" style="271" customWidth="1"/>
    <col min="4355" max="4609" width="11.42578125" style="271"/>
    <col min="4610" max="4610" width="55.28515625" style="271" customWidth="1"/>
    <col min="4611" max="4865" width="11.42578125" style="271"/>
    <col min="4866" max="4866" width="55.28515625" style="271" customWidth="1"/>
    <col min="4867" max="5121" width="11.42578125" style="271"/>
    <col min="5122" max="5122" width="55.28515625" style="271" customWidth="1"/>
    <col min="5123" max="5377" width="11.42578125" style="271"/>
    <col min="5378" max="5378" width="55.28515625" style="271" customWidth="1"/>
    <col min="5379" max="5633" width="11.42578125" style="271"/>
    <col min="5634" max="5634" width="55.28515625" style="271" customWidth="1"/>
    <col min="5635" max="5889" width="11.42578125" style="271"/>
    <col min="5890" max="5890" width="55.28515625" style="271" customWidth="1"/>
    <col min="5891" max="6145" width="11.42578125" style="271"/>
    <col min="6146" max="6146" width="55.28515625" style="271" customWidth="1"/>
    <col min="6147" max="6401" width="11.42578125" style="271"/>
    <col min="6402" max="6402" width="55.28515625" style="271" customWidth="1"/>
    <col min="6403" max="6657" width="11.42578125" style="271"/>
    <col min="6658" max="6658" width="55.28515625" style="271" customWidth="1"/>
    <col min="6659" max="6913" width="11.42578125" style="271"/>
    <col min="6914" max="6914" width="55.28515625" style="271" customWidth="1"/>
    <col min="6915" max="7169" width="11.42578125" style="271"/>
    <col min="7170" max="7170" width="55.28515625" style="271" customWidth="1"/>
    <col min="7171" max="7425" width="11.42578125" style="271"/>
    <col min="7426" max="7426" width="55.28515625" style="271" customWidth="1"/>
    <col min="7427" max="7681" width="11.42578125" style="271"/>
    <col min="7682" max="7682" width="55.28515625" style="271" customWidth="1"/>
    <col min="7683" max="7937" width="11.42578125" style="271"/>
    <col min="7938" max="7938" width="55.28515625" style="271" customWidth="1"/>
    <col min="7939" max="8193" width="11.42578125" style="271"/>
    <col min="8194" max="8194" width="55.28515625" style="271" customWidth="1"/>
    <col min="8195" max="8449" width="11.42578125" style="271"/>
    <col min="8450" max="8450" width="55.28515625" style="271" customWidth="1"/>
    <col min="8451" max="8705" width="11.42578125" style="271"/>
    <col min="8706" max="8706" width="55.28515625" style="271" customWidth="1"/>
    <col min="8707" max="8961" width="11.42578125" style="271"/>
    <col min="8962" max="8962" width="55.28515625" style="271" customWidth="1"/>
    <col min="8963" max="9217" width="11.42578125" style="271"/>
    <col min="9218" max="9218" width="55.28515625" style="271" customWidth="1"/>
    <col min="9219" max="9473" width="11.42578125" style="271"/>
    <col min="9474" max="9474" width="55.28515625" style="271" customWidth="1"/>
    <col min="9475" max="9729" width="11.42578125" style="271"/>
    <col min="9730" max="9730" width="55.28515625" style="271" customWidth="1"/>
    <col min="9731" max="9985" width="11.42578125" style="271"/>
    <col min="9986" max="9986" width="55.28515625" style="271" customWidth="1"/>
    <col min="9987" max="10241" width="11.42578125" style="271"/>
    <col min="10242" max="10242" width="55.28515625" style="271" customWidth="1"/>
    <col min="10243" max="10497" width="11.42578125" style="271"/>
    <col min="10498" max="10498" width="55.28515625" style="271" customWidth="1"/>
    <col min="10499" max="10753" width="11.42578125" style="271"/>
    <col min="10754" max="10754" width="55.28515625" style="271" customWidth="1"/>
    <col min="10755" max="11009" width="11.42578125" style="271"/>
    <col min="11010" max="11010" width="55.28515625" style="271" customWidth="1"/>
    <col min="11011" max="11265" width="11.42578125" style="271"/>
    <col min="11266" max="11266" width="55.28515625" style="271" customWidth="1"/>
    <col min="11267" max="11521" width="11.42578125" style="271"/>
    <col min="11522" max="11522" width="55.28515625" style="271" customWidth="1"/>
    <col min="11523" max="11777" width="11.42578125" style="271"/>
    <col min="11778" max="11778" width="55.28515625" style="271" customWidth="1"/>
    <col min="11779" max="12033" width="11.42578125" style="271"/>
    <col min="12034" max="12034" width="55.28515625" style="271" customWidth="1"/>
    <col min="12035" max="12289" width="11.42578125" style="271"/>
    <col min="12290" max="12290" width="55.28515625" style="271" customWidth="1"/>
    <col min="12291" max="12545" width="11.42578125" style="271"/>
    <col min="12546" max="12546" width="55.28515625" style="271" customWidth="1"/>
    <col min="12547" max="12801" width="11.42578125" style="271"/>
    <col min="12802" max="12802" width="55.28515625" style="271" customWidth="1"/>
    <col min="12803" max="13057" width="11.42578125" style="271"/>
    <col min="13058" max="13058" width="55.28515625" style="271" customWidth="1"/>
    <col min="13059" max="13313" width="11.42578125" style="271"/>
    <col min="13314" max="13314" width="55.28515625" style="271" customWidth="1"/>
    <col min="13315" max="13569" width="11.42578125" style="271"/>
    <col min="13570" max="13570" width="55.28515625" style="271" customWidth="1"/>
    <col min="13571" max="13825" width="11.42578125" style="271"/>
    <col min="13826" max="13826" width="55.28515625" style="271" customWidth="1"/>
    <col min="13827" max="14081" width="11.42578125" style="271"/>
    <col min="14082" max="14082" width="55.28515625" style="271" customWidth="1"/>
    <col min="14083" max="14337" width="11.42578125" style="271"/>
    <col min="14338" max="14338" width="55.28515625" style="271" customWidth="1"/>
    <col min="14339" max="14593" width="11.42578125" style="271"/>
    <col min="14594" max="14594" width="55.28515625" style="271" customWidth="1"/>
    <col min="14595" max="14849" width="11.42578125" style="271"/>
    <col min="14850" max="14850" width="55.28515625" style="271" customWidth="1"/>
    <col min="14851" max="15105" width="11.42578125" style="271"/>
    <col min="15106" max="15106" width="55.28515625" style="271" customWidth="1"/>
    <col min="15107" max="15361" width="11.42578125" style="271"/>
    <col min="15362" max="15362" width="55.28515625" style="271" customWidth="1"/>
    <col min="15363" max="15617" width="11.42578125" style="271"/>
    <col min="15618" max="15618" width="55.28515625" style="271" customWidth="1"/>
    <col min="15619" max="15873" width="11.42578125" style="271"/>
    <col min="15874" max="15874" width="55.28515625" style="271" customWidth="1"/>
    <col min="15875" max="16129" width="11.42578125" style="271"/>
    <col min="16130" max="16130" width="55.28515625" style="271" customWidth="1"/>
    <col min="16131" max="16384" width="11.42578125" style="271"/>
  </cols>
  <sheetData>
    <row r="4" spans="1:5" ht="33.75" customHeight="1">
      <c r="A4" s="1715" t="s">
        <v>2363</v>
      </c>
      <c r="B4" s="1715"/>
      <c r="C4" s="1715"/>
      <c r="D4" s="270"/>
      <c r="E4" s="270"/>
    </row>
    <row r="5" spans="1:5">
      <c r="A5" s="246"/>
      <c r="B5" s="246"/>
      <c r="C5" s="246"/>
      <c r="D5" s="246"/>
      <c r="E5" s="246"/>
    </row>
    <row r="6" spans="1:5">
      <c r="A6" s="246"/>
      <c r="B6" s="246"/>
      <c r="C6" s="246"/>
      <c r="D6" s="246"/>
      <c r="E6" s="246"/>
    </row>
    <row r="7" spans="1:5" ht="15.75">
      <c r="A7" s="272" t="s">
        <v>2364</v>
      </c>
      <c r="B7" s="272" t="s">
        <v>2365</v>
      </c>
      <c r="C7" s="272" t="s">
        <v>2366</v>
      </c>
      <c r="D7" s="246"/>
      <c r="E7" s="246"/>
    </row>
    <row r="8" spans="1:5">
      <c r="A8" s="246" t="s">
        <v>2367</v>
      </c>
      <c r="B8" s="246" t="s">
        <v>2368</v>
      </c>
      <c r="C8" s="246">
        <v>659</v>
      </c>
      <c r="D8" s="246"/>
      <c r="E8" s="246"/>
    </row>
    <row r="9" spans="1:5">
      <c r="A9" s="246" t="s">
        <v>2369</v>
      </c>
      <c r="B9" s="246" t="s">
        <v>2370</v>
      </c>
      <c r="C9" s="246">
        <v>721</v>
      </c>
      <c r="D9" s="246"/>
      <c r="E9" s="246"/>
    </row>
    <row r="10" spans="1:5">
      <c r="A10" s="246" t="s">
        <v>2371</v>
      </c>
      <c r="B10" s="246" t="s">
        <v>2372</v>
      </c>
      <c r="C10" s="246">
        <v>847</v>
      </c>
      <c r="D10" s="246"/>
      <c r="E10" s="246"/>
    </row>
    <row r="11" spans="1:5">
      <c r="A11" s="246" t="s">
        <v>2373</v>
      </c>
      <c r="B11" s="246" t="s">
        <v>2374</v>
      </c>
      <c r="C11" s="273">
        <v>1100</v>
      </c>
      <c r="D11" s="246"/>
      <c r="E11" s="246"/>
    </row>
    <row r="12" spans="1:5">
      <c r="A12" s="246" t="s">
        <v>2375</v>
      </c>
      <c r="B12" s="246" t="s">
        <v>2376</v>
      </c>
      <c r="C12" s="273">
        <v>1255</v>
      </c>
      <c r="D12" s="246"/>
      <c r="E12" s="246"/>
    </row>
    <row r="13" spans="1:5">
      <c r="A13" s="246" t="s">
        <v>2377</v>
      </c>
      <c r="B13" s="246" t="s">
        <v>2378</v>
      </c>
      <c r="C13" s="273">
        <v>1569</v>
      </c>
      <c r="D13" s="246"/>
      <c r="E13" s="246"/>
    </row>
    <row r="14" spans="1:5">
      <c r="A14" s="246" t="s">
        <v>2379</v>
      </c>
      <c r="B14" s="246" t="s">
        <v>2380</v>
      </c>
      <c r="C14" s="273">
        <v>1977</v>
      </c>
      <c r="D14" s="246"/>
      <c r="E14" s="246"/>
    </row>
    <row r="15" spans="1:5">
      <c r="A15" s="246"/>
      <c r="B15" s="246"/>
      <c r="C15" s="246"/>
      <c r="D15" s="246"/>
      <c r="E15" s="246"/>
    </row>
    <row r="16" spans="1:5">
      <c r="A16" s="246"/>
      <c r="B16" s="246"/>
      <c r="C16" s="246"/>
      <c r="D16" s="246"/>
      <c r="E16" s="246"/>
    </row>
    <row r="19" spans="1:8" ht="15.75">
      <c r="A19" s="1716" t="s">
        <v>2381</v>
      </c>
      <c r="B19" s="1716"/>
      <c r="C19" s="1716"/>
      <c r="D19" s="1716"/>
      <c r="E19" s="1716"/>
      <c r="F19" s="274"/>
      <c r="G19" s="274"/>
      <c r="H19" s="274"/>
    </row>
    <row r="22" spans="1:8" ht="15.75">
      <c r="A22" s="275" t="s">
        <v>2382</v>
      </c>
      <c r="B22" s="276" t="s">
        <v>2383</v>
      </c>
      <c r="C22" s="276" t="s">
        <v>2069</v>
      </c>
      <c r="D22" s="276"/>
      <c r="E22" s="276" t="s">
        <v>2384</v>
      </c>
    </row>
    <row r="23" spans="1:8" ht="15.75">
      <c r="B23" s="276" t="s">
        <v>2385</v>
      </c>
    </row>
    <row r="24" spans="1:8" ht="15.75">
      <c r="B24" s="275" t="s">
        <v>2386</v>
      </c>
    </row>
    <row r="25" spans="1:8">
      <c r="A25" s="277" t="s">
        <v>2387</v>
      </c>
      <c r="B25" s="277" t="s">
        <v>2388</v>
      </c>
      <c r="C25" s="278" t="s">
        <v>2389</v>
      </c>
      <c r="E25" s="277" t="s">
        <v>2390</v>
      </c>
    </row>
    <row r="26" spans="1:8">
      <c r="A26" s="277" t="s">
        <v>2391</v>
      </c>
      <c r="B26" s="277" t="s">
        <v>2392</v>
      </c>
      <c r="C26" s="278" t="s">
        <v>2389</v>
      </c>
      <c r="E26" s="277" t="s">
        <v>2393</v>
      </c>
    </row>
    <row r="27" spans="1:8">
      <c r="A27" s="277" t="s">
        <v>2394</v>
      </c>
      <c r="B27" s="277" t="s">
        <v>2395</v>
      </c>
      <c r="C27" s="278" t="s">
        <v>2389</v>
      </c>
      <c r="E27" s="277" t="s">
        <v>2396</v>
      </c>
    </row>
    <row r="28" spans="1:8">
      <c r="A28" s="277" t="s">
        <v>2397</v>
      </c>
      <c r="B28" s="277" t="s">
        <v>2398</v>
      </c>
      <c r="C28" s="278" t="s">
        <v>2389</v>
      </c>
      <c r="E28" s="277" t="s">
        <v>2399</v>
      </c>
    </row>
    <row r="29" spans="1:8">
      <c r="A29" s="277" t="s">
        <v>2400</v>
      </c>
      <c r="B29" s="277" t="s">
        <v>2401</v>
      </c>
      <c r="C29" s="278" t="s">
        <v>2389</v>
      </c>
      <c r="E29" s="277" t="s">
        <v>2402</v>
      </c>
    </row>
    <row r="30" spans="1:8">
      <c r="A30" s="277" t="s">
        <v>2403</v>
      </c>
      <c r="B30" s="277" t="s">
        <v>2404</v>
      </c>
      <c r="C30" s="278" t="s">
        <v>2389</v>
      </c>
      <c r="E30" s="277" t="s">
        <v>2405</v>
      </c>
    </row>
    <row r="31" spans="1:8">
      <c r="C31" s="279"/>
    </row>
    <row r="32" spans="1:8" ht="15.75">
      <c r="B32" s="275" t="s">
        <v>2406</v>
      </c>
      <c r="C32" s="279"/>
    </row>
    <row r="33" spans="1:5" ht="15.75">
      <c r="B33" s="275" t="s">
        <v>2407</v>
      </c>
      <c r="C33" s="279"/>
    </row>
    <row r="34" spans="1:5">
      <c r="C34" s="279"/>
    </row>
    <row r="35" spans="1:5">
      <c r="A35" s="277" t="s">
        <v>2408</v>
      </c>
      <c r="B35" s="277" t="s">
        <v>2409</v>
      </c>
      <c r="C35" s="278" t="s">
        <v>2389</v>
      </c>
      <c r="E35" s="277" t="s">
        <v>2402</v>
      </c>
    </row>
    <row r="36" spans="1:5">
      <c r="A36" s="277" t="s">
        <v>2410</v>
      </c>
      <c r="B36" s="277" t="s">
        <v>2411</v>
      </c>
      <c r="C36" s="278" t="s">
        <v>2389</v>
      </c>
      <c r="E36" s="277" t="s">
        <v>2412</v>
      </c>
    </row>
    <row r="37" spans="1:5">
      <c r="A37" s="277" t="s">
        <v>2413</v>
      </c>
      <c r="B37" s="277" t="s">
        <v>2414</v>
      </c>
      <c r="C37" s="278" t="s">
        <v>2389</v>
      </c>
      <c r="E37" s="277" t="s">
        <v>2390</v>
      </c>
    </row>
    <row r="38" spans="1:5">
      <c r="A38" s="277" t="s">
        <v>2415</v>
      </c>
      <c r="B38" s="277" t="s">
        <v>2416</v>
      </c>
      <c r="C38" s="278" t="s">
        <v>2389</v>
      </c>
      <c r="E38" s="277" t="s">
        <v>2396</v>
      </c>
    </row>
    <row r="39" spans="1:5">
      <c r="A39" s="277" t="s">
        <v>2417</v>
      </c>
      <c r="B39" s="277" t="s">
        <v>2418</v>
      </c>
      <c r="C39" s="278" t="s">
        <v>2389</v>
      </c>
      <c r="E39" s="277" t="s">
        <v>2419</v>
      </c>
    </row>
    <row r="40" spans="1:5">
      <c r="A40" s="277" t="s">
        <v>2420</v>
      </c>
      <c r="B40" s="277" t="s">
        <v>2421</v>
      </c>
      <c r="C40" s="278" t="s">
        <v>2389</v>
      </c>
      <c r="E40" s="277" t="s">
        <v>2422</v>
      </c>
    </row>
    <row r="41" spans="1:5">
      <c r="A41" s="277" t="s">
        <v>2423</v>
      </c>
      <c r="B41" s="277" t="s">
        <v>2424</v>
      </c>
      <c r="C41" s="278" t="s">
        <v>2389</v>
      </c>
      <c r="E41" s="277" t="s">
        <v>2425</v>
      </c>
    </row>
    <row r="42" spans="1:5">
      <c r="C42" s="279"/>
    </row>
    <row r="43" spans="1:5" ht="15.75">
      <c r="B43" s="275" t="s">
        <v>2426</v>
      </c>
      <c r="C43" s="279"/>
    </row>
    <row r="44" spans="1:5" ht="15.75">
      <c r="B44" s="275" t="s">
        <v>2427</v>
      </c>
      <c r="C44" s="279"/>
    </row>
    <row r="45" spans="1:5">
      <c r="C45" s="279"/>
    </row>
    <row r="46" spans="1:5">
      <c r="A46" s="277" t="s">
        <v>2428</v>
      </c>
      <c r="B46" s="277" t="s">
        <v>2409</v>
      </c>
      <c r="C46" s="278" t="s">
        <v>2389</v>
      </c>
      <c r="E46" s="277" t="s">
        <v>2405</v>
      </c>
    </row>
    <row r="47" spans="1:5">
      <c r="A47" s="277" t="s">
        <v>2429</v>
      </c>
      <c r="B47" s="277" t="s">
        <v>2411</v>
      </c>
      <c r="C47" s="278" t="s">
        <v>2389</v>
      </c>
      <c r="E47" s="277" t="s">
        <v>2393</v>
      </c>
    </row>
    <row r="48" spans="1:5">
      <c r="A48" s="277" t="s">
        <v>2430</v>
      </c>
      <c r="B48" s="277" t="s">
        <v>2414</v>
      </c>
      <c r="C48" s="278" t="s">
        <v>2389</v>
      </c>
      <c r="E48" s="277" t="s">
        <v>2396</v>
      </c>
    </row>
    <row r="49" spans="1:5">
      <c r="A49" s="277" t="s">
        <v>2431</v>
      </c>
      <c r="B49" s="277" t="s">
        <v>2416</v>
      </c>
      <c r="C49" s="278" t="s">
        <v>2389</v>
      </c>
      <c r="E49" s="277" t="s">
        <v>2425</v>
      </c>
    </row>
    <row r="50" spans="1:5">
      <c r="A50" s="277" t="s">
        <v>2432</v>
      </c>
      <c r="B50" s="277" t="s">
        <v>2418</v>
      </c>
      <c r="C50" s="278" t="s">
        <v>2389</v>
      </c>
      <c r="E50" s="277" t="s">
        <v>2433</v>
      </c>
    </row>
    <row r="51" spans="1:5">
      <c r="A51" s="277" t="s">
        <v>2434</v>
      </c>
      <c r="B51" s="277" t="s">
        <v>2421</v>
      </c>
      <c r="C51" s="278" t="s">
        <v>2389</v>
      </c>
      <c r="E51" s="277" t="s">
        <v>2435</v>
      </c>
    </row>
    <row r="52" spans="1:5">
      <c r="A52" s="277" t="s">
        <v>2436</v>
      </c>
      <c r="B52" s="277" t="s">
        <v>2424</v>
      </c>
      <c r="C52" s="278" t="s">
        <v>2389</v>
      </c>
      <c r="E52" s="277" t="s">
        <v>2437</v>
      </c>
    </row>
    <row r="53" spans="1:5" ht="15.75">
      <c r="B53" s="275" t="s">
        <v>2438</v>
      </c>
    </row>
    <row r="54" spans="1:5" ht="15.75">
      <c r="B54" s="275" t="s">
        <v>2439</v>
      </c>
    </row>
    <row r="56" spans="1:5">
      <c r="A56" s="277" t="s">
        <v>2440</v>
      </c>
      <c r="B56" s="277" t="s">
        <v>2441</v>
      </c>
      <c r="C56" s="277"/>
      <c r="D56" s="278" t="s">
        <v>2389</v>
      </c>
      <c r="E56" s="277" t="s">
        <v>2442</v>
      </c>
    </row>
    <row r="57" spans="1:5">
      <c r="A57" s="277" t="s">
        <v>2443</v>
      </c>
      <c r="B57" s="277" t="s">
        <v>2444</v>
      </c>
      <c r="C57" s="277"/>
      <c r="D57" s="278" t="s">
        <v>2389</v>
      </c>
      <c r="E57" s="277" t="s">
        <v>2393</v>
      </c>
    </row>
    <row r="58" spans="1:5">
      <c r="A58" s="277" t="s">
        <v>2445</v>
      </c>
      <c r="B58" s="277" t="s">
        <v>2446</v>
      </c>
      <c r="C58" s="277"/>
      <c r="D58" s="278" t="s">
        <v>2389</v>
      </c>
      <c r="E58" s="277" t="s">
        <v>2447</v>
      </c>
    </row>
    <row r="59" spans="1:5">
      <c r="A59" s="277" t="s">
        <v>2448</v>
      </c>
      <c r="B59" s="277" t="s">
        <v>2449</v>
      </c>
      <c r="C59" s="277"/>
      <c r="D59" s="278" t="s">
        <v>2389</v>
      </c>
      <c r="E59" s="277" t="s">
        <v>2393</v>
      </c>
    </row>
    <row r="60" spans="1:5">
      <c r="B60" s="271" t="s">
        <v>2450</v>
      </c>
    </row>
    <row r="62" spans="1:5" ht="15.75">
      <c r="B62" s="275" t="s">
        <v>2451</v>
      </c>
    </row>
    <row r="64" spans="1:5">
      <c r="A64" s="277" t="s">
        <v>2448</v>
      </c>
      <c r="B64" s="277" t="s">
        <v>2452</v>
      </c>
      <c r="C64" s="277"/>
      <c r="D64" s="278" t="s">
        <v>1333</v>
      </c>
      <c r="E64" s="277" t="s">
        <v>2453</v>
      </c>
    </row>
    <row r="65" spans="1:8">
      <c r="A65" s="277" t="s">
        <v>2454</v>
      </c>
      <c r="B65" s="277" t="s">
        <v>2455</v>
      </c>
      <c r="C65" s="277"/>
      <c r="D65" s="278" t="s">
        <v>1333</v>
      </c>
      <c r="E65" s="277" t="s">
        <v>2456</v>
      </c>
    </row>
    <row r="66" spans="1:8">
      <c r="B66" s="1717" t="s">
        <v>2457</v>
      </c>
      <c r="C66" s="1717"/>
      <c r="D66" s="1717"/>
      <c r="E66" s="1717"/>
      <c r="F66" s="280"/>
      <c r="G66" s="280"/>
      <c r="H66" s="280"/>
    </row>
    <row r="68" spans="1:8" ht="15.75">
      <c r="B68" s="275" t="s">
        <v>2458</v>
      </c>
    </row>
    <row r="70" spans="1:8">
      <c r="A70" s="277" t="s">
        <v>2459</v>
      </c>
      <c r="B70" s="277" t="s">
        <v>2460</v>
      </c>
      <c r="C70" s="277"/>
      <c r="D70" s="278" t="s">
        <v>2389</v>
      </c>
      <c r="E70" s="277" t="s">
        <v>2453</v>
      </c>
    </row>
    <row r="71" spans="1:8">
      <c r="A71" s="277" t="s">
        <v>2461</v>
      </c>
      <c r="B71" s="277" t="s">
        <v>2462</v>
      </c>
      <c r="C71" s="277"/>
      <c r="D71" s="278" t="s">
        <v>2389</v>
      </c>
      <c r="E71" s="277" t="s">
        <v>2399</v>
      </c>
    </row>
    <row r="72" spans="1:8">
      <c r="A72" s="277" t="s">
        <v>2463</v>
      </c>
      <c r="B72" s="277" t="s">
        <v>2464</v>
      </c>
      <c r="C72" s="277"/>
      <c r="D72" s="278" t="s">
        <v>2389</v>
      </c>
      <c r="E72" s="277" t="s">
        <v>2402</v>
      </c>
    </row>
    <row r="73" spans="1:8">
      <c r="A73" s="277" t="s">
        <v>2465</v>
      </c>
      <c r="B73" s="277" t="s">
        <v>2466</v>
      </c>
      <c r="C73" s="277"/>
      <c r="D73" s="278" t="s">
        <v>2389</v>
      </c>
      <c r="E73" s="277" t="s">
        <v>2402</v>
      </c>
    </row>
    <row r="74" spans="1:8">
      <c r="A74" s="277" t="s">
        <v>2467</v>
      </c>
      <c r="B74" s="277" t="s">
        <v>2468</v>
      </c>
      <c r="C74" s="277"/>
      <c r="D74" s="278" t="s">
        <v>2389</v>
      </c>
      <c r="E74" s="277" t="s">
        <v>2412</v>
      </c>
    </row>
    <row r="75" spans="1:8">
      <c r="A75" s="277" t="s">
        <v>2469</v>
      </c>
      <c r="B75" s="277" t="s">
        <v>2470</v>
      </c>
      <c r="C75" s="277"/>
      <c r="D75" s="278" t="s">
        <v>2389</v>
      </c>
      <c r="E75" s="277" t="s">
        <v>2390</v>
      </c>
    </row>
    <row r="76" spans="1:8">
      <c r="A76" s="277" t="s">
        <v>2471</v>
      </c>
      <c r="B76" s="277" t="s">
        <v>2472</v>
      </c>
      <c r="C76" s="277"/>
      <c r="D76" s="278" t="s">
        <v>2389</v>
      </c>
      <c r="E76" s="277" t="s">
        <v>2393</v>
      </c>
    </row>
    <row r="77" spans="1:8">
      <c r="A77" s="277" t="s">
        <v>2473</v>
      </c>
      <c r="B77" s="277" t="s">
        <v>2474</v>
      </c>
      <c r="C77" s="277"/>
      <c r="D77" s="278" t="s">
        <v>2389</v>
      </c>
      <c r="E77" s="277" t="s">
        <v>2475</v>
      </c>
    </row>
    <row r="78" spans="1:8">
      <c r="A78" s="277" t="s">
        <v>2476</v>
      </c>
      <c r="B78" s="277" t="s">
        <v>2477</v>
      </c>
      <c r="C78" s="277"/>
      <c r="D78" s="278" t="s">
        <v>2389</v>
      </c>
      <c r="E78" s="277" t="s">
        <v>2478</v>
      </c>
    </row>
    <row r="79" spans="1:8">
      <c r="A79" s="277" t="s">
        <v>2479</v>
      </c>
      <c r="B79" s="277" t="s">
        <v>2480</v>
      </c>
      <c r="C79" s="277"/>
      <c r="D79" s="278" t="s">
        <v>2389</v>
      </c>
      <c r="E79" s="277" t="s">
        <v>2481</v>
      </c>
    </row>
    <row r="80" spans="1:8">
      <c r="A80" s="277" t="s">
        <v>2482</v>
      </c>
      <c r="B80" s="277" t="s">
        <v>2483</v>
      </c>
      <c r="C80" s="277"/>
      <c r="D80" s="278" t="s">
        <v>2389</v>
      </c>
      <c r="E80" s="277" t="s">
        <v>2396</v>
      </c>
    </row>
    <row r="81" spans="1:5">
      <c r="A81" s="277" t="s">
        <v>2484</v>
      </c>
      <c r="B81" s="277" t="s">
        <v>2485</v>
      </c>
      <c r="C81" s="277"/>
      <c r="D81" s="278" t="s">
        <v>2389</v>
      </c>
      <c r="E81" s="277" t="s">
        <v>2422</v>
      </c>
    </row>
    <row r="83" spans="1:5">
      <c r="B83" s="271" t="s">
        <v>2486</v>
      </c>
    </row>
    <row r="84" spans="1:5">
      <c r="B84" s="1713" t="s">
        <v>2487</v>
      </c>
      <c r="C84" s="1713"/>
      <c r="D84" s="1713"/>
    </row>
    <row r="86" spans="1:5" ht="15.75">
      <c r="B86" s="275" t="s">
        <v>2488</v>
      </c>
    </row>
    <row r="88" spans="1:5">
      <c r="A88" s="277" t="s">
        <v>2489</v>
      </c>
      <c r="B88" s="277" t="s">
        <v>2490</v>
      </c>
      <c r="C88" s="277"/>
      <c r="D88" s="278" t="s">
        <v>1333</v>
      </c>
      <c r="E88" s="277" t="s">
        <v>2402</v>
      </c>
    </row>
    <row r="89" spans="1:5">
      <c r="A89" s="277" t="s">
        <v>2491</v>
      </c>
      <c r="B89" s="277" t="s">
        <v>2492</v>
      </c>
      <c r="C89" s="277"/>
      <c r="D89" s="278" t="s">
        <v>1333</v>
      </c>
      <c r="E89" s="277" t="s">
        <v>2405</v>
      </c>
    </row>
    <row r="90" spans="1:5">
      <c r="A90" s="277" t="s">
        <v>2493</v>
      </c>
      <c r="B90" s="277" t="s">
        <v>2494</v>
      </c>
      <c r="C90" s="277"/>
      <c r="D90" s="278" t="s">
        <v>1333</v>
      </c>
      <c r="E90" s="277" t="s">
        <v>2390</v>
      </c>
    </row>
    <row r="91" spans="1:5">
      <c r="A91" s="277" t="s">
        <v>2495</v>
      </c>
      <c r="B91" s="277" t="s">
        <v>2496</v>
      </c>
      <c r="C91" s="277"/>
      <c r="D91" s="278" t="s">
        <v>1333</v>
      </c>
      <c r="E91" s="277" t="s">
        <v>2393</v>
      </c>
    </row>
    <row r="92" spans="1:5">
      <c r="A92" s="277" t="s">
        <v>2497</v>
      </c>
      <c r="B92" s="277" t="s">
        <v>2498</v>
      </c>
      <c r="C92" s="277"/>
      <c r="D92" s="278" t="s">
        <v>1333</v>
      </c>
      <c r="E92" s="277" t="s">
        <v>2396</v>
      </c>
    </row>
    <row r="93" spans="1:5">
      <c r="B93" s="271" t="s">
        <v>2499</v>
      </c>
    </row>
    <row r="95" spans="1:5" ht="15.75">
      <c r="B95" s="275" t="s">
        <v>2500</v>
      </c>
    </row>
    <row r="96" spans="1:5">
      <c r="A96" s="277" t="s">
        <v>2501</v>
      </c>
      <c r="B96" s="277" t="s">
        <v>2502</v>
      </c>
      <c r="C96" s="277"/>
      <c r="D96" s="278" t="s">
        <v>1333</v>
      </c>
      <c r="E96" s="277" t="s">
        <v>2435</v>
      </c>
    </row>
    <row r="97" spans="1:5">
      <c r="A97" s="277" t="s">
        <v>2503</v>
      </c>
      <c r="B97" s="277" t="s">
        <v>2504</v>
      </c>
      <c r="C97" s="277"/>
      <c r="D97" s="278" t="s">
        <v>209</v>
      </c>
      <c r="E97" s="277" t="s">
        <v>209</v>
      </c>
    </row>
    <row r="98" spans="1:5">
      <c r="A98" s="277" t="s">
        <v>2505</v>
      </c>
      <c r="B98" s="277" t="s">
        <v>2506</v>
      </c>
      <c r="C98" s="277"/>
      <c r="D98" s="278" t="s">
        <v>1752</v>
      </c>
      <c r="E98" s="281">
        <v>57.43</v>
      </c>
    </row>
    <row r="99" spans="1:5">
      <c r="A99" s="271" t="s">
        <v>2507</v>
      </c>
      <c r="B99" s="271" t="s">
        <v>2508</v>
      </c>
      <c r="E99" s="282"/>
    </row>
    <row r="100" spans="1:5">
      <c r="B100" s="271" t="s">
        <v>2509</v>
      </c>
      <c r="E100" s="282"/>
    </row>
    <row r="101" spans="1:5">
      <c r="B101" s="271" t="s">
        <v>2510</v>
      </c>
      <c r="E101" s="282"/>
    </row>
    <row r="102" spans="1:5">
      <c r="A102" s="277" t="s">
        <v>2511</v>
      </c>
      <c r="B102" s="277" t="s">
        <v>2512</v>
      </c>
      <c r="C102" s="277"/>
      <c r="D102" s="278" t="s">
        <v>1333</v>
      </c>
      <c r="E102" s="281">
        <v>543.37</v>
      </c>
    </row>
    <row r="104" spans="1:5">
      <c r="B104" s="271" t="s">
        <v>2513</v>
      </c>
    </row>
    <row r="105" spans="1:5">
      <c r="A105" s="277" t="s">
        <v>2514</v>
      </c>
      <c r="B105" s="277" t="s">
        <v>2515</v>
      </c>
      <c r="C105" s="277"/>
      <c r="D105" s="278" t="s">
        <v>2389</v>
      </c>
      <c r="E105" s="277" t="s">
        <v>2481</v>
      </c>
    </row>
    <row r="106" spans="1:5">
      <c r="A106" s="277" t="s">
        <v>2516</v>
      </c>
      <c r="B106" s="277" t="s">
        <v>2517</v>
      </c>
      <c r="C106" s="277"/>
      <c r="D106" s="278" t="s">
        <v>2389</v>
      </c>
      <c r="E106" s="277" t="s">
        <v>209</v>
      </c>
    </row>
    <row r="108" spans="1:5" ht="15.75">
      <c r="B108" s="275" t="s">
        <v>2518</v>
      </c>
    </row>
    <row r="110" spans="1:5">
      <c r="A110" s="277" t="s">
        <v>2519</v>
      </c>
      <c r="B110" s="277" t="s">
        <v>2520</v>
      </c>
      <c r="C110" s="277"/>
      <c r="D110" s="278" t="s">
        <v>1333</v>
      </c>
      <c r="E110" s="277" t="s">
        <v>2521</v>
      </c>
    </row>
    <row r="111" spans="1:5">
      <c r="A111" s="277" t="s">
        <v>2522</v>
      </c>
      <c r="B111" s="277" t="s">
        <v>2523</v>
      </c>
      <c r="C111" s="277"/>
      <c r="D111" s="278" t="s">
        <v>1333</v>
      </c>
      <c r="E111" s="277" t="s">
        <v>2524</v>
      </c>
    </row>
    <row r="112" spans="1:5">
      <c r="A112" s="277" t="s">
        <v>2525</v>
      </c>
      <c r="B112" s="277" t="s">
        <v>2526</v>
      </c>
      <c r="C112" s="277"/>
      <c r="D112" s="278" t="s">
        <v>1333</v>
      </c>
      <c r="E112" s="277" t="s">
        <v>2527</v>
      </c>
    </row>
    <row r="113" spans="1:5">
      <c r="B113" s="271" t="s">
        <v>2528</v>
      </c>
    </row>
    <row r="115" spans="1:5" ht="15.75">
      <c r="B115" s="275" t="s">
        <v>2529</v>
      </c>
    </row>
    <row r="116" spans="1:5">
      <c r="A116" s="277" t="s">
        <v>2530</v>
      </c>
      <c r="B116" s="277" t="s">
        <v>2531</v>
      </c>
      <c r="C116" s="277"/>
      <c r="D116" s="278" t="s">
        <v>811</v>
      </c>
      <c r="E116" s="277" t="s">
        <v>2524</v>
      </c>
    </row>
    <row r="117" spans="1:5">
      <c r="A117" s="277" t="s">
        <v>2532</v>
      </c>
      <c r="B117" s="277" t="s">
        <v>2533</v>
      </c>
      <c r="C117" s="277"/>
      <c r="D117" s="278" t="s">
        <v>811</v>
      </c>
      <c r="E117" s="277" t="s">
        <v>2481</v>
      </c>
    </row>
    <row r="118" spans="1:5">
      <c r="A118" s="277" t="s">
        <v>2534</v>
      </c>
      <c r="B118" s="277" t="s">
        <v>2535</v>
      </c>
      <c r="C118" s="277"/>
      <c r="D118" s="278"/>
      <c r="E118" s="277" t="s">
        <v>209</v>
      </c>
    </row>
    <row r="119" spans="1:5">
      <c r="A119" s="277" t="s">
        <v>2536</v>
      </c>
      <c r="B119" s="277" t="s">
        <v>2537</v>
      </c>
      <c r="C119" s="277"/>
      <c r="D119" s="278" t="s">
        <v>2538</v>
      </c>
      <c r="E119" s="277" t="s">
        <v>2539</v>
      </c>
    </row>
    <row r="120" spans="1:5">
      <c r="A120" s="277" t="s">
        <v>2540</v>
      </c>
      <c r="B120" s="277" t="s">
        <v>2541</v>
      </c>
      <c r="C120" s="277"/>
      <c r="D120" s="278" t="s">
        <v>2538</v>
      </c>
      <c r="E120" s="277" t="s">
        <v>2542</v>
      </c>
    </row>
    <row r="121" spans="1:5">
      <c r="A121" s="277" t="s">
        <v>2543</v>
      </c>
      <c r="B121" s="277" t="s">
        <v>2544</v>
      </c>
      <c r="C121" s="277"/>
      <c r="D121" s="278" t="s">
        <v>2538</v>
      </c>
      <c r="E121" s="277" t="s">
        <v>2475</v>
      </c>
    </row>
    <row r="122" spans="1:5">
      <c r="A122" s="277" t="s">
        <v>2545</v>
      </c>
      <c r="B122" s="277" t="s">
        <v>2546</v>
      </c>
      <c r="C122" s="277"/>
      <c r="D122" s="278" t="s">
        <v>2538</v>
      </c>
      <c r="E122" s="277" t="s">
        <v>2547</v>
      </c>
    </row>
    <row r="123" spans="1:5">
      <c r="A123" s="277" t="s">
        <v>2548</v>
      </c>
      <c r="B123" s="277" t="s">
        <v>2549</v>
      </c>
      <c r="C123" s="277"/>
      <c r="D123" s="278" t="s">
        <v>2538</v>
      </c>
      <c r="E123" s="277" t="s">
        <v>2550</v>
      </c>
    </row>
    <row r="124" spans="1:5">
      <c r="A124" s="277" t="s">
        <v>2551</v>
      </c>
      <c r="B124" s="277" t="s">
        <v>2552</v>
      </c>
      <c r="C124" s="277"/>
      <c r="D124" s="278" t="s">
        <v>2538</v>
      </c>
      <c r="E124" s="277" t="s">
        <v>2475</v>
      </c>
    </row>
    <row r="125" spans="1:5">
      <c r="A125" s="277" t="s">
        <v>2553</v>
      </c>
      <c r="B125" s="277" t="s">
        <v>2554</v>
      </c>
      <c r="C125" s="277"/>
      <c r="D125" s="278" t="s">
        <v>2538</v>
      </c>
      <c r="E125" s="277" t="s">
        <v>2481</v>
      </c>
    </row>
    <row r="126" spans="1:5">
      <c r="A126" s="277" t="s">
        <v>2555</v>
      </c>
      <c r="B126" s="277" t="s">
        <v>2556</v>
      </c>
      <c r="C126" s="277"/>
      <c r="D126" s="278" t="s">
        <v>2538</v>
      </c>
      <c r="E126" s="277" t="s">
        <v>2399</v>
      </c>
    </row>
    <row r="127" spans="1:5">
      <c r="B127" s="1713" t="s">
        <v>2557</v>
      </c>
      <c r="C127" s="1713"/>
      <c r="D127" s="1713"/>
    </row>
    <row r="129" spans="1:5" ht="15.75">
      <c r="B129" s="275" t="s">
        <v>2558</v>
      </c>
    </row>
    <row r="131" spans="1:5">
      <c r="A131" s="277" t="s">
        <v>2559</v>
      </c>
      <c r="B131" s="277" t="s">
        <v>2560</v>
      </c>
      <c r="C131" s="277"/>
      <c r="D131" s="278" t="s">
        <v>2538</v>
      </c>
      <c r="E131" s="277" t="s">
        <v>2561</v>
      </c>
    </row>
    <row r="132" spans="1:5">
      <c r="A132" s="277" t="s">
        <v>2562</v>
      </c>
      <c r="B132" s="277" t="s">
        <v>580</v>
      </c>
      <c r="C132" s="277"/>
      <c r="D132" s="278" t="s">
        <v>2538</v>
      </c>
      <c r="E132" s="277" t="s">
        <v>2475</v>
      </c>
    </row>
    <row r="133" spans="1:5">
      <c r="A133" s="277" t="s">
        <v>2563</v>
      </c>
      <c r="B133" s="277" t="s">
        <v>581</v>
      </c>
      <c r="C133" s="277"/>
      <c r="D133" s="278" t="s">
        <v>2538</v>
      </c>
      <c r="E133" s="277" t="s">
        <v>2564</v>
      </c>
    </row>
    <row r="134" spans="1:5">
      <c r="A134" s="277" t="s">
        <v>2565</v>
      </c>
      <c r="B134" s="277" t="s">
        <v>2566</v>
      </c>
      <c r="C134" s="277"/>
      <c r="D134" s="278" t="s">
        <v>811</v>
      </c>
      <c r="E134" s="277" t="s">
        <v>2524</v>
      </c>
    </row>
    <row r="135" spans="1:5">
      <c r="A135" s="277" t="s">
        <v>2567</v>
      </c>
      <c r="B135" s="277" t="s">
        <v>2568</v>
      </c>
      <c r="C135" s="277"/>
      <c r="D135" s="278" t="s">
        <v>811</v>
      </c>
      <c r="E135" s="277" t="s">
        <v>2547</v>
      </c>
    </row>
    <row r="136" spans="1:5">
      <c r="A136" s="277" t="s">
        <v>2569</v>
      </c>
      <c r="B136" s="277" t="s">
        <v>2570</v>
      </c>
      <c r="C136" s="277"/>
      <c r="D136" s="278" t="s">
        <v>811</v>
      </c>
      <c r="E136" s="277" t="s">
        <v>2475</v>
      </c>
    </row>
    <row r="137" spans="1:5">
      <c r="A137" s="277" t="s">
        <v>2571</v>
      </c>
      <c r="B137" s="277" t="s">
        <v>2572</v>
      </c>
      <c r="C137" s="277"/>
      <c r="D137" s="278" t="s">
        <v>811</v>
      </c>
      <c r="E137" s="277" t="s">
        <v>2547</v>
      </c>
    </row>
    <row r="138" spans="1:5">
      <c r="A138" s="277" t="s">
        <v>2573</v>
      </c>
      <c r="B138" s="277" t="s">
        <v>2574</v>
      </c>
      <c r="C138" s="277"/>
      <c r="D138" s="278" t="s">
        <v>2538</v>
      </c>
      <c r="E138" s="277" t="s">
        <v>2435</v>
      </c>
    </row>
    <row r="139" spans="1:5">
      <c r="A139" s="277" t="s">
        <v>2575</v>
      </c>
      <c r="B139" s="277" t="s">
        <v>2576</v>
      </c>
      <c r="C139" s="277"/>
      <c r="D139" s="278" t="s">
        <v>2538</v>
      </c>
      <c r="E139" s="277" t="s">
        <v>2577</v>
      </c>
    </row>
    <row r="140" spans="1:5">
      <c r="A140" s="277" t="s">
        <v>2578</v>
      </c>
      <c r="B140" s="277" t="s">
        <v>2579</v>
      </c>
      <c r="C140" s="277"/>
      <c r="D140" s="278" t="s">
        <v>2538</v>
      </c>
      <c r="E140" s="277" t="s">
        <v>2580</v>
      </c>
    </row>
    <row r="141" spans="1:5">
      <c r="A141" s="277" t="s">
        <v>2581</v>
      </c>
      <c r="B141" s="277" t="s">
        <v>2582</v>
      </c>
      <c r="C141" s="277"/>
      <c r="D141" s="278" t="s">
        <v>2538</v>
      </c>
      <c r="E141" s="277" t="s">
        <v>2580</v>
      </c>
    </row>
    <row r="142" spans="1:5">
      <c r="A142" s="277" t="s">
        <v>2583</v>
      </c>
      <c r="B142" s="277" t="s">
        <v>2584</v>
      </c>
      <c r="C142" s="277"/>
      <c r="D142" s="278" t="s">
        <v>2538</v>
      </c>
      <c r="E142" s="277" t="s">
        <v>2585</v>
      </c>
    </row>
    <row r="143" spans="1:5">
      <c r="A143" s="277" t="s">
        <v>2586</v>
      </c>
      <c r="B143" s="277" t="s">
        <v>2587</v>
      </c>
      <c r="C143" s="277"/>
      <c r="D143" s="278" t="s">
        <v>2538</v>
      </c>
      <c r="E143" s="277" t="s">
        <v>2585</v>
      </c>
    </row>
    <row r="144" spans="1:5">
      <c r="A144" s="277" t="s">
        <v>2588</v>
      </c>
      <c r="B144" s="277" t="s">
        <v>2589</v>
      </c>
      <c r="C144" s="277"/>
      <c r="D144" s="278" t="s">
        <v>2538</v>
      </c>
      <c r="E144" s="277" t="s">
        <v>2435</v>
      </c>
    </row>
    <row r="145" spans="1:5">
      <c r="A145" s="277" t="s">
        <v>2590</v>
      </c>
      <c r="B145" s="277" t="s">
        <v>2591</v>
      </c>
      <c r="C145" s="277"/>
      <c r="D145" s="278" t="s">
        <v>2538</v>
      </c>
      <c r="E145" s="277" t="s">
        <v>2592</v>
      </c>
    </row>
    <row r="146" spans="1:5">
      <c r="A146" s="277" t="s">
        <v>2593</v>
      </c>
      <c r="B146" s="277" t="s">
        <v>2594</v>
      </c>
      <c r="C146" s="277"/>
      <c r="D146" s="278" t="s">
        <v>2538</v>
      </c>
      <c r="E146" s="277" t="s">
        <v>209</v>
      </c>
    </row>
    <row r="147" spans="1:5">
      <c r="B147" s="1713" t="s">
        <v>2595</v>
      </c>
      <c r="C147" s="1713"/>
      <c r="D147" s="1713"/>
      <c r="E147" s="1713"/>
    </row>
    <row r="148" spans="1:5">
      <c r="A148" s="277" t="s">
        <v>2596</v>
      </c>
      <c r="B148" s="277" t="s">
        <v>2597</v>
      </c>
      <c r="C148" s="277"/>
      <c r="D148" s="278" t="s">
        <v>1333</v>
      </c>
      <c r="E148" s="277" t="s">
        <v>209</v>
      </c>
    </row>
    <row r="149" spans="1:5">
      <c r="A149" s="277" t="s">
        <v>2598</v>
      </c>
      <c r="B149" s="277" t="s">
        <v>2599</v>
      </c>
      <c r="C149" s="277"/>
      <c r="D149" s="278" t="s">
        <v>1333</v>
      </c>
      <c r="E149" s="277" t="s">
        <v>2405</v>
      </c>
    </row>
    <row r="150" spans="1:5">
      <c r="A150" s="277" t="s">
        <v>2600</v>
      </c>
      <c r="B150" s="277" t="s">
        <v>2601</v>
      </c>
      <c r="C150" s="277"/>
      <c r="D150" s="278" t="s">
        <v>1333</v>
      </c>
      <c r="E150" s="277" t="s">
        <v>2396</v>
      </c>
    </row>
    <row r="151" spans="1:5">
      <c r="A151" s="277" t="s">
        <v>2602</v>
      </c>
      <c r="B151" s="277" t="s">
        <v>2603</v>
      </c>
      <c r="C151" s="277"/>
      <c r="D151" s="278" t="s">
        <v>1333</v>
      </c>
      <c r="E151" s="277" t="s">
        <v>209</v>
      </c>
    </row>
    <row r="152" spans="1:5">
      <c r="A152" s="277" t="s">
        <v>2604</v>
      </c>
      <c r="B152" s="277" t="s">
        <v>2605</v>
      </c>
      <c r="C152" s="277"/>
      <c r="D152" s="278" t="s">
        <v>1333</v>
      </c>
      <c r="E152" s="277" t="s">
        <v>2390</v>
      </c>
    </row>
    <row r="153" spans="1:5">
      <c r="A153" s="277" t="s">
        <v>2606</v>
      </c>
      <c r="B153" s="277" t="s">
        <v>2607</v>
      </c>
      <c r="C153" s="277"/>
      <c r="D153" s="278" t="s">
        <v>1333</v>
      </c>
      <c r="E153" s="277" t="s">
        <v>2396</v>
      </c>
    </row>
    <row r="154" spans="1:5">
      <c r="A154" s="277" t="s">
        <v>2608</v>
      </c>
      <c r="B154" s="277" t="s">
        <v>2609</v>
      </c>
      <c r="C154" s="277"/>
      <c r="D154" s="278" t="s">
        <v>1333</v>
      </c>
      <c r="E154" s="277" t="s">
        <v>2610</v>
      </c>
    </row>
    <row r="155" spans="1:5">
      <c r="A155" s="277" t="s">
        <v>2611</v>
      </c>
      <c r="B155" s="277" t="s">
        <v>2612</v>
      </c>
      <c r="C155" s="277"/>
      <c r="D155" s="278" t="s">
        <v>1333</v>
      </c>
      <c r="E155" s="277" t="s">
        <v>2610</v>
      </c>
    </row>
    <row r="156" spans="1:5">
      <c r="A156" s="277" t="s">
        <v>2613</v>
      </c>
      <c r="B156" s="277" t="s">
        <v>2614</v>
      </c>
      <c r="C156" s="277"/>
      <c r="D156" s="278" t="s">
        <v>1333</v>
      </c>
      <c r="E156" s="277" t="s">
        <v>209</v>
      </c>
    </row>
    <row r="158" spans="1:5" ht="15.75">
      <c r="A158" s="283"/>
      <c r="B158" s="284"/>
      <c r="C158" s="246"/>
      <c r="D158" s="246"/>
      <c r="E158" s="246"/>
    </row>
    <row r="159" spans="1:5" ht="15.75">
      <c r="B159" s="285" t="s">
        <v>2615</v>
      </c>
    </row>
    <row r="161" spans="1:7" ht="15.75">
      <c r="C161" s="275" t="s">
        <v>2616</v>
      </c>
      <c r="D161" s="275" t="s">
        <v>1885</v>
      </c>
      <c r="E161" s="275" t="s">
        <v>2617</v>
      </c>
      <c r="F161" s="276"/>
      <c r="G161" s="276" t="s">
        <v>2618</v>
      </c>
    </row>
    <row r="162" spans="1:7" ht="15.75">
      <c r="B162" s="275" t="s">
        <v>1388</v>
      </c>
    </row>
    <row r="163" spans="1:7">
      <c r="A163" s="277" t="s">
        <v>2619</v>
      </c>
      <c r="B163" s="277" t="s">
        <v>2620</v>
      </c>
      <c r="C163" s="278" t="s">
        <v>2621</v>
      </c>
      <c r="D163" s="277" t="s">
        <v>2622</v>
      </c>
      <c r="E163" s="277" t="s">
        <v>2623</v>
      </c>
      <c r="F163" s="277"/>
      <c r="G163" s="277" t="s">
        <v>2624</v>
      </c>
    </row>
    <row r="164" spans="1:7">
      <c r="A164" s="277" t="s">
        <v>2625</v>
      </c>
      <c r="B164" s="277" t="s">
        <v>2626</v>
      </c>
      <c r="C164" s="278" t="s">
        <v>2627</v>
      </c>
      <c r="D164" s="277" t="s">
        <v>2622</v>
      </c>
      <c r="E164" s="277" t="s">
        <v>2628</v>
      </c>
      <c r="F164" s="277"/>
      <c r="G164" s="277" t="s">
        <v>2629</v>
      </c>
    </row>
    <row r="165" spans="1:7">
      <c r="A165" s="277" t="s">
        <v>2630</v>
      </c>
      <c r="B165" s="277" t="s">
        <v>2631</v>
      </c>
      <c r="C165" s="278" t="s">
        <v>2632</v>
      </c>
      <c r="D165" s="277" t="s">
        <v>2622</v>
      </c>
      <c r="E165" s="277" t="s">
        <v>2623</v>
      </c>
      <c r="F165" s="277"/>
      <c r="G165" s="277" t="s">
        <v>2633</v>
      </c>
    </row>
    <row r="166" spans="1:7">
      <c r="A166" s="277" t="s">
        <v>2634</v>
      </c>
      <c r="B166" s="277" t="s">
        <v>2635</v>
      </c>
      <c r="C166" s="278" t="s">
        <v>2632</v>
      </c>
      <c r="D166" s="277" t="s">
        <v>2622</v>
      </c>
      <c r="E166" s="277" t="s">
        <v>2628</v>
      </c>
      <c r="F166" s="277"/>
      <c r="G166" s="277" t="s">
        <v>2633</v>
      </c>
    </row>
    <row r="167" spans="1:7">
      <c r="A167" s="277" t="s">
        <v>2636</v>
      </c>
      <c r="B167" s="277" t="s">
        <v>2637</v>
      </c>
      <c r="C167" s="278" t="s">
        <v>2638</v>
      </c>
      <c r="D167" s="277" t="s">
        <v>2622</v>
      </c>
      <c r="E167" s="277" t="s">
        <v>2639</v>
      </c>
      <c r="F167" s="277"/>
      <c r="G167" s="277" t="s">
        <v>2640</v>
      </c>
    </row>
    <row r="168" spans="1:7">
      <c r="A168" s="277" t="s">
        <v>2641</v>
      </c>
      <c r="B168" s="277" t="s">
        <v>2642</v>
      </c>
      <c r="C168" s="278" t="s">
        <v>2643</v>
      </c>
      <c r="D168" s="277" t="s">
        <v>2644</v>
      </c>
      <c r="E168" s="277" t="s">
        <v>2645</v>
      </c>
      <c r="F168" s="277"/>
      <c r="G168" s="277" t="s">
        <v>2646</v>
      </c>
    </row>
    <row r="169" spans="1:7">
      <c r="A169" s="277" t="s">
        <v>2647</v>
      </c>
      <c r="B169" s="277" t="s">
        <v>2648</v>
      </c>
      <c r="C169" s="278" t="s">
        <v>2649</v>
      </c>
      <c r="D169" s="277" t="s">
        <v>2622</v>
      </c>
      <c r="E169" s="277" t="s">
        <v>2645</v>
      </c>
      <c r="F169" s="277"/>
      <c r="G169" s="277" t="s">
        <v>2650</v>
      </c>
    </row>
    <row r="170" spans="1:7">
      <c r="A170" s="277" t="s">
        <v>2651</v>
      </c>
      <c r="B170" s="277" t="s">
        <v>2652</v>
      </c>
      <c r="C170" s="278" t="s">
        <v>2653</v>
      </c>
      <c r="D170" s="277" t="s">
        <v>2622</v>
      </c>
      <c r="E170" s="277" t="s">
        <v>2654</v>
      </c>
      <c r="F170" s="277"/>
      <c r="G170" s="277" t="s">
        <v>2655</v>
      </c>
    </row>
    <row r="171" spans="1:7">
      <c r="A171" s="277" t="s">
        <v>2656</v>
      </c>
      <c r="B171" s="277" t="s">
        <v>2657</v>
      </c>
      <c r="C171" s="278" t="s">
        <v>2658</v>
      </c>
      <c r="D171" s="277" t="s">
        <v>2622</v>
      </c>
      <c r="E171" s="277" t="s">
        <v>2654</v>
      </c>
      <c r="F171" s="277"/>
      <c r="G171" s="277" t="s">
        <v>2659</v>
      </c>
    </row>
    <row r="172" spans="1:7" ht="30">
      <c r="A172" s="277" t="s">
        <v>2660</v>
      </c>
      <c r="B172" s="286" t="s">
        <v>2661</v>
      </c>
      <c r="C172" s="278" t="s">
        <v>2662</v>
      </c>
      <c r="D172" s="277" t="s">
        <v>2622</v>
      </c>
      <c r="E172" s="277" t="s">
        <v>2663</v>
      </c>
      <c r="F172" s="277"/>
      <c r="G172" s="277" t="s">
        <v>2664</v>
      </c>
    </row>
    <row r="173" spans="1:7" ht="15.75">
      <c r="A173" s="282"/>
      <c r="B173" s="275" t="s">
        <v>2665</v>
      </c>
      <c r="C173" s="279"/>
    </row>
    <row r="174" spans="1:7">
      <c r="A174" s="277" t="s">
        <v>2666</v>
      </c>
      <c r="B174" s="277" t="s">
        <v>2667</v>
      </c>
      <c r="C174" s="278" t="s">
        <v>2668</v>
      </c>
      <c r="D174" s="277" t="s">
        <v>1333</v>
      </c>
      <c r="E174" s="277" t="s">
        <v>2669</v>
      </c>
      <c r="F174" s="277"/>
      <c r="G174" s="277" t="s">
        <v>2670</v>
      </c>
    </row>
    <row r="175" spans="1:7">
      <c r="A175" s="277" t="s">
        <v>2671</v>
      </c>
      <c r="B175" s="277" t="s">
        <v>2672</v>
      </c>
      <c r="C175" s="278" t="s">
        <v>2673</v>
      </c>
      <c r="D175" s="277" t="s">
        <v>1333</v>
      </c>
      <c r="E175" s="277" t="s">
        <v>2663</v>
      </c>
      <c r="F175" s="277"/>
      <c r="G175" s="277" t="s">
        <v>2659</v>
      </c>
    </row>
    <row r="176" spans="1:7">
      <c r="A176" s="277" t="s">
        <v>2674</v>
      </c>
      <c r="B176" s="277" t="s">
        <v>297</v>
      </c>
      <c r="C176" s="278" t="s">
        <v>2675</v>
      </c>
      <c r="D176" s="277" t="s">
        <v>1333</v>
      </c>
      <c r="E176" s="277" t="s">
        <v>2623</v>
      </c>
      <c r="F176" s="277"/>
      <c r="G176" s="277" t="s">
        <v>2676</v>
      </c>
    </row>
    <row r="177" spans="1:7">
      <c r="A177" s="277" t="s">
        <v>2677</v>
      </c>
      <c r="B177" s="277" t="s">
        <v>2678</v>
      </c>
      <c r="C177" s="278" t="s">
        <v>2679</v>
      </c>
      <c r="D177" s="277" t="s">
        <v>1333</v>
      </c>
      <c r="E177" s="277" t="s">
        <v>2663</v>
      </c>
      <c r="F177" s="277"/>
      <c r="G177" s="277" t="s">
        <v>2680</v>
      </c>
    </row>
    <row r="178" spans="1:7">
      <c r="A178" s="277" t="s">
        <v>2681</v>
      </c>
      <c r="B178" s="277" t="s">
        <v>2682</v>
      </c>
      <c r="C178" s="278" t="s">
        <v>2683</v>
      </c>
      <c r="D178" s="277" t="s">
        <v>1333</v>
      </c>
      <c r="E178" s="277" t="s">
        <v>2663</v>
      </c>
      <c r="F178" s="277"/>
      <c r="G178" s="277" t="s">
        <v>2684</v>
      </c>
    </row>
    <row r="179" spans="1:7" ht="30">
      <c r="A179" s="277" t="s">
        <v>2685</v>
      </c>
      <c r="B179" s="286" t="s">
        <v>2686</v>
      </c>
      <c r="C179" s="278" t="s">
        <v>2687</v>
      </c>
      <c r="D179" s="277" t="s">
        <v>1333</v>
      </c>
      <c r="E179" s="277" t="s">
        <v>2645</v>
      </c>
      <c r="F179" s="277"/>
      <c r="G179" s="277" t="s">
        <v>2688</v>
      </c>
    </row>
    <row r="180" spans="1:7">
      <c r="A180" s="277" t="s">
        <v>2689</v>
      </c>
      <c r="B180" s="277" t="s">
        <v>2690</v>
      </c>
      <c r="C180" s="278" t="s">
        <v>2691</v>
      </c>
      <c r="D180" s="277" t="s">
        <v>1333</v>
      </c>
      <c r="E180" s="277" t="s">
        <v>2663</v>
      </c>
      <c r="F180" s="277"/>
      <c r="G180" s="277" t="s">
        <v>2692</v>
      </c>
    </row>
    <row r="181" spans="1:7">
      <c r="A181" s="277" t="s">
        <v>2693</v>
      </c>
      <c r="B181" s="277" t="s">
        <v>2694</v>
      </c>
      <c r="C181" s="278" t="s">
        <v>2695</v>
      </c>
      <c r="D181" s="277" t="s">
        <v>1333</v>
      </c>
      <c r="E181" s="277" t="s">
        <v>2623</v>
      </c>
      <c r="F181" s="277"/>
      <c r="G181" s="277" t="s">
        <v>2696</v>
      </c>
    </row>
    <row r="182" spans="1:7">
      <c r="A182" s="277" t="s">
        <v>2697</v>
      </c>
      <c r="B182" s="277" t="s">
        <v>2698</v>
      </c>
      <c r="C182" s="278"/>
      <c r="D182" s="277" t="s">
        <v>209</v>
      </c>
      <c r="E182" s="277"/>
      <c r="F182" s="277"/>
      <c r="G182" s="277"/>
    </row>
    <row r="183" spans="1:7">
      <c r="A183" s="277" t="s">
        <v>2699</v>
      </c>
      <c r="B183" s="277" t="s">
        <v>2700</v>
      </c>
      <c r="C183" s="278" t="s">
        <v>2701</v>
      </c>
      <c r="D183" s="277" t="s">
        <v>1333</v>
      </c>
      <c r="E183" s="277" t="s">
        <v>2702</v>
      </c>
      <c r="F183" s="277"/>
      <c r="G183" s="277" t="s">
        <v>2703</v>
      </c>
    </row>
    <row r="184" spans="1:7">
      <c r="A184" s="277" t="s">
        <v>2704</v>
      </c>
      <c r="B184" s="277" t="s">
        <v>2705</v>
      </c>
      <c r="C184" s="278" t="s">
        <v>2706</v>
      </c>
      <c r="D184" s="277" t="s">
        <v>1333</v>
      </c>
      <c r="E184" s="277" t="s">
        <v>2702</v>
      </c>
      <c r="F184" s="277"/>
      <c r="G184" s="277" t="s">
        <v>2684</v>
      </c>
    </row>
    <row r="185" spans="1:7">
      <c r="A185" s="277" t="s">
        <v>2707</v>
      </c>
      <c r="B185" s="277" t="s">
        <v>2708</v>
      </c>
      <c r="C185" s="278" t="s">
        <v>2709</v>
      </c>
      <c r="D185" s="277" t="s">
        <v>1333</v>
      </c>
      <c r="E185" s="277" t="s">
        <v>2710</v>
      </c>
      <c r="F185" s="277"/>
      <c r="G185" s="277" t="s">
        <v>2655</v>
      </c>
    </row>
    <row r="186" spans="1:7">
      <c r="A186" s="277" t="s">
        <v>2711</v>
      </c>
      <c r="B186" s="277" t="s">
        <v>2712</v>
      </c>
      <c r="C186" s="278" t="s">
        <v>2713</v>
      </c>
      <c r="D186" s="277" t="s">
        <v>1333</v>
      </c>
      <c r="E186" s="277" t="s">
        <v>2702</v>
      </c>
      <c r="F186" s="277"/>
      <c r="G186" s="277" t="s">
        <v>2714</v>
      </c>
    </row>
    <row r="187" spans="1:7">
      <c r="A187" s="277" t="s">
        <v>2715</v>
      </c>
      <c r="B187" s="277" t="s">
        <v>2716</v>
      </c>
      <c r="C187" s="278" t="s">
        <v>2717</v>
      </c>
      <c r="D187" s="277" t="s">
        <v>1333</v>
      </c>
      <c r="E187" s="277" t="s">
        <v>2718</v>
      </c>
      <c r="F187" s="277"/>
      <c r="G187" s="277" t="s">
        <v>2719</v>
      </c>
    </row>
    <row r="188" spans="1:7">
      <c r="A188" s="277" t="s">
        <v>2720</v>
      </c>
      <c r="B188" s="277" t="s">
        <v>2721</v>
      </c>
      <c r="C188" s="278" t="s">
        <v>2722</v>
      </c>
      <c r="D188" s="277" t="s">
        <v>1333</v>
      </c>
      <c r="E188" s="277" t="s">
        <v>2718</v>
      </c>
      <c r="F188" s="277"/>
      <c r="G188" s="277" t="s">
        <v>2723</v>
      </c>
    </row>
    <row r="189" spans="1:7">
      <c r="A189" s="277" t="s">
        <v>2724</v>
      </c>
      <c r="B189" s="277" t="s">
        <v>2725</v>
      </c>
      <c r="C189" s="278" t="s">
        <v>2726</v>
      </c>
      <c r="D189" s="277" t="s">
        <v>1333</v>
      </c>
      <c r="E189" s="277" t="s">
        <v>2727</v>
      </c>
      <c r="F189" s="277"/>
      <c r="G189" s="277" t="s">
        <v>2728</v>
      </c>
    </row>
    <row r="190" spans="1:7">
      <c r="A190" s="277" t="s">
        <v>2729</v>
      </c>
      <c r="B190" s="277" t="s">
        <v>2730</v>
      </c>
      <c r="C190" s="278" t="s">
        <v>2731</v>
      </c>
      <c r="D190" s="277" t="s">
        <v>1333</v>
      </c>
      <c r="E190" s="277" t="s">
        <v>2718</v>
      </c>
      <c r="F190" s="277"/>
      <c r="G190" s="277" t="s">
        <v>2732</v>
      </c>
    </row>
    <row r="191" spans="1:7">
      <c r="A191" s="277" t="s">
        <v>2733</v>
      </c>
      <c r="B191" s="277" t="s">
        <v>2734</v>
      </c>
      <c r="C191" s="278" t="s">
        <v>2735</v>
      </c>
      <c r="D191" s="277" t="s">
        <v>1333</v>
      </c>
      <c r="E191" s="277" t="s">
        <v>2718</v>
      </c>
      <c r="F191" s="277"/>
      <c r="G191" s="277" t="s">
        <v>2736</v>
      </c>
    </row>
    <row r="192" spans="1:7">
      <c r="A192" s="277" t="s">
        <v>2737</v>
      </c>
      <c r="B192" s="277" t="s">
        <v>2738</v>
      </c>
      <c r="C192" s="278" t="s">
        <v>2739</v>
      </c>
      <c r="D192" s="277" t="s">
        <v>1333</v>
      </c>
      <c r="E192" s="277" t="s">
        <v>2654</v>
      </c>
      <c r="F192" s="277"/>
      <c r="G192" s="277" t="s">
        <v>2740</v>
      </c>
    </row>
    <row r="193" spans="1:7">
      <c r="A193" s="277" t="s">
        <v>2741</v>
      </c>
      <c r="B193" s="277" t="s">
        <v>2742</v>
      </c>
      <c r="C193" s="278" t="s">
        <v>2743</v>
      </c>
      <c r="D193" s="277" t="s">
        <v>1333</v>
      </c>
      <c r="E193" s="277" t="s">
        <v>2718</v>
      </c>
      <c r="F193" s="277"/>
      <c r="G193" s="277" t="s">
        <v>2744</v>
      </c>
    </row>
    <row r="194" spans="1:7">
      <c r="A194" s="277" t="s">
        <v>2745</v>
      </c>
      <c r="B194" s="277" t="s">
        <v>2746</v>
      </c>
      <c r="C194" s="278" t="s">
        <v>2735</v>
      </c>
      <c r="D194" s="277" t="s">
        <v>1333</v>
      </c>
      <c r="E194" s="277" t="s">
        <v>2727</v>
      </c>
      <c r="F194" s="277"/>
      <c r="G194" s="277" t="s">
        <v>2736</v>
      </c>
    </row>
    <row r="195" spans="1:7">
      <c r="A195" s="277" t="s">
        <v>2747</v>
      </c>
      <c r="B195" s="277" t="s">
        <v>2748</v>
      </c>
      <c r="C195" s="278" t="s">
        <v>2735</v>
      </c>
      <c r="D195" s="277" t="s">
        <v>1333</v>
      </c>
      <c r="E195" s="277" t="s">
        <v>2718</v>
      </c>
      <c r="F195" s="277"/>
      <c r="G195" s="277" t="s">
        <v>2736</v>
      </c>
    </row>
    <row r="196" spans="1:7" ht="30">
      <c r="A196" s="277" t="s">
        <v>2749</v>
      </c>
      <c r="B196" s="286" t="s">
        <v>2750</v>
      </c>
      <c r="C196" s="278" t="s">
        <v>2751</v>
      </c>
      <c r="D196" s="277" t="s">
        <v>2389</v>
      </c>
      <c r="E196" s="277" t="s">
        <v>2718</v>
      </c>
      <c r="F196" s="277"/>
      <c r="G196" s="277" t="s">
        <v>2752</v>
      </c>
    </row>
    <row r="197" spans="1:7">
      <c r="A197" s="277" t="s">
        <v>2753</v>
      </c>
      <c r="B197" s="277" t="s">
        <v>2754</v>
      </c>
      <c r="C197" s="278" t="s">
        <v>2755</v>
      </c>
      <c r="D197" s="277" t="s">
        <v>2389</v>
      </c>
      <c r="E197" s="277" t="s">
        <v>2663</v>
      </c>
      <c r="F197" s="277"/>
      <c r="G197" s="277" t="s">
        <v>2756</v>
      </c>
    </row>
    <row r="198" spans="1:7">
      <c r="A198" s="277" t="s">
        <v>2757</v>
      </c>
      <c r="B198" s="277" t="s">
        <v>2758</v>
      </c>
      <c r="C198" s="278" t="s">
        <v>2759</v>
      </c>
      <c r="D198" s="277" t="s">
        <v>2760</v>
      </c>
      <c r="E198" s="277" t="s">
        <v>2663</v>
      </c>
      <c r="F198" s="277"/>
      <c r="G198" s="277" t="s">
        <v>2688</v>
      </c>
    </row>
    <row r="199" spans="1:7">
      <c r="A199" s="277" t="s">
        <v>2761</v>
      </c>
      <c r="B199" s="277" t="s">
        <v>2762</v>
      </c>
      <c r="C199" s="278" t="s">
        <v>2763</v>
      </c>
      <c r="D199" s="277" t="s">
        <v>2760</v>
      </c>
      <c r="E199" s="277" t="s">
        <v>2663</v>
      </c>
      <c r="F199" s="277"/>
      <c r="G199" s="277" t="s">
        <v>2764</v>
      </c>
    </row>
    <row r="200" spans="1:7">
      <c r="A200" s="277" t="s">
        <v>2765</v>
      </c>
      <c r="B200" s="277" t="s">
        <v>2766</v>
      </c>
      <c r="C200" s="278" t="s">
        <v>2767</v>
      </c>
      <c r="D200" s="277" t="s">
        <v>2389</v>
      </c>
      <c r="E200" s="277" t="s">
        <v>2663</v>
      </c>
      <c r="F200" s="277"/>
      <c r="G200" s="277" t="s">
        <v>2714</v>
      </c>
    </row>
    <row r="201" spans="1:7">
      <c r="A201" s="277" t="s">
        <v>2768</v>
      </c>
      <c r="B201" s="277" t="s">
        <v>2769</v>
      </c>
      <c r="C201" s="278" t="s">
        <v>209</v>
      </c>
      <c r="D201" s="277" t="s">
        <v>2760</v>
      </c>
      <c r="E201" s="277" t="s">
        <v>2663</v>
      </c>
      <c r="F201" s="277"/>
      <c r="G201" s="277" t="s">
        <v>2770</v>
      </c>
    </row>
    <row r="202" spans="1:7">
      <c r="A202" s="277" t="s">
        <v>2771</v>
      </c>
      <c r="B202" s="277" t="s">
        <v>2772</v>
      </c>
      <c r="C202" s="278" t="s">
        <v>2773</v>
      </c>
      <c r="D202" s="277" t="s">
        <v>2389</v>
      </c>
      <c r="E202" s="277" t="s">
        <v>2774</v>
      </c>
      <c r="F202" s="277"/>
      <c r="G202" s="277" t="s">
        <v>2775</v>
      </c>
    </row>
    <row r="203" spans="1:7">
      <c r="A203" s="277" t="s">
        <v>2776</v>
      </c>
      <c r="B203" s="277" t="s">
        <v>2777</v>
      </c>
      <c r="C203" s="278" t="s">
        <v>2653</v>
      </c>
      <c r="D203" s="277" t="s">
        <v>1333</v>
      </c>
      <c r="E203" s="277" t="s">
        <v>2654</v>
      </c>
      <c r="F203" s="277"/>
      <c r="G203" s="277" t="s">
        <v>2655</v>
      </c>
    </row>
    <row r="204" spans="1:7">
      <c r="A204" s="277" t="s">
        <v>2778</v>
      </c>
      <c r="B204" s="277" t="s">
        <v>2779</v>
      </c>
      <c r="C204" s="278" t="s">
        <v>2780</v>
      </c>
      <c r="D204" s="277" t="s">
        <v>1333</v>
      </c>
      <c r="E204" s="277" t="s">
        <v>2654</v>
      </c>
      <c r="F204" s="277"/>
      <c r="G204" s="277" t="s">
        <v>2744</v>
      </c>
    </row>
    <row r="205" spans="1:7">
      <c r="A205" s="277" t="s">
        <v>2781</v>
      </c>
      <c r="B205" s="277" t="s">
        <v>2782</v>
      </c>
      <c r="C205" s="278" t="s">
        <v>2783</v>
      </c>
      <c r="D205" s="277" t="s">
        <v>2760</v>
      </c>
      <c r="E205" s="277" t="s">
        <v>2663</v>
      </c>
      <c r="F205" s="277"/>
      <c r="G205" s="277" t="s">
        <v>2784</v>
      </c>
    </row>
    <row r="206" spans="1:7">
      <c r="A206" s="277" t="s">
        <v>2785</v>
      </c>
      <c r="B206" s="277" t="s">
        <v>2786</v>
      </c>
      <c r="C206" s="278" t="s">
        <v>2787</v>
      </c>
      <c r="D206" s="277" t="s">
        <v>2389</v>
      </c>
      <c r="E206" s="277" t="s">
        <v>2663</v>
      </c>
      <c r="F206" s="277"/>
      <c r="G206" s="277" t="s">
        <v>2788</v>
      </c>
    </row>
    <row r="207" spans="1:7">
      <c r="A207" s="277" t="s">
        <v>2789</v>
      </c>
      <c r="B207" s="277" t="s">
        <v>2790</v>
      </c>
      <c r="C207" s="278" t="s">
        <v>2770</v>
      </c>
      <c r="D207" s="277" t="s">
        <v>2770</v>
      </c>
      <c r="E207" s="277"/>
      <c r="F207" s="277"/>
      <c r="G207" s="277"/>
    </row>
    <row r="208" spans="1:7" ht="15.75">
      <c r="A208" s="282"/>
      <c r="B208" s="275" t="s">
        <v>2791</v>
      </c>
      <c r="C208" s="279"/>
    </row>
    <row r="209" spans="1:7">
      <c r="A209" s="277" t="s">
        <v>2792</v>
      </c>
      <c r="B209" s="277" t="s">
        <v>2793</v>
      </c>
      <c r="C209" s="278" t="s">
        <v>2794</v>
      </c>
      <c r="D209" s="277" t="s">
        <v>2760</v>
      </c>
      <c r="E209" s="277" t="s">
        <v>2795</v>
      </c>
      <c r="F209" s="277"/>
      <c r="G209" s="277" t="s">
        <v>2756</v>
      </c>
    </row>
    <row r="210" spans="1:7">
      <c r="A210" s="277" t="s">
        <v>2796</v>
      </c>
      <c r="B210" s="277" t="s">
        <v>2797</v>
      </c>
      <c r="C210" s="278" t="s">
        <v>2798</v>
      </c>
      <c r="D210" s="277" t="s">
        <v>2389</v>
      </c>
      <c r="E210" s="277" t="s">
        <v>2795</v>
      </c>
      <c r="F210" s="277"/>
      <c r="G210" s="277" t="s">
        <v>2799</v>
      </c>
    </row>
    <row r="211" spans="1:7" ht="30">
      <c r="A211" s="277" t="s">
        <v>2800</v>
      </c>
      <c r="B211" s="286" t="s">
        <v>2801</v>
      </c>
      <c r="C211" s="278" t="s">
        <v>2802</v>
      </c>
      <c r="D211" s="277" t="s">
        <v>1333</v>
      </c>
      <c r="E211" s="277" t="s">
        <v>2795</v>
      </c>
      <c r="F211" s="277"/>
      <c r="G211" s="277" t="s">
        <v>2688</v>
      </c>
    </row>
    <row r="212" spans="1:7" ht="30">
      <c r="A212" s="277" t="s">
        <v>2803</v>
      </c>
      <c r="B212" s="286" t="s">
        <v>2804</v>
      </c>
      <c r="C212" s="278" t="s">
        <v>2805</v>
      </c>
      <c r="D212" s="277" t="s">
        <v>1333</v>
      </c>
      <c r="E212" s="277" t="s">
        <v>2806</v>
      </c>
      <c r="F212" s="277"/>
      <c r="G212" s="277" t="s">
        <v>2740</v>
      </c>
    </row>
    <row r="213" spans="1:7" ht="30">
      <c r="A213" s="277" t="s">
        <v>2807</v>
      </c>
      <c r="B213" s="286" t="s">
        <v>2808</v>
      </c>
      <c r="C213" s="278" t="s">
        <v>2809</v>
      </c>
      <c r="D213" s="277" t="s">
        <v>1333</v>
      </c>
      <c r="E213" s="277" t="s">
        <v>2810</v>
      </c>
      <c r="F213" s="277"/>
      <c r="G213" s="277" t="s">
        <v>2764</v>
      </c>
    </row>
    <row r="214" spans="1:7" ht="30">
      <c r="A214" s="277" t="s">
        <v>2811</v>
      </c>
      <c r="B214" s="286" t="s">
        <v>2812</v>
      </c>
      <c r="C214" s="278" t="s">
        <v>2813</v>
      </c>
      <c r="D214" s="277" t="s">
        <v>1333</v>
      </c>
      <c r="E214" s="277" t="s">
        <v>2654</v>
      </c>
      <c r="F214" s="277"/>
      <c r="G214" s="277" t="s">
        <v>2814</v>
      </c>
    </row>
    <row r="215" spans="1:7" ht="15.75">
      <c r="A215" s="282"/>
      <c r="B215" s="275" t="s">
        <v>2815</v>
      </c>
      <c r="C215" s="279"/>
    </row>
    <row r="216" spans="1:7">
      <c r="A216" s="277" t="s">
        <v>2816</v>
      </c>
      <c r="B216" s="277" t="s">
        <v>2817</v>
      </c>
      <c r="C216" s="278" t="s">
        <v>2818</v>
      </c>
      <c r="D216" s="277" t="s">
        <v>1333</v>
      </c>
      <c r="E216" s="277" t="s">
        <v>2639</v>
      </c>
      <c r="F216" s="277"/>
      <c r="G216" s="277" t="s">
        <v>2703</v>
      </c>
    </row>
    <row r="217" spans="1:7">
      <c r="A217" s="277" t="s">
        <v>2819</v>
      </c>
      <c r="B217" s="277" t="s">
        <v>2820</v>
      </c>
      <c r="C217" s="278" t="s">
        <v>2821</v>
      </c>
      <c r="D217" s="277" t="s">
        <v>1333</v>
      </c>
      <c r="E217" s="277" t="s">
        <v>2822</v>
      </c>
      <c r="F217" s="277"/>
      <c r="G217" s="277" t="s">
        <v>2823</v>
      </c>
    </row>
    <row r="218" spans="1:7" ht="30">
      <c r="A218" s="277" t="s">
        <v>2824</v>
      </c>
      <c r="B218" s="286" t="s">
        <v>2825</v>
      </c>
      <c r="C218" s="278" t="s">
        <v>2826</v>
      </c>
      <c r="D218" s="277" t="s">
        <v>1333</v>
      </c>
      <c r="E218" s="277" t="s">
        <v>2827</v>
      </c>
      <c r="F218" s="277"/>
      <c r="G218" s="277" t="s">
        <v>2828</v>
      </c>
    </row>
    <row r="219" spans="1:7">
      <c r="A219" s="277" t="s">
        <v>2829</v>
      </c>
      <c r="B219" s="277" t="s">
        <v>2830</v>
      </c>
      <c r="C219" s="278" t="s">
        <v>2821</v>
      </c>
      <c r="D219" s="277" t="s">
        <v>1333</v>
      </c>
      <c r="E219" s="277" t="s">
        <v>2827</v>
      </c>
      <c r="F219" s="277"/>
      <c r="G219" s="277" t="s">
        <v>2823</v>
      </c>
    </row>
    <row r="220" spans="1:7" ht="30">
      <c r="A220" s="277" t="s">
        <v>2831</v>
      </c>
      <c r="B220" s="286" t="s">
        <v>2832</v>
      </c>
      <c r="C220" s="278" t="s">
        <v>2826</v>
      </c>
      <c r="D220" s="277" t="s">
        <v>1333</v>
      </c>
      <c r="E220" s="277" t="s">
        <v>2639</v>
      </c>
      <c r="F220" s="277"/>
      <c r="G220" s="277" t="s">
        <v>2828</v>
      </c>
    </row>
    <row r="221" spans="1:7" ht="30">
      <c r="A221" s="277" t="s">
        <v>2833</v>
      </c>
      <c r="B221" s="286" t="s">
        <v>2834</v>
      </c>
      <c r="C221" s="278" t="s">
        <v>2835</v>
      </c>
      <c r="D221" s="277" t="s">
        <v>1333</v>
      </c>
      <c r="E221" s="277" t="s">
        <v>2827</v>
      </c>
      <c r="F221" s="277"/>
      <c r="G221" s="277" t="s">
        <v>2723</v>
      </c>
    </row>
    <row r="222" spans="1:7">
      <c r="A222" s="277" t="s">
        <v>2836</v>
      </c>
      <c r="B222" s="277" t="s">
        <v>2837</v>
      </c>
      <c r="C222" s="278" t="s">
        <v>2683</v>
      </c>
      <c r="D222" s="277" t="s">
        <v>1333</v>
      </c>
      <c r="E222" s="277" t="s">
        <v>2838</v>
      </c>
      <c r="F222" s="277"/>
      <c r="G222" s="277" t="s">
        <v>2684</v>
      </c>
    </row>
    <row r="223" spans="1:7" ht="30">
      <c r="A223" s="277" t="s">
        <v>2839</v>
      </c>
      <c r="B223" s="286" t="s">
        <v>2840</v>
      </c>
      <c r="C223" s="278" t="s">
        <v>2841</v>
      </c>
      <c r="D223" s="277" t="s">
        <v>1333</v>
      </c>
      <c r="E223" s="277" t="s">
        <v>2842</v>
      </c>
      <c r="F223" s="277"/>
      <c r="G223" s="277" t="s">
        <v>2843</v>
      </c>
    </row>
    <row r="224" spans="1:7" ht="30">
      <c r="A224" s="277" t="s">
        <v>2844</v>
      </c>
      <c r="B224" s="286" t="s">
        <v>2845</v>
      </c>
      <c r="C224" s="278" t="s">
        <v>2846</v>
      </c>
      <c r="D224" s="277" t="s">
        <v>1333</v>
      </c>
      <c r="E224" s="277" t="s">
        <v>2847</v>
      </c>
      <c r="F224" s="277"/>
      <c r="G224" s="277" t="s">
        <v>2848</v>
      </c>
    </row>
    <row r="225" spans="1:7">
      <c r="A225" s="277" t="s">
        <v>2849</v>
      </c>
      <c r="B225" s="277" t="s">
        <v>2850</v>
      </c>
      <c r="C225" s="278" t="s">
        <v>2851</v>
      </c>
      <c r="D225" s="277" t="s">
        <v>1333</v>
      </c>
      <c r="E225" s="277" t="s">
        <v>2852</v>
      </c>
      <c r="F225" s="277"/>
      <c r="G225" s="277" t="s">
        <v>2853</v>
      </c>
    </row>
    <row r="226" spans="1:7">
      <c r="A226" s="277" t="s">
        <v>2854</v>
      </c>
      <c r="B226" s="277" t="s">
        <v>2855</v>
      </c>
      <c r="C226" s="278" t="s">
        <v>2851</v>
      </c>
      <c r="D226" s="277" t="s">
        <v>1333</v>
      </c>
      <c r="E226" s="277" t="s">
        <v>2852</v>
      </c>
      <c r="F226" s="277"/>
      <c r="G226" s="277" t="s">
        <v>2853</v>
      </c>
    </row>
    <row r="227" spans="1:7" ht="30">
      <c r="A227" s="277" t="s">
        <v>2856</v>
      </c>
      <c r="B227" s="286" t="s">
        <v>2857</v>
      </c>
      <c r="C227" s="278" t="s">
        <v>2858</v>
      </c>
      <c r="D227" s="277" t="s">
        <v>1333</v>
      </c>
      <c r="E227" s="277" t="s">
        <v>2774</v>
      </c>
      <c r="F227" s="277"/>
      <c r="G227" s="277" t="s">
        <v>2714</v>
      </c>
    </row>
    <row r="228" spans="1:7">
      <c r="A228" s="277" t="s">
        <v>2859</v>
      </c>
      <c r="B228" s="277" t="s">
        <v>2860</v>
      </c>
      <c r="C228" s="278" t="s">
        <v>2861</v>
      </c>
      <c r="D228" s="277" t="s">
        <v>1333</v>
      </c>
      <c r="E228" s="277" t="s">
        <v>2852</v>
      </c>
      <c r="F228" s="277"/>
      <c r="G228" s="277" t="s">
        <v>2862</v>
      </c>
    </row>
    <row r="229" spans="1:7">
      <c r="A229" s="277" t="s">
        <v>2863</v>
      </c>
      <c r="B229" s="277" t="s">
        <v>2864</v>
      </c>
      <c r="C229" s="278" t="s">
        <v>2865</v>
      </c>
      <c r="D229" s="277" t="s">
        <v>1333</v>
      </c>
      <c r="E229" s="277" t="s">
        <v>2852</v>
      </c>
      <c r="F229" s="277"/>
      <c r="G229" s="277" t="s">
        <v>2764</v>
      </c>
    </row>
    <row r="230" spans="1:7">
      <c r="A230" s="277" t="s">
        <v>2866</v>
      </c>
      <c r="B230" s="277" t="s">
        <v>2867</v>
      </c>
      <c r="C230" s="278" t="s">
        <v>2868</v>
      </c>
      <c r="D230" s="277" t="s">
        <v>1333</v>
      </c>
      <c r="E230" s="277" t="s">
        <v>2852</v>
      </c>
      <c r="F230" s="277"/>
      <c r="G230" s="277" t="s">
        <v>2764</v>
      </c>
    </row>
    <row r="231" spans="1:7">
      <c r="A231" s="277" t="s">
        <v>2869</v>
      </c>
      <c r="B231" s="277" t="s">
        <v>2870</v>
      </c>
      <c r="C231" s="278" t="s">
        <v>2851</v>
      </c>
      <c r="D231" s="277" t="s">
        <v>1333</v>
      </c>
      <c r="E231" s="277" t="s">
        <v>2852</v>
      </c>
      <c r="F231" s="277"/>
      <c r="G231" s="277" t="s">
        <v>2853</v>
      </c>
    </row>
    <row r="232" spans="1:7">
      <c r="A232" s="277" t="s">
        <v>2871</v>
      </c>
      <c r="B232" s="277" t="s">
        <v>2872</v>
      </c>
      <c r="C232" s="278" t="s">
        <v>2873</v>
      </c>
      <c r="D232" s="277" t="s">
        <v>1333</v>
      </c>
      <c r="E232" s="277" t="s">
        <v>2852</v>
      </c>
      <c r="F232" s="277"/>
      <c r="G232" s="277" t="s">
        <v>2874</v>
      </c>
    </row>
    <row r="233" spans="1:7">
      <c r="A233" s="277" t="s">
        <v>2875</v>
      </c>
      <c r="B233" s="277" t="s">
        <v>2876</v>
      </c>
      <c r="C233" s="278" t="s">
        <v>2873</v>
      </c>
      <c r="D233" s="277" t="s">
        <v>1333</v>
      </c>
      <c r="E233" s="277" t="s">
        <v>2852</v>
      </c>
      <c r="F233" s="277"/>
      <c r="G233" s="277" t="s">
        <v>2874</v>
      </c>
    </row>
    <row r="234" spans="1:7">
      <c r="A234" s="277" t="s">
        <v>2877</v>
      </c>
      <c r="B234" s="277" t="s">
        <v>2878</v>
      </c>
      <c r="C234" s="278" t="s">
        <v>2858</v>
      </c>
      <c r="D234" s="277" t="s">
        <v>1333</v>
      </c>
      <c r="E234" s="277" t="s">
        <v>2852</v>
      </c>
      <c r="F234" s="277"/>
      <c r="G234" s="277" t="s">
        <v>2714</v>
      </c>
    </row>
    <row r="235" spans="1:7">
      <c r="A235" s="277" t="s">
        <v>2879</v>
      </c>
      <c r="B235" s="277" t="s">
        <v>2880</v>
      </c>
      <c r="C235" s="278" t="s">
        <v>2858</v>
      </c>
      <c r="D235" s="277" t="s">
        <v>1333</v>
      </c>
      <c r="E235" s="277" t="s">
        <v>2852</v>
      </c>
      <c r="F235" s="277"/>
      <c r="G235" s="277" t="s">
        <v>2714</v>
      </c>
    </row>
    <row r="236" spans="1:7">
      <c r="A236" s="277" t="s">
        <v>2881</v>
      </c>
      <c r="B236" s="277" t="s">
        <v>2882</v>
      </c>
      <c r="C236" s="278" t="s">
        <v>2861</v>
      </c>
      <c r="D236" s="277" t="s">
        <v>1333</v>
      </c>
      <c r="E236" s="277" t="s">
        <v>2852</v>
      </c>
      <c r="F236" s="277"/>
      <c r="G236" s="277" t="s">
        <v>2862</v>
      </c>
    </row>
    <row r="237" spans="1:7">
      <c r="A237" s="277" t="s">
        <v>2883</v>
      </c>
      <c r="B237" s="277" t="s">
        <v>2884</v>
      </c>
      <c r="C237" s="278" t="s">
        <v>2885</v>
      </c>
      <c r="D237" s="277" t="s">
        <v>1333</v>
      </c>
      <c r="E237" s="277" t="s">
        <v>2852</v>
      </c>
      <c r="F237" s="277"/>
      <c r="G237" s="277" t="s">
        <v>2764</v>
      </c>
    </row>
    <row r="238" spans="1:7">
      <c r="A238" s="277" t="s">
        <v>2886</v>
      </c>
      <c r="B238" s="277" t="s">
        <v>2887</v>
      </c>
      <c r="C238" s="278" t="s">
        <v>2851</v>
      </c>
      <c r="D238" s="277" t="s">
        <v>1333</v>
      </c>
      <c r="E238" s="277" t="s">
        <v>2852</v>
      </c>
      <c r="F238" s="277"/>
      <c r="G238" s="277" t="s">
        <v>2853</v>
      </c>
    </row>
    <row r="239" spans="1:7" ht="30">
      <c r="A239" s="277" t="s">
        <v>2888</v>
      </c>
      <c r="B239" s="286" t="s">
        <v>2889</v>
      </c>
      <c r="C239" s="278" t="s">
        <v>2890</v>
      </c>
      <c r="D239" s="277" t="s">
        <v>1333</v>
      </c>
      <c r="E239" s="277" t="s">
        <v>2891</v>
      </c>
      <c r="F239" s="277"/>
      <c r="G239" s="277" t="s">
        <v>2892</v>
      </c>
    </row>
    <row r="240" spans="1:7" ht="30">
      <c r="A240" s="277" t="s">
        <v>2893</v>
      </c>
      <c r="B240" s="286" t="s">
        <v>2894</v>
      </c>
      <c r="C240" s="278" t="s">
        <v>2895</v>
      </c>
      <c r="D240" s="277" t="s">
        <v>1333</v>
      </c>
      <c r="E240" s="277" t="s">
        <v>2654</v>
      </c>
      <c r="F240" s="277"/>
      <c r="G240" s="277" t="s">
        <v>2896</v>
      </c>
    </row>
    <row r="241" spans="1:7" ht="30">
      <c r="A241" s="277" t="s">
        <v>2897</v>
      </c>
      <c r="B241" s="286" t="s">
        <v>2898</v>
      </c>
      <c r="C241" s="278" t="s">
        <v>2899</v>
      </c>
      <c r="D241" s="277" t="s">
        <v>1333</v>
      </c>
      <c r="E241" s="277" t="s">
        <v>2654</v>
      </c>
      <c r="F241" s="277"/>
      <c r="G241" s="277" t="s">
        <v>2900</v>
      </c>
    </row>
    <row r="242" spans="1:7" ht="30">
      <c r="A242" s="277" t="s">
        <v>2901</v>
      </c>
      <c r="B242" s="286" t="s">
        <v>2902</v>
      </c>
      <c r="C242" s="278" t="s">
        <v>2903</v>
      </c>
      <c r="D242" s="277" t="s">
        <v>1333</v>
      </c>
      <c r="E242" s="277" t="s">
        <v>2654</v>
      </c>
      <c r="F242" s="277"/>
      <c r="G242" s="277" t="s">
        <v>2904</v>
      </c>
    </row>
    <row r="243" spans="1:7" ht="45">
      <c r="A243" s="277" t="s">
        <v>2905</v>
      </c>
      <c r="B243" s="286" t="s">
        <v>2906</v>
      </c>
      <c r="C243" s="278" t="s">
        <v>2907</v>
      </c>
      <c r="D243" s="277" t="s">
        <v>1333</v>
      </c>
      <c r="E243" s="277" t="s">
        <v>2654</v>
      </c>
      <c r="F243" s="277"/>
      <c r="G243" s="277" t="s">
        <v>2908</v>
      </c>
    </row>
    <row r="244" spans="1:7" ht="30">
      <c r="A244" s="277" t="s">
        <v>2909</v>
      </c>
      <c r="B244" s="286" t="s">
        <v>2910</v>
      </c>
      <c r="C244" s="278" t="s">
        <v>2911</v>
      </c>
      <c r="D244" s="277" t="s">
        <v>1333</v>
      </c>
      <c r="E244" s="277" t="s">
        <v>2654</v>
      </c>
      <c r="F244" s="277"/>
      <c r="G244" s="277" t="s">
        <v>2912</v>
      </c>
    </row>
    <row r="245" spans="1:7" ht="30">
      <c r="A245" s="277" t="s">
        <v>2913</v>
      </c>
      <c r="B245" s="286" t="s">
        <v>2914</v>
      </c>
      <c r="C245" s="278" t="s">
        <v>2915</v>
      </c>
      <c r="D245" s="277" t="s">
        <v>1333</v>
      </c>
      <c r="E245" s="277" t="s">
        <v>2654</v>
      </c>
      <c r="F245" s="277"/>
      <c r="G245" s="277" t="s">
        <v>2916</v>
      </c>
    </row>
    <row r="246" spans="1:7" ht="30">
      <c r="A246" s="277" t="s">
        <v>2917</v>
      </c>
      <c r="B246" s="286" t="s">
        <v>2918</v>
      </c>
      <c r="C246" s="278" t="s">
        <v>2919</v>
      </c>
      <c r="D246" s="277" t="s">
        <v>1333</v>
      </c>
      <c r="E246" s="277" t="s">
        <v>2920</v>
      </c>
      <c r="F246" s="277"/>
      <c r="G246" s="277" t="s">
        <v>2921</v>
      </c>
    </row>
    <row r="247" spans="1:7" ht="30">
      <c r="A247" s="277" t="s">
        <v>2922</v>
      </c>
      <c r="B247" s="286" t="s">
        <v>2923</v>
      </c>
      <c r="C247" s="278" t="s">
        <v>2924</v>
      </c>
      <c r="D247" s="277" t="s">
        <v>1333</v>
      </c>
      <c r="E247" s="277" t="s">
        <v>2852</v>
      </c>
      <c r="F247" s="277"/>
      <c r="G247" s="277" t="s">
        <v>2925</v>
      </c>
    </row>
    <row r="248" spans="1:7">
      <c r="A248" s="277" t="s">
        <v>2926</v>
      </c>
      <c r="B248" s="277" t="s">
        <v>2927</v>
      </c>
      <c r="C248" s="278" t="s">
        <v>2858</v>
      </c>
      <c r="D248" s="277" t="s">
        <v>2928</v>
      </c>
      <c r="E248" s="277" t="s">
        <v>2929</v>
      </c>
      <c r="F248" s="277"/>
      <c r="G248" s="277" t="s">
        <v>2714</v>
      </c>
    </row>
    <row r="249" spans="1:7">
      <c r="A249" s="277" t="s">
        <v>2930</v>
      </c>
      <c r="B249" s="277" t="s">
        <v>2931</v>
      </c>
      <c r="C249" s="278" t="s">
        <v>2932</v>
      </c>
      <c r="D249" s="277" t="s">
        <v>2389</v>
      </c>
      <c r="E249" s="277" t="s">
        <v>2654</v>
      </c>
      <c r="F249" s="277"/>
      <c r="G249" s="277" t="s">
        <v>2756</v>
      </c>
    </row>
    <row r="250" spans="1:7">
      <c r="A250" s="277" t="s">
        <v>2933</v>
      </c>
      <c r="B250" s="277" t="s">
        <v>2934</v>
      </c>
      <c r="C250" s="278" t="s">
        <v>2935</v>
      </c>
      <c r="D250" s="277" t="s">
        <v>2936</v>
      </c>
      <c r="E250" s="277" t="s">
        <v>2654</v>
      </c>
      <c r="F250" s="277"/>
      <c r="G250" s="277" t="s">
        <v>2723</v>
      </c>
    </row>
    <row r="251" spans="1:7">
      <c r="A251" s="277" t="s">
        <v>2937</v>
      </c>
      <c r="B251" s="277" t="s">
        <v>2938</v>
      </c>
      <c r="C251" s="278" t="s">
        <v>2939</v>
      </c>
      <c r="D251" s="277" t="s">
        <v>2760</v>
      </c>
      <c r="E251" s="277" t="s">
        <v>2891</v>
      </c>
      <c r="F251" s="277"/>
      <c r="G251" s="277" t="s">
        <v>2684</v>
      </c>
    </row>
    <row r="252" spans="1:7">
      <c r="A252" s="277" t="s">
        <v>2940</v>
      </c>
      <c r="B252" s="277" t="s">
        <v>2941</v>
      </c>
      <c r="C252" s="278" t="s">
        <v>2942</v>
      </c>
      <c r="D252" s="277" t="s">
        <v>2389</v>
      </c>
      <c r="E252" s="277" t="s">
        <v>2920</v>
      </c>
      <c r="F252" s="277"/>
      <c r="G252" s="277" t="s">
        <v>2764</v>
      </c>
    </row>
    <row r="253" spans="1:7">
      <c r="A253" s="277" t="s">
        <v>2943</v>
      </c>
      <c r="B253" s="277" t="s">
        <v>2944</v>
      </c>
      <c r="C253" s="278" t="s">
        <v>2945</v>
      </c>
      <c r="D253" s="277" t="s">
        <v>2946</v>
      </c>
      <c r="E253" s="277" t="s">
        <v>2920</v>
      </c>
      <c r="F253" s="277"/>
      <c r="G253" s="277" t="s">
        <v>2947</v>
      </c>
    </row>
    <row r="254" spans="1:7">
      <c r="A254" s="277" t="s">
        <v>2948</v>
      </c>
      <c r="B254" s="277" t="s">
        <v>2949</v>
      </c>
      <c r="C254" s="278" t="s">
        <v>2950</v>
      </c>
      <c r="D254" s="277" t="s">
        <v>1333</v>
      </c>
      <c r="E254" s="277" t="s">
        <v>2654</v>
      </c>
      <c r="F254" s="277"/>
      <c r="G254" s="277" t="s">
        <v>2951</v>
      </c>
    </row>
    <row r="255" spans="1:7" ht="30">
      <c r="A255" s="277" t="s">
        <v>2952</v>
      </c>
      <c r="B255" s="286" t="s">
        <v>2953</v>
      </c>
      <c r="C255" s="278" t="s">
        <v>2950</v>
      </c>
      <c r="D255" s="277" t="s">
        <v>1333</v>
      </c>
      <c r="E255" s="277" t="s">
        <v>2654</v>
      </c>
      <c r="F255" s="277"/>
      <c r="G255" s="277" t="s">
        <v>2951</v>
      </c>
    </row>
    <row r="256" spans="1:7">
      <c r="A256" s="277" t="s">
        <v>2954</v>
      </c>
      <c r="B256" s="277" t="s">
        <v>2955</v>
      </c>
      <c r="C256" s="278" t="s">
        <v>2956</v>
      </c>
      <c r="D256" s="277"/>
      <c r="E256" s="277"/>
      <c r="F256" s="277"/>
      <c r="G256" s="277"/>
    </row>
    <row r="257" spans="1:7">
      <c r="A257" s="277" t="s">
        <v>2957</v>
      </c>
      <c r="B257" s="277" t="s">
        <v>2958</v>
      </c>
      <c r="C257" s="278" t="s">
        <v>2959</v>
      </c>
      <c r="D257" s="277" t="s">
        <v>2389</v>
      </c>
      <c r="E257" s="277" t="s">
        <v>2654</v>
      </c>
      <c r="F257" s="277"/>
      <c r="G257" s="277" t="s">
        <v>2960</v>
      </c>
    </row>
    <row r="258" spans="1:7" ht="15.75">
      <c r="A258" s="282"/>
      <c r="B258" s="275" t="s">
        <v>2961</v>
      </c>
      <c r="C258" s="279"/>
    </row>
    <row r="259" spans="1:7">
      <c r="A259" s="277" t="s">
        <v>2962</v>
      </c>
      <c r="B259" s="277" t="s">
        <v>2963</v>
      </c>
      <c r="C259" s="278" t="s">
        <v>2964</v>
      </c>
      <c r="D259" s="277" t="s">
        <v>2389</v>
      </c>
      <c r="E259" s="277" t="s">
        <v>2663</v>
      </c>
      <c r="F259" s="277"/>
      <c r="G259" s="277" t="s">
        <v>2744</v>
      </c>
    </row>
    <row r="260" spans="1:7">
      <c r="A260" s="277" t="s">
        <v>2965</v>
      </c>
      <c r="B260" s="277" t="s">
        <v>2966</v>
      </c>
      <c r="C260" s="278" t="s">
        <v>2967</v>
      </c>
      <c r="D260" s="277" t="s">
        <v>2389</v>
      </c>
      <c r="E260" s="277" t="s">
        <v>2663</v>
      </c>
      <c r="F260" s="277"/>
      <c r="G260" s="277" t="s">
        <v>2968</v>
      </c>
    </row>
    <row r="261" spans="1:7" ht="30">
      <c r="A261" s="277" t="s">
        <v>2969</v>
      </c>
      <c r="B261" s="286" t="s">
        <v>2970</v>
      </c>
      <c r="C261" s="278" t="s">
        <v>2971</v>
      </c>
      <c r="D261" s="277" t="s">
        <v>2389</v>
      </c>
      <c r="E261" s="277" t="s">
        <v>2654</v>
      </c>
      <c r="F261" s="277"/>
      <c r="G261" s="277" t="s">
        <v>2744</v>
      </c>
    </row>
    <row r="262" spans="1:7">
      <c r="A262" s="277" t="s">
        <v>2972</v>
      </c>
      <c r="B262" s="277" t="s">
        <v>2973</v>
      </c>
      <c r="C262" s="278" t="s">
        <v>2974</v>
      </c>
      <c r="D262" s="277" t="s">
        <v>2389</v>
      </c>
      <c r="E262" s="277" t="s">
        <v>2654</v>
      </c>
      <c r="F262" s="277"/>
      <c r="G262" s="277" t="s">
        <v>2975</v>
      </c>
    </row>
    <row r="263" spans="1:7">
      <c r="A263" s="277" t="s">
        <v>2976</v>
      </c>
      <c r="B263" s="277" t="s">
        <v>2977</v>
      </c>
      <c r="C263" s="278" t="s">
        <v>2978</v>
      </c>
      <c r="D263" s="277" t="s">
        <v>2760</v>
      </c>
      <c r="E263" s="277" t="s">
        <v>2654</v>
      </c>
      <c r="F263" s="277"/>
      <c r="G263" s="277" t="s">
        <v>2979</v>
      </c>
    </row>
    <row r="264" spans="1:7" ht="30">
      <c r="A264" s="277" t="s">
        <v>2980</v>
      </c>
      <c r="B264" s="286" t="s">
        <v>2981</v>
      </c>
      <c r="C264" s="278" t="s">
        <v>2982</v>
      </c>
      <c r="D264" s="277" t="s">
        <v>2389</v>
      </c>
      <c r="E264" s="277" t="s">
        <v>2654</v>
      </c>
      <c r="F264" s="277"/>
      <c r="G264" s="277" t="s">
        <v>2983</v>
      </c>
    </row>
    <row r="265" spans="1:7" ht="30">
      <c r="A265" s="277" t="s">
        <v>2984</v>
      </c>
      <c r="B265" s="286" t="s">
        <v>2985</v>
      </c>
      <c r="C265" s="278" t="s">
        <v>2919</v>
      </c>
      <c r="D265" s="277" t="s">
        <v>2389</v>
      </c>
      <c r="E265" s="277" t="s">
        <v>2654</v>
      </c>
      <c r="F265" s="277"/>
      <c r="G265" s="277" t="s">
        <v>2921</v>
      </c>
    </row>
    <row r="266" spans="1:7">
      <c r="A266" s="277" t="s">
        <v>2986</v>
      </c>
      <c r="B266" s="277" t="s">
        <v>2987</v>
      </c>
      <c r="C266" s="278" t="s">
        <v>2988</v>
      </c>
      <c r="D266" s="277" t="s">
        <v>2389</v>
      </c>
      <c r="E266" s="277" t="s">
        <v>2920</v>
      </c>
      <c r="F266" s="277"/>
      <c r="G266" s="277" t="s">
        <v>2989</v>
      </c>
    </row>
    <row r="267" spans="1:7">
      <c r="A267" s="277" t="s">
        <v>2990</v>
      </c>
      <c r="B267" s="277" t="s">
        <v>2991</v>
      </c>
      <c r="C267" s="278" t="s">
        <v>2903</v>
      </c>
      <c r="D267" s="277" t="s">
        <v>2389</v>
      </c>
      <c r="E267" s="277" t="s">
        <v>2920</v>
      </c>
      <c r="F267" s="277"/>
      <c r="G267" s="277" t="s">
        <v>2904</v>
      </c>
    </row>
    <row r="268" spans="1:7">
      <c r="A268" s="282"/>
      <c r="C268" s="279"/>
    </row>
    <row r="269" spans="1:7" ht="15.75">
      <c r="A269" s="282"/>
      <c r="B269" s="275" t="s">
        <v>2992</v>
      </c>
      <c r="C269" s="279"/>
    </row>
    <row r="270" spans="1:7" ht="30">
      <c r="A270" s="277" t="s">
        <v>2993</v>
      </c>
      <c r="B270" s="286" t="s">
        <v>2994</v>
      </c>
      <c r="C270" s="278" t="s">
        <v>2780</v>
      </c>
      <c r="D270" s="277" t="s">
        <v>1333</v>
      </c>
      <c r="E270" s="277" t="s">
        <v>2654</v>
      </c>
      <c r="F270" s="277"/>
      <c r="G270" s="277" t="s">
        <v>2744</v>
      </c>
    </row>
    <row r="271" spans="1:7">
      <c r="A271" s="277" t="s">
        <v>2995</v>
      </c>
      <c r="B271" s="277" t="s">
        <v>2996</v>
      </c>
      <c r="C271" s="278" t="s">
        <v>2895</v>
      </c>
      <c r="D271" s="277" t="s">
        <v>1333</v>
      </c>
      <c r="E271" s="277" t="s">
        <v>2654</v>
      </c>
      <c r="F271" s="277"/>
      <c r="G271" s="277" t="s">
        <v>2896</v>
      </c>
    </row>
    <row r="272" spans="1:7">
      <c r="A272" s="277" t="s">
        <v>2997</v>
      </c>
      <c r="B272" s="277" t="s">
        <v>2998</v>
      </c>
      <c r="C272" s="278" t="s">
        <v>2999</v>
      </c>
      <c r="D272" s="277" t="s">
        <v>1333</v>
      </c>
      <c r="E272" s="277" t="s">
        <v>2920</v>
      </c>
      <c r="F272" s="277"/>
      <c r="G272" s="277" t="s">
        <v>3000</v>
      </c>
    </row>
    <row r="273" spans="1:7">
      <c r="A273" s="277" t="s">
        <v>3001</v>
      </c>
      <c r="B273" s="277" t="s">
        <v>3002</v>
      </c>
      <c r="C273" s="278" t="s">
        <v>3003</v>
      </c>
      <c r="D273" s="277" t="s">
        <v>1333</v>
      </c>
      <c r="E273" s="277" t="s">
        <v>2654</v>
      </c>
      <c r="F273" s="277"/>
      <c r="G273" s="277" t="s">
        <v>2752</v>
      </c>
    </row>
    <row r="274" spans="1:7">
      <c r="A274" s="277" t="s">
        <v>3004</v>
      </c>
      <c r="B274" s="277" t="s">
        <v>3005</v>
      </c>
      <c r="C274" s="278" t="s">
        <v>3006</v>
      </c>
      <c r="D274" s="277" t="s">
        <v>1333</v>
      </c>
      <c r="E274" s="277" t="s">
        <v>2654</v>
      </c>
      <c r="F274" s="277"/>
      <c r="G274" s="277" t="s">
        <v>2912</v>
      </c>
    </row>
    <row r="275" spans="1:7">
      <c r="A275" s="277" t="s">
        <v>3007</v>
      </c>
      <c r="B275" s="277" t="s">
        <v>3008</v>
      </c>
      <c r="C275" s="278" t="s">
        <v>2907</v>
      </c>
      <c r="D275" s="277" t="s">
        <v>1333</v>
      </c>
      <c r="E275" s="277" t="s">
        <v>2920</v>
      </c>
      <c r="F275" s="277"/>
      <c r="G275" s="277" t="s">
        <v>2908</v>
      </c>
    </row>
    <row r="276" spans="1:7" ht="30">
      <c r="A276" s="277" t="s">
        <v>3009</v>
      </c>
      <c r="B276" s="286" t="s">
        <v>3010</v>
      </c>
      <c r="C276" s="278" t="s">
        <v>3011</v>
      </c>
      <c r="D276" s="277" t="s">
        <v>2644</v>
      </c>
      <c r="E276" s="277" t="s">
        <v>2654</v>
      </c>
      <c r="F276" s="277"/>
      <c r="G276" s="277" t="s">
        <v>3012</v>
      </c>
    </row>
    <row r="277" spans="1:7" ht="30">
      <c r="A277" s="277" t="s">
        <v>3013</v>
      </c>
      <c r="B277" s="286" t="s">
        <v>3014</v>
      </c>
      <c r="C277" s="278" t="s">
        <v>3015</v>
      </c>
      <c r="D277" s="277" t="s">
        <v>2644</v>
      </c>
      <c r="E277" s="277" t="s">
        <v>3016</v>
      </c>
      <c r="F277" s="277"/>
      <c r="G277" s="277" t="s">
        <v>3017</v>
      </c>
    </row>
    <row r="278" spans="1:7" ht="30">
      <c r="A278" s="277" t="s">
        <v>3018</v>
      </c>
      <c r="B278" s="286" t="s">
        <v>3019</v>
      </c>
      <c r="C278" s="278" t="s">
        <v>209</v>
      </c>
      <c r="D278" s="277" t="s">
        <v>2644</v>
      </c>
      <c r="E278" s="277"/>
      <c r="F278" s="277"/>
      <c r="G278" s="277"/>
    </row>
    <row r="279" spans="1:7">
      <c r="A279" s="277" t="s">
        <v>3020</v>
      </c>
      <c r="B279" s="277" t="s">
        <v>3021</v>
      </c>
      <c r="C279" s="278" t="s">
        <v>209</v>
      </c>
      <c r="D279" s="277" t="s">
        <v>2644</v>
      </c>
      <c r="E279" s="277"/>
      <c r="F279" s="277"/>
      <c r="G279" s="277"/>
    </row>
    <row r="280" spans="1:7">
      <c r="A280" s="277" t="s">
        <v>3022</v>
      </c>
      <c r="B280" s="277" t="s">
        <v>3023</v>
      </c>
      <c r="C280" s="278" t="s">
        <v>209</v>
      </c>
      <c r="D280" s="277" t="s">
        <v>2644</v>
      </c>
      <c r="E280" s="277"/>
      <c r="F280" s="277"/>
      <c r="G280" s="277"/>
    </row>
    <row r="281" spans="1:7">
      <c r="A281" s="277" t="s">
        <v>3024</v>
      </c>
      <c r="B281" s="277" t="s">
        <v>3025</v>
      </c>
      <c r="C281" s="278" t="s">
        <v>2780</v>
      </c>
      <c r="D281" s="277" t="s">
        <v>2389</v>
      </c>
      <c r="E281" s="277" t="s">
        <v>3016</v>
      </c>
      <c r="F281" s="277"/>
      <c r="G281" s="277" t="s">
        <v>2744</v>
      </c>
    </row>
    <row r="282" spans="1:7">
      <c r="A282" s="277" t="s">
        <v>3026</v>
      </c>
      <c r="B282" s="277" t="s">
        <v>3027</v>
      </c>
      <c r="C282" s="278" t="s">
        <v>3028</v>
      </c>
      <c r="D282" s="277" t="s">
        <v>2389</v>
      </c>
      <c r="E282" s="277" t="s">
        <v>3016</v>
      </c>
      <c r="F282" s="277"/>
      <c r="G282" s="277" t="s">
        <v>2979</v>
      </c>
    </row>
    <row r="283" spans="1:7">
      <c r="A283" s="277" t="s">
        <v>3029</v>
      </c>
      <c r="B283" s="277" t="s">
        <v>3030</v>
      </c>
      <c r="C283" s="278" t="s">
        <v>3031</v>
      </c>
      <c r="D283" s="277" t="s">
        <v>2389</v>
      </c>
      <c r="E283" s="277" t="s">
        <v>3016</v>
      </c>
      <c r="F283" s="277"/>
      <c r="G283" s="277" t="s">
        <v>3032</v>
      </c>
    </row>
    <row r="284" spans="1:7" ht="30">
      <c r="A284" s="277" t="s">
        <v>3033</v>
      </c>
      <c r="B284" s="286" t="s">
        <v>3034</v>
      </c>
      <c r="C284" s="278" t="s">
        <v>2907</v>
      </c>
      <c r="D284" s="277" t="s">
        <v>2928</v>
      </c>
      <c r="E284" s="277" t="s">
        <v>3016</v>
      </c>
      <c r="F284" s="277"/>
      <c r="G284" s="277" t="s">
        <v>2908</v>
      </c>
    </row>
    <row r="285" spans="1:7" ht="30">
      <c r="A285" s="277" t="s">
        <v>3035</v>
      </c>
      <c r="B285" s="286" t="s">
        <v>3036</v>
      </c>
      <c r="C285" s="278" t="s">
        <v>2903</v>
      </c>
      <c r="D285" s="277" t="s">
        <v>2928</v>
      </c>
      <c r="E285" s="277" t="s">
        <v>3016</v>
      </c>
      <c r="F285" s="277"/>
      <c r="G285" s="277" t="s">
        <v>2904</v>
      </c>
    </row>
    <row r="286" spans="1:7" ht="30">
      <c r="A286" s="277" t="s">
        <v>3037</v>
      </c>
      <c r="B286" s="286" t="s">
        <v>3038</v>
      </c>
      <c r="C286" s="278" t="s">
        <v>2919</v>
      </c>
      <c r="D286" s="277" t="s">
        <v>2928</v>
      </c>
      <c r="E286" s="277" t="s">
        <v>3016</v>
      </c>
      <c r="F286" s="277"/>
      <c r="G286" s="277" t="s">
        <v>2921</v>
      </c>
    </row>
    <row r="287" spans="1:7" ht="30">
      <c r="A287" s="277" t="s">
        <v>3039</v>
      </c>
      <c r="B287" s="286" t="s">
        <v>3040</v>
      </c>
      <c r="C287" s="278" t="s">
        <v>3041</v>
      </c>
      <c r="D287" s="277" t="s">
        <v>1333</v>
      </c>
      <c r="E287" s="277" t="s">
        <v>3042</v>
      </c>
      <c r="F287" s="277"/>
      <c r="G287" s="277" t="s">
        <v>3043</v>
      </c>
    </row>
    <row r="288" spans="1:7">
      <c r="A288" s="277" t="s">
        <v>3044</v>
      </c>
      <c r="B288" s="277" t="s">
        <v>3045</v>
      </c>
      <c r="C288" s="278" t="s">
        <v>2890</v>
      </c>
      <c r="D288" s="277" t="s">
        <v>2644</v>
      </c>
      <c r="E288" s="277" t="s">
        <v>2654</v>
      </c>
      <c r="F288" s="277"/>
      <c r="G288" s="277" t="s">
        <v>2892</v>
      </c>
    </row>
    <row r="289" spans="1:7" ht="30">
      <c r="A289" s="277" t="s">
        <v>3046</v>
      </c>
      <c r="B289" s="286" t="s">
        <v>3047</v>
      </c>
      <c r="C289" s="278" t="s">
        <v>3048</v>
      </c>
      <c r="D289" s="277" t="s">
        <v>2644</v>
      </c>
      <c r="E289" s="277" t="s">
        <v>2654</v>
      </c>
      <c r="F289" s="277"/>
      <c r="G289" s="277" t="s">
        <v>3049</v>
      </c>
    </row>
    <row r="290" spans="1:7" ht="30">
      <c r="A290" s="277" t="s">
        <v>3050</v>
      </c>
      <c r="B290" s="286" t="s">
        <v>3051</v>
      </c>
      <c r="C290" s="278" t="s">
        <v>3041</v>
      </c>
      <c r="D290" s="277" t="s">
        <v>1333</v>
      </c>
      <c r="E290" s="277" t="s">
        <v>2654</v>
      </c>
      <c r="F290" s="277"/>
      <c r="G290" s="277" t="s">
        <v>3043</v>
      </c>
    </row>
    <row r="291" spans="1:7" ht="30">
      <c r="A291" s="277" t="s">
        <v>3052</v>
      </c>
      <c r="B291" s="286" t="s">
        <v>3053</v>
      </c>
      <c r="C291" s="278" t="s">
        <v>3003</v>
      </c>
      <c r="D291" s="277" t="s">
        <v>1333</v>
      </c>
      <c r="E291" s="277" t="s">
        <v>2654</v>
      </c>
      <c r="F291" s="277"/>
      <c r="G291" s="277" t="s">
        <v>2752</v>
      </c>
    </row>
    <row r="292" spans="1:7">
      <c r="A292" s="277" t="s">
        <v>3054</v>
      </c>
      <c r="B292" s="277" t="s">
        <v>3055</v>
      </c>
      <c r="C292" s="278" t="s">
        <v>2919</v>
      </c>
      <c r="D292" s="277" t="s">
        <v>1333</v>
      </c>
      <c r="E292" s="277" t="s">
        <v>2654</v>
      </c>
      <c r="F292" s="277"/>
      <c r="G292" s="277" t="s">
        <v>2921</v>
      </c>
    </row>
    <row r="293" spans="1:7">
      <c r="A293" s="277" t="s">
        <v>3056</v>
      </c>
      <c r="B293" s="277" t="s">
        <v>3057</v>
      </c>
      <c r="C293" s="278" t="s">
        <v>3058</v>
      </c>
      <c r="D293" s="277" t="s">
        <v>1333</v>
      </c>
      <c r="E293" s="277" t="s">
        <v>2838</v>
      </c>
      <c r="F293" s="277"/>
      <c r="G293" s="277" t="s">
        <v>3059</v>
      </c>
    </row>
    <row r="294" spans="1:7">
      <c r="A294" s="282"/>
      <c r="C294" s="279"/>
    </row>
    <row r="295" spans="1:7" ht="15.75">
      <c r="A295" s="282"/>
      <c r="B295" s="275" t="s">
        <v>3060</v>
      </c>
      <c r="C295" s="279"/>
    </row>
    <row r="296" spans="1:7">
      <c r="A296" s="277" t="s">
        <v>3061</v>
      </c>
      <c r="B296" s="277" t="s">
        <v>3062</v>
      </c>
      <c r="C296" s="278" t="s">
        <v>3063</v>
      </c>
      <c r="D296" s="277" t="s">
        <v>2644</v>
      </c>
      <c r="E296" s="277" t="s">
        <v>2654</v>
      </c>
      <c r="F296" s="277"/>
      <c r="G296" s="277" t="s">
        <v>2775</v>
      </c>
    </row>
    <row r="297" spans="1:7">
      <c r="A297" s="277" t="s">
        <v>3064</v>
      </c>
      <c r="B297" s="277" t="s">
        <v>3065</v>
      </c>
      <c r="C297" s="278" t="s">
        <v>2999</v>
      </c>
      <c r="D297" s="277" t="s">
        <v>2644</v>
      </c>
      <c r="E297" s="277" t="s">
        <v>2654</v>
      </c>
      <c r="F297" s="277"/>
      <c r="G297" s="277" t="s">
        <v>3000</v>
      </c>
    </row>
    <row r="298" spans="1:7">
      <c r="A298" s="277" t="s">
        <v>3066</v>
      </c>
      <c r="B298" s="277" t="s">
        <v>3067</v>
      </c>
      <c r="C298" s="278" t="s">
        <v>3068</v>
      </c>
      <c r="D298" s="277" t="s">
        <v>2644</v>
      </c>
      <c r="E298" s="277" t="s">
        <v>2654</v>
      </c>
      <c r="F298" s="277"/>
      <c r="G298" s="277" t="s">
        <v>3069</v>
      </c>
    </row>
    <row r="299" spans="1:7">
      <c r="A299" s="277" t="s">
        <v>3070</v>
      </c>
      <c r="B299" s="277" t="s">
        <v>3071</v>
      </c>
      <c r="C299" s="278" t="s">
        <v>3072</v>
      </c>
      <c r="D299" s="277" t="s">
        <v>2644</v>
      </c>
      <c r="E299" s="277" t="s">
        <v>2654</v>
      </c>
      <c r="F299" s="277"/>
      <c r="G299" s="277" t="s">
        <v>3073</v>
      </c>
    </row>
    <row r="300" spans="1:7">
      <c r="A300" s="277" t="s">
        <v>3074</v>
      </c>
      <c r="B300" s="277" t="s">
        <v>3075</v>
      </c>
      <c r="C300" s="278" t="s">
        <v>3076</v>
      </c>
      <c r="D300" s="277" t="s">
        <v>2644</v>
      </c>
      <c r="E300" s="277" t="s">
        <v>2654</v>
      </c>
      <c r="F300" s="277"/>
      <c r="G300" s="277" t="s">
        <v>2979</v>
      </c>
    </row>
    <row r="301" spans="1:7">
      <c r="A301" s="277" t="s">
        <v>3077</v>
      </c>
      <c r="B301" s="277" t="s">
        <v>3078</v>
      </c>
      <c r="C301" s="278" t="s">
        <v>3079</v>
      </c>
      <c r="D301" s="277" t="s">
        <v>2644</v>
      </c>
      <c r="E301" s="277" t="s">
        <v>2654</v>
      </c>
      <c r="F301" s="277"/>
      <c r="G301" s="277" t="s">
        <v>2736</v>
      </c>
    </row>
    <row r="302" spans="1:7">
      <c r="A302" s="277" t="s">
        <v>3080</v>
      </c>
      <c r="B302" s="277" t="s">
        <v>3081</v>
      </c>
      <c r="C302" s="278" t="s">
        <v>3082</v>
      </c>
      <c r="D302" s="277" t="s">
        <v>2644</v>
      </c>
      <c r="E302" s="277" t="s">
        <v>2654</v>
      </c>
      <c r="F302" s="277"/>
      <c r="G302" s="277" t="s">
        <v>2736</v>
      </c>
    </row>
    <row r="303" spans="1:7">
      <c r="A303" s="277" t="s">
        <v>3083</v>
      </c>
      <c r="B303" s="277" t="s">
        <v>3084</v>
      </c>
      <c r="C303" s="278" t="s">
        <v>2890</v>
      </c>
      <c r="D303" s="277" t="s">
        <v>2644</v>
      </c>
      <c r="E303" s="277" t="s">
        <v>2654</v>
      </c>
      <c r="F303" s="277"/>
      <c r="G303" s="277" t="s">
        <v>2892</v>
      </c>
    </row>
    <row r="304" spans="1:7">
      <c r="A304" s="282"/>
      <c r="C304" s="279"/>
    </row>
    <row r="305" spans="1:7" ht="15.75">
      <c r="A305" s="282"/>
      <c r="B305" s="275" t="s">
        <v>3085</v>
      </c>
      <c r="C305" s="279"/>
    </row>
    <row r="306" spans="1:7">
      <c r="A306" s="277" t="s">
        <v>3086</v>
      </c>
      <c r="B306" s="277" t="s">
        <v>3087</v>
      </c>
      <c r="C306" s="278" t="s">
        <v>3088</v>
      </c>
      <c r="D306" s="277" t="s">
        <v>3089</v>
      </c>
      <c r="E306" s="277" t="s">
        <v>2654</v>
      </c>
      <c r="F306" s="277"/>
      <c r="G306" s="277" t="s">
        <v>3090</v>
      </c>
    </row>
    <row r="307" spans="1:7">
      <c r="A307" s="277" t="s">
        <v>3091</v>
      </c>
      <c r="B307" s="277" t="s">
        <v>3092</v>
      </c>
      <c r="C307" s="278" t="s">
        <v>3093</v>
      </c>
      <c r="D307" s="277" t="s">
        <v>3089</v>
      </c>
      <c r="E307" s="277" t="s">
        <v>2654</v>
      </c>
      <c r="F307" s="277"/>
      <c r="G307" s="277" t="s">
        <v>3094</v>
      </c>
    </row>
    <row r="308" spans="1:7">
      <c r="A308" s="277" t="s">
        <v>3095</v>
      </c>
      <c r="B308" s="277" t="s">
        <v>3096</v>
      </c>
      <c r="C308" s="278" t="s">
        <v>3097</v>
      </c>
      <c r="D308" s="277" t="s">
        <v>3089</v>
      </c>
      <c r="E308" s="277" t="s">
        <v>2654</v>
      </c>
      <c r="F308" s="277"/>
      <c r="G308" s="277" t="s">
        <v>3098</v>
      </c>
    </row>
    <row r="309" spans="1:7">
      <c r="A309" s="277" t="s">
        <v>3099</v>
      </c>
      <c r="B309" s="277" t="s">
        <v>3100</v>
      </c>
      <c r="C309" s="278" t="s">
        <v>3101</v>
      </c>
      <c r="D309" s="277" t="s">
        <v>3089</v>
      </c>
      <c r="E309" s="277" t="s">
        <v>2654</v>
      </c>
      <c r="F309" s="277"/>
      <c r="G309" s="277" t="s">
        <v>3102</v>
      </c>
    </row>
    <row r="310" spans="1:7">
      <c r="A310" s="277" t="s">
        <v>3103</v>
      </c>
      <c r="B310" s="277" t="s">
        <v>3104</v>
      </c>
      <c r="C310" s="278" t="s">
        <v>3105</v>
      </c>
      <c r="D310" s="277" t="s">
        <v>3089</v>
      </c>
      <c r="E310" s="277" t="s">
        <v>2654</v>
      </c>
      <c r="F310" s="277"/>
      <c r="G310" s="277" t="s">
        <v>3106</v>
      </c>
    </row>
    <row r="311" spans="1:7">
      <c r="A311" s="277" t="s">
        <v>3107</v>
      </c>
      <c r="B311" s="277" t="s">
        <v>3108</v>
      </c>
      <c r="C311" s="278"/>
      <c r="D311" s="277" t="s">
        <v>2956</v>
      </c>
      <c r="E311" s="277"/>
      <c r="F311" s="277"/>
      <c r="G311" s="277"/>
    </row>
    <row r="312" spans="1:7">
      <c r="A312" s="282"/>
      <c r="C312" s="279"/>
    </row>
    <row r="313" spans="1:7" ht="15.75">
      <c r="A313" s="282"/>
      <c r="B313" s="275" t="s">
        <v>3109</v>
      </c>
      <c r="C313" s="279"/>
    </row>
    <row r="314" spans="1:7">
      <c r="A314" s="277" t="s">
        <v>3110</v>
      </c>
      <c r="B314" s="277" t="s">
        <v>3111</v>
      </c>
      <c r="C314" s="278" t="s">
        <v>3112</v>
      </c>
      <c r="D314" s="277" t="s">
        <v>2946</v>
      </c>
      <c r="E314" s="277" t="s">
        <v>2654</v>
      </c>
      <c r="F314" s="277"/>
      <c r="G314" s="277" t="s">
        <v>3043</v>
      </c>
    </row>
    <row r="315" spans="1:7">
      <c r="A315" s="277" t="s">
        <v>3113</v>
      </c>
      <c r="B315" s="277" t="s">
        <v>3114</v>
      </c>
      <c r="C315" s="278" t="s">
        <v>2919</v>
      </c>
      <c r="D315" s="277" t="s">
        <v>2946</v>
      </c>
      <c r="E315" s="277" t="s">
        <v>2654</v>
      </c>
      <c r="F315" s="277"/>
      <c r="G315" s="277" t="s">
        <v>2921</v>
      </c>
    </row>
    <row r="316" spans="1:7" ht="30">
      <c r="A316" s="277" t="s">
        <v>3115</v>
      </c>
      <c r="B316" s="286" t="s">
        <v>3116</v>
      </c>
      <c r="C316" s="278" t="s">
        <v>3117</v>
      </c>
      <c r="D316" s="277" t="s">
        <v>2946</v>
      </c>
      <c r="E316" s="277" t="s">
        <v>2654</v>
      </c>
      <c r="F316" s="277"/>
      <c r="G316" s="277" t="s">
        <v>3043</v>
      </c>
    </row>
    <row r="317" spans="1:7" ht="45">
      <c r="A317" s="277" t="s">
        <v>3118</v>
      </c>
      <c r="B317" s="286" t="s">
        <v>3119</v>
      </c>
      <c r="C317" s="278" t="s">
        <v>3120</v>
      </c>
      <c r="D317" s="277" t="s">
        <v>1333</v>
      </c>
      <c r="E317" s="277" t="s">
        <v>2654</v>
      </c>
      <c r="F317" s="277"/>
      <c r="G317" s="277" t="s">
        <v>3121</v>
      </c>
    </row>
    <row r="318" spans="1:7" ht="45">
      <c r="A318" s="277" t="s">
        <v>3122</v>
      </c>
      <c r="B318" s="286" t="s">
        <v>3123</v>
      </c>
      <c r="C318" s="278" t="s">
        <v>3124</v>
      </c>
      <c r="D318" s="277" t="s">
        <v>1333</v>
      </c>
      <c r="E318" s="277" t="s">
        <v>2838</v>
      </c>
      <c r="F318" s="277"/>
      <c r="G318" s="277" t="s">
        <v>2951</v>
      </c>
    </row>
    <row r="319" spans="1:7" ht="30">
      <c r="A319" s="277" t="s">
        <v>3125</v>
      </c>
      <c r="B319" s="286" t="s">
        <v>3126</v>
      </c>
      <c r="C319" s="278" t="s">
        <v>3127</v>
      </c>
      <c r="D319" s="277" t="s">
        <v>1806</v>
      </c>
      <c r="E319" s="277" t="s">
        <v>2654</v>
      </c>
      <c r="F319" s="277"/>
      <c r="G319" s="277" t="s">
        <v>3128</v>
      </c>
    </row>
    <row r="320" spans="1:7" ht="30">
      <c r="A320" s="277" t="s">
        <v>3129</v>
      </c>
      <c r="B320" s="286" t="s">
        <v>3130</v>
      </c>
      <c r="C320" s="278" t="s">
        <v>3131</v>
      </c>
      <c r="D320" s="277" t="s">
        <v>1806</v>
      </c>
      <c r="E320" s="277" t="s">
        <v>2663</v>
      </c>
      <c r="F320" s="277"/>
      <c r="G320" s="277" t="s">
        <v>3132</v>
      </c>
    </row>
    <row r="321" spans="1:7">
      <c r="A321" s="282"/>
      <c r="C321" s="279"/>
    </row>
    <row r="322" spans="1:7" ht="15.75">
      <c r="A322" s="282"/>
      <c r="B322" s="275" t="s">
        <v>3133</v>
      </c>
      <c r="C322" s="279"/>
    </row>
    <row r="323" spans="1:7">
      <c r="A323" s="277" t="s">
        <v>3134</v>
      </c>
      <c r="B323" s="277" t="s">
        <v>3135</v>
      </c>
      <c r="C323" s="278" t="s">
        <v>3136</v>
      </c>
      <c r="D323" s="277" t="s">
        <v>1333</v>
      </c>
      <c r="E323" s="277" t="s">
        <v>2654</v>
      </c>
      <c r="F323" s="277"/>
      <c r="G323" s="277" t="s">
        <v>3137</v>
      </c>
    </row>
    <row r="324" spans="1:7" ht="30">
      <c r="A324" s="277" t="s">
        <v>3138</v>
      </c>
      <c r="B324" s="286" t="s">
        <v>3139</v>
      </c>
      <c r="C324" s="278" t="s">
        <v>2919</v>
      </c>
      <c r="D324" s="277" t="s">
        <v>2389</v>
      </c>
      <c r="E324" s="277" t="s">
        <v>2654</v>
      </c>
      <c r="F324" s="277"/>
      <c r="G324" s="277" t="s">
        <v>2921</v>
      </c>
    </row>
    <row r="325" spans="1:7">
      <c r="A325" s="277" t="s">
        <v>3140</v>
      </c>
      <c r="B325" s="277" t="s">
        <v>3141</v>
      </c>
      <c r="C325" s="278" t="s">
        <v>3142</v>
      </c>
      <c r="D325" s="277" t="s">
        <v>2389</v>
      </c>
      <c r="E325" s="277" t="s">
        <v>2654</v>
      </c>
      <c r="F325" s="277"/>
      <c r="G325" s="277" t="s">
        <v>3143</v>
      </c>
    </row>
    <row r="326" spans="1:7">
      <c r="A326" s="277" t="s">
        <v>3144</v>
      </c>
      <c r="B326" s="277" t="s">
        <v>3145</v>
      </c>
      <c r="C326" s="278" t="s">
        <v>2999</v>
      </c>
      <c r="D326" s="277" t="s">
        <v>1333</v>
      </c>
      <c r="E326" s="277" t="s">
        <v>2654</v>
      </c>
      <c r="F326" s="277"/>
      <c r="G326" s="277" t="s">
        <v>3000</v>
      </c>
    </row>
    <row r="327" spans="1:7" ht="30">
      <c r="A327" s="277" t="s">
        <v>3146</v>
      </c>
      <c r="B327" s="286" t="s">
        <v>3147</v>
      </c>
      <c r="C327" s="278" t="s">
        <v>2999</v>
      </c>
      <c r="D327" s="277" t="s">
        <v>1333</v>
      </c>
      <c r="E327" s="277" t="s">
        <v>2654</v>
      </c>
      <c r="F327" s="277"/>
      <c r="G327" s="277" t="s">
        <v>3000</v>
      </c>
    </row>
    <row r="328" spans="1:7" ht="30">
      <c r="A328" s="277" t="s">
        <v>3148</v>
      </c>
      <c r="B328" s="286" t="s">
        <v>3149</v>
      </c>
      <c r="C328" s="278" t="s">
        <v>2999</v>
      </c>
      <c r="D328" s="277" t="s">
        <v>1333</v>
      </c>
      <c r="E328" s="277" t="s">
        <v>2654</v>
      </c>
      <c r="F328" s="277"/>
      <c r="G328" s="277" t="s">
        <v>3150</v>
      </c>
    </row>
    <row r="329" spans="1:7">
      <c r="A329" s="277" t="s">
        <v>3151</v>
      </c>
      <c r="B329" s="277" t="s">
        <v>3152</v>
      </c>
      <c r="C329" s="278" t="s">
        <v>3003</v>
      </c>
      <c r="D329" s="277" t="s">
        <v>1333</v>
      </c>
      <c r="E329" s="277" t="s">
        <v>2654</v>
      </c>
      <c r="F329" s="277"/>
      <c r="G329" s="277" t="s">
        <v>2752</v>
      </c>
    </row>
    <row r="330" spans="1:7">
      <c r="A330" s="277" t="s">
        <v>3153</v>
      </c>
      <c r="B330" s="277" t="s">
        <v>3154</v>
      </c>
      <c r="C330" s="278" t="s">
        <v>3155</v>
      </c>
      <c r="D330" s="277" t="s">
        <v>1333</v>
      </c>
      <c r="E330" s="277" t="s">
        <v>2920</v>
      </c>
      <c r="F330" s="277"/>
      <c r="G330" s="277" t="s">
        <v>3156</v>
      </c>
    </row>
    <row r="331" spans="1:7">
      <c r="A331" s="282"/>
      <c r="C331" s="279"/>
    </row>
    <row r="332" spans="1:7" ht="15.75">
      <c r="A332" s="282"/>
      <c r="B332" s="275" t="s">
        <v>3157</v>
      </c>
      <c r="C332" s="279"/>
    </row>
    <row r="333" spans="1:7" ht="30">
      <c r="A333" s="277" t="s">
        <v>3158</v>
      </c>
      <c r="B333" s="286" t="s">
        <v>3159</v>
      </c>
      <c r="C333" s="278"/>
      <c r="D333" s="277" t="s">
        <v>3160</v>
      </c>
    </row>
    <row r="334" spans="1:7">
      <c r="A334" s="282"/>
      <c r="B334" s="286"/>
      <c r="C334" s="279"/>
    </row>
    <row r="335" spans="1:7" ht="15.75">
      <c r="A335" s="282"/>
      <c r="B335" s="275" t="s">
        <v>3161</v>
      </c>
      <c r="C335" s="279"/>
    </row>
    <row r="336" spans="1:7" ht="30">
      <c r="A336" s="277" t="s">
        <v>3162</v>
      </c>
      <c r="B336" s="286" t="s">
        <v>3163</v>
      </c>
      <c r="C336" s="278" t="s">
        <v>3164</v>
      </c>
      <c r="D336" s="277" t="s">
        <v>1806</v>
      </c>
      <c r="E336" s="277" t="s">
        <v>3165</v>
      </c>
      <c r="F336" s="277"/>
      <c r="G336" s="277" t="s">
        <v>3043</v>
      </c>
    </row>
    <row r="337" spans="1:9">
      <c r="A337" s="277" t="s">
        <v>3166</v>
      </c>
      <c r="B337" s="286" t="s">
        <v>3167</v>
      </c>
      <c r="C337" s="278" t="s">
        <v>3168</v>
      </c>
      <c r="D337" s="277" t="s">
        <v>2389</v>
      </c>
      <c r="E337" s="277" t="s">
        <v>3169</v>
      </c>
      <c r="F337" s="277"/>
      <c r="G337" s="277" t="s">
        <v>3170</v>
      </c>
    </row>
    <row r="338" spans="1:9" ht="30">
      <c r="A338" s="277" t="s">
        <v>3171</v>
      </c>
      <c r="B338" s="286" t="s">
        <v>3172</v>
      </c>
      <c r="C338" s="278" t="s">
        <v>3173</v>
      </c>
      <c r="D338" s="277" t="s">
        <v>2389</v>
      </c>
      <c r="E338" s="277" t="s">
        <v>3169</v>
      </c>
      <c r="F338" s="277"/>
      <c r="G338" s="277" t="s">
        <v>2764</v>
      </c>
    </row>
    <row r="339" spans="1:9" ht="30">
      <c r="A339" s="277" t="s">
        <v>3174</v>
      </c>
      <c r="B339" s="286" t="s">
        <v>3175</v>
      </c>
      <c r="C339" s="278" t="s">
        <v>3176</v>
      </c>
      <c r="D339" s="277" t="s">
        <v>2389</v>
      </c>
      <c r="E339" s="277" t="s">
        <v>3169</v>
      </c>
      <c r="F339" s="277"/>
      <c r="G339" s="277" t="s">
        <v>2684</v>
      </c>
    </row>
    <row r="340" spans="1:9">
      <c r="A340" s="277" t="s">
        <v>3177</v>
      </c>
      <c r="B340" s="277" t="s">
        <v>3178</v>
      </c>
      <c r="C340" s="278" t="s">
        <v>3179</v>
      </c>
      <c r="D340" s="277" t="s">
        <v>2389</v>
      </c>
      <c r="E340" s="277" t="s">
        <v>3169</v>
      </c>
      <c r="F340" s="277"/>
      <c r="G340" s="277" t="s">
        <v>3180</v>
      </c>
    </row>
    <row r="341" spans="1:9" ht="30">
      <c r="A341" s="277" t="s">
        <v>3181</v>
      </c>
      <c r="B341" s="286" t="s">
        <v>3182</v>
      </c>
      <c r="C341" s="278" t="s">
        <v>3183</v>
      </c>
      <c r="D341" s="277" t="s">
        <v>1806</v>
      </c>
      <c r="E341" s="277" t="s">
        <v>3169</v>
      </c>
      <c r="F341" s="277"/>
      <c r="G341" s="277" t="s">
        <v>3184</v>
      </c>
      <c r="I341" s="287">
        <f>C341*0.1</f>
        <v>167.26500000000001</v>
      </c>
    </row>
    <row r="342" spans="1:9" ht="30">
      <c r="A342" s="277" t="s">
        <v>3185</v>
      </c>
      <c r="B342" s="286" t="s">
        <v>3186</v>
      </c>
      <c r="C342" s="278" t="s">
        <v>3187</v>
      </c>
      <c r="D342" s="277" t="s">
        <v>1806</v>
      </c>
      <c r="E342" s="277" t="s">
        <v>3169</v>
      </c>
      <c r="F342" s="277"/>
      <c r="G342" s="277" t="s">
        <v>3000</v>
      </c>
    </row>
    <row r="343" spans="1:9" ht="36" customHeight="1">
      <c r="A343" s="288" t="s">
        <v>3188</v>
      </c>
      <c r="B343" s="289" t="s">
        <v>3189</v>
      </c>
      <c r="C343" s="290" t="s">
        <v>3187</v>
      </c>
      <c r="D343" s="288" t="s">
        <v>1806</v>
      </c>
      <c r="E343" s="288" t="s">
        <v>3169</v>
      </c>
      <c r="F343" s="288"/>
      <c r="G343" s="288" t="s">
        <v>3000</v>
      </c>
    </row>
    <row r="344" spans="1:9" ht="30">
      <c r="A344" s="277" t="s">
        <v>3190</v>
      </c>
      <c r="B344" s="286" t="s">
        <v>3191</v>
      </c>
      <c r="C344" s="278" t="s">
        <v>3187</v>
      </c>
      <c r="D344" s="277" t="s">
        <v>1806</v>
      </c>
      <c r="E344" s="277" t="s">
        <v>3169</v>
      </c>
      <c r="F344" s="277"/>
      <c r="G344" s="277" t="s">
        <v>3000</v>
      </c>
    </row>
    <row r="345" spans="1:9" ht="45">
      <c r="A345" s="277" t="s">
        <v>3192</v>
      </c>
      <c r="B345" s="286" t="s">
        <v>3193</v>
      </c>
      <c r="C345" s="278" t="s">
        <v>3194</v>
      </c>
      <c r="D345" s="277" t="s">
        <v>2644</v>
      </c>
      <c r="E345" s="277" t="s">
        <v>2774</v>
      </c>
      <c r="F345" s="277"/>
      <c r="G345" s="277" t="s">
        <v>3195</v>
      </c>
    </row>
    <row r="346" spans="1:9" ht="60">
      <c r="A346" s="277" t="s">
        <v>3196</v>
      </c>
      <c r="B346" s="286" t="s">
        <v>3197</v>
      </c>
      <c r="C346" s="278"/>
      <c r="D346" s="277" t="s">
        <v>2956</v>
      </c>
      <c r="E346" s="277"/>
      <c r="F346" s="277"/>
      <c r="G346" s="277"/>
    </row>
    <row r="347" spans="1:9">
      <c r="A347" s="277" t="s">
        <v>3198</v>
      </c>
      <c r="B347" s="286" t="s">
        <v>3199</v>
      </c>
      <c r="C347" s="278" t="s">
        <v>3200</v>
      </c>
      <c r="D347" s="277" t="s">
        <v>3201</v>
      </c>
      <c r="E347" s="277" t="s">
        <v>2852</v>
      </c>
      <c r="F347" s="277"/>
      <c r="G347" s="277" t="s">
        <v>2843</v>
      </c>
    </row>
    <row r="348" spans="1:9">
      <c r="A348" s="277" t="s">
        <v>3202</v>
      </c>
      <c r="B348" s="286" t="s">
        <v>3203</v>
      </c>
      <c r="C348" s="278" t="s">
        <v>3204</v>
      </c>
      <c r="D348" s="277" t="s">
        <v>2644</v>
      </c>
      <c r="E348" s="277" t="s">
        <v>2774</v>
      </c>
      <c r="F348" s="277"/>
      <c r="G348" s="277" t="s">
        <v>2752</v>
      </c>
    </row>
    <row r="349" spans="1:9">
      <c r="A349" s="282"/>
      <c r="C349" s="279"/>
    </row>
    <row r="350" spans="1:9" ht="15.75">
      <c r="A350" s="282"/>
      <c r="B350" s="275" t="s">
        <v>3205</v>
      </c>
      <c r="C350" s="279"/>
    </row>
    <row r="351" spans="1:9" ht="30">
      <c r="A351" s="277" t="s">
        <v>3206</v>
      </c>
      <c r="B351" s="286" t="s">
        <v>3207</v>
      </c>
      <c r="C351" s="278"/>
      <c r="D351" s="277" t="s">
        <v>2956</v>
      </c>
      <c r="E351" s="277"/>
      <c r="F351" s="277"/>
      <c r="G351" s="277"/>
    </row>
    <row r="352" spans="1:9" ht="30">
      <c r="A352" s="277" t="s">
        <v>3208</v>
      </c>
      <c r="B352" s="286" t="s">
        <v>3209</v>
      </c>
      <c r="C352" s="278" t="s">
        <v>3210</v>
      </c>
      <c r="D352" s="277" t="s">
        <v>2644</v>
      </c>
      <c r="E352" s="277" t="s">
        <v>3211</v>
      </c>
      <c r="F352" s="277"/>
      <c r="G352" s="277" t="s">
        <v>3073</v>
      </c>
    </row>
    <row r="353" spans="1:7" ht="30">
      <c r="A353" s="277" t="s">
        <v>3212</v>
      </c>
      <c r="B353" s="286" t="s">
        <v>3213</v>
      </c>
      <c r="C353" s="278" t="s">
        <v>3214</v>
      </c>
      <c r="D353" s="277" t="s">
        <v>2644</v>
      </c>
      <c r="E353" s="277" t="s">
        <v>3211</v>
      </c>
      <c r="F353" s="277"/>
      <c r="G353" s="277" t="s">
        <v>3156</v>
      </c>
    </row>
    <row r="354" spans="1:7">
      <c r="A354" s="277" t="s">
        <v>3215</v>
      </c>
      <c r="B354" s="286" t="s">
        <v>3216</v>
      </c>
      <c r="C354" s="278" t="s">
        <v>3217</v>
      </c>
      <c r="D354" s="277" t="s">
        <v>3201</v>
      </c>
      <c r="E354" s="277" t="s">
        <v>2838</v>
      </c>
      <c r="F354" s="277"/>
      <c r="G354" s="277" t="s">
        <v>3069</v>
      </c>
    </row>
    <row r="355" spans="1:7" ht="15.75" customHeight="1">
      <c r="A355" s="277" t="s">
        <v>3218</v>
      </c>
      <c r="B355" s="286" t="s">
        <v>3219</v>
      </c>
      <c r="C355" s="278" t="s">
        <v>3220</v>
      </c>
      <c r="D355" s="277" t="s">
        <v>2644</v>
      </c>
      <c r="E355" s="277" t="s">
        <v>3221</v>
      </c>
      <c r="F355" s="277"/>
      <c r="G355" s="277" t="s">
        <v>3073</v>
      </c>
    </row>
    <row r="356" spans="1:7" ht="30">
      <c r="A356" s="277" t="s">
        <v>3222</v>
      </c>
      <c r="B356" s="286" t="s">
        <v>3223</v>
      </c>
      <c r="C356" s="278" t="s">
        <v>3217</v>
      </c>
      <c r="D356" s="277" t="s">
        <v>2644</v>
      </c>
      <c r="E356" s="277" t="s">
        <v>2663</v>
      </c>
      <c r="F356" s="277"/>
      <c r="G356" s="277" t="s">
        <v>3069</v>
      </c>
    </row>
    <row r="357" spans="1:7">
      <c r="A357" s="277" t="s">
        <v>3224</v>
      </c>
      <c r="B357" s="286" t="s">
        <v>3225</v>
      </c>
      <c r="C357" s="278" t="s">
        <v>3226</v>
      </c>
      <c r="D357" s="277" t="s">
        <v>2644</v>
      </c>
      <c r="E357" s="277" t="s">
        <v>2663</v>
      </c>
      <c r="F357" s="277"/>
      <c r="G357" s="277" t="s">
        <v>3227</v>
      </c>
    </row>
    <row r="358" spans="1:7">
      <c r="A358" s="277" t="s">
        <v>3228</v>
      </c>
      <c r="B358" s="286" t="s">
        <v>3229</v>
      </c>
      <c r="C358" s="278" t="s">
        <v>3230</v>
      </c>
      <c r="D358" s="277" t="s">
        <v>2644</v>
      </c>
      <c r="E358" s="277" t="s">
        <v>3231</v>
      </c>
      <c r="F358" s="277"/>
      <c r="G358" s="277" t="s">
        <v>3073</v>
      </c>
    </row>
    <row r="359" spans="1:7">
      <c r="A359" s="277" t="s">
        <v>3232</v>
      </c>
      <c r="B359" s="286" t="s">
        <v>3233</v>
      </c>
      <c r="C359" s="278" t="s">
        <v>3234</v>
      </c>
      <c r="D359" s="277" t="s">
        <v>2389</v>
      </c>
      <c r="E359" s="277" t="s">
        <v>2663</v>
      </c>
      <c r="F359" s="277"/>
      <c r="G359" s="277" t="s">
        <v>2736</v>
      </c>
    </row>
    <row r="360" spans="1:7">
      <c r="A360" s="277" t="s">
        <v>3235</v>
      </c>
      <c r="B360" s="286" t="s">
        <v>3236</v>
      </c>
      <c r="C360" s="278" t="s">
        <v>3237</v>
      </c>
      <c r="D360" s="277" t="s">
        <v>2389</v>
      </c>
      <c r="E360" s="277" t="s">
        <v>2663</v>
      </c>
      <c r="F360" s="277"/>
      <c r="G360" s="277" t="s">
        <v>2892</v>
      </c>
    </row>
    <row r="361" spans="1:7">
      <c r="A361" s="277" t="s">
        <v>3238</v>
      </c>
      <c r="B361" s="286" t="s">
        <v>3239</v>
      </c>
      <c r="C361" s="278" t="s">
        <v>3240</v>
      </c>
      <c r="D361" s="277" t="s">
        <v>2644</v>
      </c>
      <c r="E361" s="277" t="s">
        <v>3231</v>
      </c>
      <c r="F361" s="277"/>
      <c r="G361" s="277" t="s">
        <v>2752</v>
      </c>
    </row>
    <row r="362" spans="1:7">
      <c r="A362" s="277" t="s">
        <v>3241</v>
      </c>
      <c r="B362" s="286" t="s">
        <v>3242</v>
      </c>
      <c r="C362" s="278" t="s">
        <v>3243</v>
      </c>
      <c r="D362" s="277" t="s">
        <v>2644</v>
      </c>
      <c r="E362" s="277" t="s">
        <v>2663</v>
      </c>
      <c r="F362" s="277"/>
      <c r="G362" s="277" t="s">
        <v>2975</v>
      </c>
    </row>
    <row r="363" spans="1:7">
      <c r="A363" s="277" t="s">
        <v>3244</v>
      </c>
      <c r="B363" s="286" t="s">
        <v>3245</v>
      </c>
      <c r="C363" s="278" t="s">
        <v>2743</v>
      </c>
      <c r="D363" s="277" t="s">
        <v>1333</v>
      </c>
      <c r="E363" s="277" t="s">
        <v>2852</v>
      </c>
      <c r="F363" s="277"/>
      <c r="G363" s="277" t="s">
        <v>2744</v>
      </c>
    </row>
    <row r="364" spans="1:7">
      <c r="A364" s="277" t="s">
        <v>3246</v>
      </c>
      <c r="B364" s="286" t="s">
        <v>3247</v>
      </c>
      <c r="C364" s="278" t="s">
        <v>3248</v>
      </c>
      <c r="D364" s="277" t="s">
        <v>2389</v>
      </c>
      <c r="E364" s="277" t="s">
        <v>2852</v>
      </c>
      <c r="F364" s="277"/>
      <c r="G364" s="277" t="s">
        <v>2736</v>
      </c>
    </row>
    <row r="365" spans="1:7">
      <c r="A365" s="277" t="s">
        <v>3249</v>
      </c>
      <c r="B365" s="286" t="s">
        <v>3250</v>
      </c>
      <c r="C365" s="278" t="s">
        <v>3251</v>
      </c>
      <c r="D365" s="277" t="s">
        <v>2644</v>
      </c>
      <c r="E365" s="277" t="s">
        <v>2663</v>
      </c>
      <c r="F365" s="277"/>
      <c r="G365" s="277" t="s">
        <v>3252</v>
      </c>
    </row>
    <row r="366" spans="1:7">
      <c r="A366" s="277" t="s">
        <v>3253</v>
      </c>
      <c r="B366" s="286" t="s">
        <v>3254</v>
      </c>
      <c r="C366" s="278" t="s">
        <v>2662</v>
      </c>
      <c r="D366" s="277" t="s">
        <v>2644</v>
      </c>
      <c r="E366" s="277" t="s">
        <v>2663</v>
      </c>
      <c r="F366" s="277"/>
      <c r="G366" s="277" t="s">
        <v>2664</v>
      </c>
    </row>
    <row r="367" spans="1:7">
      <c r="A367" s="277" t="s">
        <v>3255</v>
      </c>
      <c r="B367" s="286" t="s">
        <v>3256</v>
      </c>
      <c r="C367" s="278" t="s">
        <v>3257</v>
      </c>
      <c r="D367" s="277" t="s">
        <v>2644</v>
      </c>
      <c r="E367" s="277" t="s">
        <v>2663</v>
      </c>
      <c r="F367" s="277"/>
      <c r="G367" s="277" t="s">
        <v>3258</v>
      </c>
    </row>
    <row r="368" spans="1:7">
      <c r="A368" s="277" t="s">
        <v>3259</v>
      </c>
      <c r="B368" s="286" t="s">
        <v>3260</v>
      </c>
      <c r="C368" s="278" t="s">
        <v>3261</v>
      </c>
      <c r="D368" s="277" t="s">
        <v>2644</v>
      </c>
      <c r="E368" s="277" t="s">
        <v>2663</v>
      </c>
      <c r="F368" s="277"/>
      <c r="G368" s="277" t="s">
        <v>3262</v>
      </c>
    </row>
    <row r="369" spans="1:7" ht="30">
      <c r="A369" s="277" t="s">
        <v>3263</v>
      </c>
      <c r="B369" s="286" t="s">
        <v>3264</v>
      </c>
      <c r="C369" s="278" t="s">
        <v>3265</v>
      </c>
      <c r="D369" s="277" t="s">
        <v>2644</v>
      </c>
      <c r="E369" s="277" t="s">
        <v>2663</v>
      </c>
      <c r="F369" s="277"/>
      <c r="G369" s="277" t="s">
        <v>3266</v>
      </c>
    </row>
    <row r="370" spans="1:7" ht="30">
      <c r="A370" s="277" t="s">
        <v>3267</v>
      </c>
      <c r="B370" s="286" t="s">
        <v>3268</v>
      </c>
      <c r="C370" s="278" t="s">
        <v>3269</v>
      </c>
      <c r="D370" s="277" t="s">
        <v>3201</v>
      </c>
      <c r="E370" s="277" t="s">
        <v>2663</v>
      </c>
      <c r="F370" s="277"/>
      <c r="G370" s="277" t="s">
        <v>3270</v>
      </c>
    </row>
    <row r="371" spans="1:7" ht="30">
      <c r="A371" s="277" t="s">
        <v>3271</v>
      </c>
      <c r="B371" s="286" t="s">
        <v>3272</v>
      </c>
      <c r="C371" s="278" t="s">
        <v>3251</v>
      </c>
      <c r="D371" s="277" t="s">
        <v>2644</v>
      </c>
      <c r="E371" s="277" t="s">
        <v>2663</v>
      </c>
      <c r="F371" s="277"/>
      <c r="G371" s="277" t="s">
        <v>3252</v>
      </c>
    </row>
    <row r="372" spans="1:7" ht="30">
      <c r="A372" s="277" t="s">
        <v>3273</v>
      </c>
      <c r="B372" s="286" t="s">
        <v>3274</v>
      </c>
      <c r="C372" s="278" t="s">
        <v>2662</v>
      </c>
      <c r="D372" s="277" t="s">
        <v>2644</v>
      </c>
      <c r="E372" s="277" t="s">
        <v>2663</v>
      </c>
      <c r="F372" s="277"/>
      <c r="G372" s="277" t="s">
        <v>2664</v>
      </c>
    </row>
    <row r="374" spans="1:7" ht="15.75">
      <c r="B374" s="285" t="s">
        <v>3275</v>
      </c>
    </row>
    <row r="376" spans="1:7" ht="15.75">
      <c r="A376" s="272"/>
      <c r="B376" s="272" t="s">
        <v>3276</v>
      </c>
      <c r="C376" s="272" t="s">
        <v>3277</v>
      </c>
      <c r="D376" s="272" t="s">
        <v>151</v>
      </c>
    </row>
    <row r="377" spans="1:7">
      <c r="A377" s="277" t="s">
        <v>3278</v>
      </c>
      <c r="B377" s="277" t="s">
        <v>3279</v>
      </c>
      <c r="C377" s="278" t="s">
        <v>3280</v>
      </c>
      <c r="D377" s="277" t="s">
        <v>3281</v>
      </c>
    </row>
    <row r="378" spans="1:7">
      <c r="A378" s="277" t="s">
        <v>3282</v>
      </c>
      <c r="B378" s="277" t="s">
        <v>3283</v>
      </c>
      <c r="C378" s="278" t="s">
        <v>3284</v>
      </c>
      <c r="D378" s="277" t="s">
        <v>3281</v>
      </c>
    </row>
    <row r="379" spans="1:7">
      <c r="A379" s="277" t="s">
        <v>3285</v>
      </c>
      <c r="B379" s="277" t="s">
        <v>3286</v>
      </c>
      <c r="C379" s="278" t="s">
        <v>3287</v>
      </c>
      <c r="D379" s="277" t="s">
        <v>3288</v>
      </c>
    </row>
    <row r="380" spans="1:7" ht="34.5" customHeight="1">
      <c r="A380" s="288" t="s">
        <v>3289</v>
      </c>
      <c r="B380" s="289" t="s">
        <v>3290</v>
      </c>
      <c r="C380" s="290" t="s">
        <v>3287</v>
      </c>
      <c r="D380" s="288" t="s">
        <v>3288</v>
      </c>
    </row>
    <row r="381" spans="1:7">
      <c r="A381" s="277" t="s">
        <v>3291</v>
      </c>
      <c r="B381" s="277" t="s">
        <v>3292</v>
      </c>
      <c r="C381" s="278" t="s">
        <v>3287</v>
      </c>
      <c r="D381" s="277" t="s">
        <v>3288</v>
      </c>
    </row>
    <row r="382" spans="1:7">
      <c r="A382" s="277" t="s">
        <v>3293</v>
      </c>
      <c r="B382" s="277" t="s">
        <v>3294</v>
      </c>
      <c r="C382" s="278" t="s">
        <v>3295</v>
      </c>
      <c r="D382" s="277" t="s">
        <v>3288</v>
      </c>
    </row>
    <row r="383" spans="1:7">
      <c r="A383" s="277" t="s">
        <v>3296</v>
      </c>
      <c r="B383" s="277" t="s">
        <v>3297</v>
      </c>
      <c r="C383" s="278" t="s">
        <v>3298</v>
      </c>
      <c r="D383" s="277" t="s">
        <v>3281</v>
      </c>
    </row>
    <row r="384" spans="1:7">
      <c r="A384" s="277" t="s">
        <v>3299</v>
      </c>
      <c r="B384" s="277" t="s">
        <v>3300</v>
      </c>
      <c r="C384" s="278" t="s">
        <v>3298</v>
      </c>
      <c r="D384" s="277" t="s">
        <v>3281</v>
      </c>
    </row>
    <row r="385" spans="1:4">
      <c r="A385" s="277" t="s">
        <v>3301</v>
      </c>
      <c r="B385" s="277" t="s">
        <v>3302</v>
      </c>
      <c r="C385" s="278" t="s">
        <v>3298</v>
      </c>
      <c r="D385" s="277" t="s">
        <v>3281</v>
      </c>
    </row>
    <row r="386" spans="1:4">
      <c r="A386" s="277" t="s">
        <v>3303</v>
      </c>
      <c r="B386" s="277" t="s">
        <v>3304</v>
      </c>
      <c r="C386" s="278" t="s">
        <v>3305</v>
      </c>
      <c r="D386" s="277" t="s">
        <v>3306</v>
      </c>
    </row>
    <row r="389" spans="1:4" ht="18.75">
      <c r="A389" s="1718" t="s">
        <v>3307</v>
      </c>
      <c r="B389" s="1718"/>
      <c r="C389" s="1718"/>
      <c r="D389" s="1718"/>
    </row>
    <row r="391" spans="1:4" ht="15.75">
      <c r="B391" s="276" t="s">
        <v>2383</v>
      </c>
      <c r="C391" s="291" t="s">
        <v>2069</v>
      </c>
      <c r="D391" s="275" t="s">
        <v>3308</v>
      </c>
    </row>
    <row r="392" spans="1:4" ht="15.75">
      <c r="B392" s="275" t="s">
        <v>3309</v>
      </c>
    </row>
    <row r="393" spans="1:4">
      <c r="A393" s="277" t="s">
        <v>3310</v>
      </c>
      <c r="B393" s="289" t="s">
        <v>3311</v>
      </c>
      <c r="C393" s="278" t="s">
        <v>3312</v>
      </c>
      <c r="D393" s="278" t="s">
        <v>3313</v>
      </c>
    </row>
    <row r="394" spans="1:4">
      <c r="A394" s="277" t="s">
        <v>3314</v>
      </c>
      <c r="B394" s="289" t="s">
        <v>3315</v>
      </c>
      <c r="C394" s="278" t="s">
        <v>3312</v>
      </c>
      <c r="D394" s="278" t="s">
        <v>3316</v>
      </c>
    </row>
    <row r="395" spans="1:4">
      <c r="A395" s="277" t="s">
        <v>3317</v>
      </c>
      <c r="B395" s="289" t="s">
        <v>3318</v>
      </c>
      <c r="C395" s="278" t="s">
        <v>3312</v>
      </c>
      <c r="D395" s="278" t="s">
        <v>3319</v>
      </c>
    </row>
    <row r="396" spans="1:4">
      <c r="A396" s="277" t="s">
        <v>3320</v>
      </c>
      <c r="B396" s="289" t="s">
        <v>3321</v>
      </c>
      <c r="C396" s="278" t="s">
        <v>3312</v>
      </c>
      <c r="D396" s="278" t="s">
        <v>3322</v>
      </c>
    </row>
    <row r="397" spans="1:4">
      <c r="A397" s="277" t="s">
        <v>3323</v>
      </c>
      <c r="B397" s="289" t="s">
        <v>3324</v>
      </c>
      <c r="C397" s="278" t="s">
        <v>3312</v>
      </c>
      <c r="D397" s="278" t="s">
        <v>3319</v>
      </c>
    </row>
    <row r="398" spans="1:4">
      <c r="A398" s="277" t="s">
        <v>3325</v>
      </c>
      <c r="B398" s="289" t="s">
        <v>3326</v>
      </c>
      <c r="C398" s="278" t="s">
        <v>3312</v>
      </c>
      <c r="D398" s="278" t="s">
        <v>2770</v>
      </c>
    </row>
    <row r="399" spans="1:4">
      <c r="A399" s="277" t="s">
        <v>3327</v>
      </c>
      <c r="B399" s="289" t="s">
        <v>3328</v>
      </c>
      <c r="C399" s="278" t="s">
        <v>3312</v>
      </c>
      <c r="D399" s="278" t="s">
        <v>3313</v>
      </c>
    </row>
    <row r="400" spans="1:4">
      <c r="A400" s="277" t="s">
        <v>3329</v>
      </c>
      <c r="B400" s="289" t="s">
        <v>3330</v>
      </c>
      <c r="C400" s="278" t="s">
        <v>3312</v>
      </c>
      <c r="D400" s="278" t="s">
        <v>3316</v>
      </c>
    </row>
    <row r="401" spans="1:4">
      <c r="A401" s="277" t="s">
        <v>3331</v>
      </c>
      <c r="B401" s="289" t="s">
        <v>3332</v>
      </c>
      <c r="C401" s="278" t="s">
        <v>3312</v>
      </c>
      <c r="D401" s="278" t="s">
        <v>3333</v>
      </c>
    </row>
    <row r="402" spans="1:4">
      <c r="A402" s="277" t="s">
        <v>3334</v>
      </c>
      <c r="B402" s="289" t="s">
        <v>3335</v>
      </c>
      <c r="C402" s="278" t="s">
        <v>3312</v>
      </c>
      <c r="D402" s="278" t="s">
        <v>3333</v>
      </c>
    </row>
    <row r="403" spans="1:4">
      <c r="A403" s="277" t="s">
        <v>3336</v>
      </c>
      <c r="B403" s="289" t="s">
        <v>3337</v>
      </c>
      <c r="C403" s="278" t="s">
        <v>3312</v>
      </c>
      <c r="D403" s="278" t="s">
        <v>3333</v>
      </c>
    </row>
    <row r="404" spans="1:4">
      <c r="A404" s="277" t="s">
        <v>3338</v>
      </c>
      <c r="B404" s="289" t="s">
        <v>3339</v>
      </c>
      <c r="C404" s="278" t="s">
        <v>3312</v>
      </c>
      <c r="D404" s="278" t="s">
        <v>3340</v>
      </c>
    </row>
    <row r="405" spans="1:4">
      <c r="A405" s="277" t="s">
        <v>3341</v>
      </c>
      <c r="B405" s="289" t="s">
        <v>3342</v>
      </c>
      <c r="C405" s="278" t="s">
        <v>3312</v>
      </c>
      <c r="D405" s="278" t="s">
        <v>2770</v>
      </c>
    </row>
    <row r="406" spans="1:4">
      <c r="A406" s="277" t="s">
        <v>3343</v>
      </c>
      <c r="B406" s="289" t="s">
        <v>3344</v>
      </c>
      <c r="C406" s="278" t="s">
        <v>3312</v>
      </c>
      <c r="D406" s="278" t="s">
        <v>3345</v>
      </c>
    </row>
    <row r="407" spans="1:4">
      <c r="A407" s="277" t="s">
        <v>3346</v>
      </c>
      <c r="B407" s="289" t="s">
        <v>3347</v>
      </c>
      <c r="C407" s="278" t="s">
        <v>3312</v>
      </c>
      <c r="D407" s="278" t="s">
        <v>2770</v>
      </c>
    </row>
    <row r="408" spans="1:4">
      <c r="A408" s="277" t="s">
        <v>3348</v>
      </c>
      <c r="B408" s="289" t="s">
        <v>3349</v>
      </c>
      <c r="C408" s="278" t="s">
        <v>3312</v>
      </c>
      <c r="D408" s="278" t="s">
        <v>3316</v>
      </c>
    </row>
    <row r="409" spans="1:4">
      <c r="A409" s="277" t="s">
        <v>3350</v>
      </c>
      <c r="B409" s="289" t="s">
        <v>3351</v>
      </c>
      <c r="C409" s="278" t="s">
        <v>3312</v>
      </c>
      <c r="D409" s="278" t="s">
        <v>3352</v>
      </c>
    </row>
    <row r="410" spans="1:4">
      <c r="A410" s="277" t="s">
        <v>3353</v>
      </c>
      <c r="B410" s="289" t="s">
        <v>3354</v>
      </c>
      <c r="C410" s="278" t="s">
        <v>3312</v>
      </c>
      <c r="D410" s="278" t="s">
        <v>3355</v>
      </c>
    </row>
    <row r="411" spans="1:4">
      <c r="A411" s="277" t="s">
        <v>3356</v>
      </c>
      <c r="B411" s="289" t="s">
        <v>3357</v>
      </c>
      <c r="C411" s="278" t="s">
        <v>3312</v>
      </c>
      <c r="D411" s="278" t="s">
        <v>3358</v>
      </c>
    </row>
    <row r="412" spans="1:4">
      <c r="A412" s="277" t="s">
        <v>3359</v>
      </c>
      <c r="B412" s="289" t="s">
        <v>3360</v>
      </c>
      <c r="C412" s="278" t="s">
        <v>3312</v>
      </c>
      <c r="D412" s="278" t="s">
        <v>3361</v>
      </c>
    </row>
    <row r="413" spans="1:4">
      <c r="A413" s="277" t="s">
        <v>3362</v>
      </c>
      <c r="B413" s="289" t="s">
        <v>3363</v>
      </c>
      <c r="C413" s="278" t="s">
        <v>3312</v>
      </c>
      <c r="D413" s="278" t="s">
        <v>3358</v>
      </c>
    </row>
    <row r="414" spans="1:4">
      <c r="A414" s="277" t="s">
        <v>3364</v>
      </c>
      <c r="B414" s="289" t="s">
        <v>3365</v>
      </c>
      <c r="C414" s="278" t="s">
        <v>3312</v>
      </c>
      <c r="D414" s="278" t="s">
        <v>3366</v>
      </c>
    </row>
    <row r="415" spans="1:4">
      <c r="A415" s="277" t="s">
        <v>3367</v>
      </c>
      <c r="B415" s="289" t="s">
        <v>3368</v>
      </c>
      <c r="C415" s="278" t="s">
        <v>3312</v>
      </c>
      <c r="D415" s="278" t="s">
        <v>3316</v>
      </c>
    </row>
    <row r="416" spans="1:4">
      <c r="A416" s="277" t="s">
        <v>3369</v>
      </c>
      <c r="B416" s="289" t="s">
        <v>3370</v>
      </c>
      <c r="C416" s="278" t="s">
        <v>3312</v>
      </c>
      <c r="D416" s="278" t="s">
        <v>3333</v>
      </c>
    </row>
    <row r="417" spans="1:4">
      <c r="A417" s="277" t="s">
        <v>3371</v>
      </c>
      <c r="B417" s="289" t="s">
        <v>3372</v>
      </c>
      <c r="C417" s="278" t="s">
        <v>3312</v>
      </c>
      <c r="D417" s="278" t="s">
        <v>3361</v>
      </c>
    </row>
    <row r="418" spans="1:4">
      <c r="A418" s="277" t="s">
        <v>3373</v>
      </c>
      <c r="B418" s="289" t="s">
        <v>3374</v>
      </c>
      <c r="C418" s="278" t="s">
        <v>3312</v>
      </c>
      <c r="D418" s="278" t="s">
        <v>3316</v>
      </c>
    </row>
    <row r="419" spans="1:4">
      <c r="A419" s="277" t="s">
        <v>3375</v>
      </c>
      <c r="B419" s="289" t="s">
        <v>3376</v>
      </c>
      <c r="C419" s="278" t="s">
        <v>3312</v>
      </c>
      <c r="D419" s="278" t="s">
        <v>3377</v>
      </c>
    </row>
    <row r="420" spans="1:4">
      <c r="A420" s="277" t="s">
        <v>3378</v>
      </c>
      <c r="B420" s="289" t="s">
        <v>3379</v>
      </c>
      <c r="C420" s="278" t="s">
        <v>3312</v>
      </c>
      <c r="D420" s="278" t="s">
        <v>3316</v>
      </c>
    </row>
    <row r="421" spans="1:4">
      <c r="A421" s="277" t="s">
        <v>3380</v>
      </c>
      <c r="B421" s="289" t="s">
        <v>3381</v>
      </c>
      <c r="C421" s="278" t="s">
        <v>3312</v>
      </c>
      <c r="D421" s="278" t="s">
        <v>3352</v>
      </c>
    </row>
    <row r="422" spans="1:4" ht="30">
      <c r="A422" s="277" t="s">
        <v>3382</v>
      </c>
      <c r="B422" s="289" t="s">
        <v>3383</v>
      </c>
      <c r="C422" s="278" t="s">
        <v>3312</v>
      </c>
      <c r="D422" s="278" t="s">
        <v>209</v>
      </c>
    </row>
    <row r="423" spans="1:4">
      <c r="A423" s="277" t="s">
        <v>3384</v>
      </c>
      <c r="B423" s="289" t="s">
        <v>3385</v>
      </c>
      <c r="C423" s="278" t="s">
        <v>3312</v>
      </c>
      <c r="D423" s="278" t="s">
        <v>3352</v>
      </c>
    </row>
    <row r="424" spans="1:4">
      <c r="A424" s="277" t="s">
        <v>3386</v>
      </c>
      <c r="B424" s="289" t="s">
        <v>3387</v>
      </c>
      <c r="C424" s="278" t="s">
        <v>3312</v>
      </c>
      <c r="D424" s="278" t="s">
        <v>209</v>
      </c>
    </row>
    <row r="425" spans="1:4">
      <c r="A425" s="277" t="s">
        <v>3388</v>
      </c>
      <c r="B425" s="289" t="s">
        <v>3389</v>
      </c>
      <c r="C425" s="278" t="s">
        <v>3312</v>
      </c>
      <c r="D425" s="278" t="s">
        <v>3355</v>
      </c>
    </row>
    <row r="426" spans="1:4" ht="30">
      <c r="A426" s="277" t="s">
        <v>3390</v>
      </c>
      <c r="B426" s="289" t="s">
        <v>3391</v>
      </c>
      <c r="C426" s="278" t="s">
        <v>3312</v>
      </c>
      <c r="D426" s="278" t="s">
        <v>209</v>
      </c>
    </row>
    <row r="427" spans="1:4">
      <c r="A427" s="277" t="s">
        <v>3392</v>
      </c>
      <c r="B427" s="289" t="s">
        <v>3393</v>
      </c>
      <c r="C427" s="278" t="s">
        <v>3312</v>
      </c>
      <c r="D427" s="278" t="s">
        <v>3316</v>
      </c>
    </row>
    <row r="428" spans="1:4">
      <c r="A428" s="277" t="s">
        <v>3394</v>
      </c>
      <c r="B428" s="289" t="s">
        <v>3395</v>
      </c>
      <c r="C428" s="278" t="s">
        <v>3312</v>
      </c>
      <c r="D428" s="278" t="s">
        <v>3396</v>
      </c>
    </row>
    <row r="429" spans="1:4">
      <c r="A429" s="277" t="s">
        <v>3397</v>
      </c>
      <c r="B429" s="289" t="s">
        <v>3398</v>
      </c>
      <c r="C429" s="278" t="s">
        <v>3312</v>
      </c>
      <c r="D429" s="278" t="s">
        <v>3399</v>
      </c>
    </row>
    <row r="430" spans="1:4">
      <c r="A430" s="277" t="s">
        <v>3400</v>
      </c>
      <c r="B430" s="289" t="s">
        <v>3401</v>
      </c>
      <c r="C430" s="278" t="s">
        <v>3312</v>
      </c>
      <c r="D430" s="278" t="s">
        <v>3402</v>
      </c>
    </row>
    <row r="431" spans="1:4">
      <c r="A431" s="277" t="s">
        <v>3403</v>
      </c>
      <c r="B431" s="289" t="s">
        <v>3404</v>
      </c>
      <c r="C431" s="278" t="s">
        <v>3312</v>
      </c>
      <c r="D431" s="278" t="s">
        <v>3377</v>
      </c>
    </row>
    <row r="432" spans="1:4">
      <c r="A432" s="277" t="s">
        <v>3405</v>
      </c>
      <c r="B432" s="289" t="s">
        <v>3406</v>
      </c>
      <c r="C432" s="278" t="s">
        <v>3312</v>
      </c>
      <c r="D432" s="278" t="s">
        <v>3333</v>
      </c>
    </row>
    <row r="433" spans="1:4" ht="30">
      <c r="B433" s="289" t="s">
        <v>3407</v>
      </c>
      <c r="C433" s="279"/>
      <c r="D433" s="279"/>
    </row>
    <row r="434" spans="1:4" ht="30">
      <c r="A434" s="277" t="s">
        <v>3408</v>
      </c>
      <c r="B434" s="289" t="s">
        <v>3409</v>
      </c>
      <c r="C434" s="278" t="s">
        <v>3312</v>
      </c>
      <c r="D434" s="278" t="s">
        <v>3352</v>
      </c>
    </row>
    <row r="435" spans="1:4" ht="30">
      <c r="A435" s="277" t="s">
        <v>3410</v>
      </c>
      <c r="B435" s="289" t="s">
        <v>3411</v>
      </c>
      <c r="C435" s="278" t="s">
        <v>3312</v>
      </c>
      <c r="D435" s="278" t="s">
        <v>209</v>
      </c>
    </row>
    <row r="436" spans="1:4" ht="30">
      <c r="A436" s="277" t="s">
        <v>3412</v>
      </c>
      <c r="B436" s="289" t="s">
        <v>3413</v>
      </c>
      <c r="C436" s="278" t="s">
        <v>3312</v>
      </c>
      <c r="D436" s="278" t="s">
        <v>209</v>
      </c>
    </row>
    <row r="437" spans="1:4">
      <c r="A437" s="277" t="s">
        <v>3414</v>
      </c>
      <c r="B437" s="289" t="s">
        <v>3415</v>
      </c>
      <c r="C437" s="278" t="s">
        <v>3312</v>
      </c>
      <c r="D437" s="278" t="s">
        <v>209</v>
      </c>
    </row>
    <row r="438" spans="1:4" ht="30">
      <c r="A438" s="277" t="s">
        <v>3416</v>
      </c>
      <c r="B438" s="289" t="s">
        <v>3417</v>
      </c>
      <c r="C438" s="278" t="s">
        <v>3312</v>
      </c>
      <c r="D438" s="278" t="s">
        <v>209</v>
      </c>
    </row>
    <row r="439" spans="1:4" ht="30">
      <c r="A439" s="277" t="s">
        <v>3418</v>
      </c>
      <c r="B439" s="289" t="s">
        <v>3419</v>
      </c>
      <c r="C439" s="278" t="s">
        <v>3312</v>
      </c>
      <c r="D439" s="278" t="s">
        <v>209</v>
      </c>
    </row>
    <row r="440" spans="1:4">
      <c r="B440" s="289" t="s">
        <v>3420</v>
      </c>
      <c r="C440" s="279"/>
      <c r="D440" s="279"/>
    </row>
    <row r="441" spans="1:4">
      <c r="A441" s="277" t="s">
        <v>3421</v>
      </c>
      <c r="B441" s="289" t="s">
        <v>3422</v>
      </c>
      <c r="C441" s="278" t="s">
        <v>3312</v>
      </c>
      <c r="D441" s="278" t="s">
        <v>3361</v>
      </c>
    </row>
    <row r="442" spans="1:4">
      <c r="A442" s="277" t="s">
        <v>3423</v>
      </c>
      <c r="B442" s="289" t="s">
        <v>3424</v>
      </c>
      <c r="C442" s="278" t="s">
        <v>3312</v>
      </c>
      <c r="D442" s="278" t="s">
        <v>3377</v>
      </c>
    </row>
    <row r="443" spans="1:4">
      <c r="A443" s="277" t="s">
        <v>3425</v>
      </c>
      <c r="B443" s="289" t="s">
        <v>3426</v>
      </c>
      <c r="C443" s="278" t="s">
        <v>3312</v>
      </c>
      <c r="D443" s="278" t="s">
        <v>3316</v>
      </c>
    </row>
    <row r="444" spans="1:4">
      <c r="A444" s="277" t="s">
        <v>3427</v>
      </c>
      <c r="B444" s="289" t="s">
        <v>3428</v>
      </c>
      <c r="C444" s="278" t="s">
        <v>3312</v>
      </c>
      <c r="D444" s="278" t="s">
        <v>3313</v>
      </c>
    </row>
    <row r="445" spans="1:4">
      <c r="A445" s="277" t="s">
        <v>3429</v>
      </c>
      <c r="B445" s="289" t="s">
        <v>3430</v>
      </c>
      <c r="C445" s="278" t="s">
        <v>3312</v>
      </c>
      <c r="D445" s="278" t="s">
        <v>3377</v>
      </c>
    </row>
    <row r="446" spans="1:4">
      <c r="A446" s="277" t="s">
        <v>3431</v>
      </c>
      <c r="B446" s="289" t="s">
        <v>3432</v>
      </c>
      <c r="C446" s="278" t="s">
        <v>3312</v>
      </c>
      <c r="D446" s="278" t="s">
        <v>3433</v>
      </c>
    </row>
    <row r="447" spans="1:4">
      <c r="A447" s="277" t="s">
        <v>3434</v>
      </c>
      <c r="B447" s="289" t="s">
        <v>3435</v>
      </c>
      <c r="C447" s="278" t="s">
        <v>3312</v>
      </c>
      <c r="D447" s="278" t="s">
        <v>3319</v>
      </c>
    </row>
    <row r="448" spans="1:4">
      <c r="B448" s="289" t="s">
        <v>3436</v>
      </c>
      <c r="C448" s="279"/>
      <c r="D448" s="279"/>
    </row>
    <row r="449" spans="1:4">
      <c r="A449" s="277" t="s">
        <v>3437</v>
      </c>
      <c r="B449" s="289" t="s">
        <v>3438</v>
      </c>
      <c r="C449" s="278" t="s">
        <v>3312</v>
      </c>
      <c r="D449" s="278" t="s">
        <v>3361</v>
      </c>
    </row>
    <row r="450" spans="1:4">
      <c r="A450" s="277" t="s">
        <v>3439</v>
      </c>
      <c r="B450" s="289" t="s">
        <v>3440</v>
      </c>
      <c r="C450" s="278" t="s">
        <v>3312</v>
      </c>
      <c r="D450" s="278" t="s">
        <v>3313</v>
      </c>
    </row>
    <row r="451" spans="1:4">
      <c r="A451" s="277" t="s">
        <v>3441</v>
      </c>
      <c r="B451" s="289" t="s">
        <v>3442</v>
      </c>
      <c r="C451" s="278" t="s">
        <v>3312</v>
      </c>
      <c r="D451" s="278" t="s">
        <v>3377</v>
      </c>
    </row>
    <row r="452" spans="1:4">
      <c r="A452" s="277" t="s">
        <v>3443</v>
      </c>
      <c r="B452" s="289" t="s">
        <v>3444</v>
      </c>
      <c r="C452" s="278" t="s">
        <v>3312</v>
      </c>
      <c r="D452" s="278" t="s">
        <v>3345</v>
      </c>
    </row>
    <row r="453" spans="1:4">
      <c r="B453" s="289" t="s">
        <v>3445</v>
      </c>
      <c r="C453" s="279"/>
      <c r="D453" s="279"/>
    </row>
    <row r="454" spans="1:4">
      <c r="A454" s="277" t="s">
        <v>3446</v>
      </c>
      <c r="B454" s="289" t="s">
        <v>3447</v>
      </c>
      <c r="C454" s="278" t="s">
        <v>3312</v>
      </c>
      <c r="D454" s="278" t="s">
        <v>3448</v>
      </c>
    </row>
    <row r="455" spans="1:4">
      <c r="A455" s="277" t="s">
        <v>3449</v>
      </c>
      <c r="B455" s="289" t="s">
        <v>3450</v>
      </c>
      <c r="C455" s="278" t="s">
        <v>3312</v>
      </c>
      <c r="D455" s="278" t="s">
        <v>3361</v>
      </c>
    </row>
    <row r="456" spans="1:4">
      <c r="A456" s="277" t="s">
        <v>3451</v>
      </c>
      <c r="B456" s="289" t="s">
        <v>3452</v>
      </c>
      <c r="C456" s="278" t="s">
        <v>3312</v>
      </c>
      <c r="D456" s="278" t="s">
        <v>3313</v>
      </c>
    </row>
    <row r="457" spans="1:4">
      <c r="A457" s="277" t="s">
        <v>3453</v>
      </c>
      <c r="B457" s="289" t="s">
        <v>3454</v>
      </c>
      <c r="C457" s="278" t="s">
        <v>3312</v>
      </c>
      <c r="D457" s="278" t="s">
        <v>3399</v>
      </c>
    </row>
    <row r="458" spans="1:4">
      <c r="A458" s="277" t="s">
        <v>3455</v>
      </c>
      <c r="B458" s="289" t="s">
        <v>3456</v>
      </c>
      <c r="C458" s="278" t="s">
        <v>3312</v>
      </c>
      <c r="D458" s="278" t="s">
        <v>2770</v>
      </c>
    </row>
    <row r="459" spans="1:4">
      <c r="B459" s="289" t="s">
        <v>3457</v>
      </c>
      <c r="C459" s="279"/>
      <c r="D459" s="279"/>
    </row>
    <row r="460" spans="1:4">
      <c r="A460" s="277" t="s">
        <v>3458</v>
      </c>
      <c r="B460" s="289" t="s">
        <v>3459</v>
      </c>
      <c r="C460" s="278" t="s">
        <v>3312</v>
      </c>
      <c r="D460" s="278" t="s">
        <v>3448</v>
      </c>
    </row>
    <row r="461" spans="1:4">
      <c r="A461" s="277" t="s">
        <v>3460</v>
      </c>
      <c r="B461" s="289" t="s">
        <v>3461</v>
      </c>
      <c r="C461" s="278" t="s">
        <v>3312</v>
      </c>
      <c r="D461" s="278" t="s">
        <v>3361</v>
      </c>
    </row>
    <row r="462" spans="1:4">
      <c r="A462" s="277" t="s">
        <v>3462</v>
      </c>
      <c r="B462" s="289" t="s">
        <v>3463</v>
      </c>
      <c r="C462" s="278" t="s">
        <v>3312</v>
      </c>
      <c r="D462" s="278" t="s">
        <v>3313</v>
      </c>
    </row>
    <row r="463" spans="1:4">
      <c r="A463" s="277" t="s">
        <v>3464</v>
      </c>
      <c r="B463" s="289" t="s">
        <v>3465</v>
      </c>
      <c r="C463" s="278" t="s">
        <v>3312</v>
      </c>
      <c r="D463" s="278" t="s">
        <v>209</v>
      </c>
    </row>
    <row r="464" spans="1:4">
      <c r="A464" s="277" t="s">
        <v>3466</v>
      </c>
      <c r="B464" s="289" t="s">
        <v>3467</v>
      </c>
      <c r="C464" s="278" t="s">
        <v>3312</v>
      </c>
      <c r="D464" s="278" t="s">
        <v>3316</v>
      </c>
    </row>
    <row r="465" spans="1:4" ht="30">
      <c r="B465" s="289" t="s">
        <v>3468</v>
      </c>
      <c r="C465" s="279"/>
      <c r="D465" s="279"/>
    </row>
    <row r="466" spans="1:4">
      <c r="A466" s="277" t="s">
        <v>3469</v>
      </c>
      <c r="B466" s="289" t="s">
        <v>3470</v>
      </c>
      <c r="C466" s="278" t="s">
        <v>3312</v>
      </c>
      <c r="D466" s="278" t="s">
        <v>3471</v>
      </c>
    </row>
    <row r="467" spans="1:4">
      <c r="A467" s="277" t="s">
        <v>3472</v>
      </c>
      <c r="B467" s="289" t="s">
        <v>3473</v>
      </c>
      <c r="C467" s="278" t="s">
        <v>3312</v>
      </c>
      <c r="D467" s="278" t="s">
        <v>3471</v>
      </c>
    </row>
    <row r="468" spans="1:4">
      <c r="A468" s="277" t="s">
        <v>3474</v>
      </c>
      <c r="B468" s="289" t="s">
        <v>3475</v>
      </c>
      <c r="C468" s="278" t="s">
        <v>3312</v>
      </c>
      <c r="D468" s="278" t="s">
        <v>3476</v>
      </c>
    </row>
    <row r="469" spans="1:4">
      <c r="A469" s="277" t="s">
        <v>3477</v>
      </c>
      <c r="B469" s="289" t="s">
        <v>3478</v>
      </c>
      <c r="C469" s="278" t="s">
        <v>3312</v>
      </c>
      <c r="D469" s="278" t="s">
        <v>3479</v>
      </c>
    </row>
    <row r="470" spans="1:4">
      <c r="B470" s="289" t="s">
        <v>3480</v>
      </c>
      <c r="C470" s="279"/>
      <c r="D470" s="279"/>
    </row>
    <row r="471" spans="1:4" ht="30" customHeight="1">
      <c r="A471" s="1719" t="s">
        <v>3481</v>
      </c>
      <c r="B471" s="1719"/>
      <c r="C471" s="1719"/>
      <c r="D471" s="1719"/>
    </row>
    <row r="472" spans="1:4">
      <c r="A472" s="277" t="s">
        <v>3482</v>
      </c>
      <c r="B472" s="289" t="s">
        <v>3483</v>
      </c>
      <c r="C472" s="278" t="s">
        <v>2389</v>
      </c>
      <c r="D472" s="278" t="s">
        <v>3484</v>
      </c>
    </row>
    <row r="473" spans="1:4">
      <c r="A473" s="277" t="s">
        <v>3485</v>
      </c>
      <c r="B473" s="289" t="s">
        <v>3486</v>
      </c>
      <c r="C473" s="278" t="s">
        <v>2389</v>
      </c>
      <c r="D473" s="278" t="s">
        <v>3487</v>
      </c>
    </row>
    <row r="474" spans="1:4">
      <c r="A474" s="277" t="s">
        <v>3488</v>
      </c>
      <c r="B474" s="289" t="s">
        <v>3489</v>
      </c>
      <c r="C474" s="278" t="s">
        <v>2389</v>
      </c>
      <c r="D474" s="278" t="s">
        <v>3490</v>
      </c>
    </row>
    <row r="475" spans="1:4">
      <c r="A475" s="277" t="s">
        <v>3491</v>
      </c>
      <c r="B475" s="289" t="s">
        <v>3492</v>
      </c>
      <c r="C475" s="278" t="s">
        <v>2389</v>
      </c>
      <c r="D475" s="278" t="s">
        <v>3493</v>
      </c>
    </row>
    <row r="476" spans="1:4" ht="35.25" customHeight="1">
      <c r="B476" s="292" t="s">
        <v>3494</v>
      </c>
    </row>
    <row r="477" spans="1:4">
      <c r="A477" s="277" t="s">
        <v>3495</v>
      </c>
      <c r="B477" s="277" t="s">
        <v>3496</v>
      </c>
      <c r="C477" s="278" t="s">
        <v>3312</v>
      </c>
      <c r="D477" s="278" t="s">
        <v>3361</v>
      </c>
    </row>
    <row r="478" spans="1:4">
      <c r="A478" s="277" t="s">
        <v>3497</v>
      </c>
      <c r="B478" s="277" t="s">
        <v>3498</v>
      </c>
      <c r="C478" s="278" t="s">
        <v>3312</v>
      </c>
      <c r="D478" s="278" t="s">
        <v>3361</v>
      </c>
    </row>
    <row r="479" spans="1:4">
      <c r="A479" s="277" t="s">
        <v>3499</v>
      </c>
      <c r="B479" s="277" t="s">
        <v>3500</v>
      </c>
      <c r="C479" s="278" t="s">
        <v>3312</v>
      </c>
      <c r="D479" s="278" t="s">
        <v>3377</v>
      </c>
    </row>
    <row r="480" spans="1:4">
      <c r="A480" s="277" t="s">
        <v>3501</v>
      </c>
      <c r="B480" s="277" t="s">
        <v>3502</v>
      </c>
      <c r="C480" s="278" t="s">
        <v>3312</v>
      </c>
      <c r="D480" s="278" t="s">
        <v>3361</v>
      </c>
    </row>
    <row r="481" spans="1:4">
      <c r="A481" s="277" t="s">
        <v>3503</v>
      </c>
      <c r="B481" s="277" t="s">
        <v>3504</v>
      </c>
      <c r="C481" s="278" t="s">
        <v>3312</v>
      </c>
      <c r="D481" s="278" t="s">
        <v>3377</v>
      </c>
    </row>
    <row r="482" spans="1:4">
      <c r="A482" s="277" t="s">
        <v>3505</v>
      </c>
      <c r="B482" s="277" t="s">
        <v>3506</v>
      </c>
      <c r="C482" s="278" t="s">
        <v>3312</v>
      </c>
      <c r="D482" s="278" t="s">
        <v>3333</v>
      </c>
    </row>
    <row r="483" spans="1:4" ht="30">
      <c r="A483" s="277" t="s">
        <v>3507</v>
      </c>
      <c r="B483" s="286" t="s">
        <v>3508</v>
      </c>
      <c r="C483" s="278" t="s">
        <v>3312</v>
      </c>
      <c r="D483" s="278" t="s">
        <v>3377</v>
      </c>
    </row>
    <row r="484" spans="1:4">
      <c r="A484" s="277" t="s">
        <v>3509</v>
      </c>
      <c r="B484" s="277" t="s">
        <v>3510</v>
      </c>
      <c r="C484" s="278" t="s">
        <v>3312</v>
      </c>
      <c r="D484" s="278" t="s">
        <v>209</v>
      </c>
    </row>
    <row r="485" spans="1:4">
      <c r="A485" s="277" t="s">
        <v>3511</v>
      </c>
      <c r="B485" s="277" t="s">
        <v>3512</v>
      </c>
      <c r="C485" s="278" t="s">
        <v>3312</v>
      </c>
      <c r="D485" s="278" t="s">
        <v>3377</v>
      </c>
    </row>
    <row r="486" spans="1:4">
      <c r="A486" s="277" t="s">
        <v>3513</v>
      </c>
      <c r="B486" s="277" t="s">
        <v>3514</v>
      </c>
      <c r="C486" s="278" t="s">
        <v>3312</v>
      </c>
      <c r="D486" s="278" t="s">
        <v>209</v>
      </c>
    </row>
    <row r="487" spans="1:4" ht="15.75">
      <c r="B487" s="275" t="s">
        <v>3515</v>
      </c>
    </row>
    <row r="488" spans="1:4" ht="30">
      <c r="A488" s="277" t="s">
        <v>3516</v>
      </c>
      <c r="B488" s="286" t="s">
        <v>3517</v>
      </c>
      <c r="C488" s="278" t="s">
        <v>3312</v>
      </c>
      <c r="D488" s="278" t="s">
        <v>3518</v>
      </c>
    </row>
    <row r="489" spans="1:4" ht="45">
      <c r="A489" s="277" t="s">
        <v>3519</v>
      </c>
      <c r="B489" s="286" t="s">
        <v>3520</v>
      </c>
      <c r="C489" s="278" t="s">
        <v>3312</v>
      </c>
      <c r="D489" s="278" t="s">
        <v>209</v>
      </c>
    </row>
    <row r="490" spans="1:4" ht="15.75">
      <c r="B490" s="275" t="s">
        <v>3521</v>
      </c>
    </row>
    <row r="491" spans="1:4">
      <c r="A491" s="277" t="s">
        <v>3522</v>
      </c>
      <c r="B491" s="277" t="s">
        <v>3523</v>
      </c>
      <c r="C491" s="278" t="s">
        <v>2389</v>
      </c>
      <c r="D491" s="278" t="s">
        <v>3524</v>
      </c>
    </row>
    <row r="492" spans="1:4">
      <c r="A492" s="277" t="s">
        <v>3525</v>
      </c>
      <c r="B492" s="277" t="s">
        <v>3526</v>
      </c>
      <c r="C492" s="278" t="s">
        <v>2389</v>
      </c>
      <c r="D492" s="278" t="s">
        <v>3527</v>
      </c>
    </row>
    <row r="493" spans="1:4">
      <c r="A493" s="277" t="s">
        <v>3528</v>
      </c>
      <c r="B493" s="277" t="s">
        <v>3529</v>
      </c>
      <c r="C493" s="278" t="s">
        <v>2389</v>
      </c>
      <c r="D493" s="278" t="s">
        <v>3530</v>
      </c>
    </row>
    <row r="494" spans="1:4" ht="30">
      <c r="A494" s="277" t="s">
        <v>3531</v>
      </c>
      <c r="B494" s="286" t="s">
        <v>3532</v>
      </c>
      <c r="C494" s="278" t="s">
        <v>3312</v>
      </c>
      <c r="D494" s="278" t="s">
        <v>209</v>
      </c>
    </row>
    <row r="495" spans="1:4" ht="15.75">
      <c r="B495" s="275" t="s">
        <v>3533</v>
      </c>
    </row>
    <row r="496" spans="1:4">
      <c r="A496" s="277" t="s">
        <v>3534</v>
      </c>
      <c r="B496" s="277" t="s">
        <v>3535</v>
      </c>
      <c r="C496" s="278" t="s">
        <v>3536</v>
      </c>
      <c r="D496" s="278" t="s">
        <v>3399</v>
      </c>
    </row>
    <row r="497" spans="1:4">
      <c r="A497" s="277" t="s">
        <v>3537</v>
      </c>
      <c r="B497" s="277" t="s">
        <v>3538</v>
      </c>
      <c r="C497" s="278" t="s">
        <v>3536</v>
      </c>
      <c r="D497" s="278" t="s">
        <v>3333</v>
      </c>
    </row>
    <row r="498" spans="1:4">
      <c r="A498" s="277" t="s">
        <v>3539</v>
      </c>
      <c r="B498" s="277" t="s">
        <v>3540</v>
      </c>
      <c r="C498" s="278" t="s">
        <v>3536</v>
      </c>
      <c r="D498" s="278" t="s">
        <v>3352</v>
      </c>
    </row>
    <row r="499" spans="1:4" ht="19.5" customHeight="1">
      <c r="A499" s="277" t="s">
        <v>3541</v>
      </c>
      <c r="B499" s="286" t="s">
        <v>3542</v>
      </c>
      <c r="C499" s="278" t="s">
        <v>3536</v>
      </c>
      <c r="D499" s="278" t="s">
        <v>209</v>
      </c>
    </row>
    <row r="500" spans="1:4" ht="15.75">
      <c r="B500" s="275" t="s">
        <v>3543</v>
      </c>
      <c r="C500" s="279"/>
      <c r="D500" s="279"/>
    </row>
    <row r="501" spans="1:4">
      <c r="A501" s="277" t="s">
        <v>3544</v>
      </c>
      <c r="B501" s="277" t="s">
        <v>3545</v>
      </c>
      <c r="C501" s="278" t="s">
        <v>3312</v>
      </c>
      <c r="D501" s="278" t="s">
        <v>3399</v>
      </c>
    </row>
    <row r="502" spans="1:4">
      <c r="A502" s="277" t="s">
        <v>3546</v>
      </c>
      <c r="B502" s="277" t="s">
        <v>3547</v>
      </c>
      <c r="C502" s="278" t="s">
        <v>3312</v>
      </c>
      <c r="D502" s="278" t="s">
        <v>3345</v>
      </c>
    </row>
    <row r="503" spans="1:4">
      <c r="A503" s="277" t="s">
        <v>3548</v>
      </c>
      <c r="B503" s="277" t="s">
        <v>3549</v>
      </c>
      <c r="C503" s="278" t="s">
        <v>3312</v>
      </c>
      <c r="D503" s="278" t="s">
        <v>3333</v>
      </c>
    </row>
    <row r="504" spans="1:4" ht="30">
      <c r="A504" s="277" t="s">
        <v>3550</v>
      </c>
      <c r="B504" s="286" t="s">
        <v>3551</v>
      </c>
      <c r="C504" s="278" t="s">
        <v>3312</v>
      </c>
      <c r="D504" s="278" t="s">
        <v>2770</v>
      </c>
    </row>
    <row r="505" spans="1:4" ht="15.75">
      <c r="B505" s="275" t="s">
        <v>3552</v>
      </c>
    </row>
    <row r="506" spans="1:4">
      <c r="A506" s="277" t="s">
        <v>3553</v>
      </c>
      <c r="B506" s="277" t="s">
        <v>3554</v>
      </c>
      <c r="C506" s="278" t="s">
        <v>3312</v>
      </c>
      <c r="D506" s="278" t="s">
        <v>3313</v>
      </c>
    </row>
    <row r="507" spans="1:4">
      <c r="A507" s="277" t="s">
        <v>3555</v>
      </c>
      <c r="B507" s="277" t="s">
        <v>3556</v>
      </c>
      <c r="C507" s="278" t="s">
        <v>3312</v>
      </c>
      <c r="D507" s="278" t="s">
        <v>3399</v>
      </c>
    </row>
    <row r="508" spans="1:4">
      <c r="A508" s="277" t="s">
        <v>3557</v>
      </c>
      <c r="B508" s="277" t="s">
        <v>3558</v>
      </c>
      <c r="C508" s="278" t="s">
        <v>3312</v>
      </c>
      <c r="D508" s="278" t="s">
        <v>3345</v>
      </c>
    </row>
    <row r="509" spans="1:4">
      <c r="A509" s="277" t="s">
        <v>3559</v>
      </c>
      <c r="B509" s="277" t="s">
        <v>3560</v>
      </c>
      <c r="C509" s="278" t="s">
        <v>3312</v>
      </c>
      <c r="D509" s="278" t="s">
        <v>3333</v>
      </c>
    </row>
    <row r="510" spans="1:4">
      <c r="A510" s="277" t="s">
        <v>3561</v>
      </c>
      <c r="B510" s="277" t="s">
        <v>3562</v>
      </c>
      <c r="C510" s="278" t="s">
        <v>3312</v>
      </c>
      <c r="D510" s="278" t="s">
        <v>2770</v>
      </c>
    </row>
    <row r="511" spans="1:4" ht="15.75">
      <c r="B511" s="275" t="s">
        <v>3563</v>
      </c>
    </row>
    <row r="512" spans="1:4">
      <c r="A512" s="277" t="s">
        <v>3564</v>
      </c>
      <c r="B512" s="277" t="s">
        <v>3565</v>
      </c>
      <c r="C512" s="278" t="s">
        <v>3312</v>
      </c>
      <c r="D512" s="278" t="s">
        <v>3448</v>
      </c>
    </row>
    <row r="513" spans="1:4">
      <c r="A513" s="277" t="s">
        <v>3566</v>
      </c>
      <c r="B513" s="277" t="s">
        <v>3567</v>
      </c>
      <c r="C513" s="278" t="s">
        <v>3312</v>
      </c>
      <c r="D513" s="278" t="s">
        <v>3313</v>
      </c>
    </row>
    <row r="514" spans="1:4">
      <c r="A514" s="277" t="s">
        <v>3568</v>
      </c>
      <c r="B514" s="277" t="s">
        <v>3569</v>
      </c>
      <c r="C514" s="278" t="s">
        <v>3312</v>
      </c>
      <c r="D514" s="278" t="s">
        <v>3399</v>
      </c>
    </row>
    <row r="515" spans="1:4">
      <c r="A515" s="277" t="s">
        <v>3570</v>
      </c>
      <c r="B515" s="277" t="s">
        <v>3571</v>
      </c>
      <c r="C515" s="278" t="s">
        <v>3312</v>
      </c>
      <c r="D515" s="278" t="s">
        <v>3572</v>
      </c>
    </row>
    <row r="516" spans="1:4" ht="15.75">
      <c r="B516" s="275" t="s">
        <v>3573</v>
      </c>
    </row>
    <row r="517" spans="1:4" ht="30">
      <c r="A517" s="277" t="s">
        <v>3574</v>
      </c>
      <c r="B517" s="286" t="s">
        <v>3575</v>
      </c>
      <c r="C517" s="278" t="s">
        <v>3312</v>
      </c>
      <c r="D517" s="278" t="s">
        <v>3377</v>
      </c>
    </row>
    <row r="518" spans="1:4" ht="30">
      <c r="A518" s="277" t="s">
        <v>3576</v>
      </c>
      <c r="B518" s="286" t="s">
        <v>3577</v>
      </c>
      <c r="C518" s="278" t="s">
        <v>3312</v>
      </c>
      <c r="D518" s="278" t="s">
        <v>3358</v>
      </c>
    </row>
    <row r="519" spans="1:4" ht="30">
      <c r="A519" s="277" t="s">
        <v>3578</v>
      </c>
      <c r="B519" s="286" t="s">
        <v>3579</v>
      </c>
      <c r="C519" s="278" t="s">
        <v>3312</v>
      </c>
      <c r="D519" s="278" t="s">
        <v>3448</v>
      </c>
    </row>
    <row r="520" spans="1:4" ht="30">
      <c r="A520" s="277" t="s">
        <v>3580</v>
      </c>
      <c r="B520" s="286" t="s">
        <v>3581</v>
      </c>
      <c r="C520" s="278" t="s">
        <v>3312</v>
      </c>
      <c r="D520" s="278" t="s">
        <v>3316</v>
      </c>
    </row>
    <row r="521" spans="1:4" ht="30">
      <c r="A521" s="277" t="s">
        <v>3582</v>
      </c>
      <c r="B521" s="286" t="s">
        <v>3583</v>
      </c>
      <c r="C521" s="278" t="s">
        <v>3312</v>
      </c>
      <c r="D521" s="278" t="s">
        <v>3345</v>
      </c>
    </row>
    <row r="522" spans="1:4" ht="30">
      <c r="A522" s="277" t="s">
        <v>3584</v>
      </c>
      <c r="B522" s="286" t="s">
        <v>3585</v>
      </c>
      <c r="C522" s="278" t="s">
        <v>3312</v>
      </c>
      <c r="D522" s="278" t="s">
        <v>3333</v>
      </c>
    </row>
    <row r="523" spans="1:4" ht="30">
      <c r="A523" s="277" t="s">
        <v>3586</v>
      </c>
      <c r="B523" s="286" t="s">
        <v>3587</v>
      </c>
      <c r="C523" s="278" t="s">
        <v>3312</v>
      </c>
      <c r="D523" s="278" t="s">
        <v>3588</v>
      </c>
    </row>
    <row r="524" spans="1:4" ht="30">
      <c r="A524" s="277" t="s">
        <v>3589</v>
      </c>
      <c r="B524" s="286" t="s">
        <v>3590</v>
      </c>
      <c r="C524" s="278" t="s">
        <v>3312</v>
      </c>
      <c r="D524" s="278" t="s">
        <v>3352</v>
      </c>
    </row>
    <row r="525" spans="1:4" ht="30">
      <c r="A525" s="277" t="s">
        <v>3591</v>
      </c>
      <c r="B525" s="286" t="s">
        <v>3592</v>
      </c>
      <c r="C525" s="278" t="s">
        <v>3312</v>
      </c>
      <c r="D525" s="278" t="s">
        <v>209</v>
      </c>
    </row>
    <row r="527" spans="1:4" ht="15.75">
      <c r="B527" s="275" t="s">
        <v>3593</v>
      </c>
    </row>
    <row r="528" spans="1:4">
      <c r="A528" s="277" t="s">
        <v>3594</v>
      </c>
      <c r="B528" s="277" t="s">
        <v>3595</v>
      </c>
      <c r="C528" s="293">
        <v>0.05</v>
      </c>
    </row>
    <row r="529" spans="1:4">
      <c r="A529" s="277" t="s">
        <v>3596</v>
      </c>
      <c r="B529" s="277" t="s">
        <v>3597</v>
      </c>
      <c r="C529" s="293">
        <v>0.1</v>
      </c>
    </row>
    <row r="530" spans="1:4">
      <c r="A530" s="277" t="s">
        <v>3598</v>
      </c>
      <c r="B530" s="277" t="s">
        <v>3599</v>
      </c>
      <c r="C530" s="293">
        <v>0.2</v>
      </c>
    </row>
    <row r="531" spans="1:4" ht="30">
      <c r="A531" s="277" t="s">
        <v>3600</v>
      </c>
      <c r="B531" s="286" t="s">
        <v>3601</v>
      </c>
      <c r="C531" s="293">
        <v>0.25</v>
      </c>
    </row>
    <row r="532" spans="1:4" ht="30">
      <c r="A532" s="277" t="s">
        <v>3602</v>
      </c>
      <c r="B532" s="286" t="s">
        <v>3603</v>
      </c>
      <c r="C532" s="293">
        <v>0.35</v>
      </c>
    </row>
    <row r="533" spans="1:4" ht="15.75">
      <c r="B533" s="275" t="s">
        <v>3604</v>
      </c>
    </row>
    <row r="534" spans="1:4" ht="15.75">
      <c r="B534" s="275" t="s">
        <v>3605</v>
      </c>
    </row>
    <row r="535" spans="1:4">
      <c r="A535" s="277" t="s">
        <v>3606</v>
      </c>
      <c r="B535" s="277" t="s">
        <v>3607</v>
      </c>
      <c r="C535" s="278" t="s">
        <v>2389</v>
      </c>
      <c r="D535" s="278" t="s">
        <v>3608</v>
      </c>
    </row>
    <row r="536" spans="1:4">
      <c r="A536" s="277" t="s">
        <v>3609</v>
      </c>
      <c r="B536" s="277" t="s">
        <v>3610</v>
      </c>
      <c r="C536" s="278" t="s">
        <v>2389</v>
      </c>
      <c r="D536" s="278" t="s">
        <v>3611</v>
      </c>
    </row>
    <row r="537" spans="1:4">
      <c r="A537" s="277" t="s">
        <v>3612</v>
      </c>
      <c r="B537" s="277" t="s">
        <v>3613</v>
      </c>
      <c r="C537" s="278" t="s">
        <v>2389</v>
      </c>
      <c r="D537" s="278" t="s">
        <v>3614</v>
      </c>
    </row>
    <row r="538" spans="1:4">
      <c r="A538" s="277" t="s">
        <v>3615</v>
      </c>
      <c r="B538" s="277" t="s">
        <v>3616</v>
      </c>
      <c r="C538" s="278" t="s">
        <v>2389</v>
      </c>
      <c r="D538" s="278" t="s">
        <v>3614</v>
      </c>
    </row>
    <row r="539" spans="1:4">
      <c r="A539" s="277" t="s">
        <v>3617</v>
      </c>
      <c r="B539" s="277" t="s">
        <v>3618</v>
      </c>
      <c r="C539" s="278" t="s">
        <v>2389</v>
      </c>
      <c r="D539" s="278" t="s">
        <v>3619</v>
      </c>
    </row>
    <row r="540" spans="1:4">
      <c r="A540" s="277" t="s">
        <v>3620</v>
      </c>
      <c r="B540" s="277" t="s">
        <v>3621</v>
      </c>
      <c r="C540" s="278" t="s">
        <v>2389</v>
      </c>
      <c r="D540" s="278" t="s">
        <v>3622</v>
      </c>
    </row>
    <row r="541" spans="1:4">
      <c r="A541" s="277" t="s">
        <v>3623</v>
      </c>
      <c r="B541" s="277" t="s">
        <v>3624</v>
      </c>
      <c r="C541" s="278" t="s">
        <v>2389</v>
      </c>
      <c r="D541" s="278" t="s">
        <v>3625</v>
      </c>
    </row>
    <row r="542" spans="1:4">
      <c r="A542" s="277" t="s">
        <v>3626</v>
      </c>
      <c r="B542" s="277" t="s">
        <v>3627</v>
      </c>
      <c r="C542" s="278" t="s">
        <v>2389</v>
      </c>
      <c r="D542" s="278" t="s">
        <v>3628</v>
      </c>
    </row>
    <row r="543" spans="1:4">
      <c r="A543" s="277" t="s">
        <v>3629</v>
      </c>
      <c r="B543" s="277" t="s">
        <v>3630</v>
      </c>
      <c r="C543" s="278" t="s">
        <v>2389</v>
      </c>
      <c r="D543" s="278" t="s">
        <v>3631</v>
      </c>
    </row>
    <row r="544" spans="1:4">
      <c r="A544" s="277" t="s">
        <v>3632</v>
      </c>
      <c r="B544" s="277" t="s">
        <v>3633</v>
      </c>
      <c r="C544" s="278" t="s">
        <v>2389</v>
      </c>
      <c r="D544" s="278" t="s">
        <v>3634</v>
      </c>
    </row>
    <row r="545" spans="1:4" ht="15.75">
      <c r="B545" s="275" t="s">
        <v>3635</v>
      </c>
      <c r="C545" s="279"/>
      <c r="D545" s="279"/>
    </row>
    <row r="546" spans="1:4">
      <c r="A546" s="277" t="s">
        <v>3636</v>
      </c>
      <c r="B546" s="277" t="s">
        <v>3618</v>
      </c>
      <c r="C546" s="278" t="s">
        <v>2389</v>
      </c>
      <c r="D546" s="278" t="s">
        <v>3524</v>
      </c>
    </row>
    <row r="547" spans="1:4">
      <c r="A547" s="277" t="s">
        <v>3637</v>
      </c>
      <c r="B547" s="277" t="s">
        <v>3621</v>
      </c>
      <c r="C547" s="278" t="s">
        <v>2389</v>
      </c>
      <c r="D547" s="278" t="s">
        <v>3524</v>
      </c>
    </row>
    <row r="548" spans="1:4">
      <c r="A548" s="277" t="s">
        <v>3638</v>
      </c>
      <c r="B548" s="277" t="s">
        <v>3624</v>
      </c>
      <c r="C548" s="278" t="s">
        <v>2389</v>
      </c>
      <c r="D548" s="278" t="s">
        <v>3530</v>
      </c>
    </row>
    <row r="549" spans="1:4">
      <c r="A549" s="277" t="s">
        <v>3639</v>
      </c>
      <c r="B549" s="277" t="s">
        <v>3627</v>
      </c>
      <c r="C549" s="278" t="s">
        <v>2389</v>
      </c>
      <c r="D549" s="278" t="s">
        <v>3484</v>
      </c>
    </row>
    <row r="550" spans="1:4">
      <c r="A550" s="277" t="s">
        <v>3640</v>
      </c>
      <c r="B550" s="277" t="s">
        <v>3633</v>
      </c>
      <c r="C550" s="278" t="s">
        <v>2389</v>
      </c>
      <c r="D550" s="278" t="s">
        <v>3487</v>
      </c>
    </row>
    <row r="551" spans="1:4">
      <c r="A551" s="277" t="s">
        <v>3641</v>
      </c>
      <c r="B551" s="277" t="s">
        <v>3642</v>
      </c>
      <c r="C551" s="278" t="s">
        <v>2389</v>
      </c>
      <c r="D551" s="278" t="s">
        <v>3490</v>
      </c>
    </row>
    <row r="552" spans="1:4">
      <c r="A552" s="277" t="s">
        <v>3643</v>
      </c>
      <c r="B552" s="277" t="s">
        <v>3644</v>
      </c>
      <c r="C552" s="278" t="s">
        <v>2389</v>
      </c>
      <c r="D552" s="278" t="s">
        <v>3645</v>
      </c>
    </row>
    <row r="553" spans="1:4">
      <c r="B553" s="1720" t="s">
        <v>3646</v>
      </c>
      <c r="C553" s="1720"/>
      <c r="D553" s="1720"/>
    </row>
    <row r="555" spans="1:4" ht="15.75">
      <c r="B555" s="275" t="s">
        <v>3647</v>
      </c>
    </row>
    <row r="556" spans="1:4">
      <c r="A556" s="277" t="s">
        <v>3648</v>
      </c>
      <c r="B556" s="277" t="s">
        <v>3618</v>
      </c>
      <c r="C556" s="278" t="s">
        <v>2389</v>
      </c>
      <c r="D556" s="278" t="s">
        <v>3484</v>
      </c>
    </row>
    <row r="557" spans="1:4">
      <c r="A557" s="277" t="s">
        <v>3649</v>
      </c>
      <c r="B557" s="277" t="s">
        <v>3621</v>
      </c>
      <c r="C557" s="278" t="s">
        <v>2389</v>
      </c>
      <c r="D557" s="278" t="s">
        <v>3487</v>
      </c>
    </row>
    <row r="558" spans="1:4">
      <c r="A558" s="277" t="s">
        <v>3650</v>
      </c>
      <c r="B558" s="277" t="s">
        <v>3624</v>
      </c>
      <c r="C558" s="278" t="s">
        <v>2389</v>
      </c>
      <c r="D558" s="278" t="s">
        <v>3651</v>
      </c>
    </row>
    <row r="559" spans="1:4">
      <c r="A559" s="277" t="s">
        <v>3652</v>
      </c>
      <c r="B559" s="277" t="s">
        <v>3627</v>
      </c>
      <c r="C559" s="278" t="s">
        <v>2389</v>
      </c>
      <c r="D559" s="278" t="s">
        <v>3653</v>
      </c>
    </row>
    <row r="560" spans="1:4">
      <c r="A560" s="277" t="s">
        <v>3654</v>
      </c>
      <c r="B560" s="277" t="s">
        <v>3630</v>
      </c>
      <c r="C560" s="278" t="s">
        <v>2389</v>
      </c>
      <c r="D560" s="278" t="s">
        <v>3655</v>
      </c>
    </row>
    <row r="561" spans="1:4">
      <c r="A561" s="277" t="s">
        <v>3656</v>
      </c>
      <c r="B561" s="277" t="s">
        <v>3633</v>
      </c>
      <c r="C561" s="278" t="s">
        <v>2389</v>
      </c>
      <c r="D561" s="278" t="s">
        <v>3657</v>
      </c>
    </row>
    <row r="562" spans="1:4">
      <c r="B562" s="271" t="s">
        <v>3658</v>
      </c>
    </row>
    <row r="563" spans="1:4" ht="15" customHeight="1">
      <c r="A563" s="1720" t="s">
        <v>3659</v>
      </c>
      <c r="B563" s="1720"/>
      <c r="C563" s="1720"/>
      <c r="D563" s="1720"/>
    </row>
    <row r="564" spans="1:4">
      <c r="B564" s="271" t="s">
        <v>3660</v>
      </c>
    </row>
    <row r="565" spans="1:4">
      <c r="A565" s="277" t="s">
        <v>3661</v>
      </c>
      <c r="B565" s="277" t="s">
        <v>3610</v>
      </c>
      <c r="C565" s="278" t="s">
        <v>2389</v>
      </c>
      <c r="D565" s="278" t="s">
        <v>3619</v>
      </c>
    </row>
    <row r="566" spans="1:4">
      <c r="A566" s="277" t="s">
        <v>3662</v>
      </c>
      <c r="B566" s="277" t="s">
        <v>3663</v>
      </c>
      <c r="C566" s="278" t="s">
        <v>2389</v>
      </c>
      <c r="D566" s="278" t="s">
        <v>3524</v>
      </c>
    </row>
    <row r="567" spans="1:4">
      <c r="A567" s="277" t="s">
        <v>3664</v>
      </c>
      <c r="B567" s="277" t="s">
        <v>3616</v>
      </c>
      <c r="C567" s="278" t="s">
        <v>2389</v>
      </c>
      <c r="D567" s="278" t="s">
        <v>3628</v>
      </c>
    </row>
    <row r="568" spans="1:4">
      <c r="A568" s="277" t="s">
        <v>3665</v>
      </c>
      <c r="B568" s="277" t="s">
        <v>3666</v>
      </c>
      <c r="C568" s="278" t="s">
        <v>2389</v>
      </c>
      <c r="D568" s="278" t="s">
        <v>3631</v>
      </c>
    </row>
    <row r="569" spans="1:4">
      <c r="A569" s="277" t="s">
        <v>3667</v>
      </c>
      <c r="B569" s="277" t="s">
        <v>3618</v>
      </c>
      <c r="C569" s="278" t="s">
        <v>2389</v>
      </c>
      <c r="D569" s="278" t="s">
        <v>3484</v>
      </c>
    </row>
    <row r="570" spans="1:4">
      <c r="A570" s="277" t="s">
        <v>3668</v>
      </c>
      <c r="B570" s="277" t="s">
        <v>3621</v>
      </c>
      <c r="C570" s="278" t="s">
        <v>2389</v>
      </c>
      <c r="D570" s="278" t="s">
        <v>3487</v>
      </c>
    </row>
    <row r="571" spans="1:4">
      <c r="A571" s="277" t="s">
        <v>3669</v>
      </c>
      <c r="B571" s="277" t="s">
        <v>3624</v>
      </c>
      <c r="C571" s="278" t="s">
        <v>2389</v>
      </c>
      <c r="D571" s="278" t="s">
        <v>3651</v>
      </c>
    </row>
    <row r="572" spans="1:4">
      <c r="A572" s="277" t="s">
        <v>3670</v>
      </c>
      <c r="B572" s="277" t="s">
        <v>3627</v>
      </c>
      <c r="C572" s="278" t="s">
        <v>2389</v>
      </c>
      <c r="D572" s="278" t="s">
        <v>3653</v>
      </c>
    </row>
    <row r="573" spans="1:4">
      <c r="A573" s="294" t="s">
        <v>3671</v>
      </c>
      <c r="B573" s="294"/>
    </row>
    <row r="574" spans="1:4" ht="15" customHeight="1">
      <c r="A574" s="1720" t="s">
        <v>3672</v>
      </c>
      <c r="B574" s="1720"/>
      <c r="C574" s="1720"/>
      <c r="D574" s="1720"/>
    </row>
    <row r="576" spans="1:4" ht="33.75" customHeight="1">
      <c r="B576" s="295" t="s">
        <v>3673</v>
      </c>
    </row>
    <row r="577" spans="1:4">
      <c r="A577" s="277" t="s">
        <v>3674</v>
      </c>
      <c r="B577" s="277" t="s">
        <v>3675</v>
      </c>
      <c r="C577" s="278" t="s">
        <v>2389</v>
      </c>
      <c r="D577" s="278" t="s">
        <v>3487</v>
      </c>
    </row>
    <row r="578" spans="1:4">
      <c r="A578" s="277" t="s">
        <v>3676</v>
      </c>
      <c r="B578" s="277" t="s">
        <v>3677</v>
      </c>
      <c r="C578" s="278" t="s">
        <v>2389</v>
      </c>
      <c r="D578" s="278" t="s">
        <v>3651</v>
      </c>
    </row>
    <row r="579" spans="1:4">
      <c r="A579" s="277" t="s">
        <v>3678</v>
      </c>
      <c r="B579" s="277" t="s">
        <v>3679</v>
      </c>
      <c r="C579" s="278" t="s">
        <v>2389</v>
      </c>
      <c r="D579" s="278" t="s">
        <v>3653</v>
      </c>
    </row>
    <row r="580" spans="1:4">
      <c r="A580" s="277" t="s">
        <v>3680</v>
      </c>
      <c r="B580" s="277" t="s">
        <v>3681</v>
      </c>
      <c r="C580" s="278" t="s">
        <v>2389</v>
      </c>
      <c r="D580" s="278" t="s">
        <v>3682</v>
      </c>
    </row>
    <row r="581" spans="1:4">
      <c r="A581" s="277" t="s">
        <v>3683</v>
      </c>
      <c r="B581" s="277" t="s">
        <v>3684</v>
      </c>
      <c r="C581" s="278" t="s">
        <v>2389</v>
      </c>
      <c r="D581" s="278" t="s">
        <v>3685</v>
      </c>
    </row>
    <row r="582" spans="1:4">
      <c r="A582" s="277" t="s">
        <v>3686</v>
      </c>
      <c r="B582" s="277" t="s">
        <v>3687</v>
      </c>
      <c r="C582" s="278" t="s">
        <v>2389</v>
      </c>
      <c r="D582" s="278" t="s">
        <v>3688</v>
      </c>
    </row>
    <row r="583" spans="1:4">
      <c r="A583" s="277" t="s">
        <v>3689</v>
      </c>
      <c r="B583" s="277" t="s">
        <v>3690</v>
      </c>
      <c r="C583" s="278" t="s">
        <v>2389</v>
      </c>
      <c r="D583" s="278" t="s">
        <v>3691</v>
      </c>
    </row>
    <row r="584" spans="1:4">
      <c r="A584" s="277" t="s">
        <v>3692</v>
      </c>
      <c r="B584" s="277" t="s">
        <v>3693</v>
      </c>
      <c r="C584" s="278" t="s">
        <v>2389</v>
      </c>
      <c r="D584" s="278" t="s">
        <v>3694</v>
      </c>
    </row>
    <row r="585" spans="1:4" ht="15.75">
      <c r="B585" s="275" t="s">
        <v>3695</v>
      </c>
    </row>
    <row r="586" spans="1:4">
      <c r="A586" s="277" t="s">
        <v>3696</v>
      </c>
      <c r="B586" s="277" t="s">
        <v>3675</v>
      </c>
      <c r="C586" s="278" t="s">
        <v>2389</v>
      </c>
      <c r="D586" s="278" t="s">
        <v>3653</v>
      </c>
    </row>
    <row r="587" spans="1:4">
      <c r="A587" s="277" t="s">
        <v>3697</v>
      </c>
      <c r="B587" s="277" t="s">
        <v>3677</v>
      </c>
      <c r="C587" s="278" t="s">
        <v>2389</v>
      </c>
      <c r="D587" s="278" t="s">
        <v>3490</v>
      </c>
    </row>
    <row r="588" spans="1:4">
      <c r="A588" s="277" t="s">
        <v>3698</v>
      </c>
      <c r="B588" s="277" t="s">
        <v>3679</v>
      </c>
      <c r="C588" s="278" t="s">
        <v>2389</v>
      </c>
      <c r="D588" s="278" t="s">
        <v>3682</v>
      </c>
    </row>
    <row r="589" spans="1:4">
      <c r="A589" s="277" t="s">
        <v>3699</v>
      </c>
      <c r="B589" s="277" t="s">
        <v>3681</v>
      </c>
      <c r="C589" s="278" t="s">
        <v>2389</v>
      </c>
      <c r="D589" s="278" t="s">
        <v>3700</v>
      </c>
    </row>
    <row r="590" spans="1:4">
      <c r="A590" s="277" t="s">
        <v>3701</v>
      </c>
      <c r="B590" s="277" t="s">
        <v>3684</v>
      </c>
      <c r="C590" s="278" t="s">
        <v>2389</v>
      </c>
      <c r="D590" s="278" t="s">
        <v>3702</v>
      </c>
    </row>
    <row r="591" spans="1:4">
      <c r="A591" s="277" t="s">
        <v>3703</v>
      </c>
      <c r="B591" s="277" t="s">
        <v>3687</v>
      </c>
      <c r="C591" s="278" t="s">
        <v>2389</v>
      </c>
      <c r="D591" s="278" t="s">
        <v>3704</v>
      </c>
    </row>
    <row r="592" spans="1:4">
      <c r="A592" s="277" t="s">
        <v>3705</v>
      </c>
      <c r="B592" s="277" t="s">
        <v>3690</v>
      </c>
      <c r="C592" s="278" t="s">
        <v>2389</v>
      </c>
      <c r="D592" s="278" t="s">
        <v>3694</v>
      </c>
    </row>
    <row r="593" spans="1:5">
      <c r="A593" s="277" t="s">
        <v>3706</v>
      </c>
      <c r="B593" s="277" t="s">
        <v>3693</v>
      </c>
      <c r="C593" s="278" t="s">
        <v>2389</v>
      </c>
      <c r="D593" s="278" t="s">
        <v>3707</v>
      </c>
    </row>
    <row r="594" spans="1:5" ht="15" customHeight="1">
      <c r="A594" s="1714" t="s">
        <v>3708</v>
      </c>
      <c r="B594" s="1714"/>
      <c r="C594" s="1714"/>
      <c r="D594" s="1714"/>
    </row>
    <row r="596" spans="1:5" ht="15.75">
      <c r="B596" s="275" t="s">
        <v>3709</v>
      </c>
    </row>
    <row r="597" spans="1:5">
      <c r="B597" s="296" t="s">
        <v>2069</v>
      </c>
      <c r="C597" s="296" t="s">
        <v>3710</v>
      </c>
      <c r="D597" s="296" t="s">
        <v>3711</v>
      </c>
      <c r="E597" s="296" t="s">
        <v>3712</v>
      </c>
    </row>
    <row r="598" spans="1:5">
      <c r="A598" s="277" t="s">
        <v>3713</v>
      </c>
      <c r="B598" s="277" t="s">
        <v>3616</v>
      </c>
      <c r="C598" s="277" t="s">
        <v>3714</v>
      </c>
      <c r="D598" s="277" t="s">
        <v>3715</v>
      </c>
      <c r="E598" s="277" t="s">
        <v>3704</v>
      </c>
    </row>
    <row r="599" spans="1:5">
      <c r="A599" s="277" t="s">
        <v>3716</v>
      </c>
      <c r="B599" s="277" t="s">
        <v>3618</v>
      </c>
      <c r="C599" s="277" t="s">
        <v>3715</v>
      </c>
      <c r="D599" s="277" t="s">
        <v>3704</v>
      </c>
      <c r="E599" s="277" t="s">
        <v>3691</v>
      </c>
    </row>
    <row r="600" spans="1:5">
      <c r="A600" s="277" t="s">
        <v>3717</v>
      </c>
      <c r="B600" s="277" t="s">
        <v>3621</v>
      </c>
      <c r="C600" s="277" t="s">
        <v>3704</v>
      </c>
      <c r="D600" s="277" t="s">
        <v>3694</v>
      </c>
      <c r="E600" s="277" t="s">
        <v>3718</v>
      </c>
    </row>
    <row r="601" spans="1:5">
      <c r="A601" s="277" t="s">
        <v>3719</v>
      </c>
      <c r="B601" s="277" t="s">
        <v>3624</v>
      </c>
      <c r="C601" s="277" t="s">
        <v>3720</v>
      </c>
      <c r="D601" s="277" t="s">
        <v>3707</v>
      </c>
      <c r="E601" s="277" t="s">
        <v>3721</v>
      </c>
    </row>
    <row r="602" spans="1:5">
      <c r="A602" s="277" t="s">
        <v>3722</v>
      </c>
      <c r="B602" s="277" t="s">
        <v>3627</v>
      </c>
      <c r="C602" s="277" t="s">
        <v>3707</v>
      </c>
      <c r="D602" s="277" t="s">
        <v>3313</v>
      </c>
      <c r="E602" s="277" t="s">
        <v>3316</v>
      </c>
    </row>
    <row r="603" spans="1:5">
      <c r="A603" s="277" t="s">
        <v>3723</v>
      </c>
      <c r="B603" s="277" t="s">
        <v>3630</v>
      </c>
      <c r="C603" s="277" t="s">
        <v>3724</v>
      </c>
      <c r="D603" s="277" t="s">
        <v>3721</v>
      </c>
      <c r="E603" s="277" t="s">
        <v>3725</v>
      </c>
    </row>
    <row r="604" spans="1:5">
      <c r="A604" s="277" t="s">
        <v>3726</v>
      </c>
      <c r="B604" s="277" t="s">
        <v>3633</v>
      </c>
      <c r="C604" s="277" t="s">
        <v>3724</v>
      </c>
      <c r="D604" s="277" t="s">
        <v>3316</v>
      </c>
      <c r="E604" s="277" t="s">
        <v>3355</v>
      </c>
    </row>
    <row r="605" spans="1:5">
      <c r="A605" s="277" t="s">
        <v>3727</v>
      </c>
      <c r="B605" s="277" t="s">
        <v>3642</v>
      </c>
      <c r="C605" s="277" t="s">
        <v>3724</v>
      </c>
      <c r="D605" s="277" t="s">
        <v>3728</v>
      </c>
      <c r="E605" s="277" t="s">
        <v>3729</v>
      </c>
    </row>
    <row r="606" spans="1:5">
      <c r="A606" s="277" t="s">
        <v>3730</v>
      </c>
      <c r="B606" s="277" t="s">
        <v>3731</v>
      </c>
      <c r="C606" s="277"/>
      <c r="D606" s="277"/>
      <c r="E606" s="277"/>
    </row>
    <row r="607" spans="1:5">
      <c r="B607" s="271" t="s">
        <v>3732</v>
      </c>
    </row>
    <row r="608" spans="1:5" ht="15.75">
      <c r="B608" s="275" t="s">
        <v>3733</v>
      </c>
    </row>
    <row r="609" spans="1:6">
      <c r="B609" s="297" t="s">
        <v>2069</v>
      </c>
      <c r="C609" s="297" t="s">
        <v>3734</v>
      </c>
      <c r="D609" s="297" t="s">
        <v>3710</v>
      </c>
      <c r="E609" s="297" t="s">
        <v>3735</v>
      </c>
      <c r="F609" s="297" t="s">
        <v>3712</v>
      </c>
    </row>
    <row r="610" spans="1:6">
      <c r="A610" s="277" t="s">
        <v>3736</v>
      </c>
      <c r="B610" s="277" t="s">
        <v>3737</v>
      </c>
      <c r="C610" s="277" t="s">
        <v>3738</v>
      </c>
      <c r="D610" s="277" t="s">
        <v>3628</v>
      </c>
      <c r="E610" s="277" t="s">
        <v>3724</v>
      </c>
      <c r="F610" s="277" t="s">
        <v>3724</v>
      </c>
    </row>
    <row r="611" spans="1:6">
      <c r="A611" s="277" t="s">
        <v>3739</v>
      </c>
      <c r="B611" s="277" t="s">
        <v>3740</v>
      </c>
      <c r="C611" s="277" t="s">
        <v>3619</v>
      </c>
      <c r="D611" s="277" t="s">
        <v>3484</v>
      </c>
      <c r="E611" s="277" t="s">
        <v>3724</v>
      </c>
      <c r="F611" s="277" t="s">
        <v>3724</v>
      </c>
    </row>
    <row r="612" spans="1:6">
      <c r="A612" s="277" t="s">
        <v>3741</v>
      </c>
      <c r="B612" s="277" t="s">
        <v>3742</v>
      </c>
      <c r="C612" s="277" t="s">
        <v>3619</v>
      </c>
      <c r="D612" s="277" t="s">
        <v>3487</v>
      </c>
      <c r="E612" s="277" t="s">
        <v>3724</v>
      </c>
      <c r="F612" s="277" t="s">
        <v>3724</v>
      </c>
    </row>
    <row r="613" spans="1:6">
      <c r="A613" s="277" t="s">
        <v>3743</v>
      </c>
      <c r="B613" s="277" t="s">
        <v>3616</v>
      </c>
      <c r="C613" s="277" t="s">
        <v>3619</v>
      </c>
      <c r="D613" s="277" t="s">
        <v>3651</v>
      </c>
      <c r="E613" s="277" t="s">
        <v>3651</v>
      </c>
      <c r="F613" s="277" t="s">
        <v>3724</v>
      </c>
    </row>
    <row r="614" spans="1:6">
      <c r="A614" s="277" t="s">
        <v>3744</v>
      </c>
      <c r="B614" s="277" t="s">
        <v>3618</v>
      </c>
      <c r="C614" s="277" t="s">
        <v>3524</v>
      </c>
      <c r="D614" s="277" t="s">
        <v>3653</v>
      </c>
      <c r="E614" s="277" t="s">
        <v>3653</v>
      </c>
      <c r="F614" s="277" t="s">
        <v>3490</v>
      </c>
    </row>
    <row r="615" spans="1:6">
      <c r="A615" s="277" t="s">
        <v>3745</v>
      </c>
      <c r="B615" s="277" t="s">
        <v>3621</v>
      </c>
      <c r="C615" s="277" t="s">
        <v>3628</v>
      </c>
      <c r="D615" s="277" t="s">
        <v>3490</v>
      </c>
      <c r="E615" s="277" t="s">
        <v>3653</v>
      </c>
      <c r="F615" s="277" t="s">
        <v>3682</v>
      </c>
    </row>
    <row r="616" spans="1:6">
      <c r="A616" s="277" t="s">
        <v>3746</v>
      </c>
      <c r="B616" s="277" t="s">
        <v>3624</v>
      </c>
      <c r="C616" s="277" t="s">
        <v>3631</v>
      </c>
      <c r="D616" s="277" t="s">
        <v>3747</v>
      </c>
      <c r="E616" s="277" t="s">
        <v>3490</v>
      </c>
      <c r="F616" s="277" t="s">
        <v>3645</v>
      </c>
    </row>
    <row r="617" spans="1:6">
      <c r="A617" s="277" t="s">
        <v>3748</v>
      </c>
      <c r="B617" s="277" t="s">
        <v>3627</v>
      </c>
      <c r="C617" s="277" t="s">
        <v>3487</v>
      </c>
      <c r="D617" s="277" t="s">
        <v>3702</v>
      </c>
      <c r="E617" s="277" t="s">
        <v>3657</v>
      </c>
      <c r="F617" s="277" t="s">
        <v>3749</v>
      </c>
    </row>
    <row r="618" spans="1:6">
      <c r="A618" s="277" t="s">
        <v>3750</v>
      </c>
      <c r="B618" s="277" t="s">
        <v>3630</v>
      </c>
      <c r="C618" s="277" t="s">
        <v>3651</v>
      </c>
      <c r="D618" s="277" t="s">
        <v>3715</v>
      </c>
      <c r="E618" s="277" t="s">
        <v>3714</v>
      </c>
      <c r="F618" s="277" t="s">
        <v>3702</v>
      </c>
    </row>
    <row r="619" spans="1:6">
      <c r="A619" s="277" t="s">
        <v>3751</v>
      </c>
      <c r="B619" s="277" t="s">
        <v>3633</v>
      </c>
      <c r="C619" s="277" t="s">
        <v>3653</v>
      </c>
      <c r="D619" s="277" t="s">
        <v>3704</v>
      </c>
      <c r="E619" s="277" t="s">
        <v>3702</v>
      </c>
      <c r="F619" s="277" t="s">
        <v>3688</v>
      </c>
    </row>
    <row r="620" spans="1:6">
      <c r="A620" s="277" t="s">
        <v>3752</v>
      </c>
      <c r="B620" s="277" t="s">
        <v>3642</v>
      </c>
      <c r="C620" s="277" t="s">
        <v>3490</v>
      </c>
      <c r="D620" s="277" t="s">
        <v>3724</v>
      </c>
      <c r="E620" s="277" t="s">
        <v>3753</v>
      </c>
      <c r="F620" s="277" t="s">
        <v>3754</v>
      </c>
    </row>
    <row r="621" spans="1:6">
      <c r="A621" s="277" t="s">
        <v>3755</v>
      </c>
      <c r="B621" s="277" t="s">
        <v>3644</v>
      </c>
      <c r="C621" s="277" t="s">
        <v>3493</v>
      </c>
      <c r="D621" s="277" t="s">
        <v>3724</v>
      </c>
      <c r="E621" s="277" t="s">
        <v>3704</v>
      </c>
      <c r="F621" s="277" t="s">
        <v>3691</v>
      </c>
    </row>
    <row r="623" spans="1:6" ht="15.75">
      <c r="B623" s="275" t="s">
        <v>3756</v>
      </c>
    </row>
    <row r="624" spans="1:6">
      <c r="B624" s="271" t="s">
        <v>2383</v>
      </c>
      <c r="C624" s="271" t="s">
        <v>2069</v>
      </c>
      <c r="D624" s="271" t="s">
        <v>3757</v>
      </c>
    </row>
    <row r="625" spans="1:4">
      <c r="A625" s="277" t="s">
        <v>3758</v>
      </c>
      <c r="B625" s="277" t="s">
        <v>3759</v>
      </c>
      <c r="C625" s="277" t="s">
        <v>3760</v>
      </c>
      <c r="D625" s="277" t="s">
        <v>3691</v>
      </c>
    </row>
    <row r="626" spans="1:4">
      <c r="A626" s="277" t="s">
        <v>3761</v>
      </c>
      <c r="B626" s="277" t="s">
        <v>3610</v>
      </c>
      <c r="C626" s="277" t="s">
        <v>3760</v>
      </c>
      <c r="D626" s="277" t="s">
        <v>3694</v>
      </c>
    </row>
    <row r="627" spans="1:4">
      <c r="A627" s="277" t="s">
        <v>3762</v>
      </c>
      <c r="B627" s="277" t="s">
        <v>3742</v>
      </c>
      <c r="C627" s="277" t="s">
        <v>3760</v>
      </c>
      <c r="D627" s="277" t="s">
        <v>3718</v>
      </c>
    </row>
    <row r="628" spans="1:4">
      <c r="A628" s="277" t="s">
        <v>3763</v>
      </c>
      <c r="B628" s="277" t="s">
        <v>3616</v>
      </c>
      <c r="C628" s="277" t="s">
        <v>3760</v>
      </c>
      <c r="D628" s="277" t="s">
        <v>3764</v>
      </c>
    </row>
    <row r="629" spans="1:4">
      <c r="A629" s="277" t="s">
        <v>3765</v>
      </c>
      <c r="B629" s="277" t="s">
        <v>3618</v>
      </c>
      <c r="C629" s="277" t="s">
        <v>3760</v>
      </c>
      <c r="D629" s="277" t="s">
        <v>3361</v>
      </c>
    </row>
    <row r="630" spans="1:4">
      <c r="A630" s="277" t="s">
        <v>3766</v>
      </c>
      <c r="B630" s="277" t="s">
        <v>3621</v>
      </c>
      <c r="C630" s="277" t="s">
        <v>3760</v>
      </c>
      <c r="D630" s="277" t="s">
        <v>3316</v>
      </c>
    </row>
    <row r="632" spans="1:4" ht="15.75">
      <c r="B632" s="275" t="s">
        <v>3767</v>
      </c>
    </row>
    <row r="633" spans="1:4">
      <c r="B633" s="271" t="s">
        <v>2383</v>
      </c>
      <c r="C633" s="271" t="s">
        <v>2069</v>
      </c>
      <c r="D633" s="271" t="s">
        <v>3757</v>
      </c>
    </row>
    <row r="634" spans="1:4">
      <c r="A634" s="277" t="s">
        <v>3768</v>
      </c>
      <c r="B634" s="277" t="s">
        <v>3616</v>
      </c>
      <c r="C634" s="277" t="s">
        <v>3760</v>
      </c>
      <c r="D634" s="277" t="s">
        <v>3493</v>
      </c>
    </row>
    <row r="635" spans="1:4">
      <c r="A635" s="277" t="s">
        <v>3769</v>
      </c>
      <c r="B635" s="277" t="s">
        <v>3618</v>
      </c>
      <c r="C635" s="277" t="s">
        <v>3760</v>
      </c>
      <c r="D635" s="277" t="s">
        <v>3747</v>
      </c>
    </row>
    <row r="636" spans="1:4">
      <c r="A636" s="277" t="s">
        <v>3770</v>
      </c>
      <c r="B636" s="277" t="s">
        <v>3621</v>
      </c>
      <c r="C636" s="277" t="s">
        <v>3760</v>
      </c>
      <c r="D636" s="277" t="s">
        <v>3702</v>
      </c>
    </row>
    <row r="637" spans="1:4">
      <c r="A637" s="277" t="s">
        <v>3771</v>
      </c>
      <c r="B637" s="277" t="s">
        <v>3624</v>
      </c>
      <c r="C637" s="277" t="s">
        <v>3760</v>
      </c>
      <c r="D637" s="277" t="s">
        <v>3694</v>
      </c>
    </row>
    <row r="638" spans="1:4">
      <c r="A638" s="277" t="s">
        <v>3772</v>
      </c>
      <c r="B638" s="277" t="s">
        <v>3627</v>
      </c>
      <c r="C638" s="277" t="s">
        <v>3760</v>
      </c>
      <c r="D638" s="277" t="s">
        <v>3707</v>
      </c>
    </row>
    <row r="639" spans="1:4">
      <c r="B639" s="271" t="s">
        <v>3773</v>
      </c>
    </row>
    <row r="641" spans="1:8" ht="15.75">
      <c r="B641" s="275" t="s">
        <v>3774</v>
      </c>
    </row>
    <row r="642" spans="1:8">
      <c r="B642" s="271" t="s">
        <v>2383</v>
      </c>
      <c r="C642" s="271" t="s">
        <v>2069</v>
      </c>
      <c r="D642" s="271" t="s">
        <v>3757</v>
      </c>
    </row>
    <row r="643" spans="1:8">
      <c r="A643" s="277" t="s">
        <v>3775</v>
      </c>
      <c r="B643" s="277" t="s">
        <v>3776</v>
      </c>
      <c r="C643" s="277" t="s">
        <v>3312</v>
      </c>
      <c r="D643" s="277" t="s">
        <v>3747</v>
      </c>
    </row>
    <row r="644" spans="1:8">
      <c r="A644" s="277" t="s">
        <v>3777</v>
      </c>
      <c r="B644" s="277" t="s">
        <v>3778</v>
      </c>
      <c r="C644" s="277" t="s">
        <v>3312</v>
      </c>
      <c r="D644" s="277" t="s">
        <v>3493</v>
      </c>
    </row>
    <row r="646" spans="1:8" ht="15.75">
      <c r="B646" s="275" t="s">
        <v>3779</v>
      </c>
    </row>
    <row r="647" spans="1:8">
      <c r="B647" s="271" t="s">
        <v>3780</v>
      </c>
    </row>
    <row r="648" spans="1:8">
      <c r="B648" s="271" t="s">
        <v>2383</v>
      </c>
      <c r="C648" s="271" t="s">
        <v>2069</v>
      </c>
      <c r="D648" s="271" t="s">
        <v>3757</v>
      </c>
    </row>
    <row r="649" spans="1:8">
      <c r="A649" s="277" t="s">
        <v>3781</v>
      </c>
      <c r="B649" s="277" t="s">
        <v>3782</v>
      </c>
      <c r="C649" s="277" t="s">
        <v>3312</v>
      </c>
      <c r="D649" s="277" t="s">
        <v>3377</v>
      </c>
    </row>
    <row r="650" spans="1:8">
      <c r="A650" s="277" t="s">
        <v>3783</v>
      </c>
      <c r="B650" s="277" t="s">
        <v>3784</v>
      </c>
      <c r="C650" s="277" t="s">
        <v>3312</v>
      </c>
      <c r="D650" s="277" t="s">
        <v>3694</v>
      </c>
    </row>
    <row r="651" spans="1:8">
      <c r="A651" s="277" t="s">
        <v>3785</v>
      </c>
      <c r="B651" s="277" t="s">
        <v>3786</v>
      </c>
      <c r="C651" s="277" t="s">
        <v>3312</v>
      </c>
      <c r="D651" s="277" t="s">
        <v>3704</v>
      </c>
    </row>
    <row r="653" spans="1:8" ht="15.75">
      <c r="A653" s="277" t="s">
        <v>3787</v>
      </c>
      <c r="B653" s="298" t="s">
        <v>3788</v>
      </c>
      <c r="C653" s="277" t="s">
        <v>3312</v>
      </c>
      <c r="D653" s="277" t="s">
        <v>3789</v>
      </c>
    </row>
    <row r="654" spans="1:8" ht="15.75">
      <c r="A654" s="277" t="s">
        <v>3790</v>
      </c>
      <c r="B654" s="298" t="s">
        <v>3791</v>
      </c>
      <c r="C654" s="277" t="s">
        <v>3312</v>
      </c>
      <c r="D654" s="277" t="s">
        <v>209</v>
      </c>
    </row>
    <row r="656" spans="1:8" ht="15.75">
      <c r="A656" s="1712" t="s">
        <v>3792</v>
      </c>
      <c r="B656" s="1712"/>
      <c r="C656" s="1712"/>
      <c r="D656" s="1712"/>
      <c r="E656" s="299"/>
      <c r="F656" s="299"/>
      <c r="G656" s="299"/>
      <c r="H656" s="299"/>
    </row>
    <row r="658" spans="1:3" ht="15.75">
      <c r="B658" s="275" t="s">
        <v>3793</v>
      </c>
      <c r="C658" s="276" t="s">
        <v>2616</v>
      </c>
    </row>
    <row r="659" spans="1:3">
      <c r="C659" s="279"/>
    </row>
    <row r="660" spans="1:3" ht="15.75">
      <c r="B660" s="275" t="s">
        <v>3794</v>
      </c>
      <c r="C660" s="279"/>
    </row>
    <row r="661" spans="1:3">
      <c r="A661" s="277" t="s">
        <v>3795</v>
      </c>
      <c r="B661" s="277" t="s">
        <v>3796</v>
      </c>
      <c r="C661" s="278" t="s">
        <v>3797</v>
      </c>
    </row>
    <row r="662" spans="1:3">
      <c r="A662" s="277" t="s">
        <v>3798</v>
      </c>
      <c r="B662" s="277" t="s">
        <v>3799</v>
      </c>
      <c r="C662" s="278" t="s">
        <v>3747</v>
      </c>
    </row>
    <row r="663" spans="1:3">
      <c r="A663" s="277" t="s">
        <v>3800</v>
      </c>
      <c r="B663" s="277" t="s">
        <v>3801</v>
      </c>
      <c r="C663" s="278" t="s">
        <v>3802</v>
      </c>
    </row>
    <row r="664" spans="1:3">
      <c r="A664" s="277" t="s">
        <v>3803</v>
      </c>
      <c r="B664" s="277" t="s">
        <v>3804</v>
      </c>
      <c r="C664" s="278" t="s">
        <v>3805</v>
      </c>
    </row>
    <row r="665" spans="1:3">
      <c r="A665" s="277" t="s">
        <v>3806</v>
      </c>
      <c r="B665" s="277" t="s">
        <v>3807</v>
      </c>
      <c r="C665" s="278" t="s">
        <v>3448</v>
      </c>
    </row>
    <row r="666" spans="1:3">
      <c r="A666" s="277" t="s">
        <v>3808</v>
      </c>
      <c r="B666" s="277" t="s">
        <v>3809</v>
      </c>
      <c r="C666" s="278" t="s">
        <v>3805</v>
      </c>
    </row>
    <row r="667" spans="1:3">
      <c r="A667" s="277" t="s">
        <v>3810</v>
      </c>
      <c r="B667" s="277" t="s">
        <v>3811</v>
      </c>
      <c r="C667" s="278" t="s">
        <v>3812</v>
      </c>
    </row>
    <row r="668" spans="1:3" ht="15.75">
      <c r="B668" s="275" t="s">
        <v>3813</v>
      </c>
      <c r="C668" s="279"/>
    </row>
    <row r="669" spans="1:3">
      <c r="A669" s="277" t="s">
        <v>3814</v>
      </c>
      <c r="B669" s="277" t="s">
        <v>3815</v>
      </c>
      <c r="C669" s="278" t="s">
        <v>3805</v>
      </c>
    </row>
    <row r="670" spans="1:3" ht="34.5" customHeight="1">
      <c r="A670" s="277" t="s">
        <v>3816</v>
      </c>
      <c r="B670" s="300" t="s">
        <v>3817</v>
      </c>
      <c r="C670" s="278" t="s">
        <v>3818</v>
      </c>
    </row>
    <row r="671" spans="1:3" ht="29.25" customHeight="1">
      <c r="A671" s="277" t="s">
        <v>3819</v>
      </c>
      <c r="B671" s="286" t="s">
        <v>3820</v>
      </c>
      <c r="C671" s="278" t="s">
        <v>3797</v>
      </c>
    </row>
    <row r="672" spans="1:3">
      <c r="C672" s="279"/>
    </row>
    <row r="673" spans="1:4" ht="15.75">
      <c r="B673" s="275" t="s">
        <v>3821</v>
      </c>
      <c r="C673" s="279"/>
    </row>
    <row r="674" spans="1:4">
      <c r="B674" s="1713" t="s">
        <v>3822</v>
      </c>
      <c r="C674" s="1713"/>
      <c r="D674" s="1713"/>
    </row>
    <row r="675" spans="1:4">
      <c r="C675" s="279"/>
    </row>
    <row r="676" spans="1:4" ht="15.75">
      <c r="B676" s="275" t="s">
        <v>3823</v>
      </c>
      <c r="C676" s="279"/>
    </row>
    <row r="677" spans="1:4">
      <c r="C677" s="279"/>
    </row>
    <row r="678" spans="1:4">
      <c r="B678" s="1713" t="s">
        <v>3824</v>
      </c>
      <c r="C678" s="1713"/>
      <c r="D678" s="1713"/>
    </row>
    <row r="679" spans="1:4">
      <c r="C679" s="279"/>
    </row>
    <row r="680" spans="1:4">
      <c r="B680" s="1713" t="s">
        <v>3825</v>
      </c>
      <c r="C680" s="1713"/>
      <c r="D680" s="1713"/>
    </row>
    <row r="681" spans="1:4">
      <c r="C681" s="279"/>
    </row>
    <row r="682" spans="1:4" ht="15.75">
      <c r="B682" s="275" t="s">
        <v>3826</v>
      </c>
      <c r="C682" s="279"/>
    </row>
    <row r="683" spans="1:4">
      <c r="C683" s="279"/>
    </row>
    <row r="684" spans="1:4" ht="30">
      <c r="A684" s="277" t="s">
        <v>3827</v>
      </c>
      <c r="B684" s="286" t="s">
        <v>3828</v>
      </c>
      <c r="C684" s="278" t="s">
        <v>3704</v>
      </c>
    </row>
    <row r="685" spans="1:4" ht="30">
      <c r="A685" s="277" t="s">
        <v>3829</v>
      </c>
      <c r="B685" s="286" t="s">
        <v>3830</v>
      </c>
      <c r="C685" s="278" t="s">
        <v>3831</v>
      </c>
    </row>
    <row r="686" spans="1:4">
      <c r="C686" s="279"/>
    </row>
    <row r="687" spans="1:4">
      <c r="B687" s="1713" t="s">
        <v>3832</v>
      </c>
      <c r="C687" s="1713"/>
      <c r="D687" s="1713"/>
    </row>
    <row r="688" spans="1:4">
      <c r="C688" s="279"/>
    </row>
    <row r="689" spans="1:4">
      <c r="B689" s="1713" t="s">
        <v>3833</v>
      </c>
      <c r="C689" s="1713"/>
      <c r="D689" s="1713"/>
    </row>
    <row r="690" spans="1:4">
      <c r="C690" s="279"/>
    </row>
    <row r="691" spans="1:4" ht="15.75">
      <c r="B691" s="275" t="s">
        <v>3834</v>
      </c>
      <c r="C691" s="279"/>
    </row>
    <row r="692" spans="1:4" ht="33" customHeight="1">
      <c r="A692" s="1709" t="s">
        <v>3835</v>
      </c>
      <c r="B692" s="1710"/>
      <c r="C692" s="1710"/>
      <c r="D692" s="1711"/>
    </row>
    <row r="693" spans="1:4">
      <c r="A693" s="277" t="s">
        <v>3836</v>
      </c>
      <c r="B693" s="286" t="s">
        <v>3837</v>
      </c>
      <c r="C693" s="278" t="s">
        <v>3838</v>
      </c>
    </row>
    <row r="694" spans="1:4" ht="30">
      <c r="A694" s="277" t="s">
        <v>3839</v>
      </c>
      <c r="B694" s="286" t="s">
        <v>3840</v>
      </c>
      <c r="C694" s="278" t="s">
        <v>3841</v>
      </c>
    </row>
    <row r="695" spans="1:4" ht="15.75">
      <c r="B695" s="275" t="s">
        <v>3842</v>
      </c>
      <c r="C695" s="279"/>
    </row>
    <row r="696" spans="1:4">
      <c r="C696" s="279"/>
    </row>
    <row r="697" spans="1:4" ht="51" customHeight="1">
      <c r="A697" s="271" t="s">
        <v>3843</v>
      </c>
      <c r="B697" s="301" t="s">
        <v>3844</v>
      </c>
      <c r="C697" s="279"/>
    </row>
    <row r="698" spans="1:4">
      <c r="C698" s="279"/>
    </row>
    <row r="699" spans="1:4" ht="15.75">
      <c r="B699" s="275" t="s">
        <v>3845</v>
      </c>
      <c r="C699" s="279"/>
    </row>
    <row r="700" spans="1:4">
      <c r="C700" s="279"/>
    </row>
    <row r="701" spans="1:4" ht="51" customHeight="1">
      <c r="A701" s="290" t="s">
        <v>3846</v>
      </c>
      <c r="B701" s="289" t="s">
        <v>3847</v>
      </c>
      <c r="C701" s="290" t="s">
        <v>3848</v>
      </c>
    </row>
    <row r="702" spans="1:4">
      <c r="A702" s="277" t="s">
        <v>3849</v>
      </c>
      <c r="B702" s="277" t="s">
        <v>3850</v>
      </c>
      <c r="C702" s="278" t="s">
        <v>3448</v>
      </c>
    </row>
    <row r="703" spans="1:4">
      <c r="A703" s="277" t="s">
        <v>3851</v>
      </c>
      <c r="B703" s="277" t="s">
        <v>3852</v>
      </c>
      <c r="C703" s="278" t="s">
        <v>3396</v>
      </c>
    </row>
    <row r="704" spans="1:4">
      <c r="A704" s="277" t="s">
        <v>3853</v>
      </c>
      <c r="B704" s="277" t="s">
        <v>3854</v>
      </c>
      <c r="C704" s="278" t="s">
        <v>3358</v>
      </c>
    </row>
    <row r="705" spans="1:5">
      <c r="A705" s="277" t="s">
        <v>3855</v>
      </c>
      <c r="B705" s="277" t="s">
        <v>3856</v>
      </c>
      <c r="C705" s="278" t="s">
        <v>3358</v>
      </c>
    </row>
    <row r="706" spans="1:5" ht="35.25" customHeight="1">
      <c r="A706" s="277"/>
      <c r="B706" s="286" t="s">
        <v>3857</v>
      </c>
      <c r="C706" s="302"/>
      <c r="D706" s="301"/>
      <c r="E706" s="301"/>
    </row>
    <row r="707" spans="1:5">
      <c r="A707" s="277" t="s">
        <v>3858</v>
      </c>
      <c r="B707" s="277" t="s">
        <v>3859</v>
      </c>
      <c r="C707" s="278" t="s">
        <v>3860</v>
      </c>
    </row>
    <row r="708" spans="1:5">
      <c r="A708" s="277" t="s">
        <v>3861</v>
      </c>
      <c r="B708" s="277" t="s">
        <v>3862</v>
      </c>
      <c r="C708" s="278" t="s">
        <v>3863</v>
      </c>
    </row>
    <row r="709" spans="1:5" ht="19.5" customHeight="1">
      <c r="A709" s="277" t="s">
        <v>3864</v>
      </c>
      <c r="B709" s="286" t="s">
        <v>3865</v>
      </c>
      <c r="C709" s="278" t="s">
        <v>3448</v>
      </c>
    </row>
    <row r="710" spans="1:5" ht="41.25" customHeight="1">
      <c r="A710" s="277" t="s">
        <v>3866</v>
      </c>
      <c r="B710" s="286" t="s">
        <v>3867</v>
      </c>
      <c r="C710" s="278" t="s">
        <v>3572</v>
      </c>
    </row>
    <row r="711" spans="1:5" ht="29.25" customHeight="1">
      <c r="A711" s="277" t="s">
        <v>3868</v>
      </c>
      <c r="B711" s="286" t="s">
        <v>3869</v>
      </c>
      <c r="C711" s="278"/>
    </row>
    <row r="712" spans="1:5" ht="29.25" customHeight="1">
      <c r="A712" s="277" t="s">
        <v>3870</v>
      </c>
      <c r="B712" s="286" t="s">
        <v>3871</v>
      </c>
      <c r="C712" s="278"/>
    </row>
    <row r="713" spans="1:5" ht="19.5" customHeight="1">
      <c r="A713" s="277" t="s">
        <v>3872</v>
      </c>
      <c r="B713" s="286" t="s">
        <v>3873</v>
      </c>
      <c r="C713" s="278" t="s">
        <v>3682</v>
      </c>
    </row>
    <row r="716" spans="1:5" ht="18.75">
      <c r="B716" s="303" t="s">
        <v>3874</v>
      </c>
    </row>
    <row r="718" spans="1:5">
      <c r="B718" s="279" t="s">
        <v>2383</v>
      </c>
      <c r="C718" s="279" t="s">
        <v>2069</v>
      </c>
      <c r="D718" s="279"/>
      <c r="E718" s="279" t="s">
        <v>3308</v>
      </c>
    </row>
    <row r="719" spans="1:5" ht="15.75">
      <c r="B719" s="275" t="s">
        <v>3875</v>
      </c>
    </row>
    <row r="720" spans="1:5">
      <c r="A720" s="277" t="s">
        <v>3872</v>
      </c>
      <c r="B720" s="277" t="s">
        <v>3876</v>
      </c>
      <c r="C720" s="277" t="s">
        <v>3877</v>
      </c>
      <c r="D720" s="277"/>
      <c r="E720" s="277" t="s">
        <v>3878</v>
      </c>
    </row>
    <row r="721" spans="1:5">
      <c r="A721" s="277" t="s">
        <v>3879</v>
      </c>
      <c r="B721" s="277" t="s">
        <v>3880</v>
      </c>
      <c r="C721" s="277" t="s">
        <v>3877</v>
      </c>
      <c r="D721" s="277"/>
      <c r="E721" s="277" t="s">
        <v>3881</v>
      </c>
    </row>
    <row r="722" spans="1:5" ht="15.75">
      <c r="A722" s="246"/>
      <c r="B722" s="272" t="s">
        <v>3882</v>
      </c>
      <c r="C722" s="246"/>
      <c r="D722" s="246"/>
      <c r="E722" s="246"/>
    </row>
    <row r="723" spans="1:5">
      <c r="A723" s="277" t="s">
        <v>3883</v>
      </c>
      <c r="B723" s="277" t="s">
        <v>3876</v>
      </c>
      <c r="C723" s="277" t="s">
        <v>3877</v>
      </c>
      <c r="D723" s="277"/>
      <c r="E723" s="277" t="s">
        <v>3884</v>
      </c>
    </row>
    <row r="724" spans="1:5">
      <c r="A724" s="277" t="s">
        <v>3885</v>
      </c>
      <c r="B724" s="277" t="s">
        <v>3880</v>
      </c>
      <c r="C724" s="277" t="s">
        <v>3877</v>
      </c>
      <c r="D724" s="277"/>
      <c r="E724" s="277" t="s">
        <v>3878</v>
      </c>
    </row>
    <row r="725" spans="1:5" ht="15.75">
      <c r="A725" s="246"/>
      <c r="B725" s="272" t="s">
        <v>3886</v>
      </c>
      <c r="C725" s="246"/>
      <c r="D725" s="246"/>
      <c r="E725" s="246"/>
    </row>
    <row r="726" spans="1:5">
      <c r="A726" s="277" t="s">
        <v>3887</v>
      </c>
      <c r="B726" s="277" t="s">
        <v>3876</v>
      </c>
      <c r="C726" s="277" t="s">
        <v>3877</v>
      </c>
      <c r="D726" s="277"/>
      <c r="E726" s="277" t="s">
        <v>3884</v>
      </c>
    </row>
    <row r="727" spans="1:5">
      <c r="A727" s="277" t="s">
        <v>3888</v>
      </c>
      <c r="B727" s="277" t="s">
        <v>3880</v>
      </c>
      <c r="C727" s="277" t="s">
        <v>3877</v>
      </c>
      <c r="D727" s="277"/>
      <c r="E727" s="277" t="s">
        <v>3884</v>
      </c>
    </row>
    <row r="728" spans="1:5">
      <c r="A728" s="246"/>
      <c r="B728" s="246"/>
      <c r="C728" s="246"/>
      <c r="D728" s="246"/>
      <c r="E728" s="246"/>
    </row>
    <row r="729" spans="1:5" ht="15.75">
      <c r="A729" s="246"/>
      <c r="B729" s="272" t="s">
        <v>3889</v>
      </c>
      <c r="C729" s="246"/>
      <c r="D729" s="246"/>
      <c r="E729" s="246"/>
    </row>
    <row r="730" spans="1:5">
      <c r="A730" s="277" t="s">
        <v>3890</v>
      </c>
      <c r="B730" s="277" t="s">
        <v>3891</v>
      </c>
      <c r="C730" s="277" t="s">
        <v>3877</v>
      </c>
      <c r="D730" s="277"/>
      <c r="E730" s="277" t="s">
        <v>3892</v>
      </c>
    </row>
    <row r="731" spans="1:5">
      <c r="A731" s="277" t="s">
        <v>3893</v>
      </c>
      <c r="B731" s="277" t="s">
        <v>3880</v>
      </c>
      <c r="C731" s="277" t="s">
        <v>3877</v>
      </c>
      <c r="D731" s="277"/>
      <c r="E731" s="277" t="s">
        <v>3881</v>
      </c>
    </row>
    <row r="732" spans="1:5">
      <c r="A732" s="246"/>
      <c r="B732" s="246"/>
      <c r="C732" s="246"/>
      <c r="D732" s="246"/>
      <c r="E732" s="246"/>
    </row>
    <row r="733" spans="1:5" ht="15.75">
      <c r="A733" s="246"/>
      <c r="B733" s="272" t="s">
        <v>3894</v>
      </c>
      <c r="C733" s="246"/>
      <c r="D733" s="246"/>
      <c r="E733" s="246"/>
    </row>
    <row r="734" spans="1:5">
      <c r="A734" s="277" t="s">
        <v>3895</v>
      </c>
      <c r="B734" s="277" t="s">
        <v>3876</v>
      </c>
      <c r="C734" s="277" t="s">
        <v>3877</v>
      </c>
      <c r="D734" s="277"/>
      <c r="E734" s="277" t="s">
        <v>3896</v>
      </c>
    </row>
    <row r="735" spans="1:5">
      <c r="A735" s="277" t="s">
        <v>3897</v>
      </c>
      <c r="B735" s="277" t="s">
        <v>3880</v>
      </c>
      <c r="C735" s="277" t="s">
        <v>3877</v>
      </c>
      <c r="D735" s="277"/>
      <c r="E735" s="277" t="s">
        <v>3898</v>
      </c>
    </row>
    <row r="736" spans="1:5">
      <c r="A736" s="246"/>
      <c r="B736" s="246"/>
      <c r="C736" s="246"/>
      <c r="D736" s="246"/>
      <c r="E736" s="246"/>
    </row>
    <row r="737" spans="1:5" ht="15.75">
      <c r="A737" s="246"/>
      <c r="B737" s="272" t="s">
        <v>3899</v>
      </c>
      <c r="C737" s="246"/>
      <c r="D737" s="246"/>
      <c r="E737" s="246"/>
    </row>
    <row r="738" spans="1:5">
      <c r="A738" s="277" t="s">
        <v>3900</v>
      </c>
      <c r="B738" s="277" t="s">
        <v>3876</v>
      </c>
      <c r="C738" s="277" t="s">
        <v>3877</v>
      </c>
      <c r="D738" s="277"/>
      <c r="E738" s="277" t="s">
        <v>3901</v>
      </c>
    </row>
    <row r="739" spans="1:5">
      <c r="A739" s="277" t="s">
        <v>3902</v>
      </c>
      <c r="B739" s="277" t="s">
        <v>3880</v>
      </c>
      <c r="C739" s="277" t="s">
        <v>3877</v>
      </c>
      <c r="D739" s="277"/>
      <c r="E739" s="277" t="s">
        <v>3896</v>
      </c>
    </row>
    <row r="740" spans="1:5">
      <c r="A740" s="304" t="s">
        <v>3903</v>
      </c>
      <c r="B740" s="304" t="s">
        <v>3904</v>
      </c>
      <c r="C740" s="304" t="s">
        <v>3877</v>
      </c>
      <c r="D740" s="304"/>
      <c r="E740" s="304" t="s">
        <v>3905</v>
      </c>
    </row>
    <row r="741" spans="1:5">
      <c r="A741" s="305"/>
      <c r="B741" s="305"/>
      <c r="C741" s="305"/>
      <c r="D741" s="305"/>
      <c r="E741" s="305"/>
    </row>
    <row r="742" spans="1:5" ht="15.75">
      <c r="A742" s="246"/>
      <c r="B742" s="272" t="s">
        <v>3906</v>
      </c>
      <c r="C742" s="246"/>
      <c r="D742" s="246"/>
      <c r="E742" s="246"/>
    </row>
    <row r="743" spans="1:5">
      <c r="A743" s="277" t="s">
        <v>3907</v>
      </c>
      <c r="B743" s="277" t="s">
        <v>3908</v>
      </c>
      <c r="C743" s="277" t="s">
        <v>3909</v>
      </c>
      <c r="D743" s="277"/>
      <c r="E743" s="277" t="s">
        <v>3910</v>
      </c>
    </row>
    <row r="744" spans="1:5" ht="15.75">
      <c r="A744" s="246"/>
      <c r="B744" s="272" t="s">
        <v>3911</v>
      </c>
      <c r="C744" s="246"/>
      <c r="D744" s="246"/>
      <c r="E744" s="246"/>
    </row>
    <row r="745" spans="1:5">
      <c r="A745" s="277" t="s">
        <v>3912</v>
      </c>
      <c r="B745" s="277" t="s">
        <v>3913</v>
      </c>
      <c r="C745" s="277" t="s">
        <v>3914</v>
      </c>
      <c r="D745" s="277"/>
      <c r="E745" s="277" t="s">
        <v>3915</v>
      </c>
    </row>
    <row r="746" spans="1:5" ht="15.75">
      <c r="A746" s="246"/>
      <c r="B746" s="272" t="s">
        <v>3916</v>
      </c>
      <c r="C746" s="246"/>
      <c r="D746" s="246"/>
      <c r="E746" s="246"/>
    </row>
    <row r="747" spans="1:5">
      <c r="A747" s="277" t="s">
        <v>3917</v>
      </c>
      <c r="B747" s="277" t="s">
        <v>3876</v>
      </c>
      <c r="C747" s="277" t="s">
        <v>3877</v>
      </c>
      <c r="D747" s="277"/>
      <c r="E747" s="277" t="s">
        <v>3918</v>
      </c>
    </row>
    <row r="748" spans="1:5">
      <c r="A748" s="277" t="s">
        <v>3919</v>
      </c>
      <c r="B748" s="277" t="s">
        <v>3880</v>
      </c>
      <c r="C748" s="277" t="s">
        <v>3877</v>
      </c>
      <c r="D748" s="277"/>
      <c r="E748" s="277" t="s">
        <v>3920</v>
      </c>
    </row>
    <row r="750" spans="1:5" ht="15.75">
      <c r="B750" s="306" t="s">
        <v>3921</v>
      </c>
    </row>
    <row r="752" spans="1:5" ht="15.75">
      <c r="A752" s="275" t="s">
        <v>2364</v>
      </c>
      <c r="B752" s="246"/>
      <c r="C752" s="307" t="s">
        <v>3922</v>
      </c>
    </row>
    <row r="753" spans="1:3">
      <c r="A753" s="277" t="s">
        <v>3923</v>
      </c>
      <c r="B753" s="277" t="s">
        <v>3924</v>
      </c>
      <c r="C753" s="290">
        <v>120.18</v>
      </c>
    </row>
    <row r="754" spans="1:3">
      <c r="A754" s="277" t="s">
        <v>3925</v>
      </c>
      <c r="B754" s="277" t="s">
        <v>3926</v>
      </c>
      <c r="C754" s="290">
        <v>135.79</v>
      </c>
    </row>
    <row r="755" spans="1:3">
      <c r="A755" s="277" t="s">
        <v>3927</v>
      </c>
      <c r="B755" s="277" t="s">
        <v>3928</v>
      </c>
      <c r="C755" s="290">
        <v>162.33000000000001</v>
      </c>
    </row>
    <row r="756" spans="1:3">
      <c r="A756" s="277" t="s">
        <v>3929</v>
      </c>
      <c r="B756" s="277" t="s">
        <v>3930</v>
      </c>
      <c r="C756" s="290">
        <v>181.05</v>
      </c>
    </row>
    <row r="757" spans="1:3">
      <c r="A757" s="277" t="s">
        <v>3931</v>
      </c>
      <c r="B757" s="277" t="s">
        <v>3932</v>
      </c>
      <c r="C757" s="290">
        <v>202.9</v>
      </c>
    </row>
    <row r="758" spans="1:3">
      <c r="B758" s="246"/>
      <c r="C758" s="308"/>
    </row>
    <row r="759" spans="1:3" ht="15.75">
      <c r="B759" s="272" t="s">
        <v>3933</v>
      </c>
      <c r="C759" s="309" t="s">
        <v>3922</v>
      </c>
    </row>
    <row r="760" spans="1:3">
      <c r="A760" s="277" t="s">
        <v>3934</v>
      </c>
      <c r="B760" s="277" t="s">
        <v>3935</v>
      </c>
      <c r="C760" s="290">
        <v>113.93</v>
      </c>
    </row>
    <row r="761" spans="1:3">
      <c r="A761" s="277" t="s">
        <v>3936</v>
      </c>
      <c r="B761" s="277" t="s">
        <v>3937</v>
      </c>
      <c r="C761" s="290">
        <v>135.79</v>
      </c>
    </row>
    <row r="762" spans="1:3">
      <c r="A762" s="277" t="s">
        <v>3938</v>
      </c>
      <c r="B762" s="277" t="s">
        <v>3939</v>
      </c>
      <c r="C762" s="290">
        <v>148.27000000000001</v>
      </c>
    </row>
    <row r="763" spans="1:3">
      <c r="A763" s="277" t="s">
        <v>3940</v>
      </c>
      <c r="B763" s="277" t="s">
        <v>3941</v>
      </c>
      <c r="C763" s="290">
        <v>171.69</v>
      </c>
    </row>
    <row r="764" spans="1:3">
      <c r="B764" s="246"/>
      <c r="C764" s="308"/>
    </row>
    <row r="765" spans="1:3" ht="15.75">
      <c r="B765" s="272" t="s">
        <v>3942</v>
      </c>
      <c r="C765" s="309" t="s">
        <v>3922</v>
      </c>
    </row>
    <row r="766" spans="1:3">
      <c r="A766" s="277" t="s">
        <v>3943</v>
      </c>
      <c r="B766" s="277" t="s">
        <v>3944</v>
      </c>
      <c r="C766" s="290">
        <v>120.18</v>
      </c>
    </row>
    <row r="767" spans="1:3">
      <c r="A767" s="277" t="s">
        <v>3945</v>
      </c>
      <c r="B767" s="277" t="s">
        <v>3946</v>
      </c>
      <c r="C767" s="290">
        <v>135.79</v>
      </c>
    </row>
    <row r="768" spans="1:3">
      <c r="A768" s="277" t="s">
        <v>3947</v>
      </c>
      <c r="B768" s="277" t="s">
        <v>3948</v>
      </c>
      <c r="C768" s="290">
        <v>162.33000000000001</v>
      </c>
    </row>
    <row r="769" spans="1:3">
      <c r="A769" s="277" t="s">
        <v>3949</v>
      </c>
      <c r="B769" s="277" t="s">
        <v>3950</v>
      </c>
      <c r="C769" s="290">
        <v>181.05</v>
      </c>
    </row>
    <row r="770" spans="1:3" ht="15.75">
      <c r="B770" s="272" t="s">
        <v>3951</v>
      </c>
      <c r="C770" s="309" t="s">
        <v>3922</v>
      </c>
    </row>
    <row r="771" spans="1:3" ht="31.5" customHeight="1">
      <c r="A771" s="288" t="s">
        <v>3952</v>
      </c>
      <c r="B771" s="286" t="s">
        <v>3953</v>
      </c>
      <c r="C771" s="290">
        <v>148.27000000000001</v>
      </c>
    </row>
    <row r="772" spans="1:3" ht="31.5" customHeight="1">
      <c r="A772" s="277" t="s">
        <v>3954</v>
      </c>
      <c r="B772" s="286" t="s">
        <v>3955</v>
      </c>
      <c r="C772" s="290">
        <v>135.79</v>
      </c>
    </row>
    <row r="773" spans="1:3" ht="31.5" customHeight="1">
      <c r="A773" s="277" t="s">
        <v>3956</v>
      </c>
      <c r="B773" s="286" t="s">
        <v>3957</v>
      </c>
      <c r="C773" s="290" t="s">
        <v>3958</v>
      </c>
    </row>
    <row r="774" spans="1:3" ht="30" customHeight="1">
      <c r="A774" s="277" t="s">
        <v>3959</v>
      </c>
      <c r="B774" s="286" t="s">
        <v>3960</v>
      </c>
      <c r="C774" s="290" t="s">
        <v>3961</v>
      </c>
    </row>
    <row r="775" spans="1:3" ht="32.25" customHeight="1">
      <c r="A775" s="277" t="s">
        <v>3962</v>
      </c>
      <c r="B775" s="286" t="s">
        <v>3963</v>
      </c>
      <c r="C775" s="290" t="s">
        <v>3964</v>
      </c>
    </row>
    <row r="776" spans="1:3">
      <c r="B776" s="246"/>
      <c r="C776" s="308"/>
    </row>
    <row r="777" spans="1:3" ht="15.75">
      <c r="B777" s="272" t="s">
        <v>3965</v>
      </c>
      <c r="C777" s="309" t="s">
        <v>3922</v>
      </c>
    </row>
    <row r="778" spans="1:3">
      <c r="A778" s="277" t="s">
        <v>3966</v>
      </c>
      <c r="B778" s="277" t="s">
        <v>3967</v>
      </c>
      <c r="C778" s="290">
        <v>140.47</v>
      </c>
    </row>
    <row r="779" spans="1:3">
      <c r="A779" s="277" t="s">
        <v>3968</v>
      </c>
      <c r="B779" s="277" t="s">
        <v>3969</v>
      </c>
      <c r="C779" s="290">
        <v>162.33000000000001</v>
      </c>
    </row>
    <row r="780" spans="1:3">
      <c r="A780" s="277" t="s">
        <v>3970</v>
      </c>
      <c r="B780" s="277" t="s">
        <v>3971</v>
      </c>
      <c r="C780" s="290">
        <v>171.69</v>
      </c>
    </row>
    <row r="781" spans="1:3">
      <c r="B781" s="246"/>
      <c r="C781" s="308"/>
    </row>
    <row r="782" spans="1:3" ht="15.75">
      <c r="B782" s="272" t="s">
        <v>3972</v>
      </c>
      <c r="C782" s="309" t="s">
        <v>3922</v>
      </c>
    </row>
    <row r="783" spans="1:3" ht="38.25" customHeight="1">
      <c r="A783" s="288" t="s">
        <v>3973</v>
      </c>
      <c r="B783" s="286" t="s">
        <v>3974</v>
      </c>
      <c r="C783" s="290">
        <v>117.06</v>
      </c>
    </row>
    <row r="784" spans="1:3">
      <c r="A784" s="277" t="s">
        <v>3975</v>
      </c>
      <c r="B784" s="277" t="s">
        <v>3976</v>
      </c>
      <c r="C784" s="290">
        <v>126.42</v>
      </c>
    </row>
    <row r="785" spans="1:3">
      <c r="A785" s="277" t="s">
        <v>3977</v>
      </c>
      <c r="B785" s="277" t="s">
        <v>3978</v>
      </c>
      <c r="C785" s="290">
        <v>171.69</v>
      </c>
    </row>
    <row r="786" spans="1:3">
      <c r="A786" s="277" t="s">
        <v>3979</v>
      </c>
      <c r="B786" s="310" t="s">
        <v>3980</v>
      </c>
      <c r="C786" s="311"/>
    </row>
    <row r="787" spans="1:3">
      <c r="A787" s="277" t="s">
        <v>3981</v>
      </c>
      <c r="B787" s="310" t="s">
        <v>3982</v>
      </c>
      <c r="C787" s="311"/>
    </row>
  </sheetData>
  <mergeCells count="19">
    <mergeCell ref="A594:D594"/>
    <mergeCell ref="A4:C4"/>
    <mergeCell ref="A19:E19"/>
    <mergeCell ref="B66:E66"/>
    <mergeCell ref="B84:D84"/>
    <mergeCell ref="B127:D127"/>
    <mergeCell ref="B147:E147"/>
    <mergeCell ref="A389:D389"/>
    <mergeCell ref="A471:D471"/>
    <mergeCell ref="B553:D553"/>
    <mergeCell ref="A563:D563"/>
    <mergeCell ref="A574:D574"/>
    <mergeCell ref="A692:D692"/>
    <mergeCell ref="A656:D656"/>
    <mergeCell ref="B674:D674"/>
    <mergeCell ref="B678:D678"/>
    <mergeCell ref="B680:D680"/>
    <mergeCell ref="B687:D687"/>
    <mergeCell ref="B689:D68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abSelected="1" view="pageBreakPreview" zoomScaleNormal="100" zoomScaleSheetLayoutView="100" workbookViewId="0">
      <selection activeCell="G61" sqref="A6:G61"/>
    </sheetView>
  </sheetViews>
  <sheetFormatPr baseColWidth="10" defaultColWidth="9.140625" defaultRowHeight="15"/>
  <cols>
    <col min="1" max="1" width="6.7109375" style="524" customWidth="1"/>
    <col min="2" max="2" width="41.85546875" style="375" customWidth="1"/>
    <col min="3" max="3" width="9.85546875" style="376" customWidth="1"/>
    <col min="4" max="4" width="5.140625" style="377" customWidth="1"/>
    <col min="5" max="5" width="12.5703125" style="378" customWidth="1"/>
    <col min="6" max="6" width="11.42578125" style="378" customWidth="1"/>
    <col min="7" max="7" width="12.140625" style="379" customWidth="1"/>
    <col min="8" max="8" width="24.85546875" style="253" customWidth="1"/>
    <col min="9" max="9" width="14.5703125" style="253" customWidth="1"/>
    <col min="10" max="10" width="16.5703125" style="253" customWidth="1"/>
    <col min="11" max="11" width="9.140625" style="253"/>
    <col min="12" max="12" width="13.85546875" style="253" customWidth="1"/>
    <col min="13" max="13" width="11.85546875" style="253" customWidth="1"/>
    <col min="14" max="256" width="9.140625" style="253"/>
    <col min="257" max="257" width="7.42578125" style="253" customWidth="1"/>
    <col min="258" max="258" width="77.42578125" style="253" customWidth="1"/>
    <col min="259" max="259" width="10.5703125" style="253" customWidth="1"/>
    <col min="260" max="260" width="5.140625" style="253" customWidth="1"/>
    <col min="261" max="261" width="13" style="253" customWidth="1"/>
    <col min="262" max="262" width="15.28515625" style="253" customWidth="1"/>
    <col min="263" max="263" width="21.28515625" style="253" customWidth="1"/>
    <col min="264" max="264" width="9.140625" style="253"/>
    <col min="265" max="265" width="26.28515625" style="253" customWidth="1"/>
    <col min="266" max="266" width="16.5703125" style="253" customWidth="1"/>
    <col min="267" max="267" width="9.140625" style="253"/>
    <col min="268" max="268" width="13.85546875" style="253" customWidth="1"/>
    <col min="269" max="512" width="9.140625" style="253"/>
    <col min="513" max="513" width="7.42578125" style="253" customWidth="1"/>
    <col min="514" max="514" width="77.42578125" style="253" customWidth="1"/>
    <col min="515" max="515" width="10.5703125" style="253" customWidth="1"/>
    <col min="516" max="516" width="5.140625" style="253" customWidth="1"/>
    <col min="517" max="517" width="13" style="253" customWidth="1"/>
    <col min="518" max="518" width="15.28515625" style="253" customWidth="1"/>
    <col min="519" max="519" width="21.28515625" style="253" customWidth="1"/>
    <col min="520" max="520" width="9.140625" style="253"/>
    <col min="521" max="521" width="26.28515625" style="253" customWidth="1"/>
    <col min="522" max="522" width="16.5703125" style="253" customWidth="1"/>
    <col min="523" max="523" width="9.140625" style="253"/>
    <col min="524" max="524" width="13.85546875" style="253" customWidth="1"/>
    <col min="525" max="768" width="9.140625" style="253"/>
    <col min="769" max="769" width="7.42578125" style="253" customWidth="1"/>
    <col min="770" max="770" width="77.42578125" style="253" customWidth="1"/>
    <col min="771" max="771" width="10.5703125" style="253" customWidth="1"/>
    <col min="772" max="772" width="5.140625" style="253" customWidth="1"/>
    <col min="773" max="773" width="13" style="253" customWidth="1"/>
    <col min="774" max="774" width="15.28515625" style="253" customWidth="1"/>
    <col min="775" max="775" width="21.28515625" style="253" customWidth="1"/>
    <col min="776" max="776" width="9.140625" style="253"/>
    <col min="777" max="777" width="26.28515625" style="253" customWidth="1"/>
    <col min="778" max="778" width="16.5703125" style="253" customWidth="1"/>
    <col min="779" max="779" width="9.140625" style="253"/>
    <col min="780" max="780" width="13.85546875" style="253" customWidth="1"/>
    <col min="781" max="1024" width="9.140625" style="253"/>
    <col min="1025" max="1025" width="7.42578125" style="253" customWidth="1"/>
    <col min="1026" max="1026" width="77.42578125" style="253" customWidth="1"/>
    <col min="1027" max="1027" width="10.5703125" style="253" customWidth="1"/>
    <col min="1028" max="1028" width="5.140625" style="253" customWidth="1"/>
    <col min="1029" max="1029" width="13" style="253" customWidth="1"/>
    <col min="1030" max="1030" width="15.28515625" style="253" customWidth="1"/>
    <col min="1031" max="1031" width="21.28515625" style="253" customWidth="1"/>
    <col min="1032" max="1032" width="9.140625" style="253"/>
    <col min="1033" max="1033" width="26.28515625" style="253" customWidth="1"/>
    <col min="1034" max="1034" width="16.5703125" style="253" customWidth="1"/>
    <col min="1035" max="1035" width="9.140625" style="253"/>
    <col min="1036" max="1036" width="13.85546875" style="253" customWidth="1"/>
    <col min="1037" max="1280" width="9.140625" style="253"/>
    <col min="1281" max="1281" width="7.42578125" style="253" customWidth="1"/>
    <col min="1282" max="1282" width="77.42578125" style="253" customWidth="1"/>
    <col min="1283" max="1283" width="10.5703125" style="253" customWidth="1"/>
    <col min="1284" max="1284" width="5.140625" style="253" customWidth="1"/>
    <col min="1285" max="1285" width="13" style="253" customWidth="1"/>
    <col min="1286" max="1286" width="15.28515625" style="253" customWidth="1"/>
    <col min="1287" max="1287" width="21.28515625" style="253" customWidth="1"/>
    <col min="1288" max="1288" width="9.140625" style="253"/>
    <col min="1289" max="1289" width="26.28515625" style="253" customWidth="1"/>
    <col min="1290" max="1290" width="16.5703125" style="253" customWidth="1"/>
    <col min="1291" max="1291" width="9.140625" style="253"/>
    <col min="1292" max="1292" width="13.85546875" style="253" customWidth="1"/>
    <col min="1293" max="1536" width="9.140625" style="253"/>
    <col min="1537" max="1537" width="7.42578125" style="253" customWidth="1"/>
    <col min="1538" max="1538" width="77.42578125" style="253" customWidth="1"/>
    <col min="1539" max="1539" width="10.5703125" style="253" customWidth="1"/>
    <col min="1540" max="1540" width="5.140625" style="253" customWidth="1"/>
    <col min="1541" max="1541" width="13" style="253" customWidth="1"/>
    <col min="1542" max="1542" width="15.28515625" style="253" customWidth="1"/>
    <col min="1543" max="1543" width="21.28515625" style="253" customWidth="1"/>
    <col min="1544" max="1544" width="9.140625" style="253"/>
    <col min="1545" max="1545" width="26.28515625" style="253" customWidth="1"/>
    <col min="1546" max="1546" width="16.5703125" style="253" customWidth="1"/>
    <col min="1547" max="1547" width="9.140625" style="253"/>
    <col min="1548" max="1548" width="13.85546875" style="253" customWidth="1"/>
    <col min="1549" max="1792" width="9.140625" style="253"/>
    <col min="1793" max="1793" width="7.42578125" style="253" customWidth="1"/>
    <col min="1794" max="1794" width="77.42578125" style="253" customWidth="1"/>
    <col min="1795" max="1795" width="10.5703125" style="253" customWidth="1"/>
    <col min="1796" max="1796" width="5.140625" style="253" customWidth="1"/>
    <col min="1797" max="1797" width="13" style="253" customWidth="1"/>
    <col min="1798" max="1798" width="15.28515625" style="253" customWidth="1"/>
    <col min="1799" max="1799" width="21.28515625" style="253" customWidth="1"/>
    <col min="1800" max="1800" width="9.140625" style="253"/>
    <col min="1801" max="1801" width="26.28515625" style="253" customWidth="1"/>
    <col min="1802" max="1802" width="16.5703125" style="253" customWidth="1"/>
    <col min="1803" max="1803" width="9.140625" style="253"/>
    <col min="1804" max="1804" width="13.85546875" style="253" customWidth="1"/>
    <col min="1805" max="2048" width="9.140625" style="253"/>
    <col min="2049" max="2049" width="7.42578125" style="253" customWidth="1"/>
    <col min="2050" max="2050" width="77.42578125" style="253" customWidth="1"/>
    <col min="2051" max="2051" width="10.5703125" style="253" customWidth="1"/>
    <col min="2052" max="2052" width="5.140625" style="253" customWidth="1"/>
    <col min="2053" max="2053" width="13" style="253" customWidth="1"/>
    <col min="2054" max="2054" width="15.28515625" style="253" customWidth="1"/>
    <col min="2055" max="2055" width="21.28515625" style="253" customWidth="1"/>
    <col min="2056" max="2056" width="9.140625" style="253"/>
    <col min="2057" max="2057" width="26.28515625" style="253" customWidth="1"/>
    <col min="2058" max="2058" width="16.5703125" style="253" customWidth="1"/>
    <col min="2059" max="2059" width="9.140625" style="253"/>
    <col min="2060" max="2060" width="13.85546875" style="253" customWidth="1"/>
    <col min="2061" max="2304" width="9.140625" style="253"/>
    <col min="2305" max="2305" width="7.42578125" style="253" customWidth="1"/>
    <col min="2306" max="2306" width="77.42578125" style="253" customWidth="1"/>
    <col min="2307" max="2307" width="10.5703125" style="253" customWidth="1"/>
    <col min="2308" max="2308" width="5.140625" style="253" customWidth="1"/>
    <col min="2309" max="2309" width="13" style="253" customWidth="1"/>
    <col min="2310" max="2310" width="15.28515625" style="253" customWidth="1"/>
    <col min="2311" max="2311" width="21.28515625" style="253" customWidth="1"/>
    <col min="2312" max="2312" width="9.140625" style="253"/>
    <col min="2313" max="2313" width="26.28515625" style="253" customWidth="1"/>
    <col min="2314" max="2314" width="16.5703125" style="253" customWidth="1"/>
    <col min="2315" max="2315" width="9.140625" style="253"/>
    <col min="2316" max="2316" width="13.85546875" style="253" customWidth="1"/>
    <col min="2317" max="2560" width="9.140625" style="253"/>
    <col min="2561" max="2561" width="7.42578125" style="253" customWidth="1"/>
    <col min="2562" max="2562" width="77.42578125" style="253" customWidth="1"/>
    <col min="2563" max="2563" width="10.5703125" style="253" customWidth="1"/>
    <col min="2564" max="2564" width="5.140625" style="253" customWidth="1"/>
    <col min="2565" max="2565" width="13" style="253" customWidth="1"/>
    <col min="2566" max="2566" width="15.28515625" style="253" customWidth="1"/>
    <col min="2567" max="2567" width="21.28515625" style="253" customWidth="1"/>
    <col min="2568" max="2568" width="9.140625" style="253"/>
    <col min="2569" max="2569" width="26.28515625" style="253" customWidth="1"/>
    <col min="2570" max="2570" width="16.5703125" style="253" customWidth="1"/>
    <col min="2571" max="2571" width="9.140625" style="253"/>
    <col min="2572" max="2572" width="13.85546875" style="253" customWidth="1"/>
    <col min="2573" max="2816" width="9.140625" style="253"/>
    <col min="2817" max="2817" width="7.42578125" style="253" customWidth="1"/>
    <col min="2818" max="2818" width="77.42578125" style="253" customWidth="1"/>
    <col min="2819" max="2819" width="10.5703125" style="253" customWidth="1"/>
    <col min="2820" max="2820" width="5.140625" style="253" customWidth="1"/>
    <col min="2821" max="2821" width="13" style="253" customWidth="1"/>
    <col min="2822" max="2822" width="15.28515625" style="253" customWidth="1"/>
    <col min="2823" max="2823" width="21.28515625" style="253" customWidth="1"/>
    <col min="2824" max="2824" width="9.140625" style="253"/>
    <col min="2825" max="2825" width="26.28515625" style="253" customWidth="1"/>
    <col min="2826" max="2826" width="16.5703125" style="253" customWidth="1"/>
    <col min="2827" max="2827" width="9.140625" style="253"/>
    <col min="2828" max="2828" width="13.85546875" style="253" customWidth="1"/>
    <col min="2829" max="3072" width="9.140625" style="253"/>
    <col min="3073" max="3073" width="7.42578125" style="253" customWidth="1"/>
    <col min="3074" max="3074" width="77.42578125" style="253" customWidth="1"/>
    <col min="3075" max="3075" width="10.5703125" style="253" customWidth="1"/>
    <col min="3076" max="3076" width="5.140625" style="253" customWidth="1"/>
    <col min="3077" max="3077" width="13" style="253" customWidth="1"/>
    <col min="3078" max="3078" width="15.28515625" style="253" customWidth="1"/>
    <col min="3079" max="3079" width="21.28515625" style="253" customWidth="1"/>
    <col min="3080" max="3080" width="9.140625" style="253"/>
    <col min="3081" max="3081" width="26.28515625" style="253" customWidth="1"/>
    <col min="3082" max="3082" width="16.5703125" style="253" customWidth="1"/>
    <col min="3083" max="3083" width="9.140625" style="253"/>
    <col min="3084" max="3084" width="13.85546875" style="253" customWidth="1"/>
    <col min="3085" max="3328" width="9.140625" style="253"/>
    <col min="3329" max="3329" width="7.42578125" style="253" customWidth="1"/>
    <col min="3330" max="3330" width="77.42578125" style="253" customWidth="1"/>
    <col min="3331" max="3331" width="10.5703125" style="253" customWidth="1"/>
    <col min="3332" max="3332" width="5.140625" style="253" customWidth="1"/>
    <col min="3333" max="3333" width="13" style="253" customWidth="1"/>
    <col min="3334" max="3334" width="15.28515625" style="253" customWidth="1"/>
    <col min="3335" max="3335" width="21.28515625" style="253" customWidth="1"/>
    <col min="3336" max="3336" width="9.140625" style="253"/>
    <col min="3337" max="3337" width="26.28515625" style="253" customWidth="1"/>
    <col min="3338" max="3338" width="16.5703125" style="253" customWidth="1"/>
    <col min="3339" max="3339" width="9.140625" style="253"/>
    <col min="3340" max="3340" width="13.85546875" style="253" customWidth="1"/>
    <col min="3341" max="3584" width="9.140625" style="253"/>
    <col min="3585" max="3585" width="7.42578125" style="253" customWidth="1"/>
    <col min="3586" max="3586" width="77.42578125" style="253" customWidth="1"/>
    <col min="3587" max="3587" width="10.5703125" style="253" customWidth="1"/>
    <col min="3588" max="3588" width="5.140625" style="253" customWidth="1"/>
    <col min="3589" max="3589" width="13" style="253" customWidth="1"/>
    <col min="3590" max="3590" width="15.28515625" style="253" customWidth="1"/>
    <col min="3591" max="3591" width="21.28515625" style="253" customWidth="1"/>
    <col min="3592" max="3592" width="9.140625" style="253"/>
    <col min="3593" max="3593" width="26.28515625" style="253" customWidth="1"/>
    <col min="3594" max="3594" width="16.5703125" style="253" customWidth="1"/>
    <col min="3595" max="3595" width="9.140625" style="253"/>
    <col min="3596" max="3596" width="13.85546875" style="253" customWidth="1"/>
    <col min="3597" max="3840" width="9.140625" style="253"/>
    <col min="3841" max="3841" width="7.42578125" style="253" customWidth="1"/>
    <col min="3842" max="3842" width="77.42578125" style="253" customWidth="1"/>
    <col min="3843" max="3843" width="10.5703125" style="253" customWidth="1"/>
    <col min="3844" max="3844" width="5.140625" style="253" customWidth="1"/>
    <col min="3845" max="3845" width="13" style="253" customWidth="1"/>
    <col min="3846" max="3846" width="15.28515625" style="253" customWidth="1"/>
    <col min="3847" max="3847" width="21.28515625" style="253" customWidth="1"/>
    <col min="3848" max="3848" width="9.140625" style="253"/>
    <col min="3849" max="3849" width="26.28515625" style="253" customWidth="1"/>
    <col min="3850" max="3850" width="16.5703125" style="253" customWidth="1"/>
    <col min="3851" max="3851" width="9.140625" style="253"/>
    <col min="3852" max="3852" width="13.85546875" style="253" customWidth="1"/>
    <col min="3853" max="4096" width="9.140625" style="253"/>
    <col min="4097" max="4097" width="7.42578125" style="253" customWidth="1"/>
    <col min="4098" max="4098" width="77.42578125" style="253" customWidth="1"/>
    <col min="4099" max="4099" width="10.5703125" style="253" customWidth="1"/>
    <col min="4100" max="4100" width="5.140625" style="253" customWidth="1"/>
    <col min="4101" max="4101" width="13" style="253" customWidth="1"/>
    <col min="4102" max="4102" width="15.28515625" style="253" customWidth="1"/>
    <col min="4103" max="4103" width="21.28515625" style="253" customWidth="1"/>
    <col min="4104" max="4104" width="9.140625" style="253"/>
    <col min="4105" max="4105" width="26.28515625" style="253" customWidth="1"/>
    <col min="4106" max="4106" width="16.5703125" style="253" customWidth="1"/>
    <col min="4107" max="4107" width="9.140625" style="253"/>
    <col min="4108" max="4108" width="13.85546875" style="253" customWidth="1"/>
    <col min="4109" max="4352" width="9.140625" style="253"/>
    <col min="4353" max="4353" width="7.42578125" style="253" customWidth="1"/>
    <col min="4354" max="4354" width="77.42578125" style="253" customWidth="1"/>
    <col min="4355" max="4355" width="10.5703125" style="253" customWidth="1"/>
    <col min="4356" max="4356" width="5.140625" style="253" customWidth="1"/>
    <col min="4357" max="4357" width="13" style="253" customWidth="1"/>
    <col min="4358" max="4358" width="15.28515625" style="253" customWidth="1"/>
    <col min="4359" max="4359" width="21.28515625" style="253" customWidth="1"/>
    <col min="4360" max="4360" width="9.140625" style="253"/>
    <col min="4361" max="4361" width="26.28515625" style="253" customWidth="1"/>
    <col min="4362" max="4362" width="16.5703125" style="253" customWidth="1"/>
    <col min="4363" max="4363" width="9.140625" style="253"/>
    <col min="4364" max="4364" width="13.85546875" style="253" customWidth="1"/>
    <col min="4365" max="4608" width="9.140625" style="253"/>
    <col min="4609" max="4609" width="7.42578125" style="253" customWidth="1"/>
    <col min="4610" max="4610" width="77.42578125" style="253" customWidth="1"/>
    <col min="4611" max="4611" width="10.5703125" style="253" customWidth="1"/>
    <col min="4612" max="4612" width="5.140625" style="253" customWidth="1"/>
    <col min="4613" max="4613" width="13" style="253" customWidth="1"/>
    <col min="4614" max="4614" width="15.28515625" style="253" customWidth="1"/>
    <col min="4615" max="4615" width="21.28515625" style="253" customWidth="1"/>
    <col min="4616" max="4616" width="9.140625" style="253"/>
    <col min="4617" max="4617" width="26.28515625" style="253" customWidth="1"/>
    <col min="4618" max="4618" width="16.5703125" style="253" customWidth="1"/>
    <col min="4619" max="4619" width="9.140625" style="253"/>
    <col min="4620" max="4620" width="13.85546875" style="253" customWidth="1"/>
    <col min="4621" max="4864" width="9.140625" style="253"/>
    <col min="4865" max="4865" width="7.42578125" style="253" customWidth="1"/>
    <col min="4866" max="4866" width="77.42578125" style="253" customWidth="1"/>
    <col min="4867" max="4867" width="10.5703125" style="253" customWidth="1"/>
    <col min="4868" max="4868" width="5.140625" style="253" customWidth="1"/>
    <col min="4869" max="4869" width="13" style="253" customWidth="1"/>
    <col min="4870" max="4870" width="15.28515625" style="253" customWidth="1"/>
    <col min="4871" max="4871" width="21.28515625" style="253" customWidth="1"/>
    <col min="4872" max="4872" width="9.140625" style="253"/>
    <col min="4873" max="4873" width="26.28515625" style="253" customWidth="1"/>
    <col min="4874" max="4874" width="16.5703125" style="253" customWidth="1"/>
    <col min="4875" max="4875" width="9.140625" style="253"/>
    <col min="4876" max="4876" width="13.85546875" style="253" customWidth="1"/>
    <col min="4877" max="5120" width="9.140625" style="253"/>
    <col min="5121" max="5121" width="7.42578125" style="253" customWidth="1"/>
    <col min="5122" max="5122" width="77.42578125" style="253" customWidth="1"/>
    <col min="5123" max="5123" width="10.5703125" style="253" customWidth="1"/>
    <col min="5124" max="5124" width="5.140625" style="253" customWidth="1"/>
    <col min="5125" max="5125" width="13" style="253" customWidth="1"/>
    <col min="5126" max="5126" width="15.28515625" style="253" customWidth="1"/>
    <col min="5127" max="5127" width="21.28515625" style="253" customWidth="1"/>
    <col min="5128" max="5128" width="9.140625" style="253"/>
    <col min="5129" max="5129" width="26.28515625" style="253" customWidth="1"/>
    <col min="5130" max="5130" width="16.5703125" style="253" customWidth="1"/>
    <col min="5131" max="5131" width="9.140625" style="253"/>
    <col min="5132" max="5132" width="13.85546875" style="253" customWidth="1"/>
    <col min="5133" max="5376" width="9.140625" style="253"/>
    <col min="5377" max="5377" width="7.42578125" style="253" customWidth="1"/>
    <col min="5378" max="5378" width="77.42578125" style="253" customWidth="1"/>
    <col min="5379" max="5379" width="10.5703125" style="253" customWidth="1"/>
    <col min="5380" max="5380" width="5.140625" style="253" customWidth="1"/>
    <col min="5381" max="5381" width="13" style="253" customWidth="1"/>
    <col min="5382" max="5382" width="15.28515625" style="253" customWidth="1"/>
    <col min="5383" max="5383" width="21.28515625" style="253" customWidth="1"/>
    <col min="5384" max="5384" width="9.140625" style="253"/>
    <col min="5385" max="5385" width="26.28515625" style="253" customWidth="1"/>
    <col min="5386" max="5386" width="16.5703125" style="253" customWidth="1"/>
    <col min="5387" max="5387" width="9.140625" style="253"/>
    <col min="5388" max="5388" width="13.85546875" style="253" customWidth="1"/>
    <col min="5389" max="5632" width="9.140625" style="253"/>
    <col min="5633" max="5633" width="7.42578125" style="253" customWidth="1"/>
    <col min="5634" max="5634" width="77.42578125" style="253" customWidth="1"/>
    <col min="5635" max="5635" width="10.5703125" style="253" customWidth="1"/>
    <col min="5636" max="5636" width="5.140625" style="253" customWidth="1"/>
    <col min="5637" max="5637" width="13" style="253" customWidth="1"/>
    <col min="5638" max="5638" width="15.28515625" style="253" customWidth="1"/>
    <col min="5639" max="5639" width="21.28515625" style="253" customWidth="1"/>
    <col min="5640" max="5640" width="9.140625" style="253"/>
    <col min="5641" max="5641" width="26.28515625" style="253" customWidth="1"/>
    <col min="5642" max="5642" width="16.5703125" style="253" customWidth="1"/>
    <col min="5643" max="5643" width="9.140625" style="253"/>
    <col min="5644" max="5644" width="13.85546875" style="253" customWidth="1"/>
    <col min="5645" max="5888" width="9.140625" style="253"/>
    <col min="5889" max="5889" width="7.42578125" style="253" customWidth="1"/>
    <col min="5890" max="5890" width="77.42578125" style="253" customWidth="1"/>
    <col min="5891" max="5891" width="10.5703125" style="253" customWidth="1"/>
    <col min="5892" max="5892" width="5.140625" style="253" customWidth="1"/>
    <col min="5893" max="5893" width="13" style="253" customWidth="1"/>
    <col min="5894" max="5894" width="15.28515625" style="253" customWidth="1"/>
    <col min="5895" max="5895" width="21.28515625" style="253" customWidth="1"/>
    <col min="5896" max="5896" width="9.140625" style="253"/>
    <col min="5897" max="5897" width="26.28515625" style="253" customWidth="1"/>
    <col min="5898" max="5898" width="16.5703125" style="253" customWidth="1"/>
    <col min="5899" max="5899" width="9.140625" style="253"/>
    <col min="5900" max="5900" width="13.85546875" style="253" customWidth="1"/>
    <col min="5901" max="6144" width="9.140625" style="253"/>
    <col min="6145" max="6145" width="7.42578125" style="253" customWidth="1"/>
    <col min="6146" max="6146" width="77.42578125" style="253" customWidth="1"/>
    <col min="6147" max="6147" width="10.5703125" style="253" customWidth="1"/>
    <col min="6148" max="6148" width="5.140625" style="253" customWidth="1"/>
    <col min="6149" max="6149" width="13" style="253" customWidth="1"/>
    <col min="6150" max="6150" width="15.28515625" style="253" customWidth="1"/>
    <col min="6151" max="6151" width="21.28515625" style="253" customWidth="1"/>
    <col min="6152" max="6152" width="9.140625" style="253"/>
    <col min="6153" max="6153" width="26.28515625" style="253" customWidth="1"/>
    <col min="6154" max="6154" width="16.5703125" style="253" customWidth="1"/>
    <col min="6155" max="6155" width="9.140625" style="253"/>
    <col min="6156" max="6156" width="13.85546875" style="253" customWidth="1"/>
    <col min="6157" max="6400" width="9.140625" style="253"/>
    <col min="6401" max="6401" width="7.42578125" style="253" customWidth="1"/>
    <col min="6402" max="6402" width="77.42578125" style="253" customWidth="1"/>
    <col min="6403" max="6403" width="10.5703125" style="253" customWidth="1"/>
    <col min="6404" max="6404" width="5.140625" style="253" customWidth="1"/>
    <col min="6405" max="6405" width="13" style="253" customWidth="1"/>
    <col min="6406" max="6406" width="15.28515625" style="253" customWidth="1"/>
    <col min="6407" max="6407" width="21.28515625" style="253" customWidth="1"/>
    <col min="6408" max="6408" width="9.140625" style="253"/>
    <col min="6409" max="6409" width="26.28515625" style="253" customWidth="1"/>
    <col min="6410" max="6410" width="16.5703125" style="253" customWidth="1"/>
    <col min="6411" max="6411" width="9.140625" style="253"/>
    <col min="6412" max="6412" width="13.85546875" style="253" customWidth="1"/>
    <col min="6413" max="6656" width="9.140625" style="253"/>
    <col min="6657" max="6657" width="7.42578125" style="253" customWidth="1"/>
    <col min="6658" max="6658" width="77.42578125" style="253" customWidth="1"/>
    <col min="6659" max="6659" width="10.5703125" style="253" customWidth="1"/>
    <col min="6660" max="6660" width="5.140625" style="253" customWidth="1"/>
    <col min="6661" max="6661" width="13" style="253" customWidth="1"/>
    <col min="6662" max="6662" width="15.28515625" style="253" customWidth="1"/>
    <col min="6663" max="6663" width="21.28515625" style="253" customWidth="1"/>
    <col min="6664" max="6664" width="9.140625" style="253"/>
    <col min="6665" max="6665" width="26.28515625" style="253" customWidth="1"/>
    <col min="6666" max="6666" width="16.5703125" style="253" customWidth="1"/>
    <col min="6667" max="6667" width="9.140625" style="253"/>
    <col min="6668" max="6668" width="13.85546875" style="253" customWidth="1"/>
    <col min="6669" max="6912" width="9.140625" style="253"/>
    <col min="6913" max="6913" width="7.42578125" style="253" customWidth="1"/>
    <col min="6914" max="6914" width="77.42578125" style="253" customWidth="1"/>
    <col min="6915" max="6915" width="10.5703125" style="253" customWidth="1"/>
    <col min="6916" max="6916" width="5.140625" style="253" customWidth="1"/>
    <col min="6917" max="6917" width="13" style="253" customWidth="1"/>
    <col min="6918" max="6918" width="15.28515625" style="253" customWidth="1"/>
    <col min="6919" max="6919" width="21.28515625" style="253" customWidth="1"/>
    <col min="6920" max="6920" width="9.140625" style="253"/>
    <col min="6921" max="6921" width="26.28515625" style="253" customWidth="1"/>
    <col min="6922" max="6922" width="16.5703125" style="253" customWidth="1"/>
    <col min="6923" max="6923" width="9.140625" style="253"/>
    <col min="6924" max="6924" width="13.85546875" style="253" customWidth="1"/>
    <col min="6925" max="7168" width="9.140625" style="253"/>
    <col min="7169" max="7169" width="7.42578125" style="253" customWidth="1"/>
    <col min="7170" max="7170" width="77.42578125" style="253" customWidth="1"/>
    <col min="7171" max="7171" width="10.5703125" style="253" customWidth="1"/>
    <col min="7172" max="7172" width="5.140625" style="253" customWidth="1"/>
    <col min="7173" max="7173" width="13" style="253" customWidth="1"/>
    <col min="7174" max="7174" width="15.28515625" style="253" customWidth="1"/>
    <col min="7175" max="7175" width="21.28515625" style="253" customWidth="1"/>
    <col min="7176" max="7176" width="9.140625" style="253"/>
    <col min="7177" max="7177" width="26.28515625" style="253" customWidth="1"/>
    <col min="7178" max="7178" width="16.5703125" style="253" customWidth="1"/>
    <col min="7179" max="7179" width="9.140625" style="253"/>
    <col min="7180" max="7180" width="13.85546875" style="253" customWidth="1"/>
    <col min="7181" max="7424" width="9.140625" style="253"/>
    <col min="7425" max="7425" width="7.42578125" style="253" customWidth="1"/>
    <col min="7426" max="7426" width="77.42578125" style="253" customWidth="1"/>
    <col min="7427" max="7427" width="10.5703125" style="253" customWidth="1"/>
    <col min="7428" max="7428" width="5.140625" style="253" customWidth="1"/>
    <col min="7429" max="7429" width="13" style="253" customWidth="1"/>
    <col min="7430" max="7430" width="15.28515625" style="253" customWidth="1"/>
    <col min="7431" max="7431" width="21.28515625" style="253" customWidth="1"/>
    <col min="7432" max="7432" width="9.140625" style="253"/>
    <col min="7433" max="7433" width="26.28515625" style="253" customWidth="1"/>
    <col min="7434" max="7434" width="16.5703125" style="253" customWidth="1"/>
    <col min="7435" max="7435" width="9.140625" style="253"/>
    <col min="7436" max="7436" width="13.85546875" style="253" customWidth="1"/>
    <col min="7437" max="7680" width="9.140625" style="253"/>
    <col min="7681" max="7681" width="7.42578125" style="253" customWidth="1"/>
    <col min="7682" max="7682" width="77.42578125" style="253" customWidth="1"/>
    <col min="7683" max="7683" width="10.5703125" style="253" customWidth="1"/>
    <col min="7684" max="7684" width="5.140625" style="253" customWidth="1"/>
    <col min="7685" max="7685" width="13" style="253" customWidth="1"/>
    <col min="7686" max="7686" width="15.28515625" style="253" customWidth="1"/>
    <col min="7687" max="7687" width="21.28515625" style="253" customWidth="1"/>
    <col min="7688" max="7688" width="9.140625" style="253"/>
    <col min="7689" max="7689" width="26.28515625" style="253" customWidth="1"/>
    <col min="7690" max="7690" width="16.5703125" style="253" customWidth="1"/>
    <col min="7691" max="7691" width="9.140625" style="253"/>
    <col min="7692" max="7692" width="13.85546875" style="253" customWidth="1"/>
    <col min="7693" max="7936" width="9.140625" style="253"/>
    <col min="7937" max="7937" width="7.42578125" style="253" customWidth="1"/>
    <col min="7938" max="7938" width="77.42578125" style="253" customWidth="1"/>
    <col min="7939" max="7939" width="10.5703125" style="253" customWidth="1"/>
    <col min="7940" max="7940" width="5.140625" style="253" customWidth="1"/>
    <col min="7941" max="7941" width="13" style="253" customWidth="1"/>
    <col min="7942" max="7942" width="15.28515625" style="253" customWidth="1"/>
    <col min="7943" max="7943" width="21.28515625" style="253" customWidth="1"/>
    <col min="7944" max="7944" width="9.140625" style="253"/>
    <col min="7945" max="7945" width="26.28515625" style="253" customWidth="1"/>
    <col min="7946" max="7946" width="16.5703125" style="253" customWidth="1"/>
    <col min="7947" max="7947" width="9.140625" style="253"/>
    <col min="7948" max="7948" width="13.85546875" style="253" customWidth="1"/>
    <col min="7949" max="8192" width="9.140625" style="253"/>
    <col min="8193" max="8193" width="7.42578125" style="253" customWidth="1"/>
    <col min="8194" max="8194" width="77.42578125" style="253" customWidth="1"/>
    <col min="8195" max="8195" width="10.5703125" style="253" customWidth="1"/>
    <col min="8196" max="8196" width="5.140625" style="253" customWidth="1"/>
    <col min="8197" max="8197" width="13" style="253" customWidth="1"/>
    <col min="8198" max="8198" width="15.28515625" style="253" customWidth="1"/>
    <col min="8199" max="8199" width="21.28515625" style="253" customWidth="1"/>
    <col min="8200" max="8200" width="9.140625" style="253"/>
    <col min="8201" max="8201" width="26.28515625" style="253" customWidth="1"/>
    <col min="8202" max="8202" width="16.5703125" style="253" customWidth="1"/>
    <col min="8203" max="8203" width="9.140625" style="253"/>
    <col min="8204" max="8204" width="13.85546875" style="253" customWidth="1"/>
    <col min="8205" max="8448" width="9.140625" style="253"/>
    <col min="8449" max="8449" width="7.42578125" style="253" customWidth="1"/>
    <col min="8450" max="8450" width="77.42578125" style="253" customWidth="1"/>
    <col min="8451" max="8451" width="10.5703125" style="253" customWidth="1"/>
    <col min="8452" max="8452" width="5.140625" style="253" customWidth="1"/>
    <col min="8453" max="8453" width="13" style="253" customWidth="1"/>
    <col min="8454" max="8454" width="15.28515625" style="253" customWidth="1"/>
    <col min="8455" max="8455" width="21.28515625" style="253" customWidth="1"/>
    <col min="8456" max="8456" width="9.140625" style="253"/>
    <col min="8457" max="8457" width="26.28515625" style="253" customWidth="1"/>
    <col min="8458" max="8458" width="16.5703125" style="253" customWidth="1"/>
    <col min="8459" max="8459" width="9.140625" style="253"/>
    <col min="8460" max="8460" width="13.85546875" style="253" customWidth="1"/>
    <col min="8461" max="8704" width="9.140625" style="253"/>
    <col min="8705" max="8705" width="7.42578125" style="253" customWidth="1"/>
    <col min="8706" max="8706" width="77.42578125" style="253" customWidth="1"/>
    <col min="8707" max="8707" width="10.5703125" style="253" customWidth="1"/>
    <col min="8708" max="8708" width="5.140625" style="253" customWidth="1"/>
    <col min="8709" max="8709" width="13" style="253" customWidth="1"/>
    <col min="8710" max="8710" width="15.28515625" style="253" customWidth="1"/>
    <col min="8711" max="8711" width="21.28515625" style="253" customWidth="1"/>
    <col min="8712" max="8712" width="9.140625" style="253"/>
    <col min="8713" max="8713" width="26.28515625" style="253" customWidth="1"/>
    <col min="8714" max="8714" width="16.5703125" style="253" customWidth="1"/>
    <col min="8715" max="8715" width="9.140625" style="253"/>
    <col min="8716" max="8716" width="13.85546875" style="253" customWidth="1"/>
    <col min="8717" max="8960" width="9.140625" style="253"/>
    <col min="8961" max="8961" width="7.42578125" style="253" customWidth="1"/>
    <col min="8962" max="8962" width="77.42578125" style="253" customWidth="1"/>
    <col min="8963" max="8963" width="10.5703125" style="253" customWidth="1"/>
    <col min="8964" max="8964" width="5.140625" style="253" customWidth="1"/>
    <col min="8965" max="8965" width="13" style="253" customWidth="1"/>
    <col min="8966" max="8966" width="15.28515625" style="253" customWidth="1"/>
    <col min="8967" max="8967" width="21.28515625" style="253" customWidth="1"/>
    <col min="8968" max="8968" width="9.140625" style="253"/>
    <col min="8969" max="8969" width="26.28515625" style="253" customWidth="1"/>
    <col min="8970" max="8970" width="16.5703125" style="253" customWidth="1"/>
    <col min="8971" max="8971" width="9.140625" style="253"/>
    <col min="8972" max="8972" width="13.85546875" style="253" customWidth="1"/>
    <col min="8973" max="9216" width="9.140625" style="253"/>
    <col min="9217" max="9217" width="7.42578125" style="253" customWidth="1"/>
    <col min="9218" max="9218" width="77.42578125" style="253" customWidth="1"/>
    <col min="9219" max="9219" width="10.5703125" style="253" customWidth="1"/>
    <col min="9220" max="9220" width="5.140625" style="253" customWidth="1"/>
    <col min="9221" max="9221" width="13" style="253" customWidth="1"/>
    <col min="9222" max="9222" width="15.28515625" style="253" customWidth="1"/>
    <col min="9223" max="9223" width="21.28515625" style="253" customWidth="1"/>
    <col min="9224" max="9224" width="9.140625" style="253"/>
    <col min="9225" max="9225" width="26.28515625" style="253" customWidth="1"/>
    <col min="9226" max="9226" width="16.5703125" style="253" customWidth="1"/>
    <col min="9227" max="9227" width="9.140625" style="253"/>
    <col min="9228" max="9228" width="13.85546875" style="253" customWidth="1"/>
    <col min="9229" max="9472" width="9.140625" style="253"/>
    <col min="9473" max="9473" width="7.42578125" style="253" customWidth="1"/>
    <col min="9474" max="9474" width="77.42578125" style="253" customWidth="1"/>
    <col min="9475" max="9475" width="10.5703125" style="253" customWidth="1"/>
    <col min="9476" max="9476" width="5.140625" style="253" customWidth="1"/>
    <col min="9477" max="9477" width="13" style="253" customWidth="1"/>
    <col min="9478" max="9478" width="15.28515625" style="253" customWidth="1"/>
    <col min="9479" max="9479" width="21.28515625" style="253" customWidth="1"/>
    <col min="9480" max="9480" width="9.140625" style="253"/>
    <col min="9481" max="9481" width="26.28515625" style="253" customWidth="1"/>
    <col min="9482" max="9482" width="16.5703125" style="253" customWidth="1"/>
    <col min="9483" max="9483" width="9.140625" style="253"/>
    <col min="9484" max="9484" width="13.85546875" style="253" customWidth="1"/>
    <col min="9485" max="9728" width="9.140625" style="253"/>
    <col min="9729" max="9729" width="7.42578125" style="253" customWidth="1"/>
    <col min="9730" max="9730" width="77.42578125" style="253" customWidth="1"/>
    <col min="9731" max="9731" width="10.5703125" style="253" customWidth="1"/>
    <col min="9732" max="9732" width="5.140625" style="253" customWidth="1"/>
    <col min="9733" max="9733" width="13" style="253" customWidth="1"/>
    <col min="9734" max="9734" width="15.28515625" style="253" customWidth="1"/>
    <col min="9735" max="9735" width="21.28515625" style="253" customWidth="1"/>
    <col min="9736" max="9736" width="9.140625" style="253"/>
    <col min="9737" max="9737" width="26.28515625" style="253" customWidth="1"/>
    <col min="9738" max="9738" width="16.5703125" style="253" customWidth="1"/>
    <col min="9739" max="9739" width="9.140625" style="253"/>
    <col min="9740" max="9740" width="13.85546875" style="253" customWidth="1"/>
    <col min="9741" max="9984" width="9.140625" style="253"/>
    <col min="9985" max="9985" width="7.42578125" style="253" customWidth="1"/>
    <col min="9986" max="9986" width="77.42578125" style="253" customWidth="1"/>
    <col min="9987" max="9987" width="10.5703125" style="253" customWidth="1"/>
    <col min="9988" max="9988" width="5.140625" style="253" customWidth="1"/>
    <col min="9989" max="9989" width="13" style="253" customWidth="1"/>
    <col min="9990" max="9990" width="15.28515625" style="253" customWidth="1"/>
    <col min="9991" max="9991" width="21.28515625" style="253" customWidth="1"/>
    <col min="9992" max="9992" width="9.140625" style="253"/>
    <col min="9993" max="9993" width="26.28515625" style="253" customWidth="1"/>
    <col min="9994" max="9994" width="16.5703125" style="253" customWidth="1"/>
    <col min="9995" max="9995" width="9.140625" style="253"/>
    <col min="9996" max="9996" width="13.85546875" style="253" customWidth="1"/>
    <col min="9997" max="10240" width="9.140625" style="253"/>
    <col min="10241" max="10241" width="7.42578125" style="253" customWidth="1"/>
    <col min="10242" max="10242" width="77.42578125" style="253" customWidth="1"/>
    <col min="10243" max="10243" width="10.5703125" style="253" customWidth="1"/>
    <col min="10244" max="10244" width="5.140625" style="253" customWidth="1"/>
    <col min="10245" max="10245" width="13" style="253" customWidth="1"/>
    <col min="10246" max="10246" width="15.28515625" style="253" customWidth="1"/>
    <col min="10247" max="10247" width="21.28515625" style="253" customWidth="1"/>
    <col min="10248" max="10248" width="9.140625" style="253"/>
    <col min="10249" max="10249" width="26.28515625" style="253" customWidth="1"/>
    <col min="10250" max="10250" width="16.5703125" style="253" customWidth="1"/>
    <col min="10251" max="10251" width="9.140625" style="253"/>
    <col min="10252" max="10252" width="13.85546875" style="253" customWidth="1"/>
    <col min="10253" max="10496" width="9.140625" style="253"/>
    <col min="10497" max="10497" width="7.42578125" style="253" customWidth="1"/>
    <col min="10498" max="10498" width="77.42578125" style="253" customWidth="1"/>
    <col min="10499" max="10499" width="10.5703125" style="253" customWidth="1"/>
    <col min="10500" max="10500" width="5.140625" style="253" customWidth="1"/>
    <col min="10501" max="10501" width="13" style="253" customWidth="1"/>
    <col min="10502" max="10502" width="15.28515625" style="253" customWidth="1"/>
    <col min="10503" max="10503" width="21.28515625" style="253" customWidth="1"/>
    <col min="10504" max="10504" width="9.140625" style="253"/>
    <col min="10505" max="10505" width="26.28515625" style="253" customWidth="1"/>
    <col min="10506" max="10506" width="16.5703125" style="253" customWidth="1"/>
    <col min="10507" max="10507" width="9.140625" style="253"/>
    <col min="10508" max="10508" width="13.85546875" style="253" customWidth="1"/>
    <col min="10509" max="10752" width="9.140625" style="253"/>
    <col min="10753" max="10753" width="7.42578125" style="253" customWidth="1"/>
    <col min="10754" max="10754" width="77.42578125" style="253" customWidth="1"/>
    <col min="10755" max="10755" width="10.5703125" style="253" customWidth="1"/>
    <col min="10756" max="10756" width="5.140625" style="253" customWidth="1"/>
    <col min="10757" max="10757" width="13" style="253" customWidth="1"/>
    <col min="10758" max="10758" width="15.28515625" style="253" customWidth="1"/>
    <col min="10759" max="10759" width="21.28515625" style="253" customWidth="1"/>
    <col min="10760" max="10760" width="9.140625" style="253"/>
    <col min="10761" max="10761" width="26.28515625" style="253" customWidth="1"/>
    <col min="10762" max="10762" width="16.5703125" style="253" customWidth="1"/>
    <col min="10763" max="10763" width="9.140625" style="253"/>
    <col min="10764" max="10764" width="13.85546875" style="253" customWidth="1"/>
    <col min="10765" max="11008" width="9.140625" style="253"/>
    <col min="11009" max="11009" width="7.42578125" style="253" customWidth="1"/>
    <col min="11010" max="11010" width="77.42578125" style="253" customWidth="1"/>
    <col min="11011" max="11011" width="10.5703125" style="253" customWidth="1"/>
    <col min="11012" max="11012" width="5.140625" style="253" customWidth="1"/>
    <col min="11013" max="11013" width="13" style="253" customWidth="1"/>
    <col min="11014" max="11014" width="15.28515625" style="253" customWidth="1"/>
    <col min="11015" max="11015" width="21.28515625" style="253" customWidth="1"/>
    <col min="11016" max="11016" width="9.140625" style="253"/>
    <col min="11017" max="11017" width="26.28515625" style="253" customWidth="1"/>
    <col min="11018" max="11018" width="16.5703125" style="253" customWidth="1"/>
    <col min="11019" max="11019" width="9.140625" style="253"/>
    <col min="11020" max="11020" width="13.85546875" style="253" customWidth="1"/>
    <col min="11021" max="11264" width="9.140625" style="253"/>
    <col min="11265" max="11265" width="7.42578125" style="253" customWidth="1"/>
    <col min="11266" max="11266" width="77.42578125" style="253" customWidth="1"/>
    <col min="11267" max="11267" width="10.5703125" style="253" customWidth="1"/>
    <col min="11268" max="11268" width="5.140625" style="253" customWidth="1"/>
    <col min="11269" max="11269" width="13" style="253" customWidth="1"/>
    <col min="11270" max="11270" width="15.28515625" style="253" customWidth="1"/>
    <col min="11271" max="11271" width="21.28515625" style="253" customWidth="1"/>
    <col min="11272" max="11272" width="9.140625" style="253"/>
    <col min="11273" max="11273" width="26.28515625" style="253" customWidth="1"/>
    <col min="11274" max="11274" width="16.5703125" style="253" customWidth="1"/>
    <col min="11275" max="11275" width="9.140625" style="253"/>
    <col min="11276" max="11276" width="13.85546875" style="253" customWidth="1"/>
    <col min="11277" max="11520" width="9.140625" style="253"/>
    <col min="11521" max="11521" width="7.42578125" style="253" customWidth="1"/>
    <col min="11522" max="11522" width="77.42578125" style="253" customWidth="1"/>
    <col min="11523" max="11523" width="10.5703125" style="253" customWidth="1"/>
    <col min="11524" max="11524" width="5.140625" style="253" customWidth="1"/>
    <col min="11525" max="11525" width="13" style="253" customWidth="1"/>
    <col min="11526" max="11526" width="15.28515625" style="253" customWidth="1"/>
    <col min="11527" max="11527" width="21.28515625" style="253" customWidth="1"/>
    <col min="11528" max="11528" width="9.140625" style="253"/>
    <col min="11529" max="11529" width="26.28515625" style="253" customWidth="1"/>
    <col min="11530" max="11530" width="16.5703125" style="253" customWidth="1"/>
    <col min="11531" max="11531" width="9.140625" style="253"/>
    <col min="11532" max="11532" width="13.85546875" style="253" customWidth="1"/>
    <col min="11533" max="11776" width="9.140625" style="253"/>
    <col min="11777" max="11777" width="7.42578125" style="253" customWidth="1"/>
    <col min="11778" max="11778" width="77.42578125" style="253" customWidth="1"/>
    <col min="11779" max="11779" width="10.5703125" style="253" customWidth="1"/>
    <col min="11780" max="11780" width="5.140625" style="253" customWidth="1"/>
    <col min="11781" max="11781" width="13" style="253" customWidth="1"/>
    <col min="11782" max="11782" width="15.28515625" style="253" customWidth="1"/>
    <col min="11783" max="11783" width="21.28515625" style="253" customWidth="1"/>
    <col min="11784" max="11784" width="9.140625" style="253"/>
    <col min="11785" max="11785" width="26.28515625" style="253" customWidth="1"/>
    <col min="11786" max="11786" width="16.5703125" style="253" customWidth="1"/>
    <col min="11787" max="11787" width="9.140625" style="253"/>
    <col min="11788" max="11788" width="13.85546875" style="253" customWidth="1"/>
    <col min="11789" max="12032" width="9.140625" style="253"/>
    <col min="12033" max="12033" width="7.42578125" style="253" customWidth="1"/>
    <col min="12034" max="12034" width="77.42578125" style="253" customWidth="1"/>
    <col min="12035" max="12035" width="10.5703125" style="253" customWidth="1"/>
    <col min="12036" max="12036" width="5.140625" style="253" customWidth="1"/>
    <col min="12037" max="12037" width="13" style="253" customWidth="1"/>
    <col min="12038" max="12038" width="15.28515625" style="253" customWidth="1"/>
    <col min="12039" max="12039" width="21.28515625" style="253" customWidth="1"/>
    <col min="12040" max="12040" width="9.140625" style="253"/>
    <col min="12041" max="12041" width="26.28515625" style="253" customWidth="1"/>
    <col min="12042" max="12042" width="16.5703125" style="253" customWidth="1"/>
    <col min="12043" max="12043" width="9.140625" style="253"/>
    <col min="12044" max="12044" width="13.85546875" style="253" customWidth="1"/>
    <col min="12045" max="12288" width="9.140625" style="253"/>
    <col min="12289" max="12289" width="7.42578125" style="253" customWidth="1"/>
    <col min="12290" max="12290" width="77.42578125" style="253" customWidth="1"/>
    <col min="12291" max="12291" width="10.5703125" style="253" customWidth="1"/>
    <col min="12292" max="12292" width="5.140625" style="253" customWidth="1"/>
    <col min="12293" max="12293" width="13" style="253" customWidth="1"/>
    <col min="12294" max="12294" width="15.28515625" style="253" customWidth="1"/>
    <col min="12295" max="12295" width="21.28515625" style="253" customWidth="1"/>
    <col min="12296" max="12296" width="9.140625" style="253"/>
    <col min="12297" max="12297" width="26.28515625" style="253" customWidth="1"/>
    <col min="12298" max="12298" width="16.5703125" style="253" customWidth="1"/>
    <col min="12299" max="12299" width="9.140625" style="253"/>
    <col min="12300" max="12300" width="13.85546875" style="253" customWidth="1"/>
    <col min="12301" max="12544" width="9.140625" style="253"/>
    <col min="12545" max="12545" width="7.42578125" style="253" customWidth="1"/>
    <col min="12546" max="12546" width="77.42578125" style="253" customWidth="1"/>
    <col min="12547" max="12547" width="10.5703125" style="253" customWidth="1"/>
    <col min="12548" max="12548" width="5.140625" style="253" customWidth="1"/>
    <col min="12549" max="12549" width="13" style="253" customWidth="1"/>
    <col min="12550" max="12550" width="15.28515625" style="253" customWidth="1"/>
    <col min="12551" max="12551" width="21.28515625" style="253" customWidth="1"/>
    <col min="12552" max="12552" width="9.140625" style="253"/>
    <col min="12553" max="12553" width="26.28515625" style="253" customWidth="1"/>
    <col min="12554" max="12554" width="16.5703125" style="253" customWidth="1"/>
    <col min="12555" max="12555" width="9.140625" style="253"/>
    <col min="12556" max="12556" width="13.85546875" style="253" customWidth="1"/>
    <col min="12557" max="12800" width="9.140625" style="253"/>
    <col min="12801" max="12801" width="7.42578125" style="253" customWidth="1"/>
    <col min="12802" max="12802" width="77.42578125" style="253" customWidth="1"/>
    <col min="12803" max="12803" width="10.5703125" style="253" customWidth="1"/>
    <col min="12804" max="12804" width="5.140625" style="253" customWidth="1"/>
    <col min="12805" max="12805" width="13" style="253" customWidth="1"/>
    <col min="12806" max="12806" width="15.28515625" style="253" customWidth="1"/>
    <col min="12807" max="12807" width="21.28515625" style="253" customWidth="1"/>
    <col min="12808" max="12808" width="9.140625" style="253"/>
    <col min="12809" max="12809" width="26.28515625" style="253" customWidth="1"/>
    <col min="12810" max="12810" width="16.5703125" style="253" customWidth="1"/>
    <col min="12811" max="12811" width="9.140625" style="253"/>
    <col min="12812" max="12812" width="13.85546875" style="253" customWidth="1"/>
    <col min="12813" max="13056" width="9.140625" style="253"/>
    <col min="13057" max="13057" width="7.42578125" style="253" customWidth="1"/>
    <col min="13058" max="13058" width="77.42578125" style="253" customWidth="1"/>
    <col min="13059" max="13059" width="10.5703125" style="253" customWidth="1"/>
    <col min="13060" max="13060" width="5.140625" style="253" customWidth="1"/>
    <col min="13061" max="13061" width="13" style="253" customWidth="1"/>
    <col min="13062" max="13062" width="15.28515625" style="253" customWidth="1"/>
    <col min="13063" max="13063" width="21.28515625" style="253" customWidth="1"/>
    <col min="13064" max="13064" width="9.140625" style="253"/>
    <col min="13065" max="13065" width="26.28515625" style="253" customWidth="1"/>
    <col min="13066" max="13066" width="16.5703125" style="253" customWidth="1"/>
    <col min="13067" max="13067" width="9.140625" style="253"/>
    <col min="13068" max="13068" width="13.85546875" style="253" customWidth="1"/>
    <col min="13069" max="13312" width="9.140625" style="253"/>
    <col min="13313" max="13313" width="7.42578125" style="253" customWidth="1"/>
    <col min="13314" max="13314" width="77.42578125" style="253" customWidth="1"/>
    <col min="13315" max="13315" width="10.5703125" style="253" customWidth="1"/>
    <col min="13316" max="13316" width="5.140625" style="253" customWidth="1"/>
    <col min="13317" max="13317" width="13" style="253" customWidth="1"/>
    <col min="13318" max="13318" width="15.28515625" style="253" customWidth="1"/>
    <col min="13319" max="13319" width="21.28515625" style="253" customWidth="1"/>
    <col min="13320" max="13320" width="9.140625" style="253"/>
    <col min="13321" max="13321" width="26.28515625" style="253" customWidth="1"/>
    <col min="13322" max="13322" width="16.5703125" style="253" customWidth="1"/>
    <col min="13323" max="13323" width="9.140625" style="253"/>
    <col min="13324" max="13324" width="13.85546875" style="253" customWidth="1"/>
    <col min="13325" max="13568" width="9.140625" style="253"/>
    <col min="13569" max="13569" width="7.42578125" style="253" customWidth="1"/>
    <col min="13570" max="13570" width="77.42578125" style="253" customWidth="1"/>
    <col min="13571" max="13571" width="10.5703125" style="253" customWidth="1"/>
    <col min="13572" max="13572" width="5.140625" style="253" customWidth="1"/>
    <col min="13573" max="13573" width="13" style="253" customWidth="1"/>
    <col min="13574" max="13574" width="15.28515625" style="253" customWidth="1"/>
    <col min="13575" max="13575" width="21.28515625" style="253" customWidth="1"/>
    <col min="13576" max="13576" width="9.140625" style="253"/>
    <col min="13577" max="13577" width="26.28515625" style="253" customWidth="1"/>
    <col min="13578" max="13578" width="16.5703125" style="253" customWidth="1"/>
    <col min="13579" max="13579" width="9.140625" style="253"/>
    <col min="13580" max="13580" width="13.85546875" style="253" customWidth="1"/>
    <col min="13581" max="13824" width="9.140625" style="253"/>
    <col min="13825" max="13825" width="7.42578125" style="253" customWidth="1"/>
    <col min="13826" max="13826" width="77.42578125" style="253" customWidth="1"/>
    <col min="13827" max="13827" width="10.5703125" style="253" customWidth="1"/>
    <col min="13828" max="13828" width="5.140625" style="253" customWidth="1"/>
    <col min="13829" max="13829" width="13" style="253" customWidth="1"/>
    <col min="13830" max="13830" width="15.28515625" style="253" customWidth="1"/>
    <col min="13831" max="13831" width="21.28515625" style="253" customWidth="1"/>
    <col min="13832" max="13832" width="9.140625" style="253"/>
    <col min="13833" max="13833" width="26.28515625" style="253" customWidth="1"/>
    <col min="13834" max="13834" width="16.5703125" style="253" customWidth="1"/>
    <col min="13835" max="13835" width="9.140625" style="253"/>
    <col min="13836" max="13836" width="13.85546875" style="253" customWidth="1"/>
    <col min="13837" max="14080" width="9.140625" style="253"/>
    <col min="14081" max="14081" width="7.42578125" style="253" customWidth="1"/>
    <col min="14082" max="14082" width="77.42578125" style="253" customWidth="1"/>
    <col min="14083" max="14083" width="10.5703125" style="253" customWidth="1"/>
    <col min="14084" max="14084" width="5.140625" style="253" customWidth="1"/>
    <col min="14085" max="14085" width="13" style="253" customWidth="1"/>
    <col min="14086" max="14086" width="15.28515625" style="253" customWidth="1"/>
    <col min="14087" max="14087" width="21.28515625" style="253" customWidth="1"/>
    <col min="14088" max="14088" width="9.140625" style="253"/>
    <col min="14089" max="14089" width="26.28515625" style="253" customWidth="1"/>
    <col min="14090" max="14090" width="16.5703125" style="253" customWidth="1"/>
    <col min="14091" max="14091" width="9.140625" style="253"/>
    <col min="14092" max="14092" width="13.85546875" style="253" customWidth="1"/>
    <col min="14093" max="14336" width="9.140625" style="253"/>
    <col min="14337" max="14337" width="7.42578125" style="253" customWidth="1"/>
    <col min="14338" max="14338" width="77.42578125" style="253" customWidth="1"/>
    <col min="14339" max="14339" width="10.5703125" style="253" customWidth="1"/>
    <col min="14340" max="14340" width="5.140625" style="253" customWidth="1"/>
    <col min="14341" max="14341" width="13" style="253" customWidth="1"/>
    <col min="14342" max="14342" width="15.28515625" style="253" customWidth="1"/>
    <col min="14343" max="14343" width="21.28515625" style="253" customWidth="1"/>
    <col min="14344" max="14344" width="9.140625" style="253"/>
    <col min="14345" max="14345" width="26.28515625" style="253" customWidth="1"/>
    <col min="14346" max="14346" width="16.5703125" style="253" customWidth="1"/>
    <col min="14347" max="14347" width="9.140625" style="253"/>
    <col min="14348" max="14348" width="13.85546875" style="253" customWidth="1"/>
    <col min="14349" max="14592" width="9.140625" style="253"/>
    <col min="14593" max="14593" width="7.42578125" style="253" customWidth="1"/>
    <col min="14594" max="14594" width="77.42578125" style="253" customWidth="1"/>
    <col min="14595" max="14595" width="10.5703125" style="253" customWidth="1"/>
    <col min="14596" max="14596" width="5.140625" style="253" customWidth="1"/>
    <col min="14597" max="14597" width="13" style="253" customWidth="1"/>
    <col min="14598" max="14598" width="15.28515625" style="253" customWidth="1"/>
    <col min="14599" max="14599" width="21.28515625" style="253" customWidth="1"/>
    <col min="14600" max="14600" width="9.140625" style="253"/>
    <col min="14601" max="14601" width="26.28515625" style="253" customWidth="1"/>
    <col min="14602" max="14602" width="16.5703125" style="253" customWidth="1"/>
    <col min="14603" max="14603" width="9.140625" style="253"/>
    <col min="14604" max="14604" width="13.85546875" style="253" customWidth="1"/>
    <col min="14605" max="14848" width="9.140625" style="253"/>
    <col min="14849" max="14849" width="7.42578125" style="253" customWidth="1"/>
    <col min="14850" max="14850" width="77.42578125" style="253" customWidth="1"/>
    <col min="14851" max="14851" width="10.5703125" style="253" customWidth="1"/>
    <col min="14852" max="14852" width="5.140625" style="253" customWidth="1"/>
    <col min="14853" max="14853" width="13" style="253" customWidth="1"/>
    <col min="14854" max="14854" width="15.28515625" style="253" customWidth="1"/>
    <col min="14855" max="14855" width="21.28515625" style="253" customWidth="1"/>
    <col min="14856" max="14856" width="9.140625" style="253"/>
    <col min="14857" max="14857" width="26.28515625" style="253" customWidth="1"/>
    <col min="14858" max="14858" width="16.5703125" style="253" customWidth="1"/>
    <col min="14859" max="14859" width="9.140625" style="253"/>
    <col min="14860" max="14860" width="13.85546875" style="253" customWidth="1"/>
    <col min="14861" max="15104" width="9.140625" style="253"/>
    <col min="15105" max="15105" width="7.42578125" style="253" customWidth="1"/>
    <col min="15106" max="15106" width="77.42578125" style="253" customWidth="1"/>
    <col min="15107" max="15107" width="10.5703125" style="253" customWidth="1"/>
    <col min="15108" max="15108" width="5.140625" style="253" customWidth="1"/>
    <col min="15109" max="15109" width="13" style="253" customWidth="1"/>
    <col min="15110" max="15110" width="15.28515625" style="253" customWidth="1"/>
    <col min="15111" max="15111" width="21.28515625" style="253" customWidth="1"/>
    <col min="15112" max="15112" width="9.140625" style="253"/>
    <col min="15113" max="15113" width="26.28515625" style="253" customWidth="1"/>
    <col min="15114" max="15114" width="16.5703125" style="253" customWidth="1"/>
    <col min="15115" max="15115" width="9.140625" style="253"/>
    <col min="15116" max="15116" width="13.85546875" style="253" customWidth="1"/>
    <col min="15117" max="15360" width="9.140625" style="253"/>
    <col min="15361" max="15361" width="7.42578125" style="253" customWidth="1"/>
    <col min="15362" max="15362" width="77.42578125" style="253" customWidth="1"/>
    <col min="15363" max="15363" width="10.5703125" style="253" customWidth="1"/>
    <col min="15364" max="15364" width="5.140625" style="253" customWidth="1"/>
    <col min="15365" max="15365" width="13" style="253" customWidth="1"/>
    <col min="15366" max="15366" width="15.28515625" style="253" customWidth="1"/>
    <col min="15367" max="15367" width="21.28515625" style="253" customWidth="1"/>
    <col min="15368" max="15368" width="9.140625" style="253"/>
    <col min="15369" max="15369" width="26.28515625" style="253" customWidth="1"/>
    <col min="15370" max="15370" width="16.5703125" style="253" customWidth="1"/>
    <col min="15371" max="15371" width="9.140625" style="253"/>
    <col min="15372" max="15372" width="13.85546875" style="253" customWidth="1"/>
    <col min="15373" max="15616" width="9.140625" style="253"/>
    <col min="15617" max="15617" width="7.42578125" style="253" customWidth="1"/>
    <col min="15618" max="15618" width="77.42578125" style="253" customWidth="1"/>
    <col min="15619" max="15619" width="10.5703125" style="253" customWidth="1"/>
    <col min="15620" max="15620" width="5.140625" style="253" customWidth="1"/>
    <col min="15621" max="15621" width="13" style="253" customWidth="1"/>
    <col min="15622" max="15622" width="15.28515625" style="253" customWidth="1"/>
    <col min="15623" max="15623" width="21.28515625" style="253" customWidth="1"/>
    <col min="15624" max="15624" width="9.140625" style="253"/>
    <col min="15625" max="15625" width="26.28515625" style="253" customWidth="1"/>
    <col min="15626" max="15626" width="16.5703125" style="253" customWidth="1"/>
    <col min="15627" max="15627" width="9.140625" style="253"/>
    <col min="15628" max="15628" width="13.85546875" style="253" customWidth="1"/>
    <col min="15629" max="15872" width="9.140625" style="253"/>
    <col min="15873" max="15873" width="7.42578125" style="253" customWidth="1"/>
    <col min="15874" max="15874" width="77.42578125" style="253" customWidth="1"/>
    <col min="15875" max="15875" width="10.5703125" style="253" customWidth="1"/>
    <col min="15876" max="15876" width="5.140625" style="253" customWidth="1"/>
    <col min="15877" max="15877" width="13" style="253" customWidth="1"/>
    <col min="15878" max="15878" width="15.28515625" style="253" customWidth="1"/>
    <col min="15879" max="15879" width="21.28515625" style="253" customWidth="1"/>
    <col min="15880" max="15880" width="9.140625" style="253"/>
    <col min="15881" max="15881" width="26.28515625" style="253" customWidth="1"/>
    <col min="15882" max="15882" width="16.5703125" style="253" customWidth="1"/>
    <col min="15883" max="15883" width="9.140625" style="253"/>
    <col min="15884" max="15884" width="13.85546875" style="253" customWidth="1"/>
    <col min="15885" max="16128" width="9.140625" style="253"/>
    <col min="16129" max="16129" width="7.42578125" style="253" customWidth="1"/>
    <col min="16130" max="16130" width="77.42578125" style="253" customWidth="1"/>
    <col min="16131" max="16131" width="10.5703125" style="253" customWidth="1"/>
    <col min="16132" max="16132" width="5.140625" style="253" customWidth="1"/>
    <col min="16133" max="16133" width="13" style="253" customWidth="1"/>
    <col min="16134" max="16134" width="15.28515625" style="253" customWidth="1"/>
    <col min="16135" max="16135" width="21.28515625" style="253" customWidth="1"/>
    <col min="16136" max="16136" width="9.140625" style="253"/>
    <col min="16137" max="16137" width="26.28515625" style="253" customWidth="1"/>
    <col min="16138" max="16138" width="16.5703125" style="253" customWidth="1"/>
    <col min="16139" max="16139" width="9.140625" style="253"/>
    <col min="16140" max="16140" width="13.85546875" style="253" customWidth="1"/>
    <col min="16141" max="16384" width="9.140625" style="253"/>
  </cols>
  <sheetData>
    <row r="1" spans="1:8" s="574" customFormat="1" ht="29.25" customHeight="1">
      <c r="A1" s="1761"/>
      <c r="B1" s="1761"/>
      <c r="C1" s="1761"/>
      <c r="D1" s="1761"/>
      <c r="E1" s="1761"/>
      <c r="F1" s="1761"/>
      <c r="G1" s="1761"/>
      <c r="H1" s="573"/>
    </row>
    <row r="2" spans="1:8" s="574" customFormat="1" ht="29.25" customHeight="1">
      <c r="A2" s="575"/>
      <c r="B2" s="1762" t="s">
        <v>5499</v>
      </c>
      <c r="C2" s="1762"/>
      <c r="D2" s="1762"/>
      <c r="E2" s="1762"/>
      <c r="F2" s="1762"/>
      <c r="G2" s="1762"/>
      <c r="H2" s="576"/>
    </row>
    <row r="3" spans="1:8" s="574" customFormat="1" ht="29.25" customHeight="1">
      <c r="A3" s="575"/>
      <c r="B3" s="1763"/>
      <c r="C3" s="1763"/>
      <c r="D3" s="1763"/>
      <c r="E3" s="1763"/>
      <c r="F3" s="1763"/>
      <c r="G3" s="1763"/>
      <c r="H3" s="577"/>
    </row>
    <row r="4" spans="1:8" s="574" customFormat="1" ht="15.75" customHeight="1">
      <c r="A4" s="578"/>
      <c r="B4" s="579"/>
      <c r="C4" s="580"/>
      <c r="D4" s="581"/>
      <c r="E4" s="582"/>
      <c r="F4" s="582"/>
      <c r="G4" s="583"/>
    </row>
    <row r="5" spans="1:8" s="574" customFormat="1" ht="15.75">
      <c r="A5" s="584"/>
      <c r="B5" s="1764"/>
      <c r="C5" s="1764"/>
      <c r="D5" s="1764"/>
      <c r="E5" s="1765"/>
      <c r="F5" s="1765"/>
      <c r="G5" s="1765"/>
    </row>
    <row r="6" spans="1:8" s="574" customFormat="1" ht="30.75" customHeight="1">
      <c r="A6" s="584"/>
      <c r="B6" s="1766" t="s">
        <v>5501</v>
      </c>
      <c r="C6" s="1766"/>
      <c r="D6" s="1766"/>
      <c r="E6" s="1766"/>
      <c r="F6" s="1766"/>
      <c r="G6" s="1766"/>
    </row>
    <row r="7" spans="1:8" s="574" customFormat="1" ht="19.5" customHeight="1" thickBot="1">
      <c r="A7" s="585"/>
      <c r="B7" s="1767" t="s">
        <v>5502</v>
      </c>
      <c r="C7" s="1767"/>
      <c r="D7" s="1767"/>
      <c r="E7" s="1767"/>
      <c r="F7" s="1767"/>
      <c r="G7" s="1708" t="s">
        <v>5500</v>
      </c>
    </row>
    <row r="8" spans="1:8" s="574" customFormat="1" ht="28.5" customHeight="1" thickTop="1" thickBot="1">
      <c r="A8" s="586" t="s">
        <v>41</v>
      </c>
      <c r="B8" s="587" t="s">
        <v>4016</v>
      </c>
      <c r="C8" s="588" t="s">
        <v>4017</v>
      </c>
      <c r="D8" s="589" t="s">
        <v>324</v>
      </c>
      <c r="E8" s="590" t="s">
        <v>4169</v>
      </c>
      <c r="F8" s="590" t="s">
        <v>4170</v>
      </c>
      <c r="G8" s="591" t="s">
        <v>4171</v>
      </c>
    </row>
    <row r="9" spans="1:8" ht="15.75" thickTop="1">
      <c r="A9" s="1694"/>
      <c r="B9" s="1695"/>
      <c r="C9" s="1696"/>
      <c r="D9" s="1695"/>
      <c r="E9" s="1697"/>
      <c r="F9" s="1697"/>
      <c r="G9" s="1698"/>
    </row>
    <row r="10" spans="1:8" s="694" customFormat="1" ht="20.25" customHeight="1">
      <c r="A10" s="650">
        <v>1</v>
      </c>
      <c r="B10" s="651" t="s">
        <v>4349</v>
      </c>
      <c r="C10" s="367"/>
      <c r="D10" s="367"/>
      <c r="E10" s="652"/>
      <c r="F10" s="367"/>
      <c r="G10" s="368"/>
    </row>
    <row r="11" spans="1:8" s="694" customFormat="1" ht="20.25" customHeight="1">
      <c r="A11" s="644">
        <f>A10+0.01</f>
        <v>1.01</v>
      </c>
      <c r="B11" s="1683" t="s">
        <v>5463</v>
      </c>
      <c r="C11" s="1684">
        <v>1</v>
      </c>
      <c r="D11" s="1676" t="s">
        <v>48</v>
      </c>
      <c r="E11" s="1680"/>
      <c r="F11" s="1679">
        <f t="shared" ref="F11:F16" si="0">ROUND(C11*E11,2)</f>
        <v>0</v>
      </c>
      <c r="G11" s="1673"/>
      <c r="H11" s="1672"/>
    </row>
    <row r="12" spans="1:8" s="694" customFormat="1" ht="30">
      <c r="A12" s="1707">
        <f t="shared" ref="A12:A16" si="1">A11+0.01</f>
        <v>1.02</v>
      </c>
      <c r="B12" s="1689" t="s">
        <v>5476</v>
      </c>
      <c r="C12" s="1680">
        <v>1</v>
      </c>
      <c r="D12" s="1676" t="s">
        <v>48</v>
      </c>
      <c r="E12" s="1680"/>
      <c r="F12" s="1679">
        <f t="shared" si="0"/>
        <v>0</v>
      </c>
      <c r="G12" s="1673"/>
      <c r="H12" s="1682"/>
    </row>
    <row r="13" spans="1:8" s="694" customFormat="1" ht="34.5" customHeight="1">
      <c r="A13" s="1707">
        <f t="shared" si="1"/>
        <v>1.03</v>
      </c>
      <c r="B13" s="1689" t="s">
        <v>5477</v>
      </c>
      <c r="C13" s="1680">
        <v>1</v>
      </c>
      <c r="D13" s="1676" t="s">
        <v>48</v>
      </c>
      <c r="E13" s="1692"/>
      <c r="F13" s="1679">
        <f t="shared" ref="F13" si="2">ROUND(C13*E13,2)</f>
        <v>0</v>
      </c>
      <c r="G13" s="1673"/>
      <c r="H13" s="1682"/>
    </row>
    <row r="14" spans="1:8" s="694" customFormat="1" ht="20.25" customHeight="1">
      <c r="A14" s="644">
        <f t="shared" si="1"/>
        <v>1.04</v>
      </c>
      <c r="B14" s="1685" t="s">
        <v>5467</v>
      </c>
      <c r="C14" s="1684">
        <v>1</v>
      </c>
      <c r="D14" s="1676" t="s">
        <v>48</v>
      </c>
      <c r="E14" s="1680"/>
      <c r="F14" s="1679">
        <f t="shared" ref="F14" si="3">ROUND(C14*E14,2)</f>
        <v>0</v>
      </c>
      <c r="G14" s="1673"/>
      <c r="H14" s="1682"/>
    </row>
    <row r="15" spans="1:8" s="694" customFormat="1" ht="20.25" customHeight="1">
      <c r="A15" s="644">
        <f t="shared" si="1"/>
        <v>1.05</v>
      </c>
      <c r="B15" s="1681" t="s">
        <v>5461</v>
      </c>
      <c r="C15" s="1684">
        <v>63.8</v>
      </c>
      <c r="D15" s="1676" t="s">
        <v>1333</v>
      </c>
      <c r="E15" s="1680"/>
      <c r="F15" s="1679">
        <f t="shared" si="0"/>
        <v>0</v>
      </c>
      <c r="G15" s="1673"/>
    </row>
    <row r="16" spans="1:8" s="694" customFormat="1" ht="20.25" customHeight="1">
      <c r="A16" s="644">
        <f t="shared" si="1"/>
        <v>1.06</v>
      </c>
      <c r="B16" s="1681" t="s">
        <v>5458</v>
      </c>
      <c r="C16" s="1684">
        <v>114.1</v>
      </c>
      <c r="D16" s="1676" t="s">
        <v>1333</v>
      </c>
      <c r="E16" s="1680"/>
      <c r="F16" s="1679">
        <f t="shared" si="0"/>
        <v>0</v>
      </c>
      <c r="G16" s="366">
        <f>SUM(F10:F16)</f>
        <v>0</v>
      </c>
      <c r="H16" s="1672"/>
    </row>
    <row r="17" spans="1:13" s="694" customFormat="1" ht="20.25" customHeight="1">
      <c r="A17" s="650">
        <v>2</v>
      </c>
      <c r="B17" s="651" t="s">
        <v>5456</v>
      </c>
      <c r="C17" s="652"/>
      <c r="D17" s="652"/>
      <c r="E17" s="652"/>
      <c r="F17" s="367"/>
      <c r="G17" s="366"/>
      <c r="L17" s="1690"/>
      <c r="M17" s="1690"/>
    </row>
    <row r="18" spans="1:13" s="694" customFormat="1" ht="30">
      <c r="A18" s="1707">
        <f>A17+0.01</f>
        <v>2.0099999999999998</v>
      </c>
      <c r="B18" s="1686" t="s">
        <v>5478</v>
      </c>
      <c r="C18" s="1674">
        <v>123.27</v>
      </c>
      <c r="D18" s="1674" t="s">
        <v>1333</v>
      </c>
      <c r="E18" s="364"/>
      <c r="F18" s="1675">
        <f t="shared" ref="F18" si="4">ROUND(C18*E18,2)</f>
        <v>0</v>
      </c>
      <c r="G18" s="366"/>
      <c r="H18" s="1671"/>
      <c r="L18" s="1690"/>
      <c r="M18" s="1670"/>
    </row>
    <row r="19" spans="1:13" s="694" customFormat="1" ht="30">
      <c r="A19" s="1707">
        <f>A18+0.01</f>
        <v>2.0199999999999996</v>
      </c>
      <c r="B19" s="1686" t="s">
        <v>5479</v>
      </c>
      <c r="C19" s="1644">
        <v>17.59</v>
      </c>
      <c r="D19" s="1674" t="s">
        <v>1333</v>
      </c>
      <c r="E19" s="364"/>
      <c r="F19" s="1675">
        <f t="shared" ref="F19" si="5">ROUND(C19*E19,2)</f>
        <v>0</v>
      </c>
      <c r="G19" s="366">
        <f>SUM(F18:F19)</f>
        <v>0</v>
      </c>
      <c r="H19" s="1671"/>
      <c r="L19" s="1690"/>
      <c r="M19" s="1670"/>
    </row>
    <row r="20" spans="1:13" s="694" customFormat="1" ht="20.25" customHeight="1">
      <c r="A20" s="650">
        <v>3</v>
      </c>
      <c r="B20" s="651" t="s">
        <v>5488</v>
      </c>
      <c r="C20" s="652"/>
      <c r="D20" s="652"/>
      <c r="E20" s="652"/>
      <c r="F20" s="367"/>
      <c r="G20" s="366"/>
      <c r="L20" s="1690"/>
      <c r="M20" s="1690"/>
    </row>
    <row r="21" spans="1:13" s="694" customFormat="1" ht="20.25" customHeight="1">
      <c r="A21" s="644">
        <f>A20+0.01</f>
        <v>3.01</v>
      </c>
      <c r="B21" s="1686" t="s">
        <v>5489</v>
      </c>
      <c r="C21" s="1674">
        <v>4.0199999999999996</v>
      </c>
      <c r="D21" s="1674" t="s">
        <v>1333</v>
      </c>
      <c r="E21" s="364"/>
      <c r="F21" s="1675">
        <f t="shared" ref="F21" si="6">ROUND(C21*E21,2)</f>
        <v>0</v>
      </c>
      <c r="G21" s="366">
        <f>SUM(F21)</f>
        <v>0</v>
      </c>
      <c r="H21" s="1671"/>
      <c r="L21" s="1690"/>
      <c r="M21" s="1670"/>
    </row>
    <row r="22" spans="1:13" s="694" customFormat="1" ht="20.25" customHeight="1">
      <c r="A22" s="650">
        <v>4</v>
      </c>
      <c r="B22" s="1677" t="s">
        <v>5480</v>
      </c>
      <c r="C22" s="1644"/>
      <c r="D22" s="1644"/>
      <c r="E22" s="1644"/>
      <c r="F22" s="1644"/>
      <c r="G22" s="368"/>
      <c r="L22" s="1690"/>
      <c r="M22" s="1690"/>
    </row>
    <row r="23" spans="1:13" s="694" customFormat="1" ht="20.25" customHeight="1">
      <c r="A23" s="644">
        <f>A22+0.01</f>
        <v>4.01</v>
      </c>
      <c r="B23" s="1687" t="s">
        <v>5481</v>
      </c>
      <c r="C23" s="1688">
        <v>499.73</v>
      </c>
      <c r="D23" s="1676" t="s">
        <v>1333</v>
      </c>
      <c r="E23" s="1676"/>
      <c r="F23" s="1676">
        <f t="shared" ref="F23" si="7">ROUND(C23*E23,2)</f>
        <v>0</v>
      </c>
      <c r="G23" s="366">
        <f>SUM(F23)</f>
        <v>0</v>
      </c>
      <c r="H23" s="1682"/>
      <c r="L23" s="1690"/>
      <c r="M23" s="1670"/>
    </row>
    <row r="24" spans="1:13" s="694" customFormat="1" ht="20.25" customHeight="1">
      <c r="A24" s="646">
        <v>5</v>
      </c>
      <c r="B24" s="1678" t="s">
        <v>5482</v>
      </c>
      <c r="C24" s="1676"/>
      <c r="D24" s="1676"/>
      <c r="E24" s="1676"/>
      <c r="F24" s="1676"/>
      <c r="G24" s="366"/>
      <c r="L24" s="1690"/>
      <c r="M24" s="1690"/>
    </row>
    <row r="25" spans="1:13" s="694" customFormat="1" ht="45">
      <c r="A25" s="1707">
        <f>A24+0.01</f>
        <v>5.01</v>
      </c>
      <c r="B25" s="1687" t="s">
        <v>5484</v>
      </c>
      <c r="C25" s="1688">
        <v>11</v>
      </c>
      <c r="D25" s="1676" t="s">
        <v>324</v>
      </c>
      <c r="E25" s="1691"/>
      <c r="F25" s="1676">
        <f t="shared" ref="F25" si="8">ROUND(C25*E25,2)</f>
        <v>0</v>
      </c>
      <c r="G25" s="366"/>
      <c r="L25" s="1690"/>
      <c r="M25" s="1690"/>
    </row>
    <row r="26" spans="1:13" s="694" customFormat="1" ht="45">
      <c r="A26" s="1707">
        <f>A25+0.01</f>
        <v>5.0199999999999996</v>
      </c>
      <c r="B26" s="1687" t="s">
        <v>5485</v>
      </c>
      <c r="C26" s="1688">
        <v>2</v>
      </c>
      <c r="D26" s="1676" t="s">
        <v>324</v>
      </c>
      <c r="E26" s="1691"/>
      <c r="F26" s="1676">
        <f t="shared" ref="F26:F28" si="9">ROUND(C26*E26,2)</f>
        <v>0</v>
      </c>
      <c r="G26" s="366"/>
      <c r="L26" s="1690"/>
      <c r="M26" s="1690"/>
    </row>
    <row r="27" spans="1:13" s="694" customFormat="1" ht="20.25" customHeight="1">
      <c r="A27" s="644">
        <f t="shared" ref="A27:A28" si="10">A26+0.01</f>
        <v>5.0299999999999994</v>
      </c>
      <c r="B27" s="1681" t="s">
        <v>5483</v>
      </c>
      <c r="C27" s="1674">
        <v>1</v>
      </c>
      <c r="D27" s="1644" t="s">
        <v>324</v>
      </c>
      <c r="E27" s="1693"/>
      <c r="F27" s="1676">
        <f t="shared" si="9"/>
        <v>0</v>
      </c>
      <c r="G27" s="366"/>
      <c r="L27" s="1690"/>
      <c r="M27" s="1690"/>
    </row>
    <row r="28" spans="1:13" s="694" customFormat="1" ht="20.25" customHeight="1">
      <c r="A28" s="644">
        <f t="shared" si="10"/>
        <v>5.0399999999999991</v>
      </c>
      <c r="B28" s="1681" t="s">
        <v>5490</v>
      </c>
      <c r="C28" s="1674">
        <v>1</v>
      </c>
      <c r="D28" s="1644" t="s">
        <v>324</v>
      </c>
      <c r="E28" s="1693"/>
      <c r="F28" s="1676">
        <f t="shared" si="9"/>
        <v>0</v>
      </c>
      <c r="G28" s="366">
        <f>SUM(F25:F28)</f>
        <v>0</v>
      </c>
      <c r="L28" s="1690"/>
      <c r="M28" s="1690"/>
    </row>
    <row r="29" spans="1:13" s="694" customFormat="1" ht="20.25" customHeight="1">
      <c r="A29" s="650">
        <v>6</v>
      </c>
      <c r="B29" s="1677" t="s">
        <v>5457</v>
      </c>
      <c r="C29" s="1644"/>
      <c r="D29" s="1644"/>
      <c r="E29" s="1644"/>
      <c r="F29" s="1644"/>
      <c r="G29" s="366"/>
      <c r="L29" s="1690"/>
      <c r="M29" s="1690"/>
    </row>
    <row r="30" spans="1:13" s="694" customFormat="1" ht="30">
      <c r="A30" s="1707">
        <f>A29+0.01</f>
        <v>6.01</v>
      </c>
      <c r="B30" s="1687" t="s">
        <v>5462</v>
      </c>
      <c r="C30" s="1674">
        <v>114.1</v>
      </c>
      <c r="D30" s="1644" t="s">
        <v>1333</v>
      </c>
      <c r="E30" s="1676"/>
      <c r="F30" s="1679">
        <f t="shared" ref="F30:F35" si="11">ROUND(C30*E30,2)</f>
        <v>0</v>
      </c>
      <c r="G30" s="366"/>
      <c r="H30" s="1671"/>
      <c r="L30" s="1690"/>
      <c r="M30" s="1670"/>
    </row>
    <row r="31" spans="1:13" s="694" customFormat="1" ht="30">
      <c r="A31" s="1707">
        <f t="shared" ref="A31:A43" si="12">A30+0.01</f>
        <v>6.02</v>
      </c>
      <c r="B31" s="1687" t="s">
        <v>5486</v>
      </c>
      <c r="C31" s="1674">
        <v>6.43</v>
      </c>
      <c r="D31" s="1644" t="s">
        <v>5465</v>
      </c>
      <c r="E31" s="1688"/>
      <c r="F31" s="1679">
        <f t="shared" si="11"/>
        <v>0</v>
      </c>
      <c r="G31" s="366"/>
      <c r="H31" s="1754"/>
      <c r="L31" s="1690"/>
      <c r="M31" s="1670"/>
    </row>
    <row r="32" spans="1:13" s="694" customFormat="1" ht="30">
      <c r="A32" s="1707">
        <f t="shared" si="12"/>
        <v>6.0299999999999994</v>
      </c>
      <c r="B32" s="1687" t="s">
        <v>5487</v>
      </c>
      <c r="C32" s="1674">
        <v>5.51</v>
      </c>
      <c r="D32" s="1644" t="s">
        <v>5465</v>
      </c>
      <c r="E32" s="1688"/>
      <c r="F32" s="1679">
        <f t="shared" si="11"/>
        <v>0</v>
      </c>
      <c r="G32" s="366"/>
      <c r="H32" s="1754"/>
      <c r="L32" s="1690"/>
      <c r="M32" s="1670"/>
    </row>
    <row r="33" spans="1:13" s="694" customFormat="1" ht="20.25" customHeight="1">
      <c r="A33" s="644">
        <f t="shared" si="12"/>
        <v>6.0399999999999991</v>
      </c>
      <c r="B33" s="1687" t="s">
        <v>5464</v>
      </c>
      <c r="C33" s="1688">
        <v>1</v>
      </c>
      <c r="D33" s="1676" t="s">
        <v>324</v>
      </c>
      <c r="E33" s="1688"/>
      <c r="F33" s="1679">
        <f t="shared" si="11"/>
        <v>0</v>
      </c>
      <c r="G33" s="366"/>
      <c r="H33" s="1754"/>
      <c r="L33" s="1690"/>
      <c r="M33" s="1670"/>
    </row>
    <row r="34" spans="1:13" s="694" customFormat="1" ht="30">
      <c r="A34" s="1707">
        <f t="shared" si="12"/>
        <v>6.0499999999999989</v>
      </c>
      <c r="B34" s="1687" t="s">
        <v>5491</v>
      </c>
      <c r="C34" s="1674">
        <v>5.5</v>
      </c>
      <c r="D34" s="1644" t="s">
        <v>1752</v>
      </c>
      <c r="E34" s="1688"/>
      <c r="F34" s="1679">
        <f t="shared" si="11"/>
        <v>0</v>
      </c>
      <c r="G34" s="366"/>
      <c r="H34" s="1754"/>
      <c r="M34" s="1670"/>
    </row>
    <row r="35" spans="1:13" s="694" customFormat="1" ht="30">
      <c r="A35" s="1707">
        <f t="shared" si="12"/>
        <v>6.0599999999999987</v>
      </c>
      <c r="B35" s="1687" t="s">
        <v>5466</v>
      </c>
      <c r="C35" s="1674">
        <v>93.9</v>
      </c>
      <c r="D35" s="1644" t="s">
        <v>1752</v>
      </c>
      <c r="E35" s="1688"/>
      <c r="F35" s="1679">
        <f t="shared" si="11"/>
        <v>0</v>
      </c>
      <c r="G35" s="366">
        <f>SUM(F30:F35)</f>
        <v>0</v>
      </c>
      <c r="H35" s="1671"/>
      <c r="M35" s="1670"/>
    </row>
    <row r="36" spans="1:13" s="694" customFormat="1" ht="20.25" customHeight="1">
      <c r="A36" s="646">
        <v>7</v>
      </c>
      <c r="B36" s="645" t="s">
        <v>5468</v>
      </c>
      <c r="C36" s="1674"/>
      <c r="D36" s="1644"/>
      <c r="E36" s="1676"/>
      <c r="F36" s="1679"/>
      <c r="G36" s="366"/>
      <c r="H36" s="1671"/>
      <c r="M36" s="1670"/>
    </row>
    <row r="37" spans="1:13" s="694" customFormat="1" ht="20.25" customHeight="1">
      <c r="A37" s="644">
        <f t="shared" si="12"/>
        <v>7.01</v>
      </c>
      <c r="B37" s="1687" t="s">
        <v>5469</v>
      </c>
      <c r="C37" s="1674">
        <v>1</v>
      </c>
      <c r="D37" s="1644" t="s">
        <v>324</v>
      </c>
      <c r="E37" s="1676"/>
      <c r="F37" s="1679">
        <f t="shared" ref="F37:F43" si="13">ROUND(C37*E37,2)</f>
        <v>0</v>
      </c>
      <c r="G37" s="366"/>
      <c r="H37" s="1671"/>
      <c r="M37" s="1670"/>
    </row>
    <row r="38" spans="1:13" s="694" customFormat="1" ht="35.25" customHeight="1">
      <c r="A38" s="1707">
        <f t="shared" si="12"/>
        <v>7.02</v>
      </c>
      <c r="B38" s="1687" t="s">
        <v>5470</v>
      </c>
      <c r="C38" s="1674">
        <v>1</v>
      </c>
      <c r="D38" s="1644" t="s">
        <v>324</v>
      </c>
      <c r="E38" s="1676"/>
      <c r="F38" s="1679">
        <f t="shared" si="13"/>
        <v>0</v>
      </c>
      <c r="G38" s="366"/>
      <c r="H38" s="1671"/>
      <c r="M38" s="1670"/>
    </row>
    <row r="39" spans="1:13" s="694" customFormat="1" ht="20.25" customHeight="1">
      <c r="A39" s="644">
        <f t="shared" si="12"/>
        <v>7.0299999999999994</v>
      </c>
      <c r="B39" s="1687" t="s">
        <v>5473</v>
      </c>
      <c r="C39" s="1674">
        <v>1</v>
      </c>
      <c r="D39" s="1644" t="s">
        <v>324</v>
      </c>
      <c r="E39" s="1676"/>
      <c r="F39" s="1679">
        <f t="shared" si="13"/>
        <v>0</v>
      </c>
      <c r="G39" s="366"/>
      <c r="H39" s="1671"/>
      <c r="M39" s="1670"/>
    </row>
    <row r="40" spans="1:13" s="694" customFormat="1" ht="20.25" customHeight="1">
      <c r="A40" s="644">
        <f t="shared" si="12"/>
        <v>7.0399999999999991</v>
      </c>
      <c r="B40" s="1687" t="s">
        <v>5471</v>
      </c>
      <c r="C40" s="1674">
        <v>1</v>
      </c>
      <c r="D40" s="1644" t="s">
        <v>324</v>
      </c>
      <c r="E40" s="1676"/>
      <c r="F40" s="1679">
        <f t="shared" si="13"/>
        <v>0</v>
      </c>
      <c r="G40" s="366"/>
      <c r="H40" s="1671"/>
      <c r="M40" s="1670"/>
    </row>
    <row r="41" spans="1:13" s="694" customFormat="1" ht="30">
      <c r="A41" s="1707">
        <f t="shared" si="12"/>
        <v>7.0499999999999989</v>
      </c>
      <c r="B41" s="1687" t="s">
        <v>5474</v>
      </c>
      <c r="C41" s="1674">
        <v>6</v>
      </c>
      <c r="D41" s="1644" t="s">
        <v>1752</v>
      </c>
      <c r="E41" s="1676"/>
      <c r="F41" s="1679">
        <f t="shared" si="13"/>
        <v>0</v>
      </c>
      <c r="G41" s="366"/>
      <c r="H41" s="1671"/>
      <c r="M41" s="1670"/>
    </row>
    <row r="42" spans="1:13" s="694" customFormat="1" ht="30">
      <c r="A42" s="1707">
        <f t="shared" si="12"/>
        <v>7.0599999999999987</v>
      </c>
      <c r="B42" s="1687" t="s">
        <v>5475</v>
      </c>
      <c r="C42" s="1674">
        <v>7</v>
      </c>
      <c r="D42" s="1644" t="s">
        <v>1752</v>
      </c>
      <c r="E42" s="1676"/>
      <c r="F42" s="1679">
        <f t="shared" si="13"/>
        <v>0</v>
      </c>
      <c r="G42" s="366"/>
      <c r="H42" s="1671"/>
      <c r="M42" s="1670"/>
    </row>
    <row r="43" spans="1:13" s="694" customFormat="1" ht="20.25" customHeight="1">
      <c r="A43" s="644">
        <f t="shared" si="12"/>
        <v>7.0699999999999985</v>
      </c>
      <c r="B43" s="1687" t="s">
        <v>5472</v>
      </c>
      <c r="C43" s="1674">
        <v>1</v>
      </c>
      <c r="D43" s="1644" t="s">
        <v>48</v>
      </c>
      <c r="E43" s="1676"/>
      <c r="F43" s="1679">
        <f t="shared" si="13"/>
        <v>0</v>
      </c>
      <c r="G43" s="366">
        <f>SUM(F37:F43)</f>
        <v>0</v>
      </c>
      <c r="H43" s="1671"/>
      <c r="M43" s="1670"/>
    </row>
    <row r="44" spans="1:13" s="694" customFormat="1" ht="20.25" customHeight="1">
      <c r="A44" s="646">
        <v>8</v>
      </c>
      <c r="B44" s="645" t="s">
        <v>5454</v>
      </c>
      <c r="C44" s="365"/>
      <c r="D44" s="365"/>
      <c r="E44" s="364"/>
      <c r="F44" s="1679"/>
      <c r="G44" s="366"/>
    </row>
    <row r="45" spans="1:13" s="694" customFormat="1" ht="20.25" customHeight="1">
      <c r="A45" s="644">
        <f>A44+0.01</f>
        <v>8.01</v>
      </c>
      <c r="B45" s="649" t="s">
        <v>5492</v>
      </c>
      <c r="C45" s="364">
        <v>1</v>
      </c>
      <c r="D45" s="364" t="s">
        <v>48</v>
      </c>
      <c r="E45" s="364"/>
      <c r="F45" s="365">
        <f t="shared" ref="F45" si="14">ROUND(C45*E45,2)</f>
        <v>0</v>
      </c>
      <c r="G45" s="366">
        <f>SUM(F45:F45)</f>
        <v>0</v>
      </c>
    </row>
    <row r="46" spans="1:13" s="694" customFormat="1" ht="20.25" customHeight="1">
      <c r="A46" s="646">
        <v>9</v>
      </c>
      <c r="B46" s="645" t="s">
        <v>5455</v>
      </c>
      <c r="C46" s="365"/>
      <c r="D46" s="365"/>
      <c r="E46" s="364"/>
      <c r="F46" s="365"/>
      <c r="G46" s="366"/>
    </row>
    <row r="47" spans="1:13" s="694" customFormat="1" ht="20.25" customHeight="1">
      <c r="A47" s="644">
        <f t="shared" ref="A47" si="15">A46+0.01</f>
        <v>9.01</v>
      </c>
      <c r="B47" s="649" t="s">
        <v>5459</v>
      </c>
      <c r="C47" s="364">
        <v>1</v>
      </c>
      <c r="D47" s="364" t="s">
        <v>48</v>
      </c>
      <c r="E47" s="364"/>
      <c r="F47" s="365">
        <f>ROUND(C47*E47,2)</f>
        <v>0</v>
      </c>
      <c r="G47" s="366">
        <f>SUM(F47)</f>
        <v>0</v>
      </c>
    </row>
    <row r="48" spans="1:13" s="694" customFormat="1" ht="20.25" customHeight="1" thickBot="1">
      <c r="A48" s="1664"/>
      <c r="B48" s="1665"/>
      <c r="C48" s="1666"/>
      <c r="D48" s="1666"/>
      <c r="E48" s="1667"/>
      <c r="F48" s="1668"/>
      <c r="G48" s="1669"/>
      <c r="M48" s="648"/>
    </row>
    <row r="49" spans="1:13" s="694" customFormat="1" ht="20.25" customHeight="1" thickTop="1" thickBot="1">
      <c r="A49" s="653"/>
      <c r="B49" s="654" t="s">
        <v>4020</v>
      </c>
      <c r="C49" s="655"/>
      <c r="D49" s="656"/>
      <c r="E49" s="657"/>
      <c r="F49" s="657"/>
      <c r="G49" s="369">
        <f>SUM(G10:G47)</f>
        <v>0</v>
      </c>
      <c r="H49" s="695"/>
      <c r="I49" s="696"/>
      <c r="M49" s="648"/>
    </row>
    <row r="50" spans="1:13" s="694" customFormat="1" ht="20.25" customHeight="1" thickTop="1">
      <c r="A50" s="658"/>
      <c r="B50" s="651"/>
      <c r="C50" s="659"/>
      <c r="D50" s="660"/>
      <c r="E50" s="661"/>
      <c r="F50" s="661"/>
      <c r="G50" s="368"/>
      <c r="M50" s="648"/>
    </row>
    <row r="51" spans="1:13" s="694" customFormat="1" ht="20.25" customHeight="1">
      <c r="A51" s="644"/>
      <c r="B51" s="645" t="s">
        <v>4021</v>
      </c>
      <c r="C51" s="662"/>
      <c r="D51" s="663"/>
      <c r="E51" s="662"/>
      <c r="F51" s="365"/>
      <c r="G51" s="664"/>
      <c r="M51" s="648"/>
    </row>
    <row r="52" spans="1:13" s="694" customFormat="1" ht="20.25" customHeight="1">
      <c r="A52" s="644"/>
      <c r="B52" s="647" t="s">
        <v>4022</v>
      </c>
      <c r="C52" s="663"/>
      <c r="D52" s="662"/>
      <c r="E52" s="665">
        <v>0.1</v>
      </c>
      <c r="F52" s="666">
        <f t="shared" ref="F52:F59" si="16">ROUND($G$49*E52,2)</f>
        <v>0</v>
      </c>
      <c r="G52" s="667"/>
      <c r="M52" s="648"/>
    </row>
    <row r="53" spans="1:13" s="694" customFormat="1" ht="20.25" customHeight="1">
      <c r="A53" s="1699"/>
      <c r="B53" s="1700" t="s">
        <v>5493</v>
      </c>
      <c r="C53" s="1701"/>
      <c r="D53" s="1702"/>
      <c r="E53" s="1703">
        <v>4.4999999999999998E-2</v>
      </c>
      <c r="F53" s="666">
        <f t="shared" si="16"/>
        <v>0</v>
      </c>
      <c r="G53" s="1704"/>
      <c r="M53" s="1670"/>
    </row>
    <row r="54" spans="1:13" s="694" customFormat="1" ht="20.25" customHeight="1">
      <c r="A54" s="1699"/>
      <c r="B54" s="1700" t="s">
        <v>5494</v>
      </c>
      <c r="C54" s="1701"/>
      <c r="D54" s="1702"/>
      <c r="E54" s="1703">
        <v>0.03</v>
      </c>
      <c r="F54" s="666">
        <f t="shared" si="16"/>
        <v>0</v>
      </c>
      <c r="G54" s="1704"/>
      <c r="M54" s="1670"/>
    </row>
    <row r="55" spans="1:13" s="694" customFormat="1" ht="20.25" customHeight="1">
      <c r="A55" s="1699"/>
      <c r="B55" s="1700" t="s">
        <v>5498</v>
      </c>
      <c r="C55" s="1701"/>
      <c r="D55" s="1702"/>
      <c r="E55" s="1703">
        <v>2.75E-2</v>
      </c>
      <c r="F55" s="666">
        <f t="shared" si="16"/>
        <v>0</v>
      </c>
      <c r="G55" s="1704"/>
      <c r="M55" s="1670"/>
    </row>
    <row r="56" spans="1:13" s="694" customFormat="1" ht="20.25" customHeight="1">
      <c r="A56" s="1699"/>
      <c r="B56" s="1700" t="s">
        <v>5495</v>
      </c>
      <c r="C56" s="1701"/>
      <c r="D56" s="1702"/>
      <c r="E56" s="1703">
        <v>0.1</v>
      </c>
      <c r="F56" s="666">
        <f t="shared" si="16"/>
        <v>0</v>
      </c>
      <c r="G56" s="1704"/>
      <c r="M56" s="1670"/>
    </row>
    <row r="57" spans="1:13" s="694" customFormat="1" ht="20.25" customHeight="1">
      <c r="A57" s="1699"/>
      <c r="B57" s="1705" t="s">
        <v>5496</v>
      </c>
      <c r="C57" s="1706"/>
      <c r="D57" s="1702"/>
      <c r="E57" s="1703">
        <v>1E-3</v>
      </c>
      <c r="F57" s="666">
        <f t="shared" si="16"/>
        <v>0</v>
      </c>
      <c r="G57" s="1704"/>
      <c r="M57" s="1670"/>
    </row>
    <row r="58" spans="1:13" s="694" customFormat="1" ht="20.25" customHeight="1">
      <c r="A58" s="1699"/>
      <c r="B58" s="1700" t="s">
        <v>5460</v>
      </c>
      <c r="C58" s="1701"/>
      <c r="D58" s="1702"/>
      <c r="E58" s="1703">
        <v>1.7999999999999999E-2</v>
      </c>
      <c r="F58" s="666">
        <f t="shared" si="16"/>
        <v>0</v>
      </c>
      <c r="G58" s="1704"/>
      <c r="M58" s="1670"/>
    </row>
    <row r="59" spans="1:13" s="694" customFormat="1" ht="32.25" customHeight="1">
      <c r="A59" s="1699"/>
      <c r="B59" s="1705" t="s">
        <v>5497</v>
      </c>
      <c r="C59" s="1706"/>
      <c r="D59" s="1702"/>
      <c r="E59" s="1703">
        <v>0.01</v>
      </c>
      <c r="F59" s="666">
        <f t="shared" si="16"/>
        <v>0</v>
      </c>
      <c r="G59" s="1704">
        <f>SUM(F52:F59)</f>
        <v>0</v>
      </c>
      <c r="M59" s="1670"/>
    </row>
    <row r="60" spans="1:13" s="694" customFormat="1" ht="12" customHeight="1" thickBot="1">
      <c r="A60" s="668"/>
      <c r="B60" s="669"/>
      <c r="C60" s="670"/>
      <c r="D60" s="671"/>
      <c r="E60" s="672"/>
      <c r="F60" s="673"/>
      <c r="G60" s="674"/>
      <c r="M60" s="697"/>
    </row>
    <row r="61" spans="1:13" s="694" customFormat="1" ht="20.25" customHeight="1" thickTop="1" thickBot="1">
      <c r="A61" s="675"/>
      <c r="B61" s="676" t="s">
        <v>4023</v>
      </c>
      <c r="C61" s="677"/>
      <c r="D61" s="678"/>
      <c r="E61" s="679"/>
      <c r="F61" s="679"/>
      <c r="G61" s="373">
        <f>SUM(G49:G59)</f>
        <v>0</v>
      </c>
      <c r="H61" s="370"/>
    </row>
    <row r="62" spans="1:13" s="694" customFormat="1" ht="6" customHeight="1" thickTop="1">
      <c r="A62" s="680"/>
      <c r="B62" s="681"/>
      <c r="C62" s="682"/>
      <c r="D62" s="683"/>
      <c r="E62" s="684"/>
      <c r="F62" s="684"/>
      <c r="G62" s="374"/>
    </row>
    <row r="63" spans="1:13" s="694" customFormat="1" ht="15.75" customHeight="1">
      <c r="A63" s="680"/>
      <c r="B63" s="681"/>
      <c r="C63" s="682"/>
      <c r="D63" s="683"/>
      <c r="E63" s="684"/>
      <c r="F63" s="684"/>
      <c r="G63" s="374"/>
    </row>
    <row r="64" spans="1:13" s="694" customFormat="1" ht="9.75" customHeight="1">
      <c r="A64" s="685"/>
      <c r="B64" s="686"/>
      <c r="C64" s="682"/>
      <c r="D64" s="683"/>
      <c r="E64" s="684"/>
      <c r="F64" s="684"/>
      <c r="G64" s="687"/>
    </row>
    <row r="65" spans="1:7" s="694" customFormat="1" ht="9.75" customHeight="1">
      <c r="A65" s="685"/>
      <c r="B65" s="686"/>
      <c r="C65" s="682"/>
      <c r="D65" s="683"/>
      <c r="E65" s="684"/>
      <c r="F65" s="684"/>
      <c r="G65" s="687"/>
    </row>
    <row r="66" spans="1:7" s="694" customFormat="1" ht="9.75" customHeight="1">
      <c r="A66" s="685"/>
      <c r="B66" s="686"/>
      <c r="C66" s="682"/>
      <c r="D66" s="683"/>
      <c r="E66" s="684"/>
      <c r="F66" s="684"/>
      <c r="G66" s="687"/>
    </row>
    <row r="67" spans="1:7" s="694" customFormat="1" ht="9.75" customHeight="1">
      <c r="A67" s="685"/>
      <c r="B67" s="686"/>
      <c r="C67" s="682"/>
      <c r="D67" s="683"/>
      <c r="E67" s="684"/>
      <c r="F67" s="684"/>
      <c r="G67" s="687"/>
    </row>
    <row r="68" spans="1:7" s="694" customFormat="1" ht="21" customHeight="1">
      <c r="A68" s="1776" t="s">
        <v>4024</v>
      </c>
      <c r="B68" s="1777"/>
      <c r="C68" s="1778" t="s">
        <v>4025</v>
      </c>
      <c r="D68" s="1778"/>
      <c r="E68" s="1778"/>
      <c r="F68" s="1778"/>
      <c r="G68" s="1779"/>
    </row>
    <row r="69" spans="1:7" s="694" customFormat="1" ht="9.75" customHeight="1">
      <c r="A69" s="688"/>
      <c r="B69" s="689"/>
      <c r="C69" s="690"/>
      <c r="D69" s="690"/>
      <c r="E69" s="1778"/>
      <c r="F69" s="1778"/>
      <c r="G69" s="691"/>
    </row>
    <row r="70" spans="1:7" s="694" customFormat="1" ht="20.25" customHeight="1">
      <c r="A70" s="1768"/>
      <c r="B70" s="1769"/>
      <c r="C70" s="1780"/>
      <c r="D70" s="1780"/>
      <c r="E70" s="1780"/>
      <c r="F70" s="1780"/>
      <c r="G70" s="1781"/>
    </row>
    <row r="71" spans="1:7" s="694" customFormat="1">
      <c r="A71" s="1773"/>
      <c r="B71" s="1774"/>
      <c r="C71" s="1774"/>
      <c r="D71" s="1774"/>
      <c r="E71" s="1774"/>
      <c r="F71" s="1774"/>
      <c r="G71" s="1775"/>
    </row>
    <row r="72" spans="1:7" s="694" customFormat="1" ht="8.25" customHeight="1">
      <c r="A72" s="692"/>
      <c r="B72" s="693"/>
      <c r="C72" s="682"/>
      <c r="D72" s="683"/>
      <c r="E72" s="684"/>
      <c r="F72" s="684"/>
      <c r="G72" s="687"/>
    </row>
    <row r="73" spans="1:7" s="694" customFormat="1" ht="8.25" customHeight="1">
      <c r="A73" s="692"/>
      <c r="B73" s="693"/>
      <c r="C73" s="682"/>
      <c r="D73" s="683"/>
      <c r="E73" s="684"/>
      <c r="F73" s="684"/>
      <c r="G73" s="687"/>
    </row>
    <row r="74" spans="1:7" s="694" customFormat="1" ht="18.75" customHeight="1">
      <c r="A74" s="1770" t="s">
        <v>4026</v>
      </c>
      <c r="B74" s="1771"/>
      <c r="C74" s="1771"/>
      <c r="D74" s="1771"/>
      <c r="E74" s="1771"/>
      <c r="F74" s="1771"/>
      <c r="G74" s="1772"/>
    </row>
    <row r="75" spans="1:7" s="694" customFormat="1" ht="20.25" customHeight="1">
      <c r="A75" s="692"/>
      <c r="B75" s="693"/>
      <c r="C75" s="682"/>
      <c r="D75" s="683"/>
      <c r="E75" s="684"/>
      <c r="F75" s="684"/>
      <c r="G75" s="687"/>
    </row>
    <row r="76" spans="1:7" s="694" customFormat="1" ht="20.25" customHeight="1">
      <c r="A76" s="1758"/>
      <c r="B76" s="1759"/>
      <c r="C76" s="1759"/>
      <c r="D76" s="1759"/>
      <c r="E76" s="1759"/>
      <c r="F76" s="1759"/>
      <c r="G76" s="1760"/>
    </row>
    <row r="77" spans="1:7" ht="15.75" thickBot="1">
      <c r="A77" s="1755"/>
      <c r="B77" s="1756"/>
      <c r="C77" s="1756"/>
      <c r="D77" s="1756"/>
      <c r="E77" s="1756"/>
      <c r="F77" s="1756"/>
      <c r="G77" s="1757"/>
    </row>
    <row r="78" spans="1:7" ht="15.75" thickTop="1"/>
  </sheetData>
  <mergeCells count="18">
    <mergeCell ref="C68:G68"/>
    <mergeCell ref="C70:G70"/>
    <mergeCell ref="H31:H34"/>
    <mergeCell ref="A77:G77"/>
    <mergeCell ref="A76:G76"/>
    <mergeCell ref="A1:G1"/>
    <mergeCell ref="B2:G2"/>
    <mergeCell ref="B3:G3"/>
    <mergeCell ref="B5:D5"/>
    <mergeCell ref="E5:G5"/>
    <mergeCell ref="B6:G6"/>
    <mergeCell ref="B7:F7"/>
    <mergeCell ref="A70:B70"/>
    <mergeCell ref="A74:G74"/>
    <mergeCell ref="A71:B71"/>
    <mergeCell ref="C71:G71"/>
    <mergeCell ref="A68:B68"/>
    <mergeCell ref="E69:F69"/>
  </mergeCells>
  <printOptions horizontalCentered="1" verticalCentered="1"/>
  <pageMargins left="0.23622047244094491" right="0.23622047244094491" top="0.74803149606299213" bottom="0.74803149606299213" header="0.31496062992125984" footer="0.31496062992125984"/>
  <pageSetup scale="72" orientation="portrait" r:id="rId1"/>
  <headerFooter>
    <oddHeader>Página &amp;P</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B661"/>
  <sheetViews>
    <sheetView topLeftCell="J283" zoomScale="70" zoomScaleNormal="70" workbookViewId="0">
      <selection activeCell="Y287" sqref="Y287:AB300"/>
    </sheetView>
  </sheetViews>
  <sheetFormatPr baseColWidth="10" defaultColWidth="11.42578125" defaultRowHeight="15"/>
  <cols>
    <col min="1" max="1" width="28.42578125" style="728" customWidth="1"/>
    <col min="2" max="2" width="27.140625" style="728" customWidth="1"/>
    <col min="3" max="3" width="27.28515625" style="728" customWidth="1"/>
    <col min="4" max="4" width="23.28515625" style="728" customWidth="1"/>
    <col min="5" max="5" width="31.5703125" style="728" customWidth="1"/>
    <col min="6" max="6" width="27" style="728" customWidth="1"/>
    <col min="7" max="7" width="25.85546875" style="728" customWidth="1"/>
    <col min="8" max="8" width="26" style="728" customWidth="1"/>
    <col min="9" max="9" width="24.5703125" style="728" customWidth="1"/>
    <col min="10" max="10" width="24.28515625" style="728" customWidth="1"/>
    <col min="11" max="11" width="21.28515625" style="728" customWidth="1"/>
    <col min="12" max="12" width="19.85546875" style="728" customWidth="1"/>
    <col min="13" max="13" width="21.85546875" style="728" customWidth="1"/>
    <col min="14" max="14" width="20.7109375" style="728" customWidth="1"/>
    <col min="15" max="15" width="18.42578125" style="728" customWidth="1"/>
    <col min="16" max="16" width="15.85546875" style="728" customWidth="1"/>
    <col min="17" max="17" width="17.28515625" style="728" customWidth="1"/>
    <col min="18" max="18" width="14.28515625" style="728" customWidth="1"/>
    <col min="19" max="19" width="23.5703125" style="728" customWidth="1"/>
    <col min="20" max="20" width="11.42578125" style="728" customWidth="1"/>
    <col min="21" max="21" width="15.28515625" style="728" customWidth="1"/>
    <col min="22" max="22" width="20.85546875" style="728" customWidth="1"/>
    <col min="23" max="23" width="12.7109375" style="728" customWidth="1"/>
    <col min="24" max="24" width="11.42578125" style="728"/>
    <col min="25" max="25" width="60.28515625" style="728" customWidth="1"/>
    <col min="26" max="26" width="14.42578125" style="728" customWidth="1"/>
    <col min="27" max="16384" width="11.42578125" style="728"/>
  </cols>
  <sheetData>
    <row r="1" spans="1:28" ht="23.25">
      <c r="A1" s="1797" t="s">
        <v>4464</v>
      </c>
      <c r="B1" s="1798"/>
      <c r="C1" s="1798"/>
      <c r="D1" s="1798"/>
      <c r="E1" s="1798"/>
      <c r="F1" s="1798"/>
      <c r="G1" s="1798"/>
      <c r="H1" s="1798"/>
      <c r="I1" s="1798"/>
      <c r="J1" s="1798"/>
    </row>
    <row r="2" spans="1:28" ht="18">
      <c r="A2" s="729"/>
      <c r="B2" s="729"/>
      <c r="C2" s="729"/>
      <c r="D2" s="729"/>
      <c r="E2" s="729"/>
      <c r="F2" s="729"/>
      <c r="G2" s="729"/>
      <c r="H2" s="729"/>
      <c r="I2" s="729"/>
      <c r="J2" s="729"/>
    </row>
    <row r="3" spans="1:28" ht="18">
      <c r="A3" s="729"/>
      <c r="B3" s="729"/>
      <c r="C3" s="1799" t="s">
        <v>4465</v>
      </c>
      <c r="D3" s="1799"/>
      <c r="E3" s="1799"/>
      <c r="F3" s="1799"/>
      <c r="G3" s="1799"/>
      <c r="H3" s="729"/>
      <c r="I3" s="729"/>
      <c r="J3" s="729"/>
    </row>
    <row r="4" spans="1:28">
      <c r="G4" s="730"/>
      <c r="H4" s="730"/>
    </row>
    <row r="5" spans="1:28" ht="18.75" thickBot="1">
      <c r="A5" s="731"/>
      <c r="B5" s="732"/>
      <c r="C5" s="732"/>
      <c r="D5" s="732"/>
      <c r="E5" s="1353"/>
    </row>
    <row r="6" spans="1:28" ht="18.75" thickBot="1">
      <c r="A6" s="1800" t="s">
        <v>4466</v>
      </c>
      <c r="B6" s="1801"/>
      <c r="C6" s="1801"/>
      <c r="D6" s="1802"/>
      <c r="E6" s="734"/>
      <c r="F6" s="734"/>
      <c r="G6" s="734"/>
      <c r="H6" s="734"/>
      <c r="I6" s="734"/>
      <c r="J6" s="734"/>
      <c r="K6" s="734"/>
      <c r="L6" s="734"/>
      <c r="M6" s="734"/>
      <c r="N6" s="734"/>
      <c r="O6" s="735" t="s">
        <v>4467</v>
      </c>
      <c r="P6" s="736"/>
      <c r="Q6" s="737">
        <v>1.35</v>
      </c>
      <c r="Y6" s="1787" t="s">
        <v>4468</v>
      </c>
      <c r="Z6" s="1787"/>
      <c r="AA6" s="738"/>
    </row>
    <row r="7" spans="1:28" ht="57" customHeight="1">
      <c r="A7" s="739" t="s">
        <v>4469</v>
      </c>
      <c r="B7" s="739" t="s">
        <v>515</v>
      </c>
      <c r="C7" s="740" t="s">
        <v>4470</v>
      </c>
      <c r="D7" s="740" t="s">
        <v>4471</v>
      </c>
      <c r="E7" s="741" t="s">
        <v>4472</v>
      </c>
      <c r="F7" s="741" t="s">
        <v>4473</v>
      </c>
      <c r="G7" s="741" t="s">
        <v>4474</v>
      </c>
      <c r="H7" s="741" t="s">
        <v>4475</v>
      </c>
      <c r="I7" s="741" t="s">
        <v>4476</v>
      </c>
      <c r="J7" s="741" t="s">
        <v>4477</v>
      </c>
      <c r="K7" s="741" t="s">
        <v>4478</v>
      </c>
      <c r="L7" s="741" t="s">
        <v>4479</v>
      </c>
      <c r="M7" s="741" t="s">
        <v>4480</v>
      </c>
      <c r="N7" s="741" t="s">
        <v>4481</v>
      </c>
      <c r="O7" s="741" t="s">
        <v>4482</v>
      </c>
      <c r="P7" s="741"/>
      <c r="Q7" s="742"/>
      <c r="Y7" s="1354" t="s">
        <v>4483</v>
      </c>
      <c r="Z7" s="1355">
        <v>782</v>
      </c>
      <c r="AA7" s="728" t="s">
        <v>1333</v>
      </c>
      <c r="AB7" s="1355">
        <v>945.18</v>
      </c>
    </row>
    <row r="8" spans="1:28" ht="57" customHeight="1">
      <c r="A8" s="739"/>
      <c r="B8" s="739"/>
      <c r="C8" s="740"/>
      <c r="D8" s="740"/>
      <c r="E8" s="741"/>
      <c r="F8" s="741"/>
      <c r="G8" s="741"/>
      <c r="H8" s="741"/>
      <c r="I8" s="741"/>
      <c r="J8" s="748">
        <f>(0.82+0.82+0.82+0.82+0.57+0.57+37.5+12.89+9.23+5.95+5.95+4.27+1.96+1.46+5.94+4.27+1.46+8.36+10.42+5.71+9.38+5.95+1.9+1.48+7.03+4.41+1.48+5.92+11.27+15.95+10.36+5.96+1.33)*0.35</f>
        <v>70.773499999999984</v>
      </c>
      <c r="K8" s="741"/>
      <c r="L8" s="741"/>
      <c r="M8" s="741"/>
      <c r="N8" s="741"/>
      <c r="O8" s="741"/>
      <c r="P8" s="741"/>
      <c r="Q8" s="742"/>
      <c r="Y8" s="1356" t="s">
        <v>4485</v>
      </c>
      <c r="Z8" s="1355">
        <f>N32</f>
        <v>1180.2065</v>
      </c>
      <c r="AA8" s="728" t="s">
        <v>1333</v>
      </c>
    </row>
    <row r="9" spans="1:28" ht="30.75">
      <c r="A9" s="744" t="s">
        <v>4484</v>
      </c>
      <c r="B9" s="745">
        <v>1</v>
      </c>
      <c r="C9" s="746">
        <f>279.85+1.65-23.05-6.4+1.4*4+10+15</f>
        <v>282.64999999999998</v>
      </c>
      <c r="D9" s="746">
        <v>0.2</v>
      </c>
      <c r="E9" s="747">
        <v>0.65</v>
      </c>
      <c r="F9" s="749">
        <f>C9*B9*E9</f>
        <v>183.7225</v>
      </c>
      <c r="G9" s="746">
        <f>C9</f>
        <v>282.64999999999998</v>
      </c>
      <c r="H9" s="746">
        <v>0.7</v>
      </c>
      <c r="I9" s="749">
        <v>0.35</v>
      </c>
      <c r="J9" s="748">
        <f>I9*H9*G9*B9+1.17*4*0.7*0.35</f>
        <v>70.395849999999996</v>
      </c>
      <c r="K9" s="749">
        <v>1</v>
      </c>
      <c r="L9" s="746">
        <f>173.9725*D9</f>
        <v>34.794499999999999</v>
      </c>
      <c r="M9" s="748">
        <f>(44.1+7.03*8+4.28*4+17.2+44.33+1.5+1.34*2+0.57*2+1.98)*1+1.17*4*0.7*1</f>
        <v>189.566</v>
      </c>
      <c r="N9" s="750">
        <f>M9-J9-L9</f>
        <v>84.375650000000007</v>
      </c>
      <c r="O9" s="751">
        <f>(M9-N9)*$Q$6</f>
        <v>142.00697249999999</v>
      </c>
      <c r="P9" s="752"/>
      <c r="Y9" s="1357" t="s">
        <v>4350</v>
      </c>
      <c r="Z9" s="1358">
        <f>M17+H32+G39</f>
        <v>359.04036000000002</v>
      </c>
      <c r="AA9" s="728" t="s">
        <v>1806</v>
      </c>
    </row>
    <row r="10" spans="1:28" ht="30.75">
      <c r="A10" s="744" t="s">
        <v>4484</v>
      </c>
      <c r="B10" s="745">
        <v>1</v>
      </c>
      <c r="C10" s="746">
        <f>29.45+15</f>
        <v>44.45</v>
      </c>
      <c r="D10" s="746">
        <v>0.15</v>
      </c>
      <c r="E10" s="747">
        <v>0.65</v>
      </c>
      <c r="F10" s="749">
        <f t="shared" ref="F10:F11" si="0">C10*B10*E10</f>
        <v>28.892500000000002</v>
      </c>
      <c r="G10" s="746">
        <f t="shared" ref="G10:G12" si="1">C10</f>
        <v>44.45</v>
      </c>
      <c r="H10" s="746">
        <v>0.7</v>
      </c>
      <c r="I10" s="749">
        <v>0.35</v>
      </c>
      <c r="J10" s="748">
        <f t="shared" ref="J10:J11" si="2">I10*H10*G10*B10</f>
        <v>10.89025</v>
      </c>
      <c r="K10" s="749">
        <v>1</v>
      </c>
      <c r="L10" s="746">
        <f>16.7865*D10</f>
        <v>2.5179749999999999</v>
      </c>
      <c r="M10" s="748">
        <f>(5.92+4.5+10.2)*1</f>
        <v>20.619999999999997</v>
      </c>
      <c r="N10" s="750">
        <f>M10-J10-L10</f>
        <v>7.2117749999999976</v>
      </c>
      <c r="O10" s="751">
        <f t="shared" ref="O10:O11" si="3">(M10-N10)*$Q$6</f>
        <v>18.10110375</v>
      </c>
      <c r="P10" s="752"/>
      <c r="X10" s="728">
        <f>(2.75*8+36.55*2+8.42+8.8+151.06+18+8.65+14.48+3.87+2.6+29.23*4+14.61*8)*0.12*1.9</f>
        <v>124.20983999999999</v>
      </c>
      <c r="Y10" s="1356" t="s">
        <v>4018</v>
      </c>
      <c r="Z10" s="1358">
        <f>(2.75*8+36.55*2+8.42+8.8+151.06+18+8.65+14.48+3.87+2.6+29.23*4+14.61*8)*0.15*1.9</f>
        <v>155.26229999999998</v>
      </c>
      <c r="AA10" s="728" t="s">
        <v>1806</v>
      </c>
    </row>
    <row r="11" spans="1:28" ht="30.75">
      <c r="A11" s="744" t="s">
        <v>4486</v>
      </c>
      <c r="B11" s="745">
        <v>1</v>
      </c>
      <c r="C11" s="753">
        <f>4.85+2.6+15</f>
        <v>22.45</v>
      </c>
      <c r="D11" s="746">
        <v>0.2</v>
      </c>
      <c r="E11" s="747">
        <v>0.35</v>
      </c>
      <c r="F11" s="749">
        <f t="shared" si="0"/>
        <v>7.857499999999999</v>
      </c>
      <c r="G11" s="746">
        <f t="shared" si="1"/>
        <v>22.45</v>
      </c>
      <c r="H11" s="746">
        <v>0.45</v>
      </c>
      <c r="I11" s="749">
        <v>0.25</v>
      </c>
      <c r="J11" s="748">
        <f t="shared" si="2"/>
        <v>2.5256249999999998</v>
      </c>
      <c r="K11" s="749">
        <v>0.6</v>
      </c>
      <c r="L11" s="746">
        <f>2.6075*0.2</f>
        <v>0.52149999999999996</v>
      </c>
      <c r="M11" s="748">
        <f>3.36*0.6</f>
        <v>2.016</v>
      </c>
      <c r="N11" s="750">
        <f>M11-J11-L11</f>
        <v>-1.0311249999999998</v>
      </c>
      <c r="O11" s="751">
        <f t="shared" si="3"/>
        <v>4.1136187499999997</v>
      </c>
      <c r="P11" s="752"/>
      <c r="Y11" s="1356" t="s">
        <v>4219</v>
      </c>
      <c r="Z11" s="1355">
        <f>N17+K32+I39</f>
        <v>177.2818</v>
      </c>
      <c r="AA11" s="728" t="s">
        <v>1806</v>
      </c>
    </row>
    <row r="12" spans="1:28" ht="33" customHeight="1">
      <c r="A12" s="744" t="s">
        <v>4487</v>
      </c>
      <c r="B12" s="745">
        <v>1</v>
      </c>
      <c r="C12" s="754">
        <f>2.2*16+3.2*4</f>
        <v>48</v>
      </c>
      <c r="D12" s="746">
        <v>0.2</v>
      </c>
      <c r="E12" s="747"/>
      <c r="F12" s="748"/>
      <c r="G12" s="746">
        <f t="shared" si="1"/>
        <v>48</v>
      </c>
      <c r="H12" s="746">
        <v>0.45</v>
      </c>
      <c r="I12" s="749">
        <v>0.17</v>
      </c>
      <c r="J12" s="748">
        <f>I12*H12*G12*B12+48*0.24041*2</f>
        <v>26.751360000000002</v>
      </c>
      <c r="K12" s="749">
        <v>0.17</v>
      </c>
      <c r="L12" s="746">
        <f t="shared" ref="L12" si="4">F12*D12</f>
        <v>0</v>
      </c>
      <c r="M12" s="748">
        <f>K12*H12*G12*B12+48*2*0.24041</f>
        <v>26.751360000000002</v>
      </c>
      <c r="N12" s="750"/>
      <c r="O12" s="751">
        <f>(M12-N12)*$Q$6</f>
        <v>36.114336000000002</v>
      </c>
      <c r="P12" s="752"/>
      <c r="Y12" s="1356" t="s">
        <v>4351</v>
      </c>
      <c r="Z12" s="1358">
        <f>O17+L32+J39</f>
        <v>257.25405599999999</v>
      </c>
      <c r="AA12" s="728" t="s">
        <v>1806</v>
      </c>
    </row>
    <row r="13" spans="1:28" ht="33" customHeight="1">
      <c r="A13" s="744" t="s">
        <v>4488</v>
      </c>
      <c r="B13" s="745">
        <v>1</v>
      </c>
      <c r="C13" s="754">
        <v>310.97000000000003</v>
      </c>
      <c r="D13" s="746">
        <v>0.2</v>
      </c>
      <c r="E13" s="747"/>
      <c r="F13" s="748"/>
      <c r="G13" s="746"/>
      <c r="H13" s="746"/>
      <c r="I13" s="749"/>
      <c r="J13" s="748">
        <f>C13*0.2*0.2</f>
        <v>12.438800000000002</v>
      </c>
      <c r="K13" s="749"/>
      <c r="L13" s="746"/>
      <c r="M13" s="748"/>
      <c r="N13" s="750"/>
      <c r="O13" s="751"/>
      <c r="P13" s="752"/>
      <c r="Y13" s="1356" t="s">
        <v>4490</v>
      </c>
      <c r="Z13" s="1357">
        <f>G35</f>
        <v>16.316317500000004</v>
      </c>
      <c r="AA13" s="728" t="s">
        <v>1806</v>
      </c>
    </row>
    <row r="14" spans="1:28" ht="33" customHeight="1">
      <c r="A14" s="744" t="s">
        <v>5131</v>
      </c>
      <c r="B14" s="745">
        <v>1</v>
      </c>
      <c r="C14" s="754">
        <v>29.38</v>
      </c>
      <c r="D14" s="746">
        <v>0.15</v>
      </c>
      <c r="E14" s="1456"/>
      <c r="F14" s="1457"/>
      <c r="G14" s="1455"/>
      <c r="H14" s="1455"/>
      <c r="I14" s="1458"/>
      <c r="J14" s="1457">
        <f>C14*D14*0.2</f>
        <v>0.88140000000000007</v>
      </c>
      <c r="K14" s="1458"/>
      <c r="L14" s="1455"/>
      <c r="M14" s="1457"/>
      <c r="N14" s="1459"/>
      <c r="O14" s="1460"/>
      <c r="P14" s="1461"/>
      <c r="Y14" s="1462"/>
      <c r="Z14" s="1463"/>
    </row>
    <row r="15" spans="1:28" ht="15.75">
      <c r="A15" s="756" t="s">
        <v>4489</v>
      </c>
      <c r="B15" s="745">
        <v>1</v>
      </c>
      <c r="C15" s="746"/>
      <c r="D15" s="746"/>
      <c r="E15" s="747"/>
      <c r="F15" s="748"/>
      <c r="G15" s="746">
        <v>1.85</v>
      </c>
      <c r="H15" s="746">
        <v>0.85</v>
      </c>
      <c r="I15" s="748">
        <v>0.35</v>
      </c>
      <c r="J15" s="748">
        <f t="shared" ref="J15" si="5">I15*H15*G15*B15</f>
        <v>0.55037499999999995</v>
      </c>
      <c r="K15" s="748"/>
      <c r="L15" s="746"/>
      <c r="M15" s="748"/>
      <c r="N15" s="748"/>
      <c r="O15" s="746"/>
      <c r="P15" s="752"/>
      <c r="Y15" s="1357" t="s">
        <v>4417</v>
      </c>
      <c r="Z15" s="1358">
        <f>J9+J10</f>
        <v>81.28609999999999</v>
      </c>
      <c r="AA15" s="728" t="s">
        <v>1806</v>
      </c>
    </row>
    <row r="16" spans="1:28" ht="15.75">
      <c r="A16" s="756" t="s">
        <v>4077</v>
      </c>
      <c r="B16" s="745">
        <v>1</v>
      </c>
      <c r="C16" s="746"/>
      <c r="D16" s="746"/>
      <c r="E16" s="747"/>
      <c r="F16" s="748"/>
      <c r="G16" s="746"/>
      <c r="H16" s="746"/>
      <c r="I16" s="748"/>
      <c r="J16" s="748"/>
      <c r="K16" s="748"/>
      <c r="L16" s="746"/>
      <c r="M16" s="748"/>
      <c r="N16" s="748"/>
      <c r="O16" s="746"/>
      <c r="P16" s="752"/>
      <c r="Y16" s="1357" t="s">
        <v>4418</v>
      </c>
      <c r="Z16" s="1358">
        <f>J11</f>
        <v>2.5256249999999998</v>
      </c>
      <c r="AA16" s="728" t="s">
        <v>1806</v>
      </c>
    </row>
    <row r="17" spans="1:27" ht="15.75">
      <c r="A17" s="1788"/>
      <c r="B17" s="1788"/>
      <c r="C17" s="1788"/>
      <c r="D17" s="1788"/>
      <c r="E17" s="758"/>
      <c r="G17" s="760"/>
      <c r="H17" s="760"/>
      <c r="I17" s="760"/>
      <c r="J17" s="759"/>
      <c r="K17" s="761"/>
      <c r="L17" s="762" t="s">
        <v>518</v>
      </c>
      <c r="M17" s="763">
        <f>SUM(M9:M15)</f>
        <v>238.95336</v>
      </c>
      <c r="N17" s="759">
        <f>SUM(N9:N15)+1.1*1*8</f>
        <v>99.356300000000005</v>
      </c>
      <c r="O17" s="759">
        <f>SUM(O9:O15)</f>
        <v>200.33603099999999</v>
      </c>
      <c r="P17" s="764"/>
      <c r="Y17" s="1357" t="s">
        <v>4431</v>
      </c>
      <c r="Z17" s="1358">
        <f>J12</f>
        <v>26.751360000000002</v>
      </c>
      <c r="AA17" s="728" t="s">
        <v>1806</v>
      </c>
    </row>
    <row r="18" spans="1:27" ht="15.75">
      <c r="A18" s="1788" t="s">
        <v>5065</v>
      </c>
      <c r="B18" s="1788"/>
      <c r="C18" s="1788"/>
      <c r="D18" s="1788"/>
      <c r="E18" s="758"/>
      <c r="F18" s="759">
        <f>F11</f>
        <v>7.857499999999999</v>
      </c>
      <c r="G18" s="760"/>
      <c r="H18" s="760"/>
      <c r="I18" s="760"/>
      <c r="J18" s="759"/>
      <c r="K18" s="761"/>
      <c r="L18" s="763"/>
      <c r="M18" s="763"/>
      <c r="N18" s="759"/>
      <c r="O18" s="759"/>
      <c r="P18" s="764"/>
      <c r="Q18" s="733"/>
      <c r="Y18" s="1359" t="s">
        <v>4432</v>
      </c>
      <c r="Z18" s="1355">
        <f>F25</f>
        <v>11.52</v>
      </c>
      <c r="AA18" s="728" t="s">
        <v>1806</v>
      </c>
    </row>
    <row r="19" spans="1:27" ht="30">
      <c r="A19" s="1788" t="s">
        <v>5121</v>
      </c>
      <c r="B19" s="1788"/>
      <c r="C19" s="1788"/>
      <c r="D19" s="1788"/>
      <c r="E19" s="758"/>
      <c r="F19" s="759">
        <f>F9+F21</f>
        <v>209.21549999999999</v>
      </c>
      <c r="G19" s="760"/>
      <c r="H19" s="760"/>
      <c r="I19" s="760"/>
      <c r="J19" s="759"/>
      <c r="K19" s="761"/>
      <c r="L19" s="763"/>
      <c r="M19" s="763"/>
      <c r="N19" s="759"/>
      <c r="O19" s="759"/>
      <c r="P19" s="764">
        <f>SUM(P12:P18)</f>
        <v>0</v>
      </c>
      <c r="Q19" s="733"/>
      <c r="Y19" s="1363" t="s">
        <v>4433</v>
      </c>
      <c r="Z19" s="1355">
        <f>F24</f>
        <v>21.279999999999998</v>
      </c>
      <c r="AA19" s="728" t="s">
        <v>1806</v>
      </c>
    </row>
    <row r="20" spans="1:27" ht="30">
      <c r="A20" s="1788"/>
      <c r="B20" s="1788"/>
      <c r="C20" s="1788"/>
      <c r="D20" s="1788"/>
      <c r="E20" s="730"/>
      <c r="F20" s="1144"/>
      <c r="G20" s="768"/>
      <c r="H20" s="767"/>
      <c r="I20" s="767"/>
      <c r="J20" s="768"/>
      <c r="K20" s="767"/>
      <c r="L20" s="1446" t="s">
        <v>4510</v>
      </c>
      <c r="M20" s="1447">
        <f>M9+M10+3.36+1.2*1.4*8</f>
        <v>226.98600000000002</v>
      </c>
      <c r="N20" s="1448"/>
      <c r="O20" s="768"/>
      <c r="P20" s="768"/>
      <c r="Q20" s="733"/>
      <c r="Y20" s="1363" t="s">
        <v>4438</v>
      </c>
      <c r="Z20" s="1355">
        <f>J15</f>
        <v>0.55037499999999995</v>
      </c>
      <c r="AA20" s="728" t="s">
        <v>1806</v>
      </c>
    </row>
    <row r="21" spans="1:27" ht="25.5" customHeight="1">
      <c r="A21" s="1788" t="s">
        <v>5122</v>
      </c>
      <c r="B21" s="1788"/>
      <c r="C21" s="1788"/>
      <c r="D21" s="1788"/>
      <c r="E21" s="1399">
        <f>F10</f>
        <v>28.892500000000002</v>
      </c>
      <c r="F21" s="1452">
        <f>39.22*0.65</f>
        <v>25.492999999999999</v>
      </c>
      <c r="G21" s="1453" t="s">
        <v>5127</v>
      </c>
      <c r="H21" s="767"/>
      <c r="I21" s="767"/>
      <c r="J21" s="768"/>
      <c r="K21" s="767"/>
      <c r="L21" s="1449"/>
      <c r="M21" s="1450">
        <f>C25*D25*B25+C26*D26+G12*H12+2.6*1.4*8</f>
        <v>80.525000000000006</v>
      </c>
      <c r="N21" s="1451">
        <f>(M20+M21)*0.05+1.17*0.7*4*0.05</f>
        <v>15.539350000000002</v>
      </c>
      <c r="O21" s="768"/>
      <c r="P21" s="768"/>
      <c r="Q21" s="733"/>
      <c r="Y21" s="1359"/>
      <c r="Z21" s="1355"/>
    </row>
    <row r="22" spans="1:27" ht="15" customHeight="1">
      <c r="A22" s="1789" t="s">
        <v>4491</v>
      </c>
      <c r="B22" s="1789"/>
      <c r="C22" s="1789"/>
      <c r="D22" s="1789"/>
      <c r="E22" s="1789"/>
      <c r="F22" s="1789"/>
      <c r="G22" s="1789"/>
      <c r="H22" s="1789"/>
      <c r="I22" s="1789"/>
      <c r="J22" s="1789"/>
      <c r="K22" s="1789"/>
      <c r="L22" s="1789"/>
      <c r="M22" s="769"/>
      <c r="N22" s="768"/>
      <c r="O22" s="768"/>
      <c r="P22" s="768"/>
      <c r="Q22" s="733"/>
      <c r="Y22" s="1359" t="s">
        <v>4459</v>
      </c>
      <c r="Z22" s="1355">
        <f>F26</f>
        <v>4.62</v>
      </c>
      <c r="AA22" s="728" t="s">
        <v>1806</v>
      </c>
    </row>
    <row r="23" spans="1:27" ht="63">
      <c r="A23" s="770" t="s">
        <v>4492</v>
      </c>
      <c r="B23" s="770" t="s">
        <v>515</v>
      </c>
      <c r="C23" s="771" t="s">
        <v>4493</v>
      </c>
      <c r="D23" s="771" t="s">
        <v>4494</v>
      </c>
      <c r="E23" s="771" t="s">
        <v>4495</v>
      </c>
      <c r="F23" s="771" t="s">
        <v>4496</v>
      </c>
      <c r="G23" s="771" t="s">
        <v>4478</v>
      </c>
      <c r="H23" s="771" t="s">
        <v>4497</v>
      </c>
      <c r="I23" s="771" t="s">
        <v>4498</v>
      </c>
      <c r="J23" s="771" t="s">
        <v>4499</v>
      </c>
      <c r="K23" s="771" t="s">
        <v>4481</v>
      </c>
      <c r="L23" s="771" t="s">
        <v>4482</v>
      </c>
      <c r="M23" s="772" t="s">
        <v>4500</v>
      </c>
      <c r="N23" s="771" t="s">
        <v>5060</v>
      </c>
      <c r="O23" s="768"/>
      <c r="P23" s="768"/>
      <c r="Q23" s="733"/>
      <c r="Y23" s="1362" t="s">
        <v>4434</v>
      </c>
      <c r="Z23" s="1355">
        <f>CUANTIAS!H296</f>
        <v>3.3348</v>
      </c>
      <c r="AA23" s="728" t="s">
        <v>1806</v>
      </c>
    </row>
    <row r="24" spans="1:27" ht="43.5" customHeight="1">
      <c r="A24" s="1444" t="s">
        <v>4501</v>
      </c>
      <c r="B24" s="773">
        <v>8</v>
      </c>
      <c r="C24" s="774"/>
      <c r="D24" s="774"/>
      <c r="E24" s="750">
        <v>0.5</v>
      </c>
      <c r="F24" s="750">
        <f>B24*(2.6*1.4+1.2*1.4)*E24</f>
        <v>21.279999999999998</v>
      </c>
      <c r="G24" s="750">
        <v>1.6</v>
      </c>
      <c r="H24" s="750">
        <f>B24*(2.6*1.4+1.2*1.4)*G24</f>
        <v>68.095999999999989</v>
      </c>
      <c r="I24" s="750">
        <f>G24-E24</f>
        <v>1.1000000000000001</v>
      </c>
      <c r="J24" s="751">
        <f>I24*(1*0.25+0.75*0.25)*B24</f>
        <v>3.8500000000000005</v>
      </c>
      <c r="K24" s="750">
        <f>H24-F24-J24</f>
        <v>42.965999999999987</v>
      </c>
      <c r="L24" s="751">
        <f>(H24-K24)*$M$24</f>
        <v>33.925500000000007</v>
      </c>
      <c r="M24" s="772">
        <v>1.35</v>
      </c>
      <c r="N24" s="750">
        <f>5.33*B24+10.4*B24*1.6</f>
        <v>175.76</v>
      </c>
      <c r="O24" s="768"/>
      <c r="P24" s="768"/>
      <c r="Q24" s="733"/>
      <c r="Y24" s="1362" t="s">
        <v>4435</v>
      </c>
      <c r="Z24" s="1355">
        <f>CUANTIAS!H322</f>
        <v>3.4936000000000011</v>
      </c>
      <c r="AA24" s="728" t="s">
        <v>1806</v>
      </c>
    </row>
    <row r="25" spans="1:27" ht="15.75">
      <c r="A25" s="1444" t="s">
        <v>4503</v>
      </c>
      <c r="B25" s="776">
        <v>4</v>
      </c>
      <c r="C25" s="751">
        <v>2.4</v>
      </c>
      <c r="D25" s="751">
        <v>2.4</v>
      </c>
      <c r="E25" s="750">
        <v>0.5</v>
      </c>
      <c r="F25" s="750">
        <f t="shared" ref="F25" si="6">C25*E25*D25*B25</f>
        <v>11.52</v>
      </c>
      <c r="G25" s="750">
        <v>1.6</v>
      </c>
      <c r="H25" s="750">
        <f>G25*D25*C25*B25</f>
        <v>36.863999999999997</v>
      </c>
      <c r="I25" s="750">
        <f>G25-E25</f>
        <v>1.1000000000000001</v>
      </c>
      <c r="J25" s="751">
        <f>I25*B25*0.4*0.4</f>
        <v>0.70400000000000018</v>
      </c>
      <c r="K25" s="750">
        <f>H25-F25-J25</f>
        <v>24.639999999999997</v>
      </c>
      <c r="L25" s="751">
        <f>(H25-K25)*$M$24</f>
        <v>16.502400000000002</v>
      </c>
      <c r="M25" s="769"/>
      <c r="N25" s="750">
        <f>5.76*B25+9.6*B25*1.6</f>
        <v>84.47999999999999</v>
      </c>
      <c r="O25" s="768"/>
      <c r="P25" s="768"/>
      <c r="Q25" s="733"/>
      <c r="Y25" s="1362" t="s">
        <v>4436</v>
      </c>
      <c r="Z25" s="1355">
        <f>CUANTIAS!H348</f>
        <v>0.71460000000000001</v>
      </c>
      <c r="AA25" s="728" t="s">
        <v>1806</v>
      </c>
    </row>
    <row r="26" spans="1:27" ht="20.25" customHeight="1">
      <c r="A26" s="1445" t="s">
        <v>4505</v>
      </c>
      <c r="B26" s="773">
        <v>1</v>
      </c>
      <c r="C26" s="751">
        <v>22.55</v>
      </c>
      <c r="D26" s="751">
        <v>0.3</v>
      </c>
      <c r="E26" s="750">
        <v>0.5</v>
      </c>
      <c r="F26" s="750">
        <f>C26*E26*D26*B26+(16.5*0.25*0.3)</f>
        <v>4.62</v>
      </c>
      <c r="G26" s="750">
        <f>0.6+0.5+0.5-0.25</f>
        <v>1.35</v>
      </c>
      <c r="H26" s="750">
        <f>G26*C26*0.4*B26</f>
        <v>12.177000000000001</v>
      </c>
      <c r="I26" s="750">
        <v>0</v>
      </c>
      <c r="J26" s="751">
        <v>0</v>
      </c>
      <c r="K26" s="750">
        <f>H26-F34-J26</f>
        <v>8.7945000000000011</v>
      </c>
      <c r="L26" s="751">
        <f>(H26-K26)*$M$24</f>
        <v>4.5663750000000007</v>
      </c>
      <c r="M26" s="769"/>
      <c r="N26" s="750">
        <f>11.25*2*0.3+23.55*0.75</f>
        <v>24.412500000000001</v>
      </c>
      <c r="O26" s="768"/>
      <c r="P26" s="768"/>
      <c r="Q26" s="733"/>
      <c r="Y26" s="1362" t="s">
        <v>4437</v>
      </c>
      <c r="Z26" s="1355">
        <f>CUANTIAS!I376</f>
        <v>2.5728000000000004</v>
      </c>
      <c r="AA26" s="728" t="s">
        <v>1806</v>
      </c>
    </row>
    <row r="27" spans="1:27" ht="36" customHeight="1">
      <c r="A27" s="1445" t="s">
        <v>4484</v>
      </c>
      <c r="B27" s="773">
        <v>1</v>
      </c>
      <c r="C27" s="751"/>
      <c r="D27" s="751"/>
      <c r="E27" s="750"/>
      <c r="F27" s="750">
        <f>16.78+3.28+4.77+19.65+15.85+5.88+4.77+3.27+16.77+35.42+1.46*2+15.84+15.78+1.19*2+3.31+4.9+1.63+1.44+1.55+4.77+3.31</f>
        <v>184.27</v>
      </c>
      <c r="G27" s="750"/>
      <c r="H27" s="750"/>
      <c r="I27" s="750"/>
      <c r="J27" s="751"/>
      <c r="K27" s="750"/>
      <c r="L27" s="751"/>
      <c r="M27" s="769"/>
      <c r="N27" s="750">
        <f>285.7*0.7+285.7*2*1+(1.4*4*0.4+1.4*8*1)</f>
        <v>784.83</v>
      </c>
      <c r="O27" s="768"/>
      <c r="P27" s="768"/>
      <c r="Q27" s="733"/>
      <c r="Y27" s="1363" t="s">
        <v>4461</v>
      </c>
      <c r="Z27" s="1355">
        <f>CUANTIAS!H264</f>
        <v>16.401599999999995</v>
      </c>
      <c r="AA27" s="728" t="s">
        <v>1806</v>
      </c>
    </row>
    <row r="28" spans="1:27" ht="36" customHeight="1">
      <c r="A28" s="1445" t="s">
        <v>4486</v>
      </c>
      <c r="B28" s="773">
        <v>1</v>
      </c>
      <c r="C28" s="751"/>
      <c r="D28" s="751"/>
      <c r="E28" s="750"/>
      <c r="F28" s="750"/>
      <c r="G28" s="750"/>
      <c r="H28" s="750"/>
      <c r="I28" s="750"/>
      <c r="J28" s="751"/>
      <c r="K28" s="750"/>
      <c r="L28" s="751"/>
      <c r="M28" s="769"/>
      <c r="N28" s="750">
        <f>4.8*0.95+3.36*0.6+9.6*0.6</f>
        <v>12.335999999999999</v>
      </c>
      <c r="O28" s="768"/>
      <c r="P28" s="768"/>
      <c r="Q28" s="733"/>
      <c r="Y28" s="1363" t="s">
        <v>4439</v>
      </c>
      <c r="Z28" s="1355">
        <f>CUANTIAS!I453</f>
        <v>0.755</v>
      </c>
      <c r="AA28" s="728" t="s">
        <v>1806</v>
      </c>
    </row>
    <row r="29" spans="1:27" ht="36" customHeight="1">
      <c r="A29" s="1445" t="s">
        <v>4487</v>
      </c>
      <c r="B29" s="773">
        <v>1</v>
      </c>
      <c r="C29" s="751"/>
      <c r="D29" s="751"/>
      <c r="E29" s="750"/>
      <c r="F29" s="750"/>
      <c r="G29" s="750"/>
      <c r="H29" s="750"/>
      <c r="I29" s="750"/>
      <c r="J29" s="751"/>
      <c r="K29" s="750"/>
      <c r="L29" s="751"/>
      <c r="M29" s="769"/>
      <c r="N29" s="750">
        <f>2.6*16*0.95+5.2*16*0.25+1.2*8+3.21*4*0.95+6.4*4*0.25</f>
        <v>88.517999999999986</v>
      </c>
      <c r="O29" s="768"/>
      <c r="P29" s="768"/>
      <c r="Q29" s="733"/>
      <c r="Y29" s="1363" t="s">
        <v>4440</v>
      </c>
      <c r="Z29" s="1355">
        <f>CUANTIAS!I469</f>
        <v>0.61199999999999999</v>
      </c>
      <c r="AA29" s="728" t="s">
        <v>1806</v>
      </c>
    </row>
    <row r="30" spans="1:27" ht="32.25" customHeight="1">
      <c r="A30" s="1445" t="s">
        <v>5432</v>
      </c>
      <c r="B30" s="776">
        <v>3</v>
      </c>
      <c r="C30" s="751">
        <v>0.7</v>
      </c>
      <c r="D30" s="751">
        <v>0.7</v>
      </c>
      <c r="E30" s="750">
        <v>0.35</v>
      </c>
      <c r="F30" s="750">
        <f>C30*E30*D30*B30</f>
        <v>0.51449999999999985</v>
      </c>
      <c r="G30" s="750">
        <v>1</v>
      </c>
      <c r="H30" s="750">
        <f>G30*C30*B30*D30</f>
        <v>1.4699999999999998</v>
      </c>
      <c r="I30" s="750">
        <f>G30-E30</f>
        <v>0.65</v>
      </c>
      <c r="J30" s="751">
        <f>I30*B30*0.2*0.2</f>
        <v>7.8000000000000014E-2</v>
      </c>
      <c r="K30" s="750">
        <f>H30-F30-J30</f>
        <v>0.87749999999999995</v>
      </c>
      <c r="L30" s="751">
        <f>(H30-K30)*$M$24</f>
        <v>0.79987499999999978</v>
      </c>
      <c r="M30" s="769"/>
      <c r="N30" s="750">
        <f>1*0.7*0.7*3+1*0.7*4*3</f>
        <v>9.8699999999999974</v>
      </c>
      <c r="O30" s="768"/>
      <c r="P30" s="768"/>
      <c r="Q30" s="733"/>
      <c r="Y30" s="1363" t="s">
        <v>4441</v>
      </c>
      <c r="Z30" s="1355">
        <f>CUANTIAS!I485</f>
        <v>0.7752</v>
      </c>
      <c r="AA30" s="728" t="s">
        <v>1806</v>
      </c>
    </row>
    <row r="31" spans="1:27" ht="20.25" customHeight="1">
      <c r="A31" s="777"/>
      <c r="B31" s="776"/>
      <c r="C31" s="751"/>
      <c r="D31" s="751"/>
      <c r="E31" s="750"/>
      <c r="F31" s="750"/>
      <c r="G31" s="750"/>
      <c r="H31" s="750"/>
      <c r="I31" s="750"/>
      <c r="J31" s="751"/>
      <c r="K31" s="750"/>
      <c r="L31" s="751"/>
      <c r="M31" s="769"/>
      <c r="N31" s="750"/>
      <c r="O31" s="768"/>
      <c r="P31" s="768"/>
      <c r="Q31" s="733"/>
      <c r="Y31" s="1363" t="s">
        <v>4442</v>
      </c>
      <c r="Z31" s="1355">
        <f>CUANTIAS!I502</f>
        <v>0.79095000000000004</v>
      </c>
      <c r="AA31" s="728" t="s">
        <v>1806</v>
      </c>
    </row>
    <row r="32" spans="1:27" ht="15.75">
      <c r="A32" s="778" t="s">
        <v>4507</v>
      </c>
      <c r="B32" s="779"/>
      <c r="C32" s="780"/>
      <c r="D32" s="780"/>
      <c r="E32" s="780"/>
      <c r="F32" s="763"/>
      <c r="G32" s="780"/>
      <c r="H32" s="763">
        <f>SUM(H24:H30)</f>
        <v>118.60699999999999</v>
      </c>
      <c r="I32" s="780"/>
      <c r="J32" s="781"/>
      <c r="K32" s="763">
        <f>SUM(K24:K30)</f>
        <v>77.277999999999977</v>
      </c>
      <c r="L32" s="763">
        <f>SUM(L24:L30)</f>
        <v>55.794150000000009</v>
      </c>
      <c r="M32" s="769"/>
      <c r="N32" s="763">
        <f>SUM(N24:N30)</f>
        <v>1180.2065</v>
      </c>
      <c r="O32" s="768"/>
      <c r="P32" s="768"/>
      <c r="Q32" s="733"/>
      <c r="Y32" s="1363" t="s">
        <v>4443</v>
      </c>
      <c r="Z32" s="1355">
        <f>CUANTIAS!I518</f>
        <v>1.1044499999999999</v>
      </c>
      <c r="AA32" s="728" t="s">
        <v>1806</v>
      </c>
    </row>
    <row r="33" spans="1:27" ht="18">
      <c r="A33" s="782" t="s">
        <v>4509</v>
      </c>
      <c r="B33" s="782"/>
      <c r="C33" s="782"/>
      <c r="D33" s="766"/>
      <c r="E33" s="730"/>
      <c r="F33" s="730">
        <f>16.5*0.25*0.3</f>
        <v>1.2375</v>
      </c>
      <c r="G33" s="767"/>
      <c r="H33" s="767"/>
      <c r="I33" s="767"/>
      <c r="J33" s="768"/>
      <c r="K33" s="767"/>
      <c r="L33" s="767"/>
      <c r="M33" s="769"/>
      <c r="N33" s="768"/>
      <c r="O33" s="768"/>
      <c r="P33" s="768"/>
      <c r="Q33" s="733"/>
      <c r="Y33" s="1356" t="s">
        <v>4444</v>
      </c>
      <c r="Z33" s="1355">
        <f>CUANTIAS!I535</f>
        <v>2.16</v>
      </c>
      <c r="AA33" s="728" t="s">
        <v>1806</v>
      </c>
    </row>
    <row r="34" spans="1:27">
      <c r="F34" s="783">
        <f>F26-F33</f>
        <v>3.3825000000000003</v>
      </c>
      <c r="M34" s="769"/>
      <c r="N34" s="768"/>
      <c r="O34" s="768"/>
      <c r="P34" s="768"/>
      <c r="Q34" s="733"/>
      <c r="Y34" s="1356" t="s">
        <v>4445</v>
      </c>
      <c r="Z34" s="1355">
        <f>CUANTIAS!I552</f>
        <v>4.1760000000000002</v>
      </c>
      <c r="AA34" s="728" t="s">
        <v>1806</v>
      </c>
    </row>
    <row r="35" spans="1:27" ht="30">
      <c r="A35" s="782"/>
      <c r="D35" s="766"/>
      <c r="E35" s="784" t="s">
        <v>4510</v>
      </c>
      <c r="F35" s="784"/>
      <c r="G35" s="768">
        <f>N21*1.05</f>
        <v>16.316317500000004</v>
      </c>
      <c r="H35" s="767" t="s">
        <v>825</v>
      </c>
      <c r="I35" s="767"/>
      <c r="J35" s="768"/>
      <c r="K35" s="767"/>
      <c r="L35" s="767"/>
      <c r="M35" s="769"/>
      <c r="N35" s="768"/>
      <c r="O35" s="768"/>
      <c r="P35" s="768"/>
      <c r="Q35" s="733"/>
      <c r="Y35" s="1362" t="s">
        <v>4449</v>
      </c>
      <c r="Z35" s="1355">
        <f>CUANTIAS!G70</f>
        <v>16.914300000000001</v>
      </c>
      <c r="AA35" s="728" t="s">
        <v>1806</v>
      </c>
    </row>
    <row r="36" spans="1:27" ht="15" customHeight="1">
      <c r="B36" s="785"/>
      <c r="C36" s="785"/>
      <c r="D36" s="785"/>
      <c r="E36" s="785"/>
      <c r="F36" s="785"/>
      <c r="G36" s="785"/>
      <c r="H36" s="785"/>
      <c r="I36" s="785"/>
      <c r="J36" s="785"/>
      <c r="K36" s="785"/>
      <c r="L36" s="785"/>
      <c r="M36" s="769"/>
      <c r="N36" s="768"/>
      <c r="O36" s="768"/>
      <c r="P36" s="768"/>
      <c r="Q36" s="733"/>
      <c r="Y36" s="1362" t="s">
        <v>4450</v>
      </c>
      <c r="Z36" s="1355">
        <f>CUANTIAS!G61</f>
        <v>1.3544999999999998</v>
      </c>
      <c r="AA36" s="728" t="s">
        <v>1806</v>
      </c>
    </row>
    <row r="37" spans="1:27" ht="15" customHeight="1">
      <c r="A37" s="1790" t="s">
        <v>4511</v>
      </c>
      <c r="B37" s="1790"/>
      <c r="C37" s="1790"/>
      <c r="D37" s="1790"/>
      <c r="E37" s="1790"/>
      <c r="F37" s="1790"/>
      <c r="G37" s="1790"/>
      <c r="H37" s="1790"/>
      <c r="I37" s="1790"/>
      <c r="J37" s="1790"/>
      <c r="K37" s="785"/>
      <c r="L37" s="785"/>
      <c r="M37" s="769"/>
      <c r="N37" s="768"/>
      <c r="O37" s="768"/>
      <c r="P37" s="768"/>
      <c r="Q37" s="733"/>
      <c r="Y37" s="1356"/>
      <c r="Z37" s="1355"/>
      <c r="AA37" s="728" t="s">
        <v>1806</v>
      </c>
    </row>
    <row r="38" spans="1:27" ht="47.25">
      <c r="A38" s="770" t="s">
        <v>4492</v>
      </c>
      <c r="B38" s="771" t="s">
        <v>4493</v>
      </c>
      <c r="C38" s="771" t="s">
        <v>4494</v>
      </c>
      <c r="D38" s="771" t="s">
        <v>4495</v>
      </c>
      <c r="E38" s="771" t="s">
        <v>4496</v>
      </c>
      <c r="F38" s="771" t="s">
        <v>4478</v>
      </c>
      <c r="G38" s="771" t="s">
        <v>4497</v>
      </c>
      <c r="H38" s="771" t="s">
        <v>4512</v>
      </c>
      <c r="I38" s="771" t="s">
        <v>4481</v>
      </c>
      <c r="J38" s="771" t="s">
        <v>4482</v>
      </c>
      <c r="M38" s="769"/>
      <c r="N38" s="768"/>
      <c r="O38" s="768"/>
      <c r="P38" s="768"/>
      <c r="Q38" s="733"/>
      <c r="Y38" s="1356" t="s">
        <v>4353</v>
      </c>
      <c r="Z38" s="1357">
        <f>CUANTIAS!G80</f>
        <v>0.93</v>
      </c>
      <c r="AA38" s="728" t="s">
        <v>1806</v>
      </c>
    </row>
    <row r="39" spans="1:27" ht="15.75">
      <c r="A39" s="744" t="s">
        <v>4513</v>
      </c>
      <c r="B39" s="751">
        <v>1.85</v>
      </c>
      <c r="C39" s="751">
        <v>0.8</v>
      </c>
      <c r="D39" s="750">
        <v>0.35</v>
      </c>
      <c r="E39" s="750">
        <f>B39*D39*C39</f>
        <v>0.51800000000000002</v>
      </c>
      <c r="F39" s="750">
        <v>1</v>
      </c>
      <c r="G39" s="750">
        <f>F39*C39*B39</f>
        <v>1.4800000000000002</v>
      </c>
      <c r="H39" s="751">
        <f>0.2*B39*0.85</f>
        <v>0.31450000000000006</v>
      </c>
      <c r="I39" s="750">
        <f>G39-E39-H39</f>
        <v>0.64750000000000019</v>
      </c>
      <c r="J39" s="751">
        <f>(G39-I39)*$Q$6</f>
        <v>1.1238750000000002</v>
      </c>
      <c r="M39" s="769"/>
      <c r="N39" s="768"/>
      <c r="O39" s="768"/>
      <c r="P39" s="768"/>
      <c r="Q39" s="733"/>
      <c r="Y39" s="1356" t="s">
        <v>4452</v>
      </c>
      <c r="Z39" s="1357">
        <f>CUANTIAS!G89</f>
        <v>9.1480000000000015</v>
      </c>
      <c r="AA39" s="728" t="s">
        <v>1806</v>
      </c>
    </row>
    <row r="40" spans="1:27" ht="15.75">
      <c r="A40" s="786"/>
      <c r="B40" s="787"/>
      <c r="C40" s="787"/>
      <c r="D40" s="788"/>
      <c r="E40" s="788"/>
      <c r="F40" s="788"/>
      <c r="G40" s="788"/>
      <c r="H40" s="787"/>
      <c r="I40" s="788"/>
      <c r="J40" s="787"/>
      <c r="M40" s="769"/>
      <c r="N40" s="768"/>
      <c r="O40" s="768"/>
      <c r="P40" s="768"/>
      <c r="Q40" s="733"/>
      <c r="Y40" s="1356" t="s">
        <v>4354</v>
      </c>
      <c r="Z40" s="1357">
        <f>CUANTIAS!G98</f>
        <v>0.78600000000000003</v>
      </c>
      <c r="AA40" s="728" t="s">
        <v>1806</v>
      </c>
    </row>
    <row r="41" spans="1:27" ht="15.75">
      <c r="A41" s="786"/>
      <c r="B41" s="921"/>
      <c r="C41" s="921"/>
      <c r="D41" s="1437"/>
      <c r="E41" s="1437"/>
      <c r="F41" s="1437"/>
      <c r="G41" s="1437"/>
      <c r="H41" s="921"/>
      <c r="I41" s="1437"/>
      <c r="J41" s="921"/>
      <c r="M41" s="769"/>
      <c r="N41" s="768"/>
      <c r="O41" s="768"/>
      <c r="P41" s="768"/>
      <c r="Q41" s="733"/>
      <c r="Y41" s="1356" t="s">
        <v>4451</v>
      </c>
      <c r="Z41" s="1357">
        <f>CUANTIAS!G108</f>
        <v>1.016</v>
      </c>
      <c r="AA41" s="728" t="s">
        <v>1806</v>
      </c>
    </row>
    <row r="42" spans="1:27" ht="30">
      <c r="A42" s="1823" t="s">
        <v>5371</v>
      </c>
      <c r="B42" s="1824"/>
      <c r="C42" s="1824"/>
      <c r="D42" s="1824"/>
      <c r="E42" s="1824"/>
      <c r="F42" s="1824"/>
      <c r="G42" s="1824"/>
      <c r="H42" s="1824"/>
      <c r="I42" s="1824"/>
      <c r="J42" s="1824"/>
      <c r="K42" s="1824"/>
      <c r="L42" s="1824"/>
      <c r="M42" s="769"/>
      <c r="N42" s="768"/>
      <c r="O42" s="768"/>
      <c r="P42" s="768"/>
      <c r="Q42" s="733"/>
      <c r="Y42" s="1362" t="s">
        <v>4453</v>
      </c>
      <c r="Z42" s="1358">
        <f>J13</f>
        <v>12.438800000000002</v>
      </c>
      <c r="AA42" s="728" t="s">
        <v>1806</v>
      </c>
    </row>
    <row r="43" spans="1:27" ht="47.25">
      <c r="A43" s="1605" t="s">
        <v>5372</v>
      </c>
      <c r="B43" s="1606" t="s">
        <v>515</v>
      </c>
      <c r="C43" s="1605" t="s">
        <v>5382</v>
      </c>
      <c r="D43" s="1607" t="s">
        <v>5373</v>
      </c>
      <c r="E43" s="1607" t="s">
        <v>5383</v>
      </c>
      <c r="F43" s="1607" t="s">
        <v>5384</v>
      </c>
      <c r="G43" s="1608" t="s">
        <v>5374</v>
      </c>
      <c r="H43" s="1607" t="s">
        <v>5375</v>
      </c>
      <c r="I43" s="1609" t="s">
        <v>5376</v>
      </c>
      <c r="J43" s="1609" t="s">
        <v>5385</v>
      </c>
      <c r="K43" s="1609" t="s">
        <v>5377</v>
      </c>
      <c r="L43" s="1609" t="s">
        <v>5378</v>
      </c>
      <c r="M43" s="1609" t="s">
        <v>5379</v>
      </c>
      <c r="N43" s="768"/>
      <c r="O43" s="768"/>
      <c r="P43" s="768"/>
      <c r="Q43" s="733"/>
      <c r="X43" s="728">
        <f>29.38*0.2*0.15</f>
        <v>0.88140000000000007</v>
      </c>
      <c r="Y43" s="1362" t="s">
        <v>5128</v>
      </c>
      <c r="Z43" s="1358">
        <f>J14</f>
        <v>0.88140000000000007</v>
      </c>
      <c r="AA43" s="728" t="s">
        <v>1806</v>
      </c>
    </row>
    <row r="44" spans="1:27" ht="30">
      <c r="A44" s="1610" t="s">
        <v>5380</v>
      </c>
      <c r="B44" s="1610">
        <v>8</v>
      </c>
      <c r="C44" s="1611">
        <f>1.37*0.5*2*B44</f>
        <v>10.96</v>
      </c>
      <c r="D44" s="1612">
        <f>1.75*0.5</f>
        <v>0.875</v>
      </c>
      <c r="E44" s="1612">
        <f>C44*2+0.15*1.37*2*B44</f>
        <v>25.208000000000002</v>
      </c>
      <c r="F44" s="1612">
        <f>1.75*0.5*4*B44</f>
        <v>28</v>
      </c>
      <c r="G44" s="1613">
        <f>1.75*4*B44+1.37*2*B44+1.37*2*B44</f>
        <v>99.84</v>
      </c>
      <c r="H44" s="1616">
        <f>E44+F44</f>
        <v>53.207999999999998</v>
      </c>
      <c r="I44" s="1614">
        <f>1.75*2*8</f>
        <v>28</v>
      </c>
      <c r="J44" s="1616">
        <f>F44</f>
        <v>28</v>
      </c>
      <c r="K44" s="1614">
        <f>D44*8*2</f>
        <v>14</v>
      </c>
      <c r="L44" s="1614">
        <f>1.75*B44*2</f>
        <v>28</v>
      </c>
      <c r="M44" s="1615">
        <f>K44</f>
        <v>14</v>
      </c>
      <c r="N44" s="768"/>
      <c r="O44" s="768"/>
      <c r="P44" s="768"/>
      <c r="Q44" s="733"/>
      <c r="Y44" s="1362" t="s">
        <v>4397</v>
      </c>
      <c r="Z44" s="1357"/>
      <c r="AA44" s="728" t="s">
        <v>1806</v>
      </c>
    </row>
    <row r="45" spans="1:27" ht="15.75">
      <c r="A45" s="1610" t="s">
        <v>5381</v>
      </c>
      <c r="B45" s="1610">
        <v>4</v>
      </c>
      <c r="C45" s="1611"/>
      <c r="D45" s="1612">
        <f>6.2*0.5</f>
        <v>3.1</v>
      </c>
      <c r="E45" s="1612"/>
      <c r="F45" s="1612">
        <f>6.2*0.5*4*B45</f>
        <v>49.6</v>
      </c>
      <c r="G45" s="1613">
        <f>6.2*4*B45</f>
        <v>99.2</v>
      </c>
      <c r="H45" s="1616">
        <f>F45</f>
        <v>49.6</v>
      </c>
      <c r="I45" s="1616">
        <f>6.2*2*4</f>
        <v>49.6</v>
      </c>
      <c r="J45" s="1616">
        <f>F45</f>
        <v>49.6</v>
      </c>
      <c r="K45" s="1616">
        <f>D45*4*2</f>
        <v>24.8</v>
      </c>
      <c r="L45" s="1616">
        <f>6.2*4*2</f>
        <v>49.6</v>
      </c>
      <c r="M45" s="1620">
        <f>K45</f>
        <v>24.8</v>
      </c>
      <c r="N45" s="768"/>
      <c r="O45" s="768"/>
      <c r="P45" s="768"/>
      <c r="Q45" s="733"/>
      <c r="Y45" s="1356" t="s">
        <v>4454</v>
      </c>
      <c r="Z45" s="1358">
        <f>CUANTIAS!G117</f>
        <v>0.46199999999999997</v>
      </c>
      <c r="AA45" s="728" t="s">
        <v>1806</v>
      </c>
    </row>
    <row r="46" spans="1:27" ht="15.75">
      <c r="A46" s="1610"/>
      <c r="B46" s="1610"/>
      <c r="C46" s="1611"/>
      <c r="D46" s="1612"/>
      <c r="E46" s="1612"/>
      <c r="F46" s="1612"/>
      <c r="G46" s="1617"/>
      <c r="H46" s="1614"/>
      <c r="I46" s="1616"/>
      <c r="J46" s="1616"/>
      <c r="K46" s="1614"/>
      <c r="L46" s="1616"/>
      <c r="M46" s="1615"/>
      <c r="N46" s="768"/>
      <c r="O46" s="768"/>
      <c r="P46" s="768"/>
      <c r="Q46" s="733"/>
      <c r="Y46" s="1363" t="s">
        <v>4455</v>
      </c>
      <c r="Z46" s="1357">
        <f>CUANTIAS!E697</f>
        <v>56.330399999999983</v>
      </c>
      <c r="AA46" s="728" t="s">
        <v>1806</v>
      </c>
    </row>
    <row r="47" spans="1:27" ht="15.75">
      <c r="A47" s="1825" t="s">
        <v>4745</v>
      </c>
      <c r="B47" s="1826"/>
      <c r="C47" s="1618">
        <f t="shared" ref="C47:M47" si="7">SUM(C44:C46)</f>
        <v>10.96</v>
      </c>
      <c r="D47" s="1618">
        <f t="shared" si="7"/>
        <v>3.9750000000000001</v>
      </c>
      <c r="E47" s="1618">
        <f t="shared" si="7"/>
        <v>25.208000000000002</v>
      </c>
      <c r="F47" s="1618">
        <f>SUM(F44:F46)+48.6*0.4</f>
        <v>97.039999999999992</v>
      </c>
      <c r="G47" s="1618">
        <f t="shared" si="7"/>
        <v>199.04000000000002</v>
      </c>
      <c r="H47" s="1618">
        <f t="shared" si="7"/>
        <v>102.80799999999999</v>
      </c>
      <c r="I47" s="1618">
        <f t="shared" si="7"/>
        <v>77.599999999999994</v>
      </c>
      <c r="J47" s="1618">
        <f>SUM(J44:J46)+48.6*0.4</f>
        <v>97.039999999999992</v>
      </c>
      <c r="K47" s="1618">
        <f t="shared" si="7"/>
        <v>38.799999999999997</v>
      </c>
      <c r="L47" s="1618">
        <f t="shared" si="7"/>
        <v>77.599999999999994</v>
      </c>
      <c r="M47" s="1618">
        <f t="shared" si="7"/>
        <v>38.799999999999997</v>
      </c>
      <c r="N47" s="768"/>
      <c r="O47" s="768"/>
      <c r="P47" s="768"/>
      <c r="Q47" s="733"/>
      <c r="Y47" s="1363" t="s">
        <v>4456</v>
      </c>
      <c r="Z47" s="1357">
        <f>CUANTIAS!D672</f>
        <v>13.3263</v>
      </c>
      <c r="AA47" s="728" t="s">
        <v>1806</v>
      </c>
    </row>
    <row r="48" spans="1:27" ht="30">
      <c r="A48" s="766"/>
      <c r="B48" s="766"/>
      <c r="C48" s="766"/>
      <c r="D48" s="766"/>
      <c r="E48" s="730"/>
      <c r="F48" s="730"/>
      <c r="G48" s="767"/>
      <c r="H48" s="767"/>
      <c r="I48" s="767"/>
      <c r="J48" s="768"/>
      <c r="K48" s="767"/>
      <c r="L48" s="767"/>
      <c r="M48" s="769"/>
      <c r="N48" s="768"/>
      <c r="O48" s="768"/>
      <c r="P48" s="768"/>
      <c r="Q48" s="733"/>
      <c r="Y48" s="1363" t="s">
        <v>4462</v>
      </c>
      <c r="Z48" s="1355">
        <f>CUANTIAS!D673</f>
        <v>0.80572499999999991</v>
      </c>
      <c r="AA48" s="728" t="s">
        <v>1806</v>
      </c>
    </row>
    <row r="49" spans="1:27" ht="30">
      <c r="Y49" s="1363" t="s">
        <v>5182</v>
      </c>
      <c r="Z49" s="1364">
        <f>3.5*4+6.6*4+3.3*4</f>
        <v>53.599999999999994</v>
      </c>
      <c r="AA49" s="728" t="s">
        <v>4019</v>
      </c>
    </row>
    <row r="50" spans="1:27" ht="30">
      <c r="F50" s="1782"/>
      <c r="G50" s="1783"/>
      <c r="I50" s="1782"/>
      <c r="J50" s="1783"/>
      <c r="Y50" s="1363" t="s">
        <v>5183</v>
      </c>
      <c r="Z50" s="1364">
        <f>5.2*2</f>
        <v>10.4</v>
      </c>
      <c r="AA50" s="728" t="s">
        <v>4019</v>
      </c>
    </row>
    <row r="51" spans="1:27" ht="30">
      <c r="A51" s="1791" t="s">
        <v>4514</v>
      </c>
      <c r="B51" s="1791"/>
      <c r="C51" s="1791"/>
      <c r="D51" s="1791"/>
      <c r="F51" s="1784"/>
      <c r="G51" s="1785"/>
      <c r="I51" s="1784"/>
      <c r="J51" s="1785"/>
      <c r="K51" s="1113"/>
      <c r="L51" s="1113"/>
      <c r="M51" s="1113"/>
      <c r="N51" s="1113"/>
      <c r="O51" s="1113"/>
      <c r="P51" s="1113"/>
      <c r="Y51" s="1363" t="s">
        <v>5184</v>
      </c>
      <c r="Z51" s="1355">
        <v>5.46</v>
      </c>
      <c r="AA51" s="728" t="s">
        <v>4019</v>
      </c>
    </row>
    <row r="52" spans="1:27" ht="43.5" customHeight="1">
      <c r="A52" s="790" t="s">
        <v>4492</v>
      </c>
      <c r="B52" s="790" t="s">
        <v>4516</v>
      </c>
      <c r="C52" s="790" t="s">
        <v>4517</v>
      </c>
      <c r="D52" s="790" t="s">
        <v>4518</v>
      </c>
      <c r="F52" s="740"/>
      <c r="G52" s="740"/>
      <c r="I52" s="740"/>
      <c r="J52" s="740"/>
      <c r="K52" s="829"/>
      <c r="L52" s="829"/>
      <c r="M52" s="829"/>
      <c r="N52" s="829"/>
      <c r="O52" s="829"/>
      <c r="P52" s="829"/>
      <c r="Y52" s="1363"/>
      <c r="Z52" s="1355"/>
    </row>
    <row r="53" spans="1:27" ht="46.5" customHeight="1">
      <c r="A53" s="791"/>
      <c r="B53" s="792"/>
      <c r="C53" s="793"/>
      <c r="D53" s="793"/>
      <c r="F53" s="744"/>
      <c r="G53" s="794"/>
      <c r="I53" s="744"/>
      <c r="J53" s="1467"/>
      <c r="K53" s="822"/>
      <c r="L53" s="1125"/>
      <c r="M53" s="1114"/>
      <c r="N53" s="1377"/>
      <c r="O53" s="1377"/>
      <c r="P53" s="1114"/>
      <c r="Y53" s="1363" t="s">
        <v>5066</v>
      </c>
      <c r="Z53" s="1355">
        <f>F18</f>
        <v>7.857499999999999</v>
      </c>
      <c r="AA53" s="728" t="s">
        <v>213</v>
      </c>
    </row>
    <row r="54" spans="1:27" ht="30">
      <c r="A54" s="791"/>
      <c r="B54" s="746"/>
      <c r="C54" s="793"/>
      <c r="D54" s="793"/>
      <c r="F54" s="744"/>
      <c r="I54" s="744"/>
      <c r="J54" s="794"/>
      <c r="K54" s="822"/>
      <c r="L54" s="1125"/>
      <c r="M54" s="1114"/>
      <c r="N54" s="1377"/>
      <c r="O54" s="1377"/>
      <c r="P54" s="1114"/>
      <c r="Y54" s="1363" t="s">
        <v>5068</v>
      </c>
      <c r="Z54" s="1355">
        <f>G110+G113+G90+G91+G89+G88</f>
        <v>194.96600000000001</v>
      </c>
      <c r="AA54" s="728" t="s">
        <v>213</v>
      </c>
    </row>
    <row r="55" spans="1:27" ht="30">
      <c r="A55" s="791"/>
      <c r="B55" s="746"/>
      <c r="C55" s="793"/>
      <c r="D55" s="793"/>
      <c r="F55" s="1472"/>
      <c r="I55" s="1468"/>
      <c r="J55" s="822"/>
      <c r="K55" s="822"/>
      <c r="L55" s="1125"/>
      <c r="M55" s="1114"/>
      <c r="N55" s="1377"/>
      <c r="O55" s="1377"/>
      <c r="P55" s="1114"/>
      <c r="Y55" s="1366" t="s">
        <v>5119</v>
      </c>
      <c r="Z55" s="1355">
        <f>F19</f>
        <v>209.21549999999999</v>
      </c>
      <c r="AA55" s="728" t="s">
        <v>213</v>
      </c>
    </row>
    <row r="56" spans="1:27" ht="30">
      <c r="A56" s="791"/>
      <c r="B56" s="746"/>
      <c r="C56" s="793"/>
      <c r="D56" s="789"/>
      <c r="F56" s="1472"/>
      <c r="I56" s="1468"/>
      <c r="J56" s="822"/>
      <c r="K56" s="1125"/>
      <c r="L56" s="1125"/>
      <c r="M56" s="1114"/>
      <c r="N56" s="1377"/>
      <c r="O56" s="1377"/>
      <c r="P56" s="1114"/>
      <c r="Y56" s="1366" t="s">
        <v>5120</v>
      </c>
      <c r="Z56" s="1355">
        <f>E21</f>
        <v>28.892500000000002</v>
      </c>
      <c r="AA56" s="728" t="s">
        <v>213</v>
      </c>
    </row>
    <row r="57" spans="1:27" ht="30">
      <c r="A57" s="798" t="s">
        <v>518</v>
      </c>
      <c r="B57" s="799">
        <f>SUM(B53:B56)</f>
        <v>0</v>
      </c>
      <c r="C57" s="800">
        <f>SUM(C53:C56)</f>
        <v>0</v>
      </c>
      <c r="D57" s="800">
        <f>SUM(D53:D56)</f>
        <v>0</v>
      </c>
      <c r="F57" s="1472"/>
      <c r="I57" s="1466"/>
      <c r="J57" s="820"/>
      <c r="K57" s="822"/>
      <c r="L57" s="822"/>
      <c r="M57" s="1116"/>
      <c r="N57" s="1117"/>
      <c r="O57" s="1117"/>
      <c r="P57" s="1116"/>
      <c r="Y57" s="1366" t="s">
        <v>5067</v>
      </c>
      <c r="Z57" s="1355">
        <f>G122</f>
        <v>834.62959999999975</v>
      </c>
      <c r="AA57" s="728" t="s">
        <v>213</v>
      </c>
    </row>
    <row r="58" spans="1:27" ht="30">
      <c r="A58" s="801"/>
      <c r="B58" s="802"/>
      <c r="C58" s="803"/>
      <c r="D58" s="804"/>
      <c r="I58" s="1471" t="s">
        <v>5151</v>
      </c>
      <c r="P58" s="805"/>
      <c r="Y58" s="1366" t="s">
        <v>5070</v>
      </c>
      <c r="Z58" s="1355">
        <f>G94</f>
        <v>109.6052</v>
      </c>
      <c r="AA58" s="728" t="s">
        <v>213</v>
      </c>
    </row>
    <row r="59" spans="1:27" ht="15.75">
      <c r="F59" s="786" t="s">
        <v>4522</v>
      </c>
      <c r="G59" s="797"/>
      <c r="I59" s="808">
        <f>4.21*1.1*2</f>
        <v>9.2620000000000005</v>
      </c>
      <c r="J59" s="809" t="s">
        <v>1333</v>
      </c>
      <c r="K59" s="810">
        <f>4.21*1.1*10.76*2</f>
        <v>99.659120000000001</v>
      </c>
      <c r="L59" s="809"/>
      <c r="Y59" s="1360" t="s">
        <v>4699</v>
      </c>
      <c r="Z59" s="1361">
        <f>G138</f>
        <v>20.399999999999999</v>
      </c>
      <c r="AA59" s="728" t="s">
        <v>213</v>
      </c>
    </row>
    <row r="60" spans="1:27" ht="15.75">
      <c r="C60" s="811"/>
      <c r="F60" s="1519"/>
      <c r="G60" s="1520" t="s">
        <v>213</v>
      </c>
      <c r="H60" s="1520" t="s">
        <v>211</v>
      </c>
      <c r="I60" s="1079">
        <f>I59*10.76</f>
        <v>99.659120000000001</v>
      </c>
      <c r="J60" s="1079" t="s">
        <v>811</v>
      </c>
      <c r="K60" s="1079"/>
      <c r="L60" s="1079"/>
      <c r="M60" s="1079"/>
      <c r="N60" s="1079"/>
      <c r="Y60" s="1365" t="s">
        <v>4523</v>
      </c>
      <c r="Z60" s="1355">
        <f>I127</f>
        <v>2335.0748999999996</v>
      </c>
      <c r="AA60" s="728" t="s">
        <v>213</v>
      </c>
    </row>
    <row r="61" spans="1:27" ht="29.25" customHeight="1">
      <c r="A61" s="1813"/>
      <c r="B61" s="1814"/>
      <c r="C61" s="1814"/>
      <c r="D61" s="1814"/>
      <c r="E61" s="1814"/>
      <c r="F61" s="744" t="s">
        <v>4457</v>
      </c>
      <c r="G61" s="794">
        <f>1.45*1.07*8+1.07*6.15*4</f>
        <v>38.734000000000002</v>
      </c>
      <c r="H61" s="794">
        <f>G61*10.76</f>
        <v>416.77784000000003</v>
      </c>
      <c r="I61" s="1080"/>
      <c r="J61" s="916"/>
      <c r="K61" s="916"/>
      <c r="L61" s="1080"/>
      <c r="M61" s="1080"/>
      <c r="N61" s="1080"/>
      <c r="Y61" s="1365" t="s">
        <v>2149</v>
      </c>
      <c r="Z61" s="1355">
        <f>B158+B159+C172+C176+D181+D186</f>
        <v>1200.6579999999999</v>
      </c>
      <c r="AA61" s="728" t="s">
        <v>213</v>
      </c>
    </row>
    <row r="62" spans="1:27" ht="24" customHeight="1">
      <c r="A62" s="814"/>
      <c r="B62" s="815"/>
      <c r="C62" s="816"/>
      <c r="D62" s="814"/>
      <c r="E62" s="817"/>
      <c r="F62" s="818" t="s">
        <v>5187</v>
      </c>
      <c r="G62" s="1382">
        <f>8.3*1.45*4+0.45*2.1*4</f>
        <v>51.92</v>
      </c>
      <c r="H62" s="1382">
        <f>G62*10.76</f>
        <v>558.65920000000006</v>
      </c>
      <c r="I62" s="1081"/>
      <c r="J62" s="1082"/>
      <c r="K62" s="1082"/>
      <c r="L62" s="1082"/>
      <c r="M62" s="1383"/>
      <c r="N62" s="1084"/>
      <c r="Y62" s="1365" t="s">
        <v>4355</v>
      </c>
      <c r="Z62" s="1355">
        <f>I126</f>
        <v>1842.2637999999997</v>
      </c>
      <c r="AA62" s="728" t="s">
        <v>213</v>
      </c>
    </row>
    <row r="63" spans="1:27" ht="15.75">
      <c r="B63" s="794"/>
      <c r="C63" s="819"/>
      <c r="D63" s="820"/>
      <c r="E63" s="821"/>
      <c r="F63" s="822"/>
      <c r="G63" s="830"/>
      <c r="H63" s="830"/>
      <c r="I63" s="831"/>
      <c r="J63" s="832"/>
      <c r="K63" s="832"/>
      <c r="L63" s="832"/>
      <c r="M63" s="832"/>
      <c r="N63" s="833"/>
      <c r="Y63" s="1365" t="s">
        <v>4356</v>
      </c>
      <c r="Z63" s="1355">
        <f>I125</f>
        <v>492.81110000000007</v>
      </c>
      <c r="AA63" s="728" t="s">
        <v>213</v>
      </c>
    </row>
    <row r="64" spans="1:27" ht="15.75">
      <c r="A64" s="1466"/>
      <c r="B64" s="794"/>
      <c r="C64" s="819"/>
      <c r="D64" s="820"/>
      <c r="E64" s="821"/>
      <c r="F64" s="822"/>
      <c r="G64" s="823"/>
      <c r="H64" s="824"/>
      <c r="I64" s="825"/>
      <c r="J64" s="826"/>
      <c r="K64" s="827"/>
      <c r="L64" s="826"/>
      <c r="M64" s="828"/>
      <c r="N64" s="805"/>
      <c r="Y64" s="1365" t="s">
        <v>4357</v>
      </c>
      <c r="Z64" s="1355">
        <f>B156+B157+C172+C176+D181+D186</f>
        <v>1200.6579999999999</v>
      </c>
      <c r="AA64" s="728" t="s">
        <v>213</v>
      </c>
    </row>
    <row r="65" spans="1:27" ht="15.75">
      <c r="A65" s="1466"/>
      <c r="B65" s="794"/>
      <c r="C65" s="819"/>
      <c r="D65" s="820"/>
      <c r="E65" s="821"/>
      <c r="F65" s="822"/>
      <c r="G65" s="829"/>
      <c r="H65" s="830"/>
      <c r="I65" s="831"/>
      <c r="J65" s="832"/>
      <c r="K65" s="832"/>
      <c r="L65" s="832"/>
      <c r="M65" s="833"/>
      <c r="Y65" s="1365" t="s">
        <v>1170</v>
      </c>
      <c r="Z65" s="1355">
        <f>K159</f>
        <v>1140.18</v>
      </c>
      <c r="AA65" s="728" t="s">
        <v>1171</v>
      </c>
    </row>
    <row r="66" spans="1:27" ht="15.75">
      <c r="A66" s="794"/>
      <c r="B66" s="794"/>
      <c r="C66" s="836"/>
      <c r="D66" s="820"/>
      <c r="E66" s="821"/>
      <c r="F66" s="822"/>
      <c r="G66" s="1079"/>
      <c r="H66" s="1079"/>
      <c r="I66" s="1079"/>
      <c r="J66" s="1079"/>
      <c r="K66" s="1079"/>
      <c r="L66" s="1079"/>
      <c r="M66" s="1079"/>
      <c r="N66" s="1079"/>
      <c r="Y66" s="1367" t="s">
        <v>4389</v>
      </c>
      <c r="Z66" s="1360">
        <f>N159</f>
        <v>288.47999999999996</v>
      </c>
      <c r="AA66" s="728" t="s">
        <v>1171</v>
      </c>
    </row>
    <row r="67" spans="1:27" ht="28.5" customHeight="1">
      <c r="A67" s="794"/>
      <c r="B67" s="794"/>
      <c r="C67" s="836"/>
      <c r="D67" s="820"/>
      <c r="E67" s="821"/>
      <c r="F67" s="822"/>
      <c r="G67" s="1080"/>
      <c r="H67" s="1080"/>
      <c r="I67" s="916"/>
      <c r="J67" s="1080"/>
      <c r="K67" s="916"/>
      <c r="L67" s="916"/>
      <c r="M67" s="1080"/>
      <c r="N67" s="1080"/>
      <c r="Y67" s="1365" t="s">
        <v>4534</v>
      </c>
      <c r="Z67" s="1355">
        <f>D166</f>
        <v>50.630400000000009</v>
      </c>
      <c r="AA67" s="728" t="s">
        <v>825</v>
      </c>
    </row>
    <row r="68" spans="1:27" ht="18" customHeight="1">
      <c r="A68" s="794"/>
      <c r="B68" s="794"/>
      <c r="C68" s="836"/>
      <c r="D68" s="820"/>
      <c r="E68" s="821"/>
      <c r="F68" s="822"/>
      <c r="G68" s="1382"/>
      <c r="H68" s="786"/>
      <c r="I68" s="1081"/>
      <c r="J68" s="1081"/>
      <c r="K68" s="1082"/>
      <c r="L68" s="1082"/>
      <c r="M68" s="1082"/>
      <c r="N68" s="1084"/>
      <c r="Y68" s="1365" t="s">
        <v>4536</v>
      </c>
      <c r="Z68" s="1355">
        <f>B160</f>
        <v>632.88000000000011</v>
      </c>
      <c r="AA68" s="728" t="s">
        <v>213</v>
      </c>
    </row>
    <row r="69" spans="1:27" ht="15.75" customHeight="1">
      <c r="A69" s="838"/>
      <c r="B69" s="838"/>
      <c r="C69" s="836"/>
      <c r="D69" s="820"/>
      <c r="E69" s="821"/>
      <c r="F69" s="822"/>
      <c r="G69" s="830"/>
      <c r="H69" s="830"/>
      <c r="I69" s="831"/>
      <c r="J69" s="831"/>
      <c r="K69" s="832"/>
      <c r="L69" s="832"/>
      <c r="M69" s="832"/>
      <c r="N69" s="833"/>
      <c r="Y69" s="1365" t="s">
        <v>4538</v>
      </c>
      <c r="Z69" s="1355">
        <f>I169</f>
        <v>110.4</v>
      </c>
      <c r="AA69" s="728" t="s">
        <v>213</v>
      </c>
    </row>
    <row r="70" spans="1:27" ht="15.75">
      <c r="A70" s="838"/>
      <c r="B70" s="838"/>
      <c r="C70" s="836"/>
      <c r="D70" s="820"/>
      <c r="E70" s="821"/>
      <c r="F70" s="822"/>
      <c r="G70" s="730"/>
      <c r="H70" s="730"/>
      <c r="I70" s="730"/>
      <c r="J70" s="730"/>
      <c r="K70" s="730"/>
      <c r="L70" s="730"/>
      <c r="M70" s="730"/>
      <c r="N70" s="730"/>
      <c r="Y70" s="1365" t="s">
        <v>5241</v>
      </c>
      <c r="Z70" s="1355">
        <f>F149</f>
        <v>9</v>
      </c>
      <c r="AA70" s="728" t="s">
        <v>213</v>
      </c>
    </row>
    <row r="71" spans="1:27" ht="15.75">
      <c r="A71" s="839"/>
      <c r="B71" s="840"/>
      <c r="C71" s="841"/>
      <c r="D71" s="842"/>
      <c r="E71" s="843"/>
      <c r="F71" s="844"/>
      <c r="Y71" s="1365" t="s">
        <v>4540</v>
      </c>
      <c r="Z71" s="1364">
        <f>M172</f>
        <v>18.399999999999999</v>
      </c>
      <c r="AA71" s="728" t="s">
        <v>1171</v>
      </c>
    </row>
    <row r="72" spans="1:27" ht="15.75">
      <c r="A72" s="845"/>
      <c r="B72" s="846"/>
      <c r="C72" s="730"/>
      <c r="D72" s="844"/>
      <c r="E72" s="847"/>
      <c r="F72" s="844"/>
      <c r="Y72" s="1368" t="s">
        <v>4541</v>
      </c>
      <c r="Z72" s="1355">
        <f>K198</f>
        <v>28.6</v>
      </c>
      <c r="AA72" s="728" t="s">
        <v>1171</v>
      </c>
    </row>
    <row r="73" spans="1:27" ht="18">
      <c r="D73" s="849"/>
      <c r="E73" s="1799" t="s">
        <v>4539</v>
      </c>
      <c r="F73" s="1799"/>
      <c r="G73" s="1799"/>
      <c r="H73" s="1799"/>
      <c r="I73" s="1799"/>
      <c r="Y73" s="1368" t="s">
        <v>4543</v>
      </c>
      <c r="Z73" s="1355">
        <f>K196</f>
        <v>7.7</v>
      </c>
      <c r="AA73" s="728" t="s">
        <v>213</v>
      </c>
    </row>
    <row r="74" spans="1:27">
      <c r="A74" s="850"/>
      <c r="B74" s="733"/>
      <c r="C74" s="733"/>
      <c r="D74" s="733"/>
      <c r="G74" s="851"/>
      <c r="H74" s="851"/>
      <c r="Y74" s="1368" t="s">
        <v>4458</v>
      </c>
      <c r="Z74" s="1355">
        <f>H198</f>
        <v>47.35</v>
      </c>
      <c r="AA74" s="728" t="s">
        <v>1171</v>
      </c>
    </row>
    <row r="75" spans="1:27" ht="20.25">
      <c r="A75" s="1803" t="s">
        <v>4542</v>
      </c>
      <c r="B75" s="1804"/>
      <c r="C75" s="1804"/>
      <c r="D75" s="1804"/>
      <c r="E75" s="1804"/>
      <c r="F75" s="1804"/>
      <c r="G75" s="1804"/>
      <c r="H75" s="1804"/>
      <c r="I75" s="1804"/>
      <c r="J75" s="1804"/>
      <c r="K75" s="1804"/>
      <c r="L75" s="1804"/>
      <c r="M75" s="1373"/>
      <c r="N75" s="1373"/>
      <c r="Y75" s="1403" t="s">
        <v>4529</v>
      </c>
      <c r="Z75" s="743"/>
    </row>
    <row r="76" spans="1:27" ht="30">
      <c r="A76" s="740" t="s">
        <v>4469</v>
      </c>
      <c r="B76" s="740" t="s">
        <v>515</v>
      </c>
      <c r="C76" s="740" t="s">
        <v>4544</v>
      </c>
      <c r="D76" s="741" t="s">
        <v>4520</v>
      </c>
      <c r="E76" s="740" t="s">
        <v>4545</v>
      </c>
      <c r="F76" s="741" t="s">
        <v>4546</v>
      </c>
      <c r="G76" s="740" t="s">
        <v>4547</v>
      </c>
      <c r="H76" s="741" t="s">
        <v>4548</v>
      </c>
      <c r="I76" s="741" t="s">
        <v>4549</v>
      </c>
      <c r="J76" s="741" t="s">
        <v>4261</v>
      </c>
      <c r="K76" s="854" t="s">
        <v>4526</v>
      </c>
      <c r="L76" s="1372" t="s">
        <v>4550</v>
      </c>
      <c r="M76" s="730"/>
      <c r="N76" s="730"/>
      <c r="Y76" s="1403" t="s">
        <v>4530</v>
      </c>
      <c r="Z76" s="743"/>
    </row>
    <row r="77" spans="1:27" ht="15.75">
      <c r="A77" s="773" t="s">
        <v>4551</v>
      </c>
      <c r="B77" s="855">
        <v>32</v>
      </c>
      <c r="C77" s="856">
        <f>0.42</f>
        <v>0.42</v>
      </c>
      <c r="D77" s="856">
        <v>1</v>
      </c>
      <c r="E77" s="746">
        <f>C77*D77*B77</f>
        <v>13.44</v>
      </c>
      <c r="F77" s="746"/>
      <c r="G77" s="746">
        <f>E77-F77</f>
        <v>13.44</v>
      </c>
      <c r="H77" s="746">
        <f>G77*2</f>
        <v>26.88</v>
      </c>
      <c r="I77" s="1815">
        <f>H90+H91+H88+H89+2.65*0.15+2.1*0.15+66.8*0.15+3.75*0.15</f>
        <v>174.15500000000003</v>
      </c>
      <c r="J77" s="1816">
        <f>I77+H93</f>
        <v>375.69819999999999</v>
      </c>
      <c r="K77" s="1817">
        <f>I77</f>
        <v>174.15500000000003</v>
      </c>
      <c r="L77" s="1820">
        <f>H93</f>
        <v>201.54319999999996</v>
      </c>
      <c r="Y77" s="1403" t="s">
        <v>4531</v>
      </c>
      <c r="Z77" s="743"/>
    </row>
    <row r="78" spans="1:27" ht="15.75">
      <c r="A78" s="773"/>
      <c r="B78" s="855"/>
      <c r="C78" s="856"/>
      <c r="D78" s="856"/>
      <c r="E78" s="746"/>
      <c r="F78" s="746"/>
      <c r="G78" s="746">
        <f t="shared" ref="G78:G88" si="8">E78-F78</f>
        <v>0</v>
      </c>
      <c r="H78" s="746"/>
      <c r="I78" s="1815"/>
      <c r="J78" s="1816"/>
      <c r="K78" s="1818"/>
      <c r="L78" s="1821"/>
      <c r="Y78" s="1403" t="s">
        <v>4532</v>
      </c>
      <c r="Z78" s="743"/>
    </row>
    <row r="79" spans="1:27" ht="20.25">
      <c r="A79" s="773" t="s">
        <v>4552</v>
      </c>
      <c r="B79" s="857">
        <v>2</v>
      </c>
      <c r="C79" s="858">
        <v>4.8499999999999996</v>
      </c>
      <c r="D79" s="859">
        <v>3.02</v>
      </c>
      <c r="E79" s="753">
        <f t="shared" ref="E79:E84" si="9">C79*D79*B79</f>
        <v>29.293999999999997</v>
      </c>
      <c r="F79" s="856">
        <v>0</v>
      </c>
      <c r="G79" s="746">
        <f t="shared" si="8"/>
        <v>29.293999999999997</v>
      </c>
      <c r="H79" s="746">
        <f>G79*2</f>
        <v>58.587999999999994</v>
      </c>
      <c r="I79" s="1815"/>
      <c r="J79" s="1816"/>
      <c r="K79" s="1818"/>
      <c r="L79" s="1821"/>
      <c r="M79" s="856">
        <f>2.9*2*1.1</f>
        <v>6.38</v>
      </c>
      <c r="Y79" s="1403" t="s">
        <v>4533</v>
      </c>
      <c r="Z79" s="743"/>
    </row>
    <row r="80" spans="1:27" ht="20.25">
      <c r="A80" s="773" t="s">
        <v>4553</v>
      </c>
      <c r="B80" s="857">
        <v>1</v>
      </c>
      <c r="C80" s="858">
        <v>3.3</v>
      </c>
      <c r="D80" s="859">
        <v>3.02</v>
      </c>
      <c r="E80" s="753">
        <f t="shared" si="9"/>
        <v>9.9659999999999993</v>
      </c>
      <c r="F80" s="856">
        <v>0</v>
      </c>
      <c r="G80" s="746">
        <f t="shared" si="8"/>
        <v>9.9659999999999993</v>
      </c>
      <c r="H80" s="746">
        <f>G80*2</f>
        <v>19.931999999999999</v>
      </c>
      <c r="I80" s="1815"/>
      <c r="J80" s="1816"/>
      <c r="K80" s="1818"/>
      <c r="L80" s="1821"/>
      <c r="M80" s="856">
        <f>0.8*0.6*2</f>
        <v>0.96</v>
      </c>
      <c r="Y80" s="1403" t="s">
        <v>4533</v>
      </c>
      <c r="Z80" s="743"/>
    </row>
    <row r="81" spans="1:28" ht="20.25">
      <c r="A81" s="773" t="s">
        <v>4554</v>
      </c>
      <c r="B81" s="857">
        <v>1</v>
      </c>
      <c r="C81" s="858">
        <v>3.6</v>
      </c>
      <c r="D81" s="859">
        <v>3.02</v>
      </c>
      <c r="E81" s="753">
        <f t="shared" si="9"/>
        <v>10.872</v>
      </c>
      <c r="F81" s="856">
        <v>0</v>
      </c>
      <c r="G81" s="746">
        <f t="shared" si="8"/>
        <v>10.872</v>
      </c>
      <c r="H81" s="746">
        <f>G81*2</f>
        <v>21.744</v>
      </c>
      <c r="I81" s="1815"/>
      <c r="J81" s="1816"/>
      <c r="K81" s="1818"/>
      <c r="L81" s="1821"/>
      <c r="M81" s="856">
        <f>0.9*2.1+1.35*2*1.1</f>
        <v>4.8600000000000012</v>
      </c>
      <c r="Y81" s="1403" t="s">
        <v>4535</v>
      </c>
      <c r="Z81" s="743"/>
    </row>
    <row r="82" spans="1:28" ht="20.25">
      <c r="A82" s="773" t="s">
        <v>4555</v>
      </c>
      <c r="B82" s="857">
        <v>1</v>
      </c>
      <c r="C82" s="858">
        <v>2.11</v>
      </c>
      <c r="D82" s="859">
        <v>3.02</v>
      </c>
      <c r="E82" s="753">
        <f t="shared" si="9"/>
        <v>6.3721999999999994</v>
      </c>
      <c r="F82" s="856"/>
      <c r="G82" s="746">
        <f t="shared" si="8"/>
        <v>6.3721999999999994</v>
      </c>
      <c r="H82" s="746">
        <f>G82</f>
        <v>6.3721999999999994</v>
      </c>
      <c r="I82" s="1815"/>
      <c r="J82" s="1816"/>
      <c r="K82" s="1818"/>
      <c r="L82" s="1821"/>
      <c r="M82" s="856"/>
      <c r="Y82" s="1403" t="s">
        <v>4537</v>
      </c>
      <c r="Z82" s="743"/>
    </row>
    <row r="83" spans="1:28" ht="20.25">
      <c r="A83" s="773" t="s">
        <v>4556</v>
      </c>
      <c r="B83" s="857">
        <v>1</v>
      </c>
      <c r="C83" s="858">
        <v>1.25</v>
      </c>
      <c r="D83" s="859">
        <v>3.02</v>
      </c>
      <c r="E83" s="753">
        <f t="shared" si="9"/>
        <v>3.7749999999999999</v>
      </c>
      <c r="F83" s="856">
        <v>0</v>
      </c>
      <c r="G83" s="746">
        <f t="shared" si="8"/>
        <v>3.7749999999999999</v>
      </c>
      <c r="H83" s="746">
        <f t="shared" ref="H83:H91" si="10">G83*2</f>
        <v>7.55</v>
      </c>
      <c r="I83" s="1815"/>
      <c r="J83" s="1816"/>
      <c r="K83" s="1818"/>
      <c r="L83" s="1821"/>
      <c r="M83" s="856">
        <f>0.8*2.1</f>
        <v>1.6800000000000002</v>
      </c>
      <c r="Y83" s="1404" t="s">
        <v>5124</v>
      </c>
      <c r="Z83" s="743">
        <f>88.18*1.2*10.76</f>
        <v>1138.58016</v>
      </c>
      <c r="AA83" s="728">
        <f>1.2*10.76</f>
        <v>12.911999999999999</v>
      </c>
      <c r="AB83" s="728">
        <f>8.18*10.76</f>
        <v>88.016799999999989</v>
      </c>
    </row>
    <row r="84" spans="1:28" ht="20.25">
      <c r="A84" s="773" t="s">
        <v>4557</v>
      </c>
      <c r="B84" s="855">
        <v>1</v>
      </c>
      <c r="C84" s="858">
        <v>0.45</v>
      </c>
      <c r="D84" s="859">
        <v>3.02</v>
      </c>
      <c r="E84" s="746">
        <f t="shared" si="9"/>
        <v>1.359</v>
      </c>
      <c r="F84" s="856"/>
      <c r="G84" s="746">
        <f t="shared" si="8"/>
        <v>1.359</v>
      </c>
      <c r="H84" s="746">
        <f t="shared" si="10"/>
        <v>2.718</v>
      </c>
      <c r="I84" s="1815"/>
      <c r="J84" s="1816"/>
      <c r="K84" s="1818"/>
      <c r="L84" s="1821"/>
      <c r="M84" s="856"/>
      <c r="Y84" s="1359" t="s">
        <v>4560</v>
      </c>
      <c r="Z84" s="1355">
        <f>B197</f>
        <v>2235.7597999999998</v>
      </c>
      <c r="AA84" s="728" t="s">
        <v>213</v>
      </c>
    </row>
    <row r="85" spans="1:28" ht="20.25">
      <c r="A85" s="773" t="s">
        <v>4558</v>
      </c>
      <c r="B85" s="857">
        <v>2</v>
      </c>
      <c r="C85" s="858">
        <v>2.4</v>
      </c>
      <c r="D85" s="859">
        <v>3.02</v>
      </c>
      <c r="E85" s="753">
        <f>C85*D85*B85</f>
        <v>14.495999999999999</v>
      </c>
      <c r="F85" s="856"/>
      <c r="G85" s="746">
        <f t="shared" si="8"/>
        <v>14.495999999999999</v>
      </c>
      <c r="H85" s="746">
        <f t="shared" si="10"/>
        <v>28.991999999999997</v>
      </c>
      <c r="I85" s="1815"/>
      <c r="J85" s="1816"/>
      <c r="K85" s="1818"/>
      <c r="L85" s="1821"/>
      <c r="M85" s="856"/>
      <c r="Y85" s="1359" t="s">
        <v>4562</v>
      </c>
      <c r="Z85" s="1355">
        <f>B196</f>
        <v>849.68260000000009</v>
      </c>
      <c r="AA85" s="728" t="s">
        <v>213</v>
      </c>
    </row>
    <row r="86" spans="1:28" ht="20.25">
      <c r="A86" s="773" t="s">
        <v>4559</v>
      </c>
      <c r="B86" s="857">
        <v>2</v>
      </c>
      <c r="C86" s="858">
        <v>3.9</v>
      </c>
      <c r="D86" s="859">
        <v>3.02</v>
      </c>
      <c r="E86" s="753">
        <f>C86*D86*B86</f>
        <v>23.556000000000001</v>
      </c>
      <c r="F86" s="856">
        <v>0</v>
      </c>
      <c r="G86" s="746">
        <f t="shared" si="8"/>
        <v>23.556000000000001</v>
      </c>
      <c r="H86" s="746">
        <f t="shared" si="10"/>
        <v>47.112000000000002</v>
      </c>
      <c r="I86" s="1815"/>
      <c r="J86" s="1816"/>
      <c r="K86" s="1818"/>
      <c r="L86" s="1821"/>
      <c r="M86" s="856">
        <f>0.9*2.1+1.2*0.6</f>
        <v>2.6100000000000003</v>
      </c>
      <c r="Y86" s="1359" t="s">
        <v>4564</v>
      </c>
      <c r="Z86" s="1355">
        <f>B198</f>
        <v>502.40999999999991</v>
      </c>
      <c r="AA86" s="728" t="s">
        <v>213</v>
      </c>
    </row>
    <row r="87" spans="1:28" ht="20.25">
      <c r="A87" s="861" t="s">
        <v>4561</v>
      </c>
      <c r="B87" s="855">
        <v>1</v>
      </c>
      <c r="C87" s="858">
        <v>1.65</v>
      </c>
      <c r="D87" s="859">
        <v>3.02</v>
      </c>
      <c r="E87" s="753">
        <f>C87*D87*B87</f>
        <v>4.9829999999999997</v>
      </c>
      <c r="F87" s="856">
        <v>0</v>
      </c>
      <c r="G87" s="746">
        <f t="shared" si="8"/>
        <v>4.9829999999999997</v>
      </c>
      <c r="H87" s="746">
        <f t="shared" si="10"/>
        <v>9.9659999999999993</v>
      </c>
      <c r="I87" s="1815"/>
      <c r="J87" s="1816"/>
      <c r="K87" s="1818"/>
      <c r="L87" s="1821"/>
      <c r="M87" s="856">
        <f>0.9*2.1</f>
        <v>1.8900000000000001</v>
      </c>
      <c r="R87" s="730"/>
      <c r="Y87" s="1359" t="s">
        <v>4566</v>
      </c>
      <c r="Z87" s="1355">
        <f>Z84+Z85+Z86</f>
        <v>3587.8523999999998</v>
      </c>
      <c r="AA87" s="728" t="s">
        <v>213</v>
      </c>
      <c r="AB87" s="1645">
        <f>2*2.1+1.5*2.1</f>
        <v>7.3500000000000005</v>
      </c>
    </row>
    <row r="88" spans="1:28" ht="35.25" customHeight="1">
      <c r="A88" s="862" t="s">
        <v>4563</v>
      </c>
      <c r="B88" s="855">
        <v>1</v>
      </c>
      <c r="C88" s="858">
        <f>2.1+4</f>
        <v>6.1</v>
      </c>
      <c r="D88" s="859">
        <v>0.6</v>
      </c>
      <c r="E88" s="753">
        <f t="shared" ref="E88:E91" si="11">C88*D88*B88</f>
        <v>3.6599999999999997</v>
      </c>
      <c r="F88" s="856"/>
      <c r="G88" s="753">
        <f t="shared" si="8"/>
        <v>3.6599999999999997</v>
      </c>
      <c r="H88" s="746">
        <f t="shared" si="10"/>
        <v>7.3199999999999994</v>
      </c>
      <c r="I88" s="1815"/>
      <c r="J88" s="1816"/>
      <c r="K88" s="1818"/>
      <c r="L88" s="1821"/>
      <c r="R88" s="730"/>
      <c r="Y88" s="1405" t="s">
        <v>4568</v>
      </c>
      <c r="Z88" s="743">
        <f>SUM(AB87:AB96)*2*1.05</f>
        <v>374.85840000000007</v>
      </c>
      <c r="AA88" s="728" t="s">
        <v>213</v>
      </c>
      <c r="AB88" s="728">
        <f>1*2.1*8+0.88*2.1*8</f>
        <v>31.584000000000003</v>
      </c>
    </row>
    <row r="89" spans="1:28" ht="32.25" customHeight="1">
      <c r="A89" s="862" t="s">
        <v>4565</v>
      </c>
      <c r="B89" s="855">
        <v>1</v>
      </c>
      <c r="C89" s="856">
        <v>2.65</v>
      </c>
      <c r="D89" s="856">
        <v>0.6</v>
      </c>
      <c r="E89" s="746">
        <f t="shared" si="11"/>
        <v>1.5899999999999999</v>
      </c>
      <c r="F89" s="856"/>
      <c r="G89" s="746">
        <f>E89-F89</f>
        <v>1.5899999999999999</v>
      </c>
      <c r="H89" s="746">
        <f t="shared" si="10"/>
        <v>3.1799999999999997</v>
      </c>
      <c r="I89" s="1815"/>
      <c r="J89" s="1816"/>
      <c r="K89" s="1818"/>
      <c r="L89" s="1821"/>
      <c r="R89" s="1436"/>
      <c r="Y89" s="860" t="s">
        <v>4570</v>
      </c>
      <c r="Z89" s="835"/>
      <c r="AB89" s="728">
        <f>0.9*2.1*2</f>
        <v>3.7800000000000002</v>
      </c>
    </row>
    <row r="90" spans="1:28" ht="32.25" customHeight="1">
      <c r="A90" s="862" t="s">
        <v>4567</v>
      </c>
      <c r="B90" s="855">
        <v>2</v>
      </c>
      <c r="C90" s="856">
        <f>33.4+33.4</f>
        <v>66.8</v>
      </c>
      <c r="D90" s="856">
        <v>0.55000000000000004</v>
      </c>
      <c r="E90" s="746">
        <f t="shared" si="11"/>
        <v>73.48</v>
      </c>
      <c r="F90" s="856"/>
      <c r="G90" s="746">
        <f>E90-F90</f>
        <v>73.48</v>
      </c>
      <c r="H90" s="746">
        <f t="shared" si="10"/>
        <v>146.96</v>
      </c>
      <c r="I90" s="1815"/>
      <c r="J90" s="1816"/>
      <c r="K90" s="1818"/>
      <c r="L90" s="1821"/>
      <c r="R90" s="1436"/>
      <c r="Y90" s="852" t="s">
        <v>4572</v>
      </c>
      <c r="Z90" s="835">
        <f t="shared" ref="Z90:Z96" si="12">K172</f>
        <v>3.6479999999999997</v>
      </c>
      <c r="AB90" s="728">
        <f>1*2.1*16+0.4*2.1*16</f>
        <v>47.040000000000006</v>
      </c>
    </row>
    <row r="91" spans="1:28" ht="32.25" customHeight="1">
      <c r="A91" s="862" t="s">
        <v>4569</v>
      </c>
      <c r="B91" s="855">
        <v>1</v>
      </c>
      <c r="C91" s="856">
        <v>3.75</v>
      </c>
      <c r="D91" s="856">
        <v>0.72</v>
      </c>
      <c r="E91" s="746">
        <f t="shared" si="11"/>
        <v>2.6999999999999997</v>
      </c>
      <c r="F91" s="856"/>
      <c r="G91" s="746">
        <f>E91-F91</f>
        <v>2.6999999999999997</v>
      </c>
      <c r="H91" s="746">
        <f t="shared" si="10"/>
        <v>5.3999999999999995</v>
      </c>
      <c r="I91" s="1815"/>
      <c r="J91" s="1816"/>
      <c r="K91" s="1819"/>
      <c r="L91" s="1822"/>
      <c r="R91" s="1436"/>
      <c r="Y91" s="875" t="s">
        <v>4575</v>
      </c>
      <c r="Z91" s="835">
        <f t="shared" si="12"/>
        <v>1.3907999999999991</v>
      </c>
      <c r="AB91" s="728">
        <f>2*2.1*2+0.75*2.1*2</f>
        <v>11.55</v>
      </c>
    </row>
    <row r="92" spans="1:28">
      <c r="A92" s="1792" t="s">
        <v>4571</v>
      </c>
      <c r="B92" s="1793"/>
      <c r="C92" s="1795"/>
      <c r="D92" s="1796"/>
      <c r="E92" s="863"/>
      <c r="F92" s="864"/>
      <c r="G92" s="865">
        <f>SUM(G77:G91)</f>
        <v>199.54319999999998</v>
      </c>
      <c r="H92" s="866"/>
      <c r="I92" s="866"/>
      <c r="J92" s="867"/>
      <c r="K92" s="841"/>
      <c r="L92" s="841"/>
      <c r="R92" s="730"/>
      <c r="Y92" s="875" t="s">
        <v>4576</v>
      </c>
      <c r="Z92" s="835">
        <f t="shared" si="12"/>
        <v>1.3680000000000001</v>
      </c>
      <c r="AB92" s="728">
        <f>2*2.1*2</f>
        <v>8.4</v>
      </c>
    </row>
    <row r="93" spans="1:28" ht="18">
      <c r="A93" s="1792" t="s">
        <v>4573</v>
      </c>
      <c r="B93" s="1793"/>
      <c r="C93" s="870"/>
      <c r="D93" s="871"/>
      <c r="E93" s="871"/>
      <c r="F93" s="872" t="s">
        <v>4574</v>
      </c>
      <c r="G93" s="873">
        <f>SUM(G77:G87)-21.27*0.4</f>
        <v>109.6052</v>
      </c>
      <c r="H93" s="873">
        <f>SUM(H77:H92)-21.27*0.4*2-I77</f>
        <v>201.54319999999996</v>
      </c>
      <c r="I93" s="874">
        <f>SUM(I77)</f>
        <v>174.15500000000003</v>
      </c>
      <c r="J93" s="873">
        <f>J77</f>
        <v>375.69819999999999</v>
      </c>
      <c r="K93" s="873">
        <f>K77</f>
        <v>174.15500000000003</v>
      </c>
      <c r="L93" s="873">
        <f>L77</f>
        <v>201.54319999999996</v>
      </c>
      <c r="R93" s="730"/>
      <c r="Y93" s="834" t="s">
        <v>4577</v>
      </c>
      <c r="Z93" s="835">
        <f t="shared" si="12"/>
        <v>9.1199999999999992</v>
      </c>
      <c r="AB93" s="728">
        <f>1*2.1*4+0.4*2.1*4</f>
        <v>11.760000000000002</v>
      </c>
    </row>
    <row r="94" spans="1:28" ht="18">
      <c r="A94" s="876"/>
      <c r="B94" s="734"/>
      <c r="C94" s="734"/>
      <c r="D94" s="877"/>
      <c r="E94" s="878"/>
      <c r="F94" s="872"/>
      <c r="G94" s="873">
        <f>SUM(G77:G87)-21.27*0.4</f>
        <v>109.6052</v>
      </c>
      <c r="H94" s="877"/>
      <c r="I94" s="728">
        <f>131.83*3.02-A172-2*2.1*2+16*1*1-8*2*2.1-3.6*1.2</f>
        <v>333.80660000000006</v>
      </c>
      <c r="N94" s="879"/>
      <c r="Y94" s="882" t="s">
        <v>4578</v>
      </c>
      <c r="Z94" s="835">
        <f t="shared" si="12"/>
        <v>36.26</v>
      </c>
      <c r="AB94" s="728">
        <f>1.2*1.1</f>
        <v>1.32</v>
      </c>
    </row>
    <row r="95" spans="1:28" ht="15.75">
      <c r="A95" s="876"/>
      <c r="B95" s="734"/>
      <c r="C95" s="734"/>
      <c r="D95" s="877"/>
      <c r="E95" s="877"/>
      <c r="F95" s="877"/>
      <c r="G95" s="877"/>
      <c r="H95" s="880"/>
      <c r="N95" s="879"/>
      <c r="Y95" s="882" t="s">
        <v>4579</v>
      </c>
      <c r="Z95" s="835">
        <f t="shared" si="12"/>
        <v>37.6</v>
      </c>
      <c r="AB95" s="728">
        <f>1*1.1*16</f>
        <v>17.600000000000001</v>
      </c>
    </row>
    <row r="96" spans="1:28" ht="15.75">
      <c r="F96" s="881"/>
      <c r="Y96" s="882" t="s">
        <v>4580</v>
      </c>
      <c r="Z96" s="835">
        <f t="shared" si="12"/>
        <v>0</v>
      </c>
      <c r="AB96" s="728">
        <f>1*0.6*16+1.2*1.1+1*0.6*16+1*1.1*16</f>
        <v>38.120000000000005</v>
      </c>
    </row>
    <row r="97" spans="1:27" ht="15.75">
      <c r="F97" s="881"/>
      <c r="Y97" s="882" t="s">
        <v>5110</v>
      </c>
      <c r="Z97" s="835">
        <v>15.7</v>
      </c>
      <c r="AA97" s="728" t="s">
        <v>213</v>
      </c>
    </row>
    <row r="98" spans="1:27" ht="15.75">
      <c r="F98" s="881"/>
      <c r="Y98" s="1369" t="s">
        <v>4583</v>
      </c>
      <c r="Z98" s="1355">
        <f>M169</f>
        <v>58.75</v>
      </c>
      <c r="AA98" s="728" t="s">
        <v>213</v>
      </c>
    </row>
    <row r="99" spans="1:27" ht="20.25">
      <c r="A99" s="1803" t="s">
        <v>4581</v>
      </c>
      <c r="B99" s="1804"/>
      <c r="C99" s="1804"/>
      <c r="D99" s="1804"/>
      <c r="E99" s="1804"/>
      <c r="F99" s="1804"/>
      <c r="G99" s="1804"/>
      <c r="H99" s="1804"/>
      <c r="I99" s="1804"/>
      <c r="J99" s="1804"/>
      <c r="K99" s="1804"/>
      <c r="L99" s="1804"/>
      <c r="M99" s="1804"/>
      <c r="N99" s="1804"/>
      <c r="Y99" s="882" t="s">
        <v>4585</v>
      </c>
      <c r="Z99" s="848">
        <f>K182</f>
        <v>12</v>
      </c>
      <c r="AA99" s="728" t="s">
        <v>1171</v>
      </c>
    </row>
    <row r="100" spans="1:27" ht="30">
      <c r="A100" s="740" t="s">
        <v>4469</v>
      </c>
      <c r="B100" s="740" t="s">
        <v>515</v>
      </c>
      <c r="C100" s="740" t="s">
        <v>4544</v>
      </c>
      <c r="D100" s="741" t="s">
        <v>4520</v>
      </c>
      <c r="E100" s="740" t="s">
        <v>4545</v>
      </c>
      <c r="F100" s="741" t="s">
        <v>4546</v>
      </c>
      <c r="G100" s="740" t="s">
        <v>4547</v>
      </c>
      <c r="H100" s="741" t="s">
        <v>4548</v>
      </c>
      <c r="I100" s="741" t="s">
        <v>4549</v>
      </c>
      <c r="J100" s="741" t="s">
        <v>4261</v>
      </c>
      <c r="K100" s="854" t="s">
        <v>4526</v>
      </c>
      <c r="L100" s="854" t="s">
        <v>4550</v>
      </c>
      <c r="Y100" s="1369" t="s">
        <v>4586</v>
      </c>
      <c r="Z100" s="1355">
        <f>F162</f>
        <v>36.153599999999997</v>
      </c>
      <c r="AA100" s="728" t="s">
        <v>211</v>
      </c>
    </row>
    <row r="101" spans="1:27" ht="20.25">
      <c r="A101" s="773" t="s">
        <v>4584</v>
      </c>
      <c r="B101" s="855">
        <v>2</v>
      </c>
      <c r="C101" s="856">
        <v>6.7</v>
      </c>
      <c r="D101" s="859">
        <v>3.02</v>
      </c>
      <c r="E101" s="753">
        <f>C101*D101*B101</f>
        <v>40.468000000000004</v>
      </c>
      <c r="F101" s="856">
        <v>0</v>
      </c>
      <c r="G101" s="753">
        <f>E101-F101</f>
        <v>40.468000000000004</v>
      </c>
      <c r="H101" s="753">
        <f>G101*2</f>
        <v>80.936000000000007</v>
      </c>
      <c r="I101" s="1805">
        <f>I123</f>
        <v>307.33660000000003</v>
      </c>
      <c r="J101" s="1807">
        <f>H122+I122</f>
        <v>1948.0571999999997</v>
      </c>
      <c r="K101" s="1809">
        <f>I101</f>
        <v>307.33660000000003</v>
      </c>
      <c r="L101" s="1811">
        <f>H122</f>
        <v>1640.7205999999996</v>
      </c>
      <c r="M101" s="856">
        <f>2*2.1*2</f>
        <v>8.4</v>
      </c>
      <c r="Y101" s="795"/>
      <c r="Z101" s="789"/>
    </row>
    <row r="102" spans="1:27" ht="20.25">
      <c r="A102" s="773" t="s">
        <v>1333</v>
      </c>
      <c r="B102" s="855">
        <v>4</v>
      </c>
      <c r="C102" s="858">
        <v>1.43</v>
      </c>
      <c r="D102" s="859">
        <v>3.02</v>
      </c>
      <c r="E102" s="753">
        <f t="shared" ref="E102:E119" si="13">C102*D102*B102</f>
        <v>17.2744</v>
      </c>
      <c r="F102" s="856"/>
      <c r="G102" s="753">
        <f t="shared" ref="G102:G119" si="14">E102-F102</f>
        <v>17.2744</v>
      </c>
      <c r="H102" s="753">
        <f t="shared" ref="H102:H119" si="15">G102*2</f>
        <v>34.5488</v>
      </c>
      <c r="I102" s="1805"/>
      <c r="J102" s="1807"/>
      <c r="K102" s="1810"/>
      <c r="L102" s="1812"/>
      <c r="M102" s="856"/>
      <c r="Y102" s="1521" t="s">
        <v>4457</v>
      </c>
      <c r="Z102" s="789">
        <f>H61</f>
        <v>416.77784000000003</v>
      </c>
      <c r="AA102" s="728" t="s">
        <v>211</v>
      </c>
    </row>
    <row r="103" spans="1:27" ht="20.25">
      <c r="A103" s="773" t="s">
        <v>4587</v>
      </c>
      <c r="B103" s="855">
        <v>2</v>
      </c>
      <c r="C103" s="858">
        <v>8.8800000000000008</v>
      </c>
      <c r="D103" s="859">
        <v>3.02</v>
      </c>
      <c r="E103" s="753">
        <f t="shared" si="13"/>
        <v>53.635200000000005</v>
      </c>
      <c r="F103" s="856">
        <v>0</v>
      </c>
      <c r="G103" s="753">
        <f t="shared" si="14"/>
        <v>53.635200000000005</v>
      </c>
      <c r="H103" s="753">
        <f t="shared" si="15"/>
        <v>107.27040000000001</v>
      </c>
      <c r="I103" s="1805"/>
      <c r="J103" s="1807"/>
      <c r="K103" s="1810"/>
      <c r="L103" s="1812"/>
      <c r="M103" s="856">
        <f>2.75*2.2*2</f>
        <v>12.100000000000001</v>
      </c>
      <c r="Y103" s="1522" t="s">
        <v>5187</v>
      </c>
      <c r="Z103" s="789">
        <f>H62</f>
        <v>558.65920000000006</v>
      </c>
      <c r="AA103" s="728" t="s">
        <v>211</v>
      </c>
    </row>
    <row r="104" spans="1:27" ht="20.25">
      <c r="A104" s="773" t="s">
        <v>4588</v>
      </c>
      <c r="B104" s="855">
        <v>4</v>
      </c>
      <c r="C104" s="858">
        <v>3.2</v>
      </c>
      <c r="D104" s="859">
        <v>3.02</v>
      </c>
      <c r="E104" s="753">
        <f t="shared" si="13"/>
        <v>38.656000000000006</v>
      </c>
      <c r="F104" s="856">
        <v>0</v>
      </c>
      <c r="G104" s="753">
        <f t="shared" si="14"/>
        <v>38.656000000000006</v>
      </c>
      <c r="H104" s="753">
        <f t="shared" si="15"/>
        <v>77.312000000000012</v>
      </c>
      <c r="I104" s="1805"/>
      <c r="J104" s="1807"/>
      <c r="K104" s="1810"/>
      <c r="L104" s="1812"/>
      <c r="M104" s="856">
        <f>4*1*1</f>
        <v>4</v>
      </c>
      <c r="Y104" s="795"/>
      <c r="Z104" s="789"/>
    </row>
    <row r="105" spans="1:27" ht="20.25">
      <c r="A105" s="773" t="s">
        <v>4589</v>
      </c>
      <c r="B105" s="855">
        <v>16</v>
      </c>
      <c r="C105" s="858">
        <v>3.3</v>
      </c>
      <c r="D105" s="859">
        <v>3.02</v>
      </c>
      <c r="E105" s="753">
        <f t="shared" si="13"/>
        <v>159.45599999999999</v>
      </c>
      <c r="F105" s="856">
        <v>0</v>
      </c>
      <c r="G105" s="753">
        <f t="shared" si="14"/>
        <v>159.45599999999999</v>
      </c>
      <c r="H105" s="753">
        <f t="shared" si="15"/>
        <v>318.91199999999998</v>
      </c>
      <c r="I105" s="1805"/>
      <c r="J105" s="1807"/>
      <c r="K105" s="1810"/>
      <c r="L105" s="1812"/>
      <c r="M105" s="856">
        <f>2*2.1*8+16*1*0.6</f>
        <v>43.2</v>
      </c>
      <c r="Y105" s="1397" t="s">
        <v>5093</v>
      </c>
      <c r="Z105" s="1360">
        <f>M136</f>
        <v>5.2750000000000004</v>
      </c>
      <c r="AA105" s="728" t="s">
        <v>213</v>
      </c>
    </row>
    <row r="106" spans="1:27" ht="20.25">
      <c r="A106" s="773" t="s">
        <v>4590</v>
      </c>
      <c r="B106" s="855">
        <v>16</v>
      </c>
      <c r="C106" s="858">
        <v>0.85</v>
      </c>
      <c r="D106" s="859">
        <v>3.02</v>
      </c>
      <c r="E106" s="753">
        <f t="shared" si="13"/>
        <v>41.071999999999996</v>
      </c>
      <c r="F106" s="856"/>
      <c r="G106" s="753">
        <f t="shared" si="14"/>
        <v>41.071999999999996</v>
      </c>
      <c r="H106" s="753">
        <f t="shared" si="15"/>
        <v>82.143999999999991</v>
      </c>
      <c r="I106" s="1805"/>
      <c r="J106" s="1807"/>
      <c r="K106" s="1810"/>
      <c r="L106" s="1812"/>
      <c r="M106" s="856"/>
      <c r="Y106" s="1397" t="s">
        <v>4792</v>
      </c>
      <c r="Z106" s="1360">
        <v>17.149999999999999</v>
      </c>
    </row>
    <row r="107" spans="1:27" ht="20.25">
      <c r="A107" s="773" t="s">
        <v>4591</v>
      </c>
      <c r="B107" s="855">
        <v>8</v>
      </c>
      <c r="C107" s="858">
        <v>2.6</v>
      </c>
      <c r="D107" s="859">
        <v>3.02</v>
      </c>
      <c r="E107" s="753">
        <f t="shared" si="13"/>
        <v>62.816000000000003</v>
      </c>
      <c r="F107" s="856"/>
      <c r="G107" s="753">
        <f t="shared" si="14"/>
        <v>62.816000000000003</v>
      </c>
      <c r="H107" s="753">
        <f t="shared" si="15"/>
        <v>125.63200000000001</v>
      </c>
      <c r="I107" s="1805"/>
      <c r="J107" s="1807"/>
      <c r="K107" s="1810"/>
      <c r="L107" s="1812"/>
      <c r="M107" s="856"/>
      <c r="Y107" s="1369" t="s">
        <v>5094</v>
      </c>
      <c r="Z107" s="1364">
        <v>17.149999999999999</v>
      </c>
    </row>
    <row r="108" spans="1:27" ht="20.25">
      <c r="A108" s="773" t="s">
        <v>4592</v>
      </c>
      <c r="B108" s="855">
        <v>2</v>
      </c>
      <c r="C108" s="858">
        <v>19.149999999999999</v>
      </c>
      <c r="D108" s="859">
        <v>3.02</v>
      </c>
      <c r="E108" s="753">
        <f t="shared" si="13"/>
        <v>115.666</v>
      </c>
      <c r="F108" s="856">
        <v>0</v>
      </c>
      <c r="G108" s="753">
        <f t="shared" si="14"/>
        <v>115.666</v>
      </c>
      <c r="H108" s="753">
        <f t="shared" si="15"/>
        <v>231.33199999999999</v>
      </c>
      <c r="I108" s="1805"/>
      <c r="J108" s="1807"/>
      <c r="K108" s="1810"/>
      <c r="L108" s="1812"/>
      <c r="M108" s="856">
        <f>8*1.84*2.1</f>
        <v>30.912000000000003</v>
      </c>
      <c r="Y108" s="1369" t="s">
        <v>4279</v>
      </c>
      <c r="Z108" s="1364">
        <v>18.8</v>
      </c>
    </row>
    <row r="109" spans="1:27" ht="20.25">
      <c r="A109" s="773" t="s">
        <v>4593</v>
      </c>
      <c r="B109" s="855">
        <v>2</v>
      </c>
      <c r="C109" s="858">
        <v>19.3</v>
      </c>
      <c r="D109" s="859">
        <v>3.02</v>
      </c>
      <c r="E109" s="753">
        <f t="shared" si="13"/>
        <v>116.572</v>
      </c>
      <c r="F109" s="856">
        <v>0</v>
      </c>
      <c r="G109" s="753">
        <f t="shared" si="14"/>
        <v>116.572</v>
      </c>
      <c r="H109" s="753">
        <f t="shared" si="15"/>
        <v>233.14400000000001</v>
      </c>
      <c r="I109" s="1805"/>
      <c r="J109" s="1807"/>
      <c r="K109" s="1810"/>
      <c r="L109" s="1812"/>
      <c r="M109" s="856">
        <f>8*1.84*2.2</f>
        <v>32.384000000000007</v>
      </c>
      <c r="Y109" s="1369" t="s">
        <v>5125</v>
      </c>
      <c r="Z109" s="1364">
        <f>O177</f>
        <v>85.779999999999987</v>
      </c>
      <c r="AA109" s="1440" t="s">
        <v>1752</v>
      </c>
    </row>
    <row r="110" spans="1:27" ht="20.25">
      <c r="A110" s="773" t="s">
        <v>5224</v>
      </c>
      <c r="B110" s="855">
        <v>16</v>
      </c>
      <c r="C110" s="858">
        <v>2.6</v>
      </c>
      <c r="D110" s="859">
        <v>1.8</v>
      </c>
      <c r="E110" s="753">
        <f t="shared" si="13"/>
        <v>74.88000000000001</v>
      </c>
      <c r="F110" s="856">
        <v>0</v>
      </c>
      <c r="G110" s="753">
        <f t="shared" si="14"/>
        <v>74.88000000000001</v>
      </c>
      <c r="H110" s="753">
        <f t="shared" si="15"/>
        <v>149.76000000000002</v>
      </c>
      <c r="I110" s="1805"/>
      <c r="J110" s="1807"/>
      <c r="K110" s="1810"/>
      <c r="L110" s="1812"/>
      <c r="M110" s="856">
        <f>16*0.8*1.8</f>
        <v>23.040000000000003</v>
      </c>
      <c r="Y110" s="1369" t="s">
        <v>5242</v>
      </c>
      <c r="Z110" s="1364">
        <f>B149</f>
        <v>17.100000000000001</v>
      </c>
      <c r="AA110" s="728" t="s">
        <v>213</v>
      </c>
    </row>
    <row r="111" spans="1:27" ht="20.25">
      <c r="A111" s="773" t="s">
        <v>4595</v>
      </c>
      <c r="B111" s="855">
        <v>2</v>
      </c>
      <c r="C111" s="858">
        <v>6.55</v>
      </c>
      <c r="D111" s="859">
        <v>3.02</v>
      </c>
      <c r="E111" s="753">
        <f t="shared" si="13"/>
        <v>39.561999999999998</v>
      </c>
      <c r="F111" s="856">
        <v>0</v>
      </c>
      <c r="G111" s="753">
        <f t="shared" si="14"/>
        <v>39.561999999999998</v>
      </c>
      <c r="H111" s="753">
        <f t="shared" si="15"/>
        <v>79.123999999999995</v>
      </c>
      <c r="I111" s="1805"/>
      <c r="J111" s="1807"/>
      <c r="K111" s="1810"/>
      <c r="L111" s="1812"/>
      <c r="M111" s="856">
        <f>4*1*1</f>
        <v>4</v>
      </c>
      <c r="Y111" s="1369" t="s">
        <v>5243</v>
      </c>
      <c r="Z111" s="1355">
        <f>B144+B145+B146+B147+B148+B150+B155</f>
        <v>575.13</v>
      </c>
      <c r="AA111" s="728" t="s">
        <v>213</v>
      </c>
    </row>
    <row r="112" spans="1:27" ht="20.25">
      <c r="A112" s="773" t="s">
        <v>4596</v>
      </c>
      <c r="B112" s="855">
        <v>2</v>
      </c>
      <c r="C112" s="858">
        <v>6.6</v>
      </c>
      <c r="D112" s="859">
        <v>3.02</v>
      </c>
      <c r="E112" s="753">
        <f t="shared" si="13"/>
        <v>39.863999999999997</v>
      </c>
      <c r="F112" s="856">
        <v>0</v>
      </c>
      <c r="G112" s="753">
        <f t="shared" si="14"/>
        <v>39.863999999999997</v>
      </c>
      <c r="H112" s="753">
        <f t="shared" si="15"/>
        <v>79.727999999999994</v>
      </c>
      <c r="I112" s="1805"/>
      <c r="J112" s="1807"/>
      <c r="K112" s="1810"/>
      <c r="L112" s="1812"/>
      <c r="M112" s="856">
        <f>4*1*1</f>
        <v>4</v>
      </c>
      <c r="Y112" s="1369" t="s">
        <v>5244</v>
      </c>
      <c r="Z112" s="1355">
        <f>C144+C145+C146+C148+C150+C147+C155</f>
        <v>407.92000000000007</v>
      </c>
      <c r="AA112" s="1554" t="s">
        <v>1171</v>
      </c>
    </row>
    <row r="113" spans="1:27" ht="31.5">
      <c r="A113" s="1394" t="s">
        <v>5225</v>
      </c>
      <c r="B113" s="855">
        <v>4</v>
      </c>
      <c r="C113" s="858">
        <v>3.2</v>
      </c>
      <c r="D113" s="859">
        <v>3.02</v>
      </c>
      <c r="E113" s="753">
        <f t="shared" si="13"/>
        <v>38.656000000000006</v>
      </c>
      <c r="F113" s="856"/>
      <c r="G113" s="753">
        <f t="shared" si="14"/>
        <v>38.656000000000006</v>
      </c>
      <c r="H113" s="753">
        <f t="shared" si="15"/>
        <v>77.312000000000012</v>
      </c>
      <c r="I113" s="1805"/>
      <c r="J113" s="1807"/>
      <c r="K113" s="1810"/>
      <c r="L113" s="1812"/>
      <c r="M113" s="856"/>
      <c r="Y113" s="804" t="s">
        <v>5283</v>
      </c>
      <c r="Z113" s="1407">
        <f>C149</f>
        <v>16.399999999999999</v>
      </c>
      <c r="AA113" s="1554" t="s">
        <v>1171</v>
      </c>
    </row>
    <row r="114" spans="1:27" ht="20.25">
      <c r="A114" s="773" t="s">
        <v>4597</v>
      </c>
      <c r="B114" s="855">
        <v>4</v>
      </c>
      <c r="C114" s="858">
        <v>3.2</v>
      </c>
      <c r="D114" s="859">
        <v>3.02</v>
      </c>
      <c r="E114" s="753">
        <f t="shared" si="13"/>
        <v>38.656000000000006</v>
      </c>
      <c r="F114" s="856">
        <v>0</v>
      </c>
      <c r="G114" s="753">
        <f t="shared" si="14"/>
        <v>38.656000000000006</v>
      </c>
      <c r="H114" s="753">
        <f t="shared" si="15"/>
        <v>77.312000000000012</v>
      </c>
      <c r="I114" s="1805"/>
      <c r="J114" s="1807"/>
      <c r="K114" s="1810"/>
      <c r="L114" s="1812"/>
      <c r="M114" s="856">
        <f>1*1*4</f>
        <v>4</v>
      </c>
      <c r="Y114" s="1639" t="s">
        <v>5410</v>
      </c>
      <c r="Z114" s="728">
        <f>22.9*0.5*4</f>
        <v>45.8</v>
      </c>
      <c r="AA114" s="1639" t="s">
        <v>1806</v>
      </c>
    </row>
    <row r="115" spans="1:27" ht="20.25">
      <c r="A115" s="773" t="s">
        <v>4598</v>
      </c>
      <c r="B115" s="855">
        <v>2</v>
      </c>
      <c r="C115" s="858">
        <v>10</v>
      </c>
      <c r="D115" s="859">
        <v>3.02</v>
      </c>
      <c r="E115" s="753">
        <f t="shared" si="13"/>
        <v>60.4</v>
      </c>
      <c r="F115" s="856">
        <v>0</v>
      </c>
      <c r="G115" s="753">
        <f t="shared" si="14"/>
        <v>60.4</v>
      </c>
      <c r="H115" s="753">
        <f t="shared" si="15"/>
        <v>120.8</v>
      </c>
      <c r="I115" s="1805"/>
      <c r="J115" s="1807"/>
      <c r="K115" s="1810"/>
      <c r="L115" s="1812"/>
      <c r="M115" s="856">
        <f>2*2.75*2+L135</f>
        <v>11</v>
      </c>
      <c r="Y115" s="1640" t="s">
        <v>5411</v>
      </c>
      <c r="Z115" s="1411">
        <f>22.9*4</f>
        <v>91.6</v>
      </c>
      <c r="AA115" s="728" t="s">
        <v>213</v>
      </c>
    </row>
    <row r="116" spans="1:27" ht="20.25">
      <c r="A116" s="773" t="s">
        <v>4599</v>
      </c>
      <c r="B116" s="855">
        <v>1</v>
      </c>
      <c r="C116" s="858">
        <v>6.3</v>
      </c>
      <c r="D116" s="859">
        <v>3.02</v>
      </c>
      <c r="E116" s="753">
        <f t="shared" si="13"/>
        <v>19.026</v>
      </c>
      <c r="F116" s="856">
        <v>0</v>
      </c>
      <c r="G116" s="753">
        <f t="shared" si="14"/>
        <v>19.026</v>
      </c>
      <c r="H116" s="753">
        <f t="shared" si="15"/>
        <v>38.052</v>
      </c>
      <c r="I116" s="1805"/>
      <c r="J116" s="1807"/>
      <c r="K116" s="1810"/>
      <c r="L116" s="1812"/>
      <c r="M116" s="856">
        <f>1.2*2</f>
        <v>2.4</v>
      </c>
      <c r="Y116" s="1411"/>
      <c r="Z116" s="1411"/>
    </row>
    <row r="117" spans="1:27" ht="20.25">
      <c r="A117" s="773" t="s">
        <v>5087</v>
      </c>
      <c r="B117" s="855">
        <v>2</v>
      </c>
      <c r="C117" s="858">
        <v>3.4</v>
      </c>
      <c r="D117" s="859">
        <v>3.02</v>
      </c>
      <c r="E117" s="753">
        <f t="shared" si="13"/>
        <v>20.535999999999998</v>
      </c>
      <c r="F117" s="856">
        <v>0</v>
      </c>
      <c r="G117" s="753">
        <f t="shared" si="14"/>
        <v>20.535999999999998</v>
      </c>
      <c r="H117" s="753">
        <f t="shared" si="15"/>
        <v>41.071999999999996</v>
      </c>
      <c r="I117" s="1805"/>
      <c r="J117" s="1807"/>
      <c r="K117" s="1810"/>
      <c r="L117" s="1812"/>
      <c r="M117" s="856"/>
      <c r="Y117" s="804"/>
      <c r="Z117" s="803"/>
    </row>
    <row r="118" spans="1:27" ht="20.25">
      <c r="A118" s="773" t="s">
        <v>5088</v>
      </c>
      <c r="B118" s="855">
        <v>1</v>
      </c>
      <c r="C118" s="858">
        <v>3.6</v>
      </c>
      <c r="D118" s="859">
        <v>0.6</v>
      </c>
      <c r="E118" s="753">
        <f t="shared" ref="E118" si="16">C118*D118*B118</f>
        <v>2.16</v>
      </c>
      <c r="F118" s="856"/>
      <c r="G118" s="753">
        <f t="shared" ref="G118" si="17">E118-F118</f>
        <v>2.16</v>
      </c>
      <c r="H118" s="753">
        <f t="shared" ref="H118" si="18">G118*2</f>
        <v>4.32</v>
      </c>
      <c r="I118" s="1806"/>
      <c r="J118" s="1808"/>
      <c r="K118" s="1810"/>
      <c r="L118" s="1812"/>
      <c r="M118" s="856"/>
      <c r="Y118" s="804"/>
      <c r="Z118" s="803"/>
    </row>
    <row r="119" spans="1:27" ht="20.25">
      <c r="A119" s="773" t="s">
        <v>4601</v>
      </c>
      <c r="B119" s="857">
        <v>1</v>
      </c>
      <c r="C119" s="883">
        <v>6.8</v>
      </c>
      <c r="D119" s="859">
        <v>3.02</v>
      </c>
      <c r="E119" s="753">
        <f t="shared" si="13"/>
        <v>20.535999999999998</v>
      </c>
      <c r="F119" s="856">
        <v>0</v>
      </c>
      <c r="G119" s="753">
        <f t="shared" si="14"/>
        <v>20.535999999999998</v>
      </c>
      <c r="H119" s="753">
        <f t="shared" si="15"/>
        <v>41.071999999999996</v>
      </c>
      <c r="I119" s="1805"/>
      <c r="J119" s="1807"/>
      <c r="K119" s="1810"/>
      <c r="L119" s="1812"/>
      <c r="M119" s="856">
        <f>5.15*2.1</f>
        <v>10.815000000000001</v>
      </c>
      <c r="Y119" s="804"/>
      <c r="Z119" s="803"/>
    </row>
    <row r="120" spans="1:27" ht="15.75">
      <c r="A120" s="781"/>
      <c r="B120" s="884"/>
      <c r="C120" s="885"/>
      <c r="D120" s="886"/>
      <c r="E120" s="753"/>
      <c r="F120" s="753"/>
      <c r="G120" s="753"/>
      <c r="H120" s="753"/>
      <c r="I120" s="1805"/>
      <c r="J120" s="1807"/>
      <c r="K120" s="887"/>
      <c r="L120" s="888"/>
      <c r="Y120" s="804"/>
      <c r="Z120" s="803"/>
    </row>
    <row r="121" spans="1:27" ht="15.75">
      <c r="A121" s="1792" t="s">
        <v>4602</v>
      </c>
      <c r="B121" s="1793"/>
      <c r="C121" s="1795"/>
      <c r="D121" s="1796"/>
      <c r="E121" s="863"/>
      <c r="F121" s="864"/>
      <c r="G121" s="865">
        <f>SUM(G101:G119)</f>
        <v>999.89159999999981</v>
      </c>
      <c r="H121" s="1598">
        <f>SUM(H101:H119)-123.54*0.4-6.6*0.35</f>
        <v>1948.0571999999997</v>
      </c>
      <c r="I121" s="867"/>
      <c r="J121" s="867"/>
      <c r="K121" s="841"/>
      <c r="L121" s="841"/>
      <c r="Y121" s="804"/>
      <c r="Z121" s="803"/>
    </row>
    <row r="122" spans="1:27" ht="18">
      <c r="A122" s="1792" t="s">
        <v>4573</v>
      </c>
      <c r="B122" s="1793"/>
      <c r="C122" s="870"/>
      <c r="D122" s="871"/>
      <c r="E122" s="871"/>
      <c r="F122" s="872" t="s">
        <v>4574</v>
      </c>
      <c r="G122" s="873">
        <f>SUM(G101:G120)-123.54*0.4-6.6*0.35-G110-G113</f>
        <v>834.62959999999975</v>
      </c>
      <c r="H122" s="873">
        <f>SUM(H101:H120)-123.54*0.4-I101-6.6*0.35</f>
        <v>1640.7205999999996</v>
      </c>
      <c r="I122" s="874">
        <f>SUM(I101)</f>
        <v>307.33660000000003</v>
      </c>
      <c r="J122" s="873">
        <f>J101</f>
        <v>1948.0571999999997</v>
      </c>
      <c r="K122" s="873">
        <f>K101+O136</f>
        <v>318.65610000000004</v>
      </c>
      <c r="L122" s="873">
        <f>L101</f>
        <v>1640.7205999999996</v>
      </c>
      <c r="Y122" s="804"/>
      <c r="Z122" s="803"/>
    </row>
    <row r="123" spans="1:27" ht="15.75">
      <c r="A123" s="805"/>
      <c r="B123" s="805"/>
      <c r="C123" s="805"/>
      <c r="D123" s="805"/>
      <c r="E123" s="805"/>
      <c r="F123" s="872"/>
      <c r="G123" s="865">
        <f>G122*2</f>
        <v>1669.2591999999995</v>
      </c>
      <c r="H123" s="889"/>
      <c r="I123" s="728">
        <f>131.83*3.02-A172-2*2.1*2+16*1*1-8*2*2.1-3.6*1.2-6.6*0.35-60.4*0.4</f>
        <v>307.33660000000003</v>
      </c>
      <c r="J123" s="805"/>
      <c r="K123" s="805"/>
      <c r="L123" s="805"/>
      <c r="M123" s="805"/>
      <c r="N123" s="805"/>
      <c r="Y123" s="804"/>
      <c r="Z123" s="803"/>
    </row>
    <row r="124" spans="1:27" ht="15.75">
      <c r="F124" s="881"/>
      <c r="G124" s="728">
        <f>G121*2-123.54*0.4-6.6*0.35</f>
        <v>1948.0571999999997</v>
      </c>
      <c r="Y124" s="804"/>
      <c r="Z124" s="803"/>
    </row>
    <row r="125" spans="1:27" ht="28.5" customHeight="1">
      <c r="F125" s="881"/>
      <c r="G125" s="728">
        <v>60.4</v>
      </c>
      <c r="H125" s="890" t="s">
        <v>4603</v>
      </c>
      <c r="I125" s="891">
        <f>I93+I122+N136</f>
        <v>492.81110000000007</v>
      </c>
      <c r="J125" s="892" t="s">
        <v>1333</v>
      </c>
      <c r="Y125" s="804"/>
      <c r="Z125" s="803"/>
    </row>
    <row r="126" spans="1:27" ht="31.5" customHeight="1">
      <c r="F126" s="881"/>
      <c r="H126" s="890" t="s">
        <v>4604</v>
      </c>
      <c r="I126" s="891">
        <f>H93+H122</f>
        <v>1842.2637999999997</v>
      </c>
      <c r="J126" s="892" t="s">
        <v>1333</v>
      </c>
      <c r="Y126" s="804"/>
      <c r="Z126" s="803"/>
    </row>
    <row r="127" spans="1:27" ht="30" customHeight="1">
      <c r="F127" s="881"/>
      <c r="H127" s="890" t="s">
        <v>4605</v>
      </c>
      <c r="I127" s="891">
        <f>J122+J93+N136</f>
        <v>2335.0748999999996</v>
      </c>
      <c r="J127" s="892" t="s">
        <v>1333</v>
      </c>
      <c r="Y127" s="804"/>
      <c r="Z127" s="803"/>
    </row>
    <row r="128" spans="1:27" ht="30" customHeight="1">
      <c r="F128" s="881"/>
      <c r="H128" s="890"/>
      <c r="Y128" s="804"/>
      <c r="Z128" s="803"/>
    </row>
    <row r="129" spans="1:26" ht="15.75">
      <c r="F129" s="881"/>
      <c r="Y129" s="804"/>
      <c r="Z129" s="803"/>
    </row>
    <row r="130" spans="1:26" ht="15.75">
      <c r="F130" s="881"/>
      <c r="Y130" s="804"/>
      <c r="Z130" s="803"/>
    </row>
    <row r="131" spans="1:26" ht="20.25">
      <c r="A131" s="1803" t="s">
        <v>4606</v>
      </c>
      <c r="B131" s="1804"/>
      <c r="C131" s="1804"/>
      <c r="D131" s="1804"/>
      <c r="E131" s="1804"/>
      <c r="F131" s="1804"/>
      <c r="G131" s="1804"/>
      <c r="H131" s="1804"/>
      <c r="I131" s="1804"/>
      <c r="J131" s="1373"/>
      <c r="K131" s="1373" t="s">
        <v>5089</v>
      </c>
      <c r="L131" s="1373"/>
      <c r="M131" s="1373"/>
      <c r="N131" s="1373"/>
      <c r="Y131" s="1406"/>
      <c r="Z131" s="1407"/>
    </row>
    <row r="132" spans="1:26" ht="30">
      <c r="A132" s="740" t="s">
        <v>4469</v>
      </c>
      <c r="B132" s="740" t="s">
        <v>515</v>
      </c>
      <c r="C132" s="740" t="s">
        <v>4544</v>
      </c>
      <c r="D132" s="741" t="s">
        <v>4520</v>
      </c>
      <c r="E132" s="740" t="s">
        <v>4545</v>
      </c>
      <c r="F132" s="741" t="s">
        <v>4546</v>
      </c>
      <c r="G132" s="740" t="s">
        <v>4547</v>
      </c>
      <c r="H132" s="854" t="s">
        <v>4526</v>
      </c>
      <c r="I132" s="854" t="s">
        <v>4550</v>
      </c>
      <c r="J132" s="1374"/>
      <c r="K132" s="1374" t="s">
        <v>4519</v>
      </c>
      <c r="L132" s="1375" t="s">
        <v>4520</v>
      </c>
      <c r="M132" s="1388" t="s">
        <v>4516</v>
      </c>
      <c r="N132" s="1388" t="s">
        <v>5092</v>
      </c>
      <c r="O132" s="1389" t="s">
        <v>4654</v>
      </c>
      <c r="R132" s="730"/>
      <c r="S132" s="730"/>
      <c r="Y132" s="1406"/>
      <c r="Z132" s="1407"/>
    </row>
    <row r="133" spans="1:26" ht="20.25">
      <c r="A133" s="773" t="s">
        <v>4607</v>
      </c>
      <c r="B133" s="855">
        <v>1</v>
      </c>
      <c r="C133" s="858">
        <v>1.85</v>
      </c>
      <c r="D133" s="893">
        <v>2.8</v>
      </c>
      <c r="E133" s="753">
        <f t="shared" ref="E133:E136" si="19">C133*D133*B133</f>
        <v>5.18</v>
      </c>
      <c r="F133" s="856"/>
      <c r="G133" s="753">
        <f t="shared" ref="G133:G135" si="20">E133-F133</f>
        <v>5.18</v>
      </c>
      <c r="H133" s="896">
        <f>G133</f>
        <v>5.18</v>
      </c>
      <c r="I133" s="1381">
        <f>E133</f>
        <v>5.18</v>
      </c>
      <c r="J133" s="1376" t="s">
        <v>5090</v>
      </c>
      <c r="K133" s="1110">
        <f>4.6+1.26</f>
        <v>5.8599999999999994</v>
      </c>
      <c r="L133" s="1377">
        <v>0.4</v>
      </c>
      <c r="M133" s="730">
        <f>K133*L133+K133*0.15</f>
        <v>3.2229999999999999</v>
      </c>
      <c r="N133" s="730">
        <f>M133*2</f>
        <v>6.4459999999999997</v>
      </c>
      <c r="O133" s="728">
        <f>N133</f>
        <v>6.4459999999999997</v>
      </c>
      <c r="R133" s="730"/>
      <c r="S133" s="730"/>
      <c r="Y133" s="1408"/>
      <c r="Z133" s="1407"/>
    </row>
    <row r="134" spans="1:26" ht="31.5">
      <c r="A134" s="1394" t="s">
        <v>5106</v>
      </c>
      <c r="B134" s="855">
        <v>1</v>
      </c>
      <c r="C134" s="858">
        <v>2</v>
      </c>
      <c r="D134" s="859">
        <v>1.5</v>
      </c>
      <c r="E134" s="753">
        <f t="shared" si="19"/>
        <v>3</v>
      </c>
      <c r="F134" s="856"/>
      <c r="G134" s="753">
        <f t="shared" si="20"/>
        <v>3</v>
      </c>
      <c r="H134" s="896">
        <f t="shared" ref="H134:H135" si="21">G134</f>
        <v>3</v>
      </c>
      <c r="I134" s="1381">
        <f t="shared" ref="I134:I135" si="22">E134</f>
        <v>3</v>
      </c>
      <c r="J134" s="1376" t="s">
        <v>5091</v>
      </c>
      <c r="K134" s="1110">
        <f>4.38+0.75</f>
        <v>5.13</v>
      </c>
      <c r="L134" s="1377">
        <v>0.4</v>
      </c>
      <c r="M134" s="730">
        <f>K134*L134</f>
        <v>2.052</v>
      </c>
      <c r="N134" s="730">
        <f>M134*2+K134*0.15</f>
        <v>4.8734999999999999</v>
      </c>
      <c r="O134" s="728">
        <f>N134</f>
        <v>4.8734999999999999</v>
      </c>
      <c r="R134" s="730"/>
      <c r="S134" s="730"/>
      <c r="Y134" s="1408"/>
      <c r="Z134" s="1407"/>
    </row>
    <row r="135" spans="1:26" ht="31.5">
      <c r="A135" s="1394" t="s">
        <v>5106</v>
      </c>
      <c r="B135" s="1395">
        <v>2</v>
      </c>
      <c r="C135" s="1396">
        <v>1.6</v>
      </c>
      <c r="D135" s="1386">
        <v>1.5</v>
      </c>
      <c r="E135" s="753">
        <f t="shared" si="19"/>
        <v>4.8000000000000007</v>
      </c>
      <c r="F135" s="1387"/>
      <c r="G135" s="753">
        <f t="shared" si="20"/>
        <v>4.8000000000000007</v>
      </c>
      <c r="H135" s="896">
        <f t="shared" si="21"/>
        <v>4.8000000000000007</v>
      </c>
      <c r="I135" s="1381">
        <f t="shared" si="22"/>
        <v>4.8000000000000007</v>
      </c>
      <c r="J135" s="1376"/>
      <c r="K135" s="1110"/>
      <c r="L135" s="1377"/>
      <c r="M135" s="730"/>
      <c r="N135" s="730"/>
      <c r="R135" s="730"/>
      <c r="S135" s="730"/>
      <c r="Y135" s="1408"/>
      <c r="Z135" s="1407"/>
    </row>
    <row r="136" spans="1:26" ht="20.25">
      <c r="A136" s="773" t="s">
        <v>4608</v>
      </c>
      <c r="B136" s="855">
        <v>1</v>
      </c>
      <c r="C136" s="856">
        <v>2.65</v>
      </c>
      <c r="D136" s="859">
        <v>2.8</v>
      </c>
      <c r="E136" s="746">
        <f t="shared" si="19"/>
        <v>7.419999999999999</v>
      </c>
      <c r="F136" s="746"/>
      <c r="G136" s="746">
        <f>E136-F136</f>
        <v>7.419999999999999</v>
      </c>
      <c r="H136" s="896">
        <f>G136</f>
        <v>7.419999999999999</v>
      </c>
      <c r="I136" s="1381">
        <f>E136</f>
        <v>7.419999999999999</v>
      </c>
      <c r="J136" s="1376"/>
      <c r="K136" s="1110"/>
      <c r="L136" s="1377"/>
      <c r="M136" s="1144">
        <f>SUM(M133:M134)</f>
        <v>5.2750000000000004</v>
      </c>
      <c r="N136" s="1144">
        <f>SUM(N133:N134)</f>
        <v>11.3195</v>
      </c>
      <c r="O136" s="1144">
        <f>SUM(O133:O134)</f>
        <v>11.3195</v>
      </c>
      <c r="R136" s="1436"/>
      <c r="S136" s="730"/>
      <c r="Y136" s="1408"/>
      <c r="Z136" s="1407"/>
    </row>
    <row r="137" spans="1:26">
      <c r="A137" s="1792" t="s">
        <v>4609</v>
      </c>
      <c r="B137" s="1793"/>
      <c r="C137" s="1795"/>
      <c r="D137" s="1796"/>
      <c r="E137" s="863"/>
      <c r="F137" s="864"/>
      <c r="G137" s="867"/>
      <c r="H137" s="841"/>
      <c r="I137" s="898"/>
      <c r="J137" s="1378"/>
      <c r="K137" s="1378"/>
      <c r="L137" s="1107"/>
      <c r="M137" s="730"/>
      <c r="N137" s="730"/>
      <c r="R137" s="730"/>
      <c r="S137" s="730"/>
      <c r="Y137" s="1409"/>
      <c r="Z137" s="1407"/>
    </row>
    <row r="138" spans="1:26">
      <c r="A138" s="1792" t="s">
        <v>4573</v>
      </c>
      <c r="B138" s="1793"/>
      <c r="C138" s="870"/>
      <c r="D138" s="871"/>
      <c r="E138" s="871"/>
      <c r="F138" s="871"/>
      <c r="G138" s="865">
        <f>SUM(G133:G136)</f>
        <v>20.399999999999999</v>
      </c>
      <c r="H138" s="900">
        <f>SUM(H133:H136)</f>
        <v>20.399999999999999</v>
      </c>
      <c r="I138" s="900">
        <f>SUM(I133:I136)</f>
        <v>20.399999999999999</v>
      </c>
      <c r="J138" s="1379"/>
      <c r="K138" s="1380"/>
      <c r="L138" s="1379"/>
      <c r="M138" s="730"/>
      <c r="N138" s="730"/>
      <c r="Y138" s="1410"/>
      <c r="Z138" s="1407"/>
    </row>
    <row r="139" spans="1:26" ht="15.75">
      <c r="F139" s="881"/>
      <c r="J139" s="730"/>
      <c r="K139" s="730"/>
      <c r="L139" s="730"/>
      <c r="M139" s="730"/>
      <c r="N139" s="730"/>
      <c r="Y139" s="804"/>
      <c r="Z139" s="803"/>
    </row>
    <row r="140" spans="1:26" ht="15.75">
      <c r="F140" s="881"/>
      <c r="Y140" s="804"/>
      <c r="Z140" s="1407"/>
    </row>
    <row r="141" spans="1:26" ht="15.75">
      <c r="E141" s="901" t="s">
        <v>4610</v>
      </c>
      <c r="F141" s="901"/>
      <c r="G141" s="902"/>
      <c r="H141" s="903"/>
      <c r="Y141" s="804"/>
      <c r="Z141" s="1407"/>
    </row>
    <row r="142" spans="1:26" ht="33" customHeight="1">
      <c r="A142" s="1794" t="s">
        <v>4611</v>
      </c>
      <c r="B142" s="1794"/>
      <c r="C142" s="1794"/>
      <c r="D142" s="851"/>
      <c r="E142" s="739" t="s">
        <v>4524</v>
      </c>
      <c r="F142" s="739" t="s">
        <v>4516</v>
      </c>
      <c r="G142" s="739" t="s">
        <v>4612</v>
      </c>
      <c r="H142" s="739" t="s">
        <v>4613</v>
      </c>
      <c r="N142" s="904"/>
      <c r="Y142" s="804"/>
      <c r="Z142" s="1407"/>
    </row>
    <row r="143" spans="1:26" ht="15.75">
      <c r="A143" s="739" t="s">
        <v>4516</v>
      </c>
      <c r="B143" s="739" t="s">
        <v>4525</v>
      </c>
      <c r="C143" s="741" t="s">
        <v>4614</v>
      </c>
      <c r="E143" s="794" t="s">
        <v>4528</v>
      </c>
      <c r="F143" s="905">
        <f>B158</f>
        <v>502.40999999999991</v>
      </c>
      <c r="G143" s="905">
        <f>F143</f>
        <v>502.40999999999991</v>
      </c>
      <c r="H143" s="905">
        <f>F143</f>
        <v>502.40999999999991</v>
      </c>
      <c r="Y143" s="807"/>
      <c r="Z143" s="807"/>
    </row>
    <row r="144" spans="1:26">
      <c r="A144" s="906" t="s">
        <v>4615</v>
      </c>
      <c r="B144" s="907">
        <f>10.75*16</f>
        <v>172</v>
      </c>
      <c r="C144" s="908">
        <f>11.22*16</f>
        <v>179.52</v>
      </c>
      <c r="E144" s="909"/>
      <c r="F144" s="910"/>
      <c r="G144" s="911"/>
      <c r="Y144" s="807"/>
      <c r="Z144" s="807"/>
    </row>
    <row r="145" spans="1:26" ht="15.75">
      <c r="A145" s="906" t="s">
        <v>4616</v>
      </c>
      <c r="B145" s="907">
        <f>3.66*16</f>
        <v>58.56</v>
      </c>
      <c r="C145" s="908">
        <f>4.14*16</f>
        <v>66.239999999999995</v>
      </c>
      <c r="E145" s="901" t="s">
        <v>4617</v>
      </c>
      <c r="F145" s="901"/>
      <c r="G145" s="902"/>
      <c r="H145" s="903"/>
      <c r="Y145" s="807"/>
      <c r="Z145" s="807"/>
    </row>
    <row r="146" spans="1:26" ht="32.25" customHeight="1">
      <c r="A146" s="906" t="s">
        <v>4618</v>
      </c>
      <c r="B146" s="912">
        <f>63.7+63.7+69.28</f>
        <v>196.68</v>
      </c>
      <c r="C146" s="908">
        <f>20.08*4+42.15</f>
        <v>122.47</v>
      </c>
      <c r="E146" s="739" t="s">
        <v>4524</v>
      </c>
      <c r="F146" s="739" t="s">
        <v>4516</v>
      </c>
      <c r="G146" s="739" t="s">
        <v>4612</v>
      </c>
      <c r="H146" s="739" t="s">
        <v>4613</v>
      </c>
      <c r="Y146" s="807"/>
      <c r="Z146" s="807"/>
    </row>
    <row r="147" spans="1:26" ht="15.75">
      <c r="A147" s="906" t="s">
        <v>5134</v>
      </c>
      <c r="B147" s="907">
        <f>41.92*2</f>
        <v>83.84</v>
      </c>
      <c r="C147" s="908">
        <f>0.75*8</f>
        <v>6</v>
      </c>
      <c r="E147" s="794" t="s">
        <v>4528</v>
      </c>
      <c r="F147" s="905">
        <f>B159*2+67.45*0.12+5.42*0.4</f>
        <v>119.56200000000001</v>
      </c>
      <c r="G147" s="905">
        <f>F147</f>
        <v>119.56200000000001</v>
      </c>
      <c r="H147" s="905">
        <f>F147</f>
        <v>119.56200000000001</v>
      </c>
      <c r="Y147" s="807"/>
      <c r="Z147" s="807"/>
    </row>
    <row r="148" spans="1:26" ht="15.75">
      <c r="A148" s="906" t="s">
        <v>4619</v>
      </c>
      <c r="B148" s="907">
        <v>8.8000000000000007</v>
      </c>
      <c r="C148" s="908">
        <v>11.1</v>
      </c>
      <c r="D148" s="1389" t="s">
        <v>5108</v>
      </c>
      <c r="E148" s="910" t="s">
        <v>4080</v>
      </c>
      <c r="F148" s="1545"/>
      <c r="G148" s="913"/>
      <c r="H148" s="733"/>
      <c r="Y148" s="807"/>
      <c r="Z148" s="807"/>
    </row>
    <row r="149" spans="1:26">
      <c r="A149" s="906" t="s">
        <v>4620</v>
      </c>
      <c r="B149" s="907">
        <v>17.100000000000001</v>
      </c>
      <c r="C149" s="908">
        <v>16.399999999999999</v>
      </c>
      <c r="D149" s="728">
        <v>6</v>
      </c>
      <c r="E149" s="910">
        <v>1.5</v>
      </c>
      <c r="F149" s="802">
        <f>D149*E149</f>
        <v>9</v>
      </c>
      <c r="G149" s="913"/>
      <c r="H149" s="733"/>
      <c r="Y149" s="807"/>
      <c r="Z149" s="807"/>
    </row>
    <row r="150" spans="1:26">
      <c r="A150" s="906" t="s">
        <v>4621</v>
      </c>
      <c r="B150" s="912">
        <v>48.8</v>
      </c>
      <c r="C150" s="908">
        <v>12.24</v>
      </c>
      <c r="E150" s="914"/>
      <c r="F150" s="915"/>
      <c r="G150" s="915"/>
      <c r="H150" s="913"/>
      <c r="I150" s="733"/>
      <c r="J150" s="733"/>
      <c r="M150" s="916"/>
    </row>
    <row r="151" spans="1:26" ht="15.75">
      <c r="A151" s="906"/>
      <c r="B151" s="912"/>
      <c r="C151" s="908"/>
      <c r="E151" s="785"/>
      <c r="F151" s="785"/>
      <c r="G151" s="785"/>
      <c r="H151" s="785"/>
      <c r="I151" s="785"/>
      <c r="J151" s="785"/>
      <c r="K151" s="785"/>
      <c r="L151" s="730"/>
      <c r="M151" s="917"/>
    </row>
    <row r="152" spans="1:26" ht="15.75">
      <c r="A152" s="906" t="s">
        <v>4623</v>
      </c>
      <c r="B152" s="907">
        <f>3.15*8</f>
        <v>25.2</v>
      </c>
      <c r="C152" s="918"/>
      <c r="E152" s="944"/>
      <c r="F152" s="944"/>
      <c r="G152" s="944"/>
      <c r="H152" s="919"/>
      <c r="I152" s="1786" t="s">
        <v>4274</v>
      </c>
      <c r="J152" s="1786"/>
      <c r="K152" s="1786"/>
      <c r="L152" s="920"/>
      <c r="M152" s="1786" t="s">
        <v>4624</v>
      </c>
      <c r="N152" s="1786"/>
      <c r="O152" s="1786"/>
    </row>
    <row r="153" spans="1:26" ht="21" customHeight="1">
      <c r="A153" s="906" t="s">
        <v>4625</v>
      </c>
      <c r="B153" s="907">
        <f>2.45+4.9+2.45+5.65</f>
        <v>15.450000000000001</v>
      </c>
      <c r="C153" s="918"/>
      <c r="E153" s="1080"/>
      <c r="F153" s="1080"/>
      <c r="G153" s="1080"/>
      <c r="H153" s="921"/>
      <c r="I153" s="739"/>
      <c r="J153" s="739" t="s">
        <v>4627</v>
      </c>
      <c r="K153" s="739" t="s">
        <v>1752</v>
      </c>
      <c r="L153" s="730"/>
      <c r="M153" s="739" t="s">
        <v>4628</v>
      </c>
      <c r="N153" s="739" t="s">
        <v>4629</v>
      </c>
      <c r="O153" s="739" t="s">
        <v>1752</v>
      </c>
    </row>
    <row r="154" spans="1:26" ht="29.25" customHeight="1">
      <c r="A154" s="906" t="s">
        <v>1336</v>
      </c>
      <c r="B154" s="922"/>
      <c r="C154" s="918">
        <f>19.2+36*0.15</f>
        <v>24.599999999999998</v>
      </c>
      <c r="E154" s="909"/>
      <c r="F154" s="910"/>
      <c r="G154" s="911"/>
      <c r="H154" s="825"/>
      <c r="I154" s="924" t="s">
        <v>4630</v>
      </c>
      <c r="J154" s="923"/>
      <c r="K154" s="908">
        <f>64+32*1.8+16*3.32+3*3.32+2.45*4+4*1+2*1.1+2.7*2+4.3*2+1.7*2+6.95*4*2+0.36*16+3.7*8+8+3.3*4*3</f>
        <v>356.64</v>
      </c>
      <c r="L154" s="730"/>
      <c r="M154" s="924" t="s">
        <v>4631</v>
      </c>
      <c r="N154" s="923">
        <f>2.1*4+2.7*2+1.85*16+32*2.1+2*8+8*2.1*2+1.5*3+1.45+3.02*2+0.85+2.1*2+2.1*2</f>
        <v>181.43999999999997</v>
      </c>
      <c r="O154" s="908"/>
    </row>
    <row r="155" spans="1:26" ht="15.75">
      <c r="A155" s="906" t="s">
        <v>5109</v>
      </c>
      <c r="B155" s="922">
        <v>6.45</v>
      </c>
      <c r="C155" s="925">
        <v>10.35</v>
      </c>
      <c r="E155" s="909"/>
      <c r="F155" s="910"/>
      <c r="G155" s="911"/>
      <c r="H155" s="825"/>
      <c r="I155" s="924"/>
      <c r="J155" s="840"/>
      <c r="K155" s="926"/>
      <c r="L155" s="730"/>
      <c r="M155" s="924" t="s">
        <v>4632</v>
      </c>
      <c r="N155" s="840">
        <f>32*2+32*1.07+1.1*8</f>
        <v>107.04</v>
      </c>
      <c r="O155" s="926"/>
    </row>
    <row r="156" spans="1:26" ht="15.75">
      <c r="A156" s="906" t="s">
        <v>4633</v>
      </c>
      <c r="B156" s="912">
        <f>41.51+62.6+63.1+41.51+51.31+28.45+8.6+16.6+9.9+2.78+10.6*16+B155</f>
        <v>502.40999999999991</v>
      </c>
      <c r="C156" s="918"/>
      <c r="E156" s="829"/>
      <c r="F156" s="829"/>
      <c r="G156" s="1085"/>
      <c r="H156" s="929"/>
      <c r="I156" s="924"/>
      <c r="J156" s="923"/>
      <c r="K156" s="908"/>
      <c r="L156" s="730"/>
      <c r="M156" s="924"/>
      <c r="N156" s="923"/>
      <c r="O156" s="908"/>
    </row>
    <row r="157" spans="1:26" ht="15.75">
      <c r="A157" s="906" t="s">
        <v>4634</v>
      </c>
      <c r="B157" s="907">
        <f>3.18+6+3+3+6.2+3.25+3.2+6.2+3+3+6+3.2+5.42</f>
        <v>54.650000000000006</v>
      </c>
      <c r="C157" s="918"/>
      <c r="E157" s="829"/>
      <c r="F157" s="829"/>
      <c r="G157" s="1085"/>
      <c r="H157" s="929"/>
      <c r="I157" s="924"/>
      <c r="J157" s="923"/>
      <c r="K157" s="908"/>
      <c r="L157" s="730"/>
      <c r="M157" s="924"/>
      <c r="N157" s="923"/>
      <c r="O157" s="908"/>
    </row>
    <row r="158" spans="1:26">
      <c r="A158" s="930" t="s">
        <v>4635</v>
      </c>
      <c r="B158" s="931">
        <f>B156</f>
        <v>502.40999999999991</v>
      </c>
      <c r="C158" s="1841">
        <f>SUM(C144:C156)</f>
        <v>448.92000000000007</v>
      </c>
      <c r="D158" s="913"/>
      <c r="E158" s="932"/>
      <c r="F158" s="805"/>
      <c r="G158" s="805"/>
      <c r="H158" s="805"/>
      <c r="I158" s="924"/>
      <c r="J158" s="755"/>
      <c r="K158" s="755"/>
      <c r="M158" s="924"/>
      <c r="N158" s="755"/>
      <c r="O158" s="755"/>
    </row>
    <row r="159" spans="1:26" ht="30.75" customHeight="1">
      <c r="A159" s="933" t="s">
        <v>4636</v>
      </c>
      <c r="B159" s="934">
        <f>B157</f>
        <v>54.650000000000006</v>
      </c>
      <c r="C159" s="1842"/>
      <c r="D159" s="913"/>
      <c r="E159" s="932"/>
      <c r="F159" s="805"/>
      <c r="G159" s="805"/>
      <c r="H159" s="805"/>
      <c r="I159" s="935" t="s">
        <v>518</v>
      </c>
      <c r="J159" s="935"/>
      <c r="K159" s="936">
        <f>F173+F177+A182+A187+K192+K154</f>
        <v>1140.18</v>
      </c>
      <c r="M159" s="935" t="s">
        <v>518</v>
      </c>
      <c r="N159" s="935">
        <f>N154+N155</f>
        <v>288.47999999999996</v>
      </c>
      <c r="O159" s="928"/>
    </row>
    <row r="160" spans="1:26" ht="15.75">
      <c r="A160" s="933" t="s">
        <v>4637</v>
      </c>
      <c r="B160" s="937">
        <f>SUM(B144:B155)</f>
        <v>632.88000000000011</v>
      </c>
      <c r="C160" s="1843"/>
      <c r="D160" s="913"/>
      <c r="E160" s="938" t="s">
        <v>4638</v>
      </c>
      <c r="F160" s="939"/>
      <c r="G160" s="833"/>
    </row>
    <row r="161" spans="1:18" ht="15.75">
      <c r="A161" s="915"/>
      <c r="B161" s="915"/>
      <c r="C161" s="915"/>
      <c r="D161" s="913"/>
      <c r="E161" s="795" t="s">
        <v>1171</v>
      </c>
      <c r="F161" s="940">
        <f>2.8*2</f>
        <v>5.6</v>
      </c>
    </row>
    <row r="162" spans="1:18" ht="15.75">
      <c r="A162" s="915"/>
      <c r="B162" s="915"/>
      <c r="C162" s="915"/>
      <c r="D162" s="913"/>
      <c r="E162" s="728" t="s">
        <v>811</v>
      </c>
      <c r="F162" s="728">
        <f>F161*0.6*10.76</f>
        <v>36.153599999999997</v>
      </c>
      <c r="G162" s="941"/>
      <c r="H162" s="811"/>
      <c r="I162" s="730"/>
      <c r="J162" s="1844"/>
      <c r="K162" s="1844"/>
      <c r="L162" s="1844"/>
      <c r="M162" s="1844"/>
      <c r="N162" s="1844"/>
      <c r="O162" s="1844"/>
      <c r="P162" s="1844"/>
      <c r="Q162" s="1844"/>
    </row>
    <row r="163" spans="1:18">
      <c r="A163" s="915"/>
      <c r="B163" s="915"/>
      <c r="C163" s="915"/>
      <c r="D163" s="913"/>
      <c r="E163" s="730"/>
      <c r="F163" s="942"/>
      <c r="G163" s="829"/>
      <c r="H163" s="829"/>
    </row>
    <row r="164" spans="1:18" ht="15.75">
      <c r="A164" s="1845" t="s">
        <v>5086</v>
      </c>
      <c r="B164" s="1846"/>
      <c r="C164" s="1846"/>
      <c r="D164" s="1846"/>
      <c r="E164" s="943"/>
      <c r="F164" s="944"/>
      <c r="G164" s="944"/>
      <c r="H164" s="944"/>
      <c r="I164" s="944"/>
      <c r="J164" s="944"/>
      <c r="K164" s="944"/>
      <c r="L164" s="944"/>
      <c r="M164" s="944"/>
      <c r="N164" s="944"/>
      <c r="O164" s="944"/>
      <c r="P164" s="944"/>
      <c r="Q164" s="944"/>
      <c r="R164" s="944"/>
    </row>
    <row r="165" spans="1:18" ht="45" customHeight="1">
      <c r="A165" s="945" t="s">
        <v>4524</v>
      </c>
      <c r="B165" s="853" t="s">
        <v>4516</v>
      </c>
      <c r="C165" s="853" t="s">
        <v>4639</v>
      </c>
      <c r="D165" s="853" t="s">
        <v>4640</v>
      </c>
      <c r="E165" s="943"/>
      <c r="F165" s="944"/>
      <c r="G165" s="944"/>
      <c r="H165" s="944"/>
      <c r="I165" s="944"/>
      <c r="J165" s="944"/>
      <c r="K165" s="944"/>
      <c r="L165" s="944"/>
      <c r="M165" s="944"/>
      <c r="N165" s="944"/>
      <c r="O165" s="944"/>
      <c r="P165" s="944"/>
      <c r="Q165" s="944"/>
      <c r="R165" s="944"/>
    </row>
    <row r="166" spans="1:18" ht="15.75">
      <c r="A166" s="946" t="s">
        <v>4641</v>
      </c>
      <c r="B166" s="765">
        <f>B160</f>
        <v>632.88000000000011</v>
      </c>
      <c r="C166" s="947">
        <v>0.08</v>
      </c>
      <c r="D166" s="838">
        <f>B166*C166</f>
        <v>50.630400000000009</v>
      </c>
      <c r="E166" s="948"/>
      <c r="F166" s="944"/>
      <c r="G166" s="944"/>
      <c r="H166" s="944"/>
      <c r="I166" s="944"/>
      <c r="J166" s="944"/>
      <c r="K166" s="944"/>
      <c r="L166" s="944"/>
      <c r="M166" s="944"/>
      <c r="N166" s="944"/>
      <c r="O166" s="944"/>
      <c r="P166" s="944"/>
      <c r="Q166" s="944"/>
      <c r="R166" s="944"/>
    </row>
    <row r="167" spans="1:18">
      <c r="A167" s="949"/>
      <c r="B167" s="949"/>
      <c r="C167" s="949"/>
      <c r="D167" s="932"/>
      <c r="E167" s="948"/>
      <c r="F167" s="805"/>
      <c r="G167" s="805"/>
      <c r="H167" s="805"/>
      <c r="I167" s="950"/>
      <c r="J167" s="951"/>
      <c r="K167" s="951"/>
      <c r="L167" s="932"/>
      <c r="M167" s="950"/>
      <c r="N167" s="950"/>
      <c r="O167" s="950"/>
      <c r="P167" s="950"/>
      <c r="Q167" s="950"/>
      <c r="R167" s="805"/>
    </row>
    <row r="168" spans="1:18" ht="15.75">
      <c r="I168" s="1847" t="s">
        <v>4642</v>
      </c>
      <c r="J168" s="1848"/>
      <c r="K168" s="1848"/>
      <c r="L168" s="807"/>
      <c r="M168" s="938" t="s">
        <v>4643</v>
      </c>
      <c r="N168" s="939"/>
    </row>
    <row r="169" spans="1:18" ht="15.75">
      <c r="I169" s="952">
        <f>2.9*16*2+1.1*16</f>
        <v>110.4</v>
      </c>
      <c r="J169" s="953" t="s">
        <v>1752</v>
      </c>
      <c r="K169" s="807"/>
      <c r="L169" s="807"/>
      <c r="M169" s="952">
        <f>3.5*16+2.75</f>
        <v>58.75</v>
      </c>
      <c r="N169" s="953" t="s">
        <v>1333</v>
      </c>
    </row>
    <row r="170" spans="1:18" ht="27.75" customHeight="1">
      <c r="A170" s="954" t="s">
        <v>4644</v>
      </c>
      <c r="B170" s="955"/>
      <c r="C170" s="956"/>
      <c r="E170" s="957"/>
    </row>
    <row r="171" spans="1:18" ht="15.75">
      <c r="A171" s="958" t="s">
        <v>4645</v>
      </c>
      <c r="B171" s="958" t="s">
        <v>4646</v>
      </c>
      <c r="C171" s="959" t="s">
        <v>4647</v>
      </c>
      <c r="D171" s="958" t="s">
        <v>4648</v>
      </c>
      <c r="E171" s="958" t="s">
        <v>4649</v>
      </c>
      <c r="F171" s="960" t="s">
        <v>4274</v>
      </c>
      <c r="G171" s="960" t="s">
        <v>5061</v>
      </c>
      <c r="J171" s="938" t="s">
        <v>4570</v>
      </c>
      <c r="K171" s="939"/>
      <c r="M171" s="938" t="s">
        <v>4650</v>
      </c>
      <c r="N171" s="939"/>
      <c r="O171" s="961"/>
      <c r="P171" s="733"/>
    </row>
    <row r="172" spans="1:18" ht="15.75">
      <c r="A172" s="958">
        <f>85*0.4</f>
        <v>34</v>
      </c>
      <c r="B172" s="958">
        <f>123.81*0.4+65.4*0.4*2+1.5*0.4*2*5+1.5*0.15*5</f>
        <v>108.96900000000001</v>
      </c>
      <c r="C172" s="958">
        <f>A172+B172</f>
        <v>142.96899999999999</v>
      </c>
      <c r="D172" s="958">
        <f>B172</f>
        <v>108.96900000000001</v>
      </c>
      <c r="E172" s="958">
        <f>A172</f>
        <v>34</v>
      </c>
      <c r="F172" s="926">
        <f>2.77*4+3.6*2+32+32*1.85+16*2+32+1.5*4+0.8*4+1.45*2+0.8*2+1.5*2+0.9*2+2.95*4+3.9*2+1.9*2</f>
        <v>215.38000000000005</v>
      </c>
      <c r="G172" s="926"/>
      <c r="J172" s="789" t="s">
        <v>4572</v>
      </c>
      <c r="K172" s="962">
        <f>15.2*0.4*0.6</f>
        <v>3.6479999999999997</v>
      </c>
      <c r="M172" s="963">
        <f>4.6*4</f>
        <v>18.399999999999999</v>
      </c>
      <c r="N172" s="953" t="s">
        <v>1752</v>
      </c>
    </row>
    <row r="173" spans="1:18" ht="29.25">
      <c r="A173" s="964"/>
      <c r="B173" s="964"/>
      <c r="C173" s="964"/>
      <c r="D173" s="964"/>
      <c r="E173" s="964"/>
      <c r="F173" s="965">
        <f t="shared" ref="F173" si="23">F172</f>
        <v>215.38000000000005</v>
      </c>
      <c r="G173" s="965"/>
      <c r="J173" s="966" t="s">
        <v>4575</v>
      </c>
      <c r="K173" s="967">
        <f>K172-(0.2*0.1*15.2+0.45*0.2*15.2)*1.35</f>
        <v>1.3907999999999991</v>
      </c>
    </row>
    <row r="174" spans="1:18">
      <c r="A174" s="954" t="s">
        <v>4651</v>
      </c>
      <c r="B174" s="968">
        <f>181.72*0.6</f>
        <v>109.032</v>
      </c>
      <c r="C174" s="968"/>
      <c r="D174" s="913"/>
      <c r="E174" s="913"/>
      <c r="J174" s="789" t="s">
        <v>4576</v>
      </c>
      <c r="K174" s="969">
        <f>15.2*0.2*0.45</f>
        <v>1.3680000000000001</v>
      </c>
    </row>
    <row r="175" spans="1:18" ht="15.75">
      <c r="A175" s="960" t="s">
        <v>4652</v>
      </c>
      <c r="B175" s="960" t="s">
        <v>4653</v>
      </c>
      <c r="C175" s="970" t="s">
        <v>4647</v>
      </c>
      <c r="D175" s="960" t="s">
        <v>4654</v>
      </c>
      <c r="E175" s="960" t="s">
        <v>4655</v>
      </c>
      <c r="F175" s="960" t="s">
        <v>4274</v>
      </c>
      <c r="G175" s="960" t="s">
        <v>5061</v>
      </c>
      <c r="H175" s="960" t="s">
        <v>5062</v>
      </c>
      <c r="J175" s="789" t="s">
        <v>4577</v>
      </c>
      <c r="K175" s="969">
        <f>15.2*0.6</f>
        <v>9.1199999999999992</v>
      </c>
      <c r="M175" s="938" t="s">
        <v>4656</v>
      </c>
      <c r="N175" s="939"/>
    </row>
    <row r="176" spans="1:18" ht="15.75">
      <c r="A176" s="971">
        <f>592.78*0.3+2.9*4*0.3+48.6*0.4</f>
        <v>200.75399999999996</v>
      </c>
      <c r="B176" s="947">
        <f>181.72*0.6</f>
        <v>109.032</v>
      </c>
      <c r="C176" s="908">
        <f>A176+B176</f>
        <v>309.78599999999994</v>
      </c>
      <c r="D176" s="908">
        <f>B176</f>
        <v>109.032</v>
      </c>
      <c r="E176" s="908">
        <f>A176</f>
        <v>200.75399999999996</v>
      </c>
      <c r="F176" s="926">
        <f>3.1*8+6.7*8+2*2+4.8*2+1.7*2+3.6*2+6.85*2+6.85+5.15</f>
        <v>128.30000000000001</v>
      </c>
      <c r="G176" s="926">
        <f>CUANTIAS!G70</f>
        <v>16.914300000000001</v>
      </c>
      <c r="H176" s="926">
        <f>CUANTIAS!G61</f>
        <v>1.3544999999999998</v>
      </c>
      <c r="J176" s="789" t="s">
        <v>4578</v>
      </c>
      <c r="K176" s="969">
        <f>16.5+15.2*0.6*2+15.2*0.1</f>
        <v>36.26</v>
      </c>
      <c r="M176" s="794" t="s">
        <v>4657</v>
      </c>
      <c r="N176" s="972"/>
    </row>
    <row r="177" spans="1:15" ht="30">
      <c r="A177" s="930">
        <f t="shared" ref="A177:F177" si="24">A176</f>
        <v>200.75399999999996</v>
      </c>
      <c r="B177" s="973">
        <f t="shared" si="24"/>
        <v>109.032</v>
      </c>
      <c r="C177" s="930">
        <f t="shared" si="24"/>
        <v>309.78599999999994</v>
      </c>
      <c r="D177" s="928">
        <f t="shared" si="24"/>
        <v>109.032</v>
      </c>
      <c r="E177" s="928">
        <f t="shared" si="24"/>
        <v>200.75399999999996</v>
      </c>
      <c r="F177" s="965">
        <f t="shared" si="24"/>
        <v>128.30000000000001</v>
      </c>
      <c r="G177" s="965"/>
      <c r="H177" s="965"/>
      <c r="J177" s="789" t="s">
        <v>4579</v>
      </c>
      <c r="K177" s="969">
        <f>15.8*2+1*6</f>
        <v>37.6</v>
      </c>
      <c r="M177" s="974" t="s">
        <v>4658</v>
      </c>
      <c r="N177" s="794"/>
      <c r="O177" s="728">
        <f>5.2*2+6.7*2+3.05*4+2.8*2+3.05*10+4+2+2.52+1.08*2+0.4*3+0.6*3</f>
        <v>85.779999999999987</v>
      </c>
    </row>
    <row r="178" spans="1:15" ht="28.5">
      <c r="A178" s="968">
        <f>592.78*0.3</f>
        <v>177.83399999999997</v>
      </c>
      <c r="B178" s="968"/>
      <c r="C178" s="968"/>
      <c r="D178" s="913"/>
      <c r="E178" s="913"/>
      <c r="J178" s="975" t="s">
        <v>4580</v>
      </c>
      <c r="K178" s="969"/>
      <c r="L178" s="730"/>
      <c r="M178" s="815" t="s">
        <v>518</v>
      </c>
      <c r="N178" s="976">
        <f>SUM(N176:N177)</f>
        <v>0</v>
      </c>
    </row>
    <row r="179" spans="1:15">
      <c r="A179" s="954" t="s">
        <v>4659</v>
      </c>
      <c r="B179" s="954"/>
      <c r="C179" s="968"/>
      <c r="D179" s="913"/>
      <c r="E179" s="913"/>
      <c r="J179" s="977" t="s">
        <v>4582</v>
      </c>
      <c r="K179" s="969">
        <f>16.15*0.1</f>
        <v>1.615</v>
      </c>
      <c r="L179" s="730" t="s">
        <v>1806</v>
      </c>
    </row>
    <row r="180" spans="1:15" ht="29.25" customHeight="1">
      <c r="A180" s="979" t="s">
        <v>4661</v>
      </c>
      <c r="B180" s="960" t="s">
        <v>4652</v>
      </c>
      <c r="C180" s="960" t="s">
        <v>4653</v>
      </c>
      <c r="D180" s="980" t="s">
        <v>4612</v>
      </c>
      <c r="E180" s="960" t="s">
        <v>4654</v>
      </c>
      <c r="F180" s="960" t="s">
        <v>4655</v>
      </c>
      <c r="L180" s="730"/>
    </row>
    <row r="181" spans="1:15" ht="15.75">
      <c r="A181" s="908">
        <f>26*3.47+3.32+3.47*2+2.7*8+28*3.32+6*3.32+2*3.02</f>
        <v>240.99999999999994</v>
      </c>
      <c r="B181" s="947">
        <f>18.95*3.02+1.92*0.2*16</f>
        <v>63.372999999999998</v>
      </c>
      <c r="C181" s="926">
        <f>4.2*3.05+3.3*0.4*4*3</f>
        <v>28.65</v>
      </c>
      <c r="D181" s="947">
        <f>B181+C181</f>
        <v>92.022999999999996</v>
      </c>
      <c r="E181" s="926">
        <f>C181</f>
        <v>28.65</v>
      </c>
      <c r="F181" s="947">
        <f>B181</f>
        <v>63.372999999999998</v>
      </c>
      <c r="J181" s="938" t="s">
        <v>4662</v>
      </c>
      <c r="K181" s="938"/>
      <c r="L181" s="730"/>
    </row>
    <row r="182" spans="1:15">
      <c r="A182" s="928">
        <f t="shared" ref="A182:F182" si="25">A181</f>
        <v>240.99999999999994</v>
      </c>
      <c r="B182" s="973">
        <f t="shared" si="25"/>
        <v>63.372999999999998</v>
      </c>
      <c r="C182" s="965">
        <f t="shared" si="25"/>
        <v>28.65</v>
      </c>
      <c r="D182" s="965">
        <f t="shared" si="25"/>
        <v>92.022999999999996</v>
      </c>
      <c r="E182" s="965">
        <f t="shared" si="25"/>
        <v>28.65</v>
      </c>
      <c r="F182" s="973">
        <f t="shared" si="25"/>
        <v>63.372999999999998</v>
      </c>
      <c r="J182" s="755" t="s">
        <v>1752</v>
      </c>
      <c r="K182" s="981">
        <f>6*2</f>
        <v>12</v>
      </c>
      <c r="L182" s="730"/>
    </row>
    <row r="183" spans="1:15" ht="15.75">
      <c r="A183" s="915"/>
      <c r="B183" s="915"/>
      <c r="C183" s="915"/>
      <c r="D183" s="913"/>
      <c r="E183" s="913"/>
      <c r="J183" s="942"/>
      <c r="K183" s="982"/>
      <c r="L183" s="730"/>
    </row>
    <row r="184" spans="1:15">
      <c r="A184" s="954" t="s">
        <v>4663</v>
      </c>
      <c r="B184" s="954"/>
      <c r="C184" s="968"/>
      <c r="D184" s="913"/>
      <c r="E184" s="913"/>
    </row>
    <row r="185" spans="1:15">
      <c r="A185" s="979" t="s">
        <v>4661</v>
      </c>
      <c r="B185" s="983" t="s">
        <v>4664</v>
      </c>
      <c r="C185" s="983" t="s">
        <v>4665</v>
      </c>
      <c r="D185" s="970" t="s">
        <v>4647</v>
      </c>
      <c r="E185" s="960" t="s">
        <v>4654</v>
      </c>
      <c r="F185" s="960" t="s">
        <v>4655</v>
      </c>
    </row>
    <row r="186" spans="1:15" ht="15.75">
      <c r="A186" s="774">
        <f>32*3.02+8*3.47</f>
        <v>124.4</v>
      </c>
      <c r="B186" s="789">
        <f>4.05*8*3.05</f>
        <v>98.82</v>
      </c>
      <c r="C186" s="789"/>
      <c r="D186" s="984">
        <f>B186</f>
        <v>98.82</v>
      </c>
      <c r="E186" s="789">
        <f>B186</f>
        <v>98.82</v>
      </c>
      <c r="F186" s="743">
        <f>C186</f>
        <v>0</v>
      </c>
    </row>
    <row r="187" spans="1:15" ht="15.75">
      <c r="A187" s="763">
        <f t="shared" ref="A187:F187" si="26">A186</f>
        <v>124.4</v>
      </c>
      <c r="B187" s="965">
        <f t="shared" si="26"/>
        <v>98.82</v>
      </c>
      <c r="C187" s="965">
        <f t="shared" si="26"/>
        <v>0</v>
      </c>
      <c r="D187" s="930">
        <f t="shared" si="26"/>
        <v>98.82</v>
      </c>
      <c r="E187" s="965">
        <f t="shared" si="26"/>
        <v>98.82</v>
      </c>
      <c r="F187" s="973">
        <f t="shared" si="26"/>
        <v>0</v>
      </c>
    </row>
    <row r="189" spans="1:15" ht="15.75">
      <c r="A189" s="968"/>
      <c r="B189" s="968"/>
      <c r="F189" s="955" t="s">
        <v>4666</v>
      </c>
      <c r="G189" s="955"/>
      <c r="H189" s="956"/>
    </row>
    <row r="190" spans="1:15" ht="15.75">
      <c r="A190" s="1384"/>
      <c r="B190" s="1384"/>
      <c r="F190" s="960" t="s">
        <v>4652</v>
      </c>
      <c r="G190" s="960" t="s">
        <v>4653</v>
      </c>
      <c r="H190" s="970" t="s">
        <v>4647</v>
      </c>
      <c r="I190" s="960" t="s">
        <v>4654</v>
      </c>
      <c r="J190" s="960" t="s">
        <v>4655</v>
      </c>
      <c r="K190" s="985" t="s">
        <v>4274</v>
      </c>
    </row>
    <row r="191" spans="1:15">
      <c r="A191" s="1385"/>
      <c r="B191" s="1083"/>
      <c r="F191" s="984"/>
      <c r="G191" s="987">
        <f>I191</f>
        <v>54.650000000000006</v>
      </c>
      <c r="H191" s="987">
        <f>F191+G191</f>
        <v>54.650000000000006</v>
      </c>
      <c r="I191" s="987">
        <f>B159</f>
        <v>54.650000000000006</v>
      </c>
      <c r="J191" s="987">
        <f>F191</f>
        <v>0</v>
      </c>
      <c r="K191" s="988">
        <f>0.9*4+3.7*4+0.36*4+7*4+0.36*8+0.36*4+3.5*4+8.3</f>
        <v>74.459999999999994</v>
      </c>
    </row>
    <row r="192" spans="1:15">
      <c r="A192" s="968"/>
      <c r="B192" s="1109"/>
      <c r="F192" s="989">
        <f t="shared" ref="F192:K192" si="27">F191</f>
        <v>0</v>
      </c>
      <c r="G192" s="990">
        <f t="shared" si="27"/>
        <v>54.650000000000006</v>
      </c>
      <c r="H192" s="989">
        <f t="shared" si="27"/>
        <v>54.650000000000006</v>
      </c>
      <c r="I192" s="991">
        <f t="shared" si="27"/>
        <v>54.650000000000006</v>
      </c>
      <c r="J192" s="991">
        <f t="shared" si="27"/>
        <v>0</v>
      </c>
      <c r="K192" s="992">
        <f t="shared" si="27"/>
        <v>74.459999999999994</v>
      </c>
    </row>
    <row r="194" spans="1:27" ht="15.75">
      <c r="A194" s="915"/>
      <c r="B194" s="915"/>
      <c r="C194" s="915"/>
      <c r="D194" s="913"/>
      <c r="E194" s="913"/>
      <c r="J194" s="942"/>
      <c r="K194" s="982"/>
      <c r="L194" s="730"/>
    </row>
    <row r="195" spans="1:27" ht="15.75">
      <c r="A195" s="1849" t="s">
        <v>4667</v>
      </c>
      <c r="B195" s="1850"/>
      <c r="D195" s="1035"/>
      <c r="E195" s="1035"/>
      <c r="J195" s="938" t="s">
        <v>4669</v>
      </c>
      <c r="K195" s="938"/>
      <c r="L195" s="730"/>
    </row>
    <row r="196" spans="1:27" ht="15.75">
      <c r="A196" s="993" t="s">
        <v>4670</v>
      </c>
      <c r="B196" s="905">
        <f>K93+K122+H138+E172+D176+E181+E186+I191+O136</f>
        <v>849.68260000000009</v>
      </c>
      <c r="D196" s="1035"/>
      <c r="E196" s="1035"/>
      <c r="J196" s="755" t="s">
        <v>1333</v>
      </c>
      <c r="K196" s="981">
        <f>2.75+2.25+2.7</f>
        <v>7.7</v>
      </c>
      <c r="L196" s="730"/>
    </row>
    <row r="197" spans="1:27" ht="15.75">
      <c r="A197" s="995" t="s">
        <v>4671</v>
      </c>
      <c r="B197" s="996">
        <f>L93+L122+I138+D172+E176+F181+F186+J191</f>
        <v>2235.7597999999998</v>
      </c>
      <c r="C197" s="730"/>
      <c r="G197" s="938" t="s">
        <v>4672</v>
      </c>
      <c r="H197" s="938"/>
      <c r="J197" s="938" t="s">
        <v>4673</v>
      </c>
      <c r="K197" s="938"/>
      <c r="L197" s="730"/>
    </row>
    <row r="198" spans="1:27" ht="15.75">
      <c r="A198" s="995" t="s">
        <v>4674</v>
      </c>
      <c r="B198" s="996">
        <f>B156</f>
        <v>502.40999999999991</v>
      </c>
      <c r="C198" s="730"/>
      <c r="G198" s="755" t="s">
        <v>1752</v>
      </c>
      <c r="H198" s="981">
        <f>21.75+3.05*4+6.7*2</f>
        <v>47.35</v>
      </c>
      <c r="J198" s="755" t="s">
        <v>1752</v>
      </c>
      <c r="K198" s="981">
        <v>28.6</v>
      </c>
      <c r="L198" s="730"/>
    </row>
    <row r="199" spans="1:27" ht="28.5" customHeight="1">
      <c r="A199" s="767" t="s">
        <v>5188</v>
      </c>
      <c r="B199" s="915">
        <f>(G53+G54+G55+G56+G57+J53+J54+J55+J56+J57)*2</f>
        <v>0</v>
      </c>
      <c r="C199" s="915"/>
      <c r="D199" s="913"/>
      <c r="E199" s="913"/>
      <c r="J199" s="942"/>
      <c r="K199" s="982"/>
      <c r="L199" s="730"/>
    </row>
    <row r="200" spans="1:27" ht="15.75">
      <c r="A200" s="915"/>
      <c r="B200" s="915"/>
      <c r="C200" s="915"/>
      <c r="D200" s="913"/>
      <c r="E200" s="913"/>
      <c r="J200" s="942"/>
      <c r="K200" s="982"/>
      <c r="L200" s="730"/>
    </row>
    <row r="201" spans="1:27" ht="15.75">
      <c r="A201" s="915"/>
      <c r="B201" s="915"/>
      <c r="C201" s="915"/>
      <c r="D201" s="913"/>
      <c r="E201" s="913"/>
      <c r="J201" s="942"/>
      <c r="K201" s="982"/>
      <c r="L201" s="730"/>
    </row>
    <row r="203" spans="1:27">
      <c r="A203" s="997"/>
      <c r="B203" s="997"/>
      <c r="C203" s="997"/>
      <c r="D203" s="997"/>
      <c r="E203" s="997"/>
      <c r="F203" s="997"/>
      <c r="G203" s="997"/>
      <c r="H203" s="997"/>
      <c r="I203" s="997"/>
      <c r="J203" s="997"/>
      <c r="K203" s="997"/>
      <c r="L203" s="997"/>
      <c r="M203" s="997"/>
      <c r="N203" s="997"/>
      <c r="O203" s="997"/>
      <c r="P203" s="997"/>
      <c r="Q203" s="997"/>
      <c r="R203" s="997"/>
    </row>
    <row r="205" spans="1:27" ht="18">
      <c r="E205" s="1799" t="s">
        <v>4675</v>
      </c>
      <c r="F205" s="1799"/>
      <c r="G205" s="1799"/>
      <c r="H205" s="1799"/>
      <c r="I205" s="1799"/>
    </row>
    <row r="206" spans="1:27" ht="18">
      <c r="E206" s="729"/>
      <c r="F206" s="729"/>
      <c r="G206" s="729"/>
      <c r="H206" s="729"/>
      <c r="I206" s="729"/>
    </row>
    <row r="207" spans="1:27" ht="20.25">
      <c r="A207" s="1827" t="s">
        <v>4676</v>
      </c>
      <c r="B207" s="1828"/>
      <c r="C207" s="1828"/>
      <c r="D207" s="1828"/>
      <c r="E207" s="1828"/>
      <c r="F207" s="1828"/>
      <c r="G207" s="1828"/>
      <c r="H207" s="1828"/>
      <c r="I207" s="1828"/>
      <c r="J207" s="1828"/>
      <c r="K207" s="1828"/>
      <c r="L207" s="1828"/>
      <c r="M207" s="1828"/>
      <c r="N207" s="1828"/>
      <c r="Y207" s="998" t="s">
        <v>4677</v>
      </c>
      <c r="Z207" s="998"/>
    </row>
    <row r="208" spans="1:27" ht="63">
      <c r="A208" s="814" t="s">
        <v>4469</v>
      </c>
      <c r="B208" s="814" t="s">
        <v>515</v>
      </c>
      <c r="C208" s="814" t="s">
        <v>4544</v>
      </c>
      <c r="D208" s="814" t="s">
        <v>4520</v>
      </c>
      <c r="E208" s="814" t="s">
        <v>4545</v>
      </c>
      <c r="F208" s="814" t="s">
        <v>4546</v>
      </c>
      <c r="G208" s="814" t="s">
        <v>4547</v>
      </c>
      <c r="H208" s="771" t="s">
        <v>4548</v>
      </c>
      <c r="I208" s="771" t="s">
        <v>4549</v>
      </c>
      <c r="J208" s="771" t="s">
        <v>4678</v>
      </c>
      <c r="K208" s="999" t="s">
        <v>4679</v>
      </c>
      <c r="L208" s="1000" t="s">
        <v>4274</v>
      </c>
      <c r="M208" s="1001" t="s">
        <v>4526</v>
      </c>
      <c r="N208" s="1001" t="s">
        <v>4550</v>
      </c>
      <c r="Y208" s="1359" t="s">
        <v>4434</v>
      </c>
      <c r="Z208" s="1355">
        <f>CUANTIAS!H309</f>
        <v>2.3555999999999999</v>
      </c>
      <c r="AA208" s="728" t="s">
        <v>1806</v>
      </c>
    </row>
    <row r="209" spans="1:27" ht="15.75">
      <c r="A209" s="1002" t="s">
        <v>4584</v>
      </c>
      <c r="B209" s="745">
        <v>4</v>
      </c>
      <c r="C209" s="856">
        <v>6.7</v>
      </c>
      <c r="D209" s="856">
        <v>3.02</v>
      </c>
      <c r="E209" s="746">
        <f>C209*D209*B209</f>
        <v>80.936000000000007</v>
      </c>
      <c r="F209" s="746">
        <v>0</v>
      </c>
      <c r="G209" s="746">
        <f>E209-F209</f>
        <v>80.936000000000007</v>
      </c>
      <c r="H209" s="746">
        <f>G209*2</f>
        <v>161.87200000000001</v>
      </c>
      <c r="I209" s="1829">
        <f>I230</f>
        <v>368.08300000000003</v>
      </c>
      <c r="J209" s="1831">
        <f>H229+I229</f>
        <v>2036.5676000000003</v>
      </c>
      <c r="K209" s="1003"/>
      <c r="L209" s="796"/>
      <c r="M209" s="1833">
        <f>I209</f>
        <v>368.08300000000003</v>
      </c>
      <c r="N209" s="1835">
        <f>H229</f>
        <v>1668.4846000000002</v>
      </c>
      <c r="O209" s="746">
        <f>1.2*0.6*4+1.5*2.1*2</f>
        <v>9.18</v>
      </c>
      <c r="Y209" s="1359" t="s">
        <v>4435</v>
      </c>
      <c r="Z209" s="1355">
        <f>CUANTIAS!H333</f>
        <v>2.8992000000000004</v>
      </c>
      <c r="AA209" s="728" t="s">
        <v>1806</v>
      </c>
    </row>
    <row r="210" spans="1:27" ht="15.75">
      <c r="A210" s="1002" t="s">
        <v>4589</v>
      </c>
      <c r="B210" s="745">
        <v>4</v>
      </c>
      <c r="C210" s="858">
        <v>3.1</v>
      </c>
      <c r="D210" s="856">
        <v>3.02</v>
      </c>
      <c r="E210" s="746">
        <f>C210*D210*B210</f>
        <v>37.448</v>
      </c>
      <c r="F210" s="746">
        <v>0</v>
      </c>
      <c r="G210" s="746">
        <f>E210-F210</f>
        <v>37.448</v>
      </c>
      <c r="H210" s="746">
        <f t="shared" ref="H210:H225" si="28">G210*2</f>
        <v>74.896000000000001</v>
      </c>
      <c r="I210" s="1830"/>
      <c r="J210" s="1832"/>
      <c r="K210" s="1003"/>
      <c r="L210" s="796"/>
      <c r="M210" s="1834"/>
      <c r="N210" s="1836"/>
      <c r="O210" s="746">
        <f>2.4*0.6*4</f>
        <v>5.76</v>
      </c>
      <c r="Y210" s="1359" t="s">
        <v>4436</v>
      </c>
      <c r="Z210" s="1364">
        <f>CUANTIAS!H361</f>
        <v>0.54359999999999997</v>
      </c>
      <c r="AA210" s="728" t="s">
        <v>1806</v>
      </c>
    </row>
    <row r="211" spans="1:27" ht="15.75">
      <c r="A211" s="1002" t="s">
        <v>4590</v>
      </c>
      <c r="B211" s="745">
        <v>4</v>
      </c>
      <c r="C211" s="858">
        <v>1.42</v>
      </c>
      <c r="D211" s="856">
        <v>3.02</v>
      </c>
      <c r="E211" s="746">
        <f>C211*D211*B211</f>
        <v>17.153600000000001</v>
      </c>
      <c r="F211" s="746">
        <v>0</v>
      </c>
      <c r="G211" s="746">
        <f>E211-F211</f>
        <v>17.153600000000001</v>
      </c>
      <c r="H211" s="746">
        <f t="shared" si="28"/>
        <v>34.307200000000002</v>
      </c>
      <c r="I211" s="1830"/>
      <c r="J211" s="1832"/>
      <c r="K211" s="1003"/>
      <c r="L211" s="796"/>
      <c r="M211" s="1834"/>
      <c r="N211" s="1836"/>
      <c r="O211" s="746"/>
      <c r="Y211" s="1359" t="s">
        <v>4437</v>
      </c>
      <c r="Z211" s="1364">
        <f>CUANTIAS!H393</f>
        <v>0.95360000000000023</v>
      </c>
      <c r="AA211" s="728" t="s">
        <v>1806</v>
      </c>
    </row>
    <row r="212" spans="1:27" ht="15.75">
      <c r="A212" s="1002" t="s">
        <v>4680</v>
      </c>
      <c r="B212" s="745">
        <v>2</v>
      </c>
      <c r="C212" s="858">
        <v>11.47</v>
      </c>
      <c r="D212" s="856">
        <v>3.02</v>
      </c>
      <c r="E212" s="746">
        <f>C212*D212*B212</f>
        <v>69.278800000000004</v>
      </c>
      <c r="F212" s="746">
        <v>0</v>
      </c>
      <c r="G212" s="746">
        <f>E212-F212</f>
        <v>69.278800000000004</v>
      </c>
      <c r="H212" s="746">
        <f t="shared" si="28"/>
        <v>138.55760000000001</v>
      </c>
      <c r="I212" s="1830"/>
      <c r="J212" s="1832"/>
      <c r="K212" s="1003"/>
      <c r="L212" s="796"/>
      <c r="M212" s="1834"/>
      <c r="N212" s="1836"/>
      <c r="O212" s="746">
        <f>2.75*2.2*2</f>
        <v>12.100000000000001</v>
      </c>
      <c r="Y212" s="1359" t="s">
        <v>5073</v>
      </c>
      <c r="Z212" s="1355">
        <f>CUANTIAS!H407</f>
        <v>0.95360000000000023</v>
      </c>
      <c r="AA212" s="728" t="s">
        <v>1806</v>
      </c>
    </row>
    <row r="213" spans="1:27" ht="15.75">
      <c r="A213" s="1002" t="s">
        <v>4681</v>
      </c>
      <c r="B213" s="745">
        <v>2</v>
      </c>
      <c r="C213" s="858">
        <v>3.7</v>
      </c>
      <c r="D213" s="856">
        <v>3.02</v>
      </c>
      <c r="E213" s="746">
        <f>C213*D213*B213</f>
        <v>22.348000000000003</v>
      </c>
      <c r="F213" s="746">
        <v>0</v>
      </c>
      <c r="G213" s="746">
        <f>E213-F213</f>
        <v>22.348000000000003</v>
      </c>
      <c r="H213" s="746">
        <f t="shared" si="28"/>
        <v>44.696000000000005</v>
      </c>
      <c r="I213" s="1830"/>
      <c r="J213" s="1832"/>
      <c r="K213" s="1003"/>
      <c r="L213" s="796"/>
      <c r="M213" s="1834"/>
      <c r="N213" s="1836"/>
      <c r="O213" s="746"/>
      <c r="Y213" s="1359" t="s">
        <v>4461</v>
      </c>
      <c r="Z213" s="1355">
        <f>CUANTIAS!H280</f>
        <v>11.913599999999999</v>
      </c>
      <c r="AA213" s="728" t="s">
        <v>1806</v>
      </c>
    </row>
    <row r="214" spans="1:27" ht="18" customHeight="1">
      <c r="A214" s="1002" t="s">
        <v>4682</v>
      </c>
      <c r="B214" s="745">
        <v>8</v>
      </c>
      <c r="C214" s="858">
        <v>3.3</v>
      </c>
      <c r="D214" s="856">
        <v>3.02</v>
      </c>
      <c r="E214" s="746">
        <f t="shared" ref="E214:E225" si="29">C214*D214*B214</f>
        <v>79.727999999999994</v>
      </c>
      <c r="F214" s="746">
        <v>0</v>
      </c>
      <c r="G214" s="746">
        <f t="shared" ref="G214:G225" si="30">E214-F214</f>
        <v>79.727999999999994</v>
      </c>
      <c r="H214" s="746">
        <f t="shared" si="28"/>
        <v>159.45599999999999</v>
      </c>
      <c r="I214" s="1830"/>
      <c r="J214" s="1832"/>
      <c r="K214" s="1003"/>
      <c r="L214" s="796"/>
      <c r="M214" s="1834"/>
      <c r="N214" s="1836"/>
      <c r="O214" s="746">
        <f>1*1.2*8</f>
        <v>9.6</v>
      </c>
      <c r="Y214" s="1359" t="s">
        <v>4440</v>
      </c>
      <c r="Z214" s="1355">
        <f>CUANTIAS!I469</f>
        <v>0.61199999999999999</v>
      </c>
      <c r="AA214" s="728" t="s">
        <v>1806</v>
      </c>
    </row>
    <row r="215" spans="1:27" ht="15.75">
      <c r="A215" s="1002" t="s">
        <v>4683</v>
      </c>
      <c r="B215" s="745">
        <v>2</v>
      </c>
      <c r="C215" s="858">
        <v>15.15</v>
      </c>
      <c r="D215" s="856">
        <v>3.02</v>
      </c>
      <c r="E215" s="746">
        <f t="shared" si="29"/>
        <v>91.506</v>
      </c>
      <c r="F215" s="746">
        <v>0</v>
      </c>
      <c r="G215" s="746">
        <f t="shared" si="30"/>
        <v>91.506</v>
      </c>
      <c r="H215" s="746">
        <f t="shared" si="28"/>
        <v>183.012</v>
      </c>
      <c r="I215" s="1830"/>
      <c r="J215" s="1832"/>
      <c r="K215" s="1003"/>
      <c r="L215" s="796"/>
      <c r="M215" s="1834"/>
      <c r="N215" s="1836"/>
      <c r="O215" s="746">
        <f>1.85*2.1*8</f>
        <v>31.080000000000002</v>
      </c>
      <c r="Y215" s="1363" t="s">
        <v>4441</v>
      </c>
      <c r="Z215" s="1355">
        <f>CUANTIAS!I485</f>
        <v>0.7752</v>
      </c>
      <c r="AA215" s="728" t="s">
        <v>1806</v>
      </c>
    </row>
    <row r="216" spans="1:27" ht="15.75">
      <c r="A216" s="1002" t="s">
        <v>4684</v>
      </c>
      <c r="B216" s="745">
        <v>2</v>
      </c>
      <c r="C216" s="858">
        <v>19.3</v>
      </c>
      <c r="D216" s="856">
        <v>3.02</v>
      </c>
      <c r="E216" s="746">
        <f t="shared" si="29"/>
        <v>116.572</v>
      </c>
      <c r="F216" s="746">
        <v>0</v>
      </c>
      <c r="G216" s="746">
        <f t="shared" si="30"/>
        <v>116.572</v>
      </c>
      <c r="H216" s="746">
        <f t="shared" si="28"/>
        <v>233.14400000000001</v>
      </c>
      <c r="I216" s="1830"/>
      <c r="J216" s="1832"/>
      <c r="K216" s="1003"/>
      <c r="L216" s="796"/>
      <c r="M216" s="1834"/>
      <c r="N216" s="1836"/>
      <c r="O216" s="746">
        <f>8*1.85*2.1</f>
        <v>31.080000000000002</v>
      </c>
      <c r="Y216" s="1363" t="s">
        <v>4444</v>
      </c>
      <c r="Z216" s="1355">
        <f>CUANTIAS!I535</f>
        <v>2.16</v>
      </c>
      <c r="AA216" s="728" t="s">
        <v>1806</v>
      </c>
    </row>
    <row r="217" spans="1:27" ht="15.75">
      <c r="A217" s="1002" t="s">
        <v>4685</v>
      </c>
      <c r="B217" s="745">
        <v>8</v>
      </c>
      <c r="C217" s="858">
        <v>2.6</v>
      </c>
      <c r="D217" s="856">
        <v>3.02</v>
      </c>
      <c r="E217" s="746">
        <f t="shared" si="29"/>
        <v>62.816000000000003</v>
      </c>
      <c r="F217" s="746">
        <v>0</v>
      </c>
      <c r="G217" s="746">
        <f t="shared" si="30"/>
        <v>62.816000000000003</v>
      </c>
      <c r="H217" s="746">
        <f t="shared" si="28"/>
        <v>125.63200000000001</v>
      </c>
      <c r="I217" s="1830"/>
      <c r="J217" s="1832"/>
      <c r="K217" s="1003"/>
      <c r="L217" s="796"/>
      <c r="M217" s="1834"/>
      <c r="N217" s="1836"/>
      <c r="O217" s="746"/>
      <c r="Y217" s="1363" t="s">
        <v>4445</v>
      </c>
      <c r="Z217" s="1355">
        <f>CUANTIAS!I552</f>
        <v>4.1760000000000002</v>
      </c>
      <c r="AA217" s="728" t="s">
        <v>1806</v>
      </c>
    </row>
    <row r="218" spans="1:27" ht="15.75">
      <c r="A218" s="1002" t="s">
        <v>5227</v>
      </c>
      <c r="B218" s="745">
        <v>16</v>
      </c>
      <c r="C218" s="858">
        <v>2.6</v>
      </c>
      <c r="D218" s="856">
        <v>1.8</v>
      </c>
      <c r="E218" s="746">
        <f t="shared" si="29"/>
        <v>74.88000000000001</v>
      </c>
      <c r="F218" s="746">
        <v>0</v>
      </c>
      <c r="G218" s="746">
        <f t="shared" si="30"/>
        <v>74.88000000000001</v>
      </c>
      <c r="H218" s="746">
        <f t="shared" si="28"/>
        <v>149.76000000000002</v>
      </c>
      <c r="I218" s="1830"/>
      <c r="J218" s="1832"/>
      <c r="K218" s="1003"/>
      <c r="L218" s="796"/>
      <c r="M218" s="1834"/>
      <c r="N218" s="1836"/>
      <c r="O218" s="746">
        <f>0.8*1.8*16</f>
        <v>23.040000000000003</v>
      </c>
      <c r="Y218" s="1363" t="s">
        <v>4446</v>
      </c>
      <c r="Z218" s="1355">
        <f>CUANTIAS!I568</f>
        <v>0.73799999999999999</v>
      </c>
      <c r="AA218" s="728" t="s">
        <v>1806</v>
      </c>
    </row>
    <row r="219" spans="1:27" ht="15.75">
      <c r="A219" s="1002" t="s">
        <v>4597</v>
      </c>
      <c r="B219" s="745">
        <v>16</v>
      </c>
      <c r="C219" s="858">
        <f>1.72-0.2*4</f>
        <v>0.91999999999999993</v>
      </c>
      <c r="D219" s="856">
        <v>3.02</v>
      </c>
      <c r="E219" s="746">
        <f t="shared" si="29"/>
        <v>44.4544</v>
      </c>
      <c r="F219" s="746">
        <v>0</v>
      </c>
      <c r="G219" s="746">
        <f t="shared" si="30"/>
        <v>44.4544</v>
      </c>
      <c r="H219" s="746">
        <f t="shared" si="28"/>
        <v>88.908799999999999</v>
      </c>
      <c r="I219" s="1830"/>
      <c r="J219" s="1832"/>
      <c r="K219" s="1003"/>
      <c r="L219" s="796"/>
      <c r="M219" s="1834"/>
      <c r="N219" s="1836"/>
      <c r="O219" s="746"/>
      <c r="Y219" s="1356" t="s">
        <v>4447</v>
      </c>
      <c r="Z219" s="1355">
        <f>CUANTIAS!I607</f>
        <v>1.10565</v>
      </c>
      <c r="AA219" s="728" t="s">
        <v>1806</v>
      </c>
    </row>
    <row r="220" spans="1:27" ht="15.75">
      <c r="A220" s="1002" t="s">
        <v>4598</v>
      </c>
      <c r="B220" s="745">
        <v>16</v>
      </c>
      <c r="C220" s="858">
        <v>2.9</v>
      </c>
      <c r="D220" s="856">
        <v>3.02</v>
      </c>
      <c r="E220" s="746">
        <f t="shared" si="29"/>
        <v>140.12799999999999</v>
      </c>
      <c r="F220" s="746">
        <v>0</v>
      </c>
      <c r="G220" s="746">
        <f t="shared" si="30"/>
        <v>140.12799999999999</v>
      </c>
      <c r="H220" s="746">
        <f t="shared" si="28"/>
        <v>280.25599999999997</v>
      </c>
      <c r="I220" s="1830"/>
      <c r="J220" s="1832"/>
      <c r="K220" s="1003"/>
      <c r="L220" s="796"/>
      <c r="M220" s="1834"/>
      <c r="N220" s="1836"/>
      <c r="O220" s="746">
        <f>0.6*2*8+0.6*1*16</f>
        <v>19.2</v>
      </c>
      <c r="Y220" s="1356" t="s">
        <v>4448</v>
      </c>
      <c r="Z220" s="1358">
        <f>CUANTIAS!I646</f>
        <v>0.58755000000000002</v>
      </c>
      <c r="AA220" s="728" t="s">
        <v>1806</v>
      </c>
    </row>
    <row r="221" spans="1:27" ht="30">
      <c r="A221" s="1002" t="s">
        <v>4687</v>
      </c>
      <c r="B221" s="745">
        <v>2</v>
      </c>
      <c r="C221" s="858">
        <v>6.6</v>
      </c>
      <c r="D221" s="856">
        <v>3.02</v>
      </c>
      <c r="E221" s="746">
        <f t="shared" si="29"/>
        <v>39.863999999999997</v>
      </c>
      <c r="F221" s="746">
        <v>0</v>
      </c>
      <c r="G221" s="746">
        <f t="shared" si="30"/>
        <v>39.863999999999997</v>
      </c>
      <c r="H221" s="746">
        <f t="shared" si="28"/>
        <v>79.727999999999994</v>
      </c>
      <c r="I221" s="1830"/>
      <c r="J221" s="1832"/>
      <c r="K221" s="1003"/>
      <c r="L221" s="796"/>
      <c r="M221" s="1834"/>
      <c r="N221" s="1836"/>
      <c r="O221" s="746">
        <f>1.2*1*4</f>
        <v>4.8</v>
      </c>
      <c r="Y221" s="1362" t="s">
        <v>4449</v>
      </c>
      <c r="Z221" s="1358">
        <f>CUANTIAS!G71</f>
        <v>18.572099999999999</v>
      </c>
      <c r="AA221" s="728" t="s">
        <v>1806</v>
      </c>
    </row>
    <row r="222" spans="1:27" ht="30">
      <c r="A222" s="1002" t="s">
        <v>4688</v>
      </c>
      <c r="B222" s="745">
        <v>2</v>
      </c>
      <c r="C222" s="858">
        <v>6.8</v>
      </c>
      <c r="D222" s="856">
        <v>3.02</v>
      </c>
      <c r="E222" s="746">
        <f t="shared" si="29"/>
        <v>41.071999999999996</v>
      </c>
      <c r="F222" s="746">
        <v>0</v>
      </c>
      <c r="G222" s="746">
        <f t="shared" si="30"/>
        <v>41.071999999999996</v>
      </c>
      <c r="H222" s="746">
        <f t="shared" si="28"/>
        <v>82.143999999999991</v>
      </c>
      <c r="I222" s="1830"/>
      <c r="J222" s="1832"/>
      <c r="K222" s="1003"/>
      <c r="L222" s="796"/>
      <c r="M222" s="1834"/>
      <c r="N222" s="1836"/>
      <c r="O222" s="746">
        <f>1.2*1*4</f>
        <v>4.8</v>
      </c>
      <c r="Y222" s="1362" t="s">
        <v>4450</v>
      </c>
      <c r="Z222" s="1358">
        <f>CUANTIAS!G62</f>
        <v>1.5264</v>
      </c>
      <c r="AA222" s="728" t="s">
        <v>1806</v>
      </c>
    </row>
    <row r="223" spans="1:27" ht="15.75">
      <c r="A223" s="1002" t="s">
        <v>5228</v>
      </c>
      <c r="B223" s="745">
        <v>4</v>
      </c>
      <c r="C223" s="858">
        <v>4.0999999999999996</v>
      </c>
      <c r="D223" s="856">
        <v>3.02</v>
      </c>
      <c r="E223" s="746">
        <f t="shared" si="29"/>
        <v>49.527999999999999</v>
      </c>
      <c r="F223" s="746">
        <v>0</v>
      </c>
      <c r="G223" s="746">
        <f t="shared" si="30"/>
        <v>49.527999999999999</v>
      </c>
      <c r="H223" s="746">
        <f t="shared" si="28"/>
        <v>99.055999999999997</v>
      </c>
      <c r="I223" s="1830"/>
      <c r="J223" s="1832"/>
      <c r="K223" s="1003"/>
      <c r="L223" s="796"/>
      <c r="M223" s="1834"/>
      <c r="N223" s="1836"/>
      <c r="O223" s="746"/>
      <c r="Y223" s="1356" t="s">
        <v>4452</v>
      </c>
      <c r="Z223" s="1355">
        <f>113.98*0.4*0.2</f>
        <v>9.1184000000000012</v>
      </c>
      <c r="AA223" s="728" t="s">
        <v>1806</v>
      </c>
    </row>
    <row r="224" spans="1:27" ht="15.75">
      <c r="A224" s="1002" t="s">
        <v>4600</v>
      </c>
      <c r="B224" s="745">
        <v>2</v>
      </c>
      <c r="C224" s="858">
        <v>10</v>
      </c>
      <c r="D224" s="856">
        <v>3.02</v>
      </c>
      <c r="E224" s="746">
        <f t="shared" si="29"/>
        <v>60.4</v>
      </c>
      <c r="F224" s="746">
        <v>0</v>
      </c>
      <c r="G224" s="746">
        <f t="shared" si="30"/>
        <v>60.4</v>
      </c>
      <c r="H224" s="746">
        <f t="shared" si="28"/>
        <v>120.8</v>
      </c>
      <c r="I224" s="1830"/>
      <c r="J224" s="1832"/>
      <c r="K224" s="1003"/>
      <c r="L224" s="796"/>
      <c r="M224" s="1834"/>
      <c r="N224" s="1836"/>
      <c r="O224" s="746">
        <f>2*2.2*2.75+N269</f>
        <v>15.940000000000001</v>
      </c>
      <c r="Y224" s="1356" t="s">
        <v>4353</v>
      </c>
      <c r="Z224" s="1355">
        <f>8*0.4*0.15+1.5*0.15*0.4*5</f>
        <v>0.92999999999999994</v>
      </c>
      <c r="AA224" s="728" t="s">
        <v>1806</v>
      </c>
    </row>
    <row r="225" spans="1:27" ht="15.75">
      <c r="A225" s="1002" t="s">
        <v>4690</v>
      </c>
      <c r="B225" s="745">
        <v>1</v>
      </c>
      <c r="C225" s="858">
        <v>6.3</v>
      </c>
      <c r="D225" s="856">
        <v>3.02</v>
      </c>
      <c r="E225" s="746">
        <f t="shared" si="29"/>
        <v>19.026</v>
      </c>
      <c r="F225" s="746">
        <v>0</v>
      </c>
      <c r="G225" s="746">
        <f t="shared" si="30"/>
        <v>19.026</v>
      </c>
      <c r="H225" s="746">
        <f t="shared" si="28"/>
        <v>38.052</v>
      </c>
      <c r="I225" s="1830"/>
      <c r="J225" s="1832"/>
      <c r="K225" s="1003"/>
      <c r="L225" s="796"/>
      <c r="M225" s="1834"/>
      <c r="N225" s="1836"/>
      <c r="O225" s="746">
        <f>1.2*2</f>
        <v>2.4</v>
      </c>
      <c r="Y225" s="1356" t="s">
        <v>4354</v>
      </c>
      <c r="Z225" s="1355">
        <f>12.7*0.4*0.2</f>
        <v>1.016</v>
      </c>
      <c r="AA225" s="728" t="s">
        <v>1806</v>
      </c>
    </row>
    <row r="226" spans="1:27" ht="15.75">
      <c r="A226" s="1005"/>
      <c r="B226" s="1006"/>
      <c r="C226" s="1007"/>
      <c r="D226" s="746"/>
      <c r="E226" s="746"/>
      <c r="F226" s="1007">
        <v>0</v>
      </c>
      <c r="G226" s="746"/>
      <c r="H226" s="746"/>
      <c r="I226" s="1008"/>
      <c r="J226" s="1009"/>
      <c r="K226" s="1003"/>
      <c r="L226" s="796"/>
      <c r="M226" s="1010"/>
      <c r="N226" s="1011"/>
      <c r="Y226" s="1363" t="s">
        <v>4451</v>
      </c>
      <c r="Z226" s="1355">
        <f>13.1*0.15*0.4</f>
        <v>0.78600000000000003</v>
      </c>
      <c r="AA226" s="728" t="s">
        <v>1806</v>
      </c>
    </row>
    <row r="227" spans="1:27" ht="15.75">
      <c r="A227" s="1005"/>
      <c r="B227" s="1006"/>
      <c r="C227" s="1007"/>
      <c r="D227" s="746"/>
      <c r="E227" s="746"/>
      <c r="F227" s="1007"/>
      <c r="G227" s="1012">
        <f>SUM(G209:G225)</f>
        <v>1047.1388000000002</v>
      </c>
      <c r="H227" s="746"/>
      <c r="I227" s="1008"/>
      <c r="J227" s="1009"/>
      <c r="K227" s="1003"/>
      <c r="L227" s="796"/>
      <c r="M227" s="1010"/>
      <c r="N227" s="1011"/>
      <c r="Y227" s="1370" t="s">
        <v>4397</v>
      </c>
      <c r="Z227" s="1360"/>
    </row>
    <row r="228" spans="1:27" ht="15.75">
      <c r="A228" s="1837" t="s">
        <v>4602</v>
      </c>
      <c r="B228" s="1838"/>
      <c r="C228" s="1839"/>
      <c r="D228" s="1840"/>
      <c r="E228" s="1013"/>
      <c r="F228" s="1014"/>
      <c r="G228" s="1014"/>
      <c r="H228" s="1015">
        <f>SUM(H209:H226)-138.05*0.4*2</f>
        <v>1983.8376000000003</v>
      </c>
      <c r="I228" s="1014"/>
      <c r="J228" s="1014"/>
      <c r="K228" s="1014"/>
      <c r="L228" s="1016"/>
      <c r="M228" s="1017"/>
      <c r="N228" s="1017"/>
      <c r="Y228" s="1356" t="s">
        <v>4454</v>
      </c>
      <c r="Z228" s="1358">
        <f>CUANTIAS!G117</f>
        <v>0.46199999999999997</v>
      </c>
      <c r="AA228" s="728" t="s">
        <v>1806</v>
      </c>
    </row>
    <row r="229" spans="1:27" ht="15.75">
      <c r="A229" s="1837" t="s">
        <v>4573</v>
      </c>
      <c r="B229" s="1838"/>
      <c r="C229" s="1018"/>
      <c r="D229" s="1019"/>
      <c r="E229" s="1019"/>
      <c r="F229" s="1019"/>
      <c r="G229" s="1020">
        <f>SUM(G209:G226)-138.5*0.4-6.6*0.35-G218-G223</f>
        <v>865.02080000000024</v>
      </c>
      <c r="H229" s="1020">
        <f>SUM(H209:H226)-I209-138.5*0.4-6.6*0.35</f>
        <v>1668.4846000000002</v>
      </c>
      <c r="I229" s="1013">
        <f>SUM(I209)</f>
        <v>368.08300000000003</v>
      </c>
      <c r="J229" s="1020">
        <f>SUM(J209)</f>
        <v>2036.5676000000003</v>
      </c>
      <c r="K229" s="1021">
        <f>SUM(K209:K225)</f>
        <v>0</v>
      </c>
      <c r="L229" s="1020">
        <f>SUM(L209:L225)</f>
        <v>0</v>
      </c>
      <c r="M229" s="1022">
        <f>M209</f>
        <v>368.08300000000003</v>
      </c>
      <c r="N229" s="1022">
        <f>N209</f>
        <v>1668.4846000000002</v>
      </c>
      <c r="Y229" s="1366" t="s">
        <v>4455</v>
      </c>
      <c r="Z229" s="1371">
        <f>CUANTIAS!D921</f>
        <v>62.851199999999992</v>
      </c>
      <c r="AA229" s="728" t="s">
        <v>1806</v>
      </c>
    </row>
    <row r="230" spans="1:27">
      <c r="G230" s="728">
        <f>G227*2-138.5*0.4-6.6*0.35</f>
        <v>2036.5676000000003</v>
      </c>
      <c r="I230" s="728">
        <f>155.15*3.02-2.4*0.6*4-1.2*0.6*4-1.2*16*1-6*0.6*8-1.2*1.2-H313-6.6*0.35</f>
        <v>368.08300000000003</v>
      </c>
      <c r="Y230" s="1366" t="s">
        <v>4456</v>
      </c>
      <c r="Z230" s="1358">
        <f>CUANTIAS!D922</f>
        <v>13.3263</v>
      </c>
      <c r="AA230" s="728" t="s">
        <v>1806</v>
      </c>
    </row>
    <row r="231" spans="1:27" ht="30">
      <c r="Y231" s="1366" t="s">
        <v>4462</v>
      </c>
      <c r="Z231" s="1355">
        <f>CUANTIAS!H1079</f>
        <v>0.65857500000000002</v>
      </c>
      <c r="AA231" s="728" t="s">
        <v>1806</v>
      </c>
    </row>
    <row r="232" spans="1:27" ht="30">
      <c r="A232" s="1827" t="s">
        <v>4691</v>
      </c>
      <c r="B232" s="1828"/>
      <c r="C232" s="1828"/>
      <c r="D232" s="1828"/>
      <c r="E232" s="1828"/>
      <c r="F232" s="1828"/>
      <c r="G232" s="1828"/>
      <c r="H232" s="1828"/>
      <c r="I232" s="1828"/>
      <c r="J232" s="1828"/>
      <c r="K232" s="1828"/>
      <c r="L232" s="1828"/>
      <c r="M232" s="1828"/>
      <c r="N232" s="1828"/>
      <c r="Y232" s="1363" t="s">
        <v>5183</v>
      </c>
      <c r="Z232" s="1364">
        <f>5.2*2</f>
        <v>10.4</v>
      </c>
      <c r="AA232" s="728" t="s">
        <v>4019</v>
      </c>
    </row>
    <row r="233" spans="1:27" ht="63">
      <c r="A233" s="814" t="s">
        <v>4469</v>
      </c>
      <c r="B233" s="814" t="s">
        <v>515</v>
      </c>
      <c r="C233" s="814" t="s">
        <v>4544</v>
      </c>
      <c r="D233" s="814" t="s">
        <v>4520</v>
      </c>
      <c r="E233" s="814" t="s">
        <v>4545</v>
      </c>
      <c r="F233" s="814" t="s">
        <v>4546</v>
      </c>
      <c r="G233" s="814" t="s">
        <v>4547</v>
      </c>
      <c r="H233" s="771" t="s">
        <v>4548</v>
      </c>
      <c r="I233" s="771" t="s">
        <v>4549</v>
      </c>
      <c r="J233" s="771" t="s">
        <v>4678</v>
      </c>
      <c r="K233" s="999" t="s">
        <v>4679</v>
      </c>
      <c r="L233" s="1000" t="s">
        <v>4274</v>
      </c>
      <c r="M233" s="1001" t="s">
        <v>4526</v>
      </c>
      <c r="N233" s="1001" t="s">
        <v>4550</v>
      </c>
      <c r="Y233" s="1363" t="s">
        <v>5406</v>
      </c>
      <c r="Z233" s="1364">
        <f>2.4*4+1.2*4</f>
        <v>14.399999999999999</v>
      </c>
      <c r="AA233" s="728" t="s">
        <v>4019</v>
      </c>
    </row>
    <row r="234" spans="1:27" ht="15.75">
      <c r="A234" s="1002" t="s">
        <v>1333</v>
      </c>
      <c r="B234" s="814">
        <v>2</v>
      </c>
      <c r="C234" s="1023">
        <v>3</v>
      </c>
      <c r="D234" s="886">
        <v>1.8</v>
      </c>
      <c r="E234" s="746">
        <f>C234*D234*B234</f>
        <v>10.8</v>
      </c>
      <c r="F234" s="746"/>
      <c r="G234" s="746">
        <f>E234-F234</f>
        <v>10.8</v>
      </c>
      <c r="H234" s="746">
        <f>G234*2</f>
        <v>21.6</v>
      </c>
      <c r="I234" s="1024"/>
      <c r="J234" s="1024"/>
      <c r="K234" s="1025"/>
      <c r="L234" s="1000"/>
      <c r="M234" s="1001"/>
      <c r="N234" s="1001"/>
      <c r="Y234" s="1366" t="s">
        <v>5085</v>
      </c>
      <c r="Z234" s="1355">
        <f>A259</f>
        <v>2.4000000000000004</v>
      </c>
      <c r="AA234" s="728" t="s">
        <v>1333</v>
      </c>
    </row>
    <row r="235" spans="1:27" ht="15.75">
      <c r="A235" s="1002" t="s">
        <v>5231</v>
      </c>
      <c r="B235" s="745">
        <v>2</v>
      </c>
      <c r="C235" s="856">
        <v>2.2000000000000002</v>
      </c>
      <c r="D235" s="886">
        <v>1.8</v>
      </c>
      <c r="E235" s="746">
        <f>C235*D235*B235</f>
        <v>7.9200000000000008</v>
      </c>
      <c r="F235" s="746"/>
      <c r="G235" s="746">
        <f>E235-F235</f>
        <v>7.9200000000000008</v>
      </c>
      <c r="H235" s="746">
        <f t="shared" ref="H235:H253" si="31">G235*2</f>
        <v>15.840000000000002</v>
      </c>
      <c r="I235" s="1829">
        <f>G249+G250+G251</f>
        <v>1.0880000000000001</v>
      </c>
      <c r="J235" s="1831">
        <f>H255+I255</f>
        <v>505.19060000000002</v>
      </c>
      <c r="K235" s="1003"/>
      <c r="L235" s="796"/>
      <c r="M235" s="1851">
        <f>I235</f>
        <v>1.0880000000000001</v>
      </c>
      <c r="N235" s="1852">
        <f>H255</f>
        <v>504.1026</v>
      </c>
      <c r="O235" s="746"/>
      <c r="Y235" s="1363" t="s">
        <v>5232</v>
      </c>
      <c r="Z235" s="1355">
        <f>G218+G223</f>
        <v>124.40800000000002</v>
      </c>
      <c r="AA235" s="728" t="s">
        <v>1333</v>
      </c>
    </row>
    <row r="236" spans="1:27" ht="15.75">
      <c r="A236" s="1002" t="s">
        <v>5226</v>
      </c>
      <c r="B236" s="745">
        <v>16</v>
      </c>
      <c r="C236" s="856">
        <v>1</v>
      </c>
      <c r="D236" s="886">
        <v>3.02</v>
      </c>
      <c r="E236" s="746">
        <f t="shared" ref="E236:E253" si="32">C236*D236*B236</f>
        <v>48.32</v>
      </c>
      <c r="F236" s="746"/>
      <c r="G236" s="746">
        <f t="shared" ref="G236:G247" si="33">E236-F236</f>
        <v>48.32</v>
      </c>
      <c r="H236" s="746">
        <f t="shared" si="31"/>
        <v>96.64</v>
      </c>
      <c r="I236" s="1830"/>
      <c r="J236" s="1832"/>
      <c r="K236" s="1003"/>
      <c r="L236" s="796"/>
      <c r="M236" s="1851"/>
      <c r="N236" s="1852"/>
      <c r="O236" s="746"/>
      <c r="Y236" s="1363" t="s">
        <v>5233</v>
      </c>
      <c r="Z236" s="1355">
        <f>G235+G236</f>
        <v>56.24</v>
      </c>
      <c r="AA236" s="728" t="s">
        <v>1333</v>
      </c>
    </row>
    <row r="237" spans="1:27" ht="30">
      <c r="A237" s="1002" t="s">
        <v>4588</v>
      </c>
      <c r="B237" s="745">
        <v>4</v>
      </c>
      <c r="C237" s="858">
        <v>1</v>
      </c>
      <c r="D237" s="886">
        <v>3.02</v>
      </c>
      <c r="E237" s="746">
        <f t="shared" si="32"/>
        <v>12.08</v>
      </c>
      <c r="F237" s="746"/>
      <c r="G237" s="746">
        <f t="shared" si="33"/>
        <v>12.08</v>
      </c>
      <c r="H237" s="746">
        <f t="shared" si="31"/>
        <v>24.16</v>
      </c>
      <c r="I237" s="1830"/>
      <c r="J237" s="1832"/>
      <c r="K237" s="1003"/>
      <c r="L237" s="796"/>
      <c r="M237" s="1851"/>
      <c r="N237" s="1852"/>
      <c r="O237" s="746"/>
      <c r="Y237" s="1363" t="s">
        <v>5069</v>
      </c>
      <c r="Z237" s="1355">
        <f>G229</f>
        <v>865.02080000000024</v>
      </c>
      <c r="AA237" s="728" t="s">
        <v>1333</v>
      </c>
    </row>
    <row r="238" spans="1:27" ht="30">
      <c r="A238" s="1002" t="s">
        <v>4601</v>
      </c>
      <c r="B238" s="745">
        <v>2</v>
      </c>
      <c r="C238" s="858">
        <v>3.6</v>
      </c>
      <c r="D238" s="886">
        <v>3.02</v>
      </c>
      <c r="E238" s="746">
        <f t="shared" si="32"/>
        <v>21.744</v>
      </c>
      <c r="F238" s="746">
        <v>0</v>
      </c>
      <c r="G238" s="746">
        <f t="shared" si="33"/>
        <v>21.744</v>
      </c>
      <c r="H238" s="746">
        <f t="shared" si="31"/>
        <v>43.488</v>
      </c>
      <c r="I238" s="1830"/>
      <c r="J238" s="1832"/>
      <c r="K238" s="1003"/>
      <c r="L238" s="796"/>
      <c r="M238" s="1851"/>
      <c r="N238" s="1852"/>
      <c r="O238" s="746"/>
      <c r="Y238" s="1363" t="s">
        <v>5071</v>
      </c>
      <c r="Z238" s="1355">
        <f>G255</f>
        <v>189.21280000000002</v>
      </c>
      <c r="AA238" s="728" t="s">
        <v>1333</v>
      </c>
    </row>
    <row r="239" spans="1:27" ht="15.75">
      <c r="A239" s="1002" t="s">
        <v>4552</v>
      </c>
      <c r="B239" s="745">
        <v>2</v>
      </c>
      <c r="C239" s="858">
        <v>2.72</v>
      </c>
      <c r="D239" s="886">
        <v>3.02</v>
      </c>
      <c r="E239" s="746">
        <f t="shared" si="32"/>
        <v>16.428800000000003</v>
      </c>
      <c r="F239" s="746">
        <v>0</v>
      </c>
      <c r="G239" s="746">
        <f t="shared" si="33"/>
        <v>16.428800000000003</v>
      </c>
      <c r="H239" s="746">
        <f t="shared" si="31"/>
        <v>32.857600000000005</v>
      </c>
      <c r="I239" s="1830"/>
      <c r="J239" s="1832"/>
      <c r="K239" s="1003"/>
      <c r="L239" s="796"/>
      <c r="M239" s="1851"/>
      <c r="N239" s="1852"/>
      <c r="O239" s="746">
        <f>1.2*0.6+0.9*2.1</f>
        <v>2.6100000000000003</v>
      </c>
      <c r="Y239" s="1359" t="s">
        <v>4463</v>
      </c>
      <c r="Z239" s="1355">
        <f>G271</f>
        <v>38.482500000000002</v>
      </c>
      <c r="AA239" s="728" t="s">
        <v>1333</v>
      </c>
    </row>
    <row r="240" spans="1:27" ht="15.75">
      <c r="A240" s="1002" t="s">
        <v>4692</v>
      </c>
      <c r="B240" s="1006">
        <v>1</v>
      </c>
      <c r="C240" s="883">
        <v>1.5</v>
      </c>
      <c r="D240" s="886">
        <v>3.02</v>
      </c>
      <c r="E240" s="746">
        <f t="shared" si="32"/>
        <v>4.53</v>
      </c>
      <c r="F240" s="746">
        <v>0</v>
      </c>
      <c r="G240" s="746">
        <f t="shared" si="33"/>
        <v>4.53</v>
      </c>
      <c r="H240" s="746">
        <f t="shared" si="31"/>
        <v>9.06</v>
      </c>
      <c r="I240" s="1830"/>
      <c r="J240" s="1832"/>
      <c r="K240" s="1003"/>
      <c r="L240" s="796"/>
      <c r="M240" s="1851"/>
      <c r="N240" s="1852"/>
      <c r="O240" s="746"/>
      <c r="Y240" s="1365" t="s">
        <v>4523</v>
      </c>
      <c r="Z240" s="1371">
        <f>J260</f>
        <v>2541.7582000000002</v>
      </c>
      <c r="AA240" s="728" t="s">
        <v>1333</v>
      </c>
    </row>
    <row r="241" spans="1:27" ht="20.25" customHeight="1">
      <c r="A241" s="1002" t="s">
        <v>4693</v>
      </c>
      <c r="B241" s="1006">
        <v>1</v>
      </c>
      <c r="C241" s="883">
        <v>3.3</v>
      </c>
      <c r="D241" s="886">
        <v>3.02</v>
      </c>
      <c r="E241" s="746">
        <f t="shared" si="32"/>
        <v>9.9659999999999993</v>
      </c>
      <c r="F241" s="1007">
        <v>0</v>
      </c>
      <c r="G241" s="746">
        <f t="shared" si="33"/>
        <v>9.9659999999999993</v>
      </c>
      <c r="H241" s="746">
        <f t="shared" si="31"/>
        <v>19.931999999999999</v>
      </c>
      <c r="I241" s="1830"/>
      <c r="J241" s="1832"/>
      <c r="K241" s="1003"/>
      <c r="L241" s="796"/>
      <c r="M241" s="1851"/>
      <c r="N241" s="1852"/>
      <c r="O241" s="746">
        <f>0.9*2.1</f>
        <v>1.8900000000000001</v>
      </c>
      <c r="Y241" s="1365" t="s">
        <v>2149</v>
      </c>
      <c r="Z241" s="1355">
        <f>B295+J313+J317+M322+M328+S323</f>
        <v>1225.643</v>
      </c>
      <c r="AA241" s="728" t="s">
        <v>1333</v>
      </c>
    </row>
    <row r="242" spans="1:27" ht="20.25" customHeight="1">
      <c r="A242" s="1002" t="s">
        <v>4694</v>
      </c>
      <c r="B242" s="1006">
        <v>1</v>
      </c>
      <c r="C242" s="883">
        <v>3.6</v>
      </c>
      <c r="D242" s="886">
        <v>3.02</v>
      </c>
      <c r="E242" s="746">
        <f t="shared" si="32"/>
        <v>10.872</v>
      </c>
      <c r="F242" s="1007">
        <v>0</v>
      </c>
      <c r="G242" s="746">
        <f t="shared" si="33"/>
        <v>10.872</v>
      </c>
      <c r="H242" s="746">
        <f t="shared" si="31"/>
        <v>21.744</v>
      </c>
      <c r="I242" s="1830"/>
      <c r="J242" s="1832"/>
      <c r="K242" s="1003"/>
      <c r="L242" s="796"/>
      <c r="M242" s="1851"/>
      <c r="N242" s="1852"/>
      <c r="O242" s="1007">
        <f>0.8*0.6*2+0.9*2.2+1.35*2*1.1</f>
        <v>5.910000000000001</v>
      </c>
      <c r="Y242" s="1365" t="s">
        <v>4355</v>
      </c>
      <c r="Z242" s="1355">
        <f>J259</f>
        <v>2172.5872000000004</v>
      </c>
      <c r="AA242" s="728" t="s">
        <v>1333</v>
      </c>
    </row>
    <row r="243" spans="1:27" ht="15.75">
      <c r="A243" s="1002" t="s">
        <v>4556</v>
      </c>
      <c r="B243" s="1006">
        <v>2</v>
      </c>
      <c r="C243" s="883">
        <v>4.8499999999999996</v>
      </c>
      <c r="D243" s="886">
        <v>3.02</v>
      </c>
      <c r="E243" s="746">
        <f t="shared" si="32"/>
        <v>29.293999999999997</v>
      </c>
      <c r="F243" s="1007">
        <v>0</v>
      </c>
      <c r="G243" s="746">
        <f t="shared" si="33"/>
        <v>29.293999999999997</v>
      </c>
      <c r="H243" s="746">
        <f t="shared" si="31"/>
        <v>58.587999999999994</v>
      </c>
      <c r="I243" s="1830"/>
      <c r="J243" s="1832"/>
      <c r="K243" s="1003"/>
      <c r="L243" s="796"/>
      <c r="M243" s="1851"/>
      <c r="N243" s="1852"/>
      <c r="O243" s="1007">
        <f>0.8*0.6*2+0.9*2.1+1.35*2*1.1</f>
        <v>5.82</v>
      </c>
      <c r="Y243" s="1365" t="s">
        <v>4356</v>
      </c>
      <c r="Z243" s="1355">
        <f>J258</f>
        <v>375.57100000000003</v>
      </c>
      <c r="AA243" s="728" t="s">
        <v>1333</v>
      </c>
    </row>
    <row r="244" spans="1:27" ht="15.75">
      <c r="A244" s="1002" t="s">
        <v>4557</v>
      </c>
      <c r="B244" s="1006">
        <v>1</v>
      </c>
      <c r="C244" s="1026">
        <v>0.45</v>
      </c>
      <c r="D244" s="886">
        <v>3.02</v>
      </c>
      <c r="E244" s="746">
        <f t="shared" si="32"/>
        <v>1.359</v>
      </c>
      <c r="F244" s="1007">
        <v>0</v>
      </c>
      <c r="G244" s="746">
        <f t="shared" si="33"/>
        <v>1.359</v>
      </c>
      <c r="H244" s="746">
        <f t="shared" si="31"/>
        <v>2.718</v>
      </c>
      <c r="I244" s="1830"/>
      <c r="J244" s="1832"/>
      <c r="K244" s="1003"/>
      <c r="L244" s="796"/>
      <c r="M244" s="1851"/>
      <c r="N244" s="1852"/>
      <c r="O244" s="1007">
        <f>2.95*1.1*2</f>
        <v>6.4900000000000011</v>
      </c>
      <c r="Y244" s="1365" t="s">
        <v>4357</v>
      </c>
      <c r="Z244" s="1355">
        <f>B295+J313+J317+M322+M328+R323</f>
        <v>1225.643</v>
      </c>
      <c r="AA244" s="728" t="s">
        <v>1333</v>
      </c>
    </row>
    <row r="245" spans="1:27" ht="15.75">
      <c r="A245" s="1002" t="s">
        <v>4558</v>
      </c>
      <c r="B245" s="1006">
        <v>1</v>
      </c>
      <c r="C245" s="1026">
        <v>2.0499999999999998</v>
      </c>
      <c r="D245" s="886">
        <v>3.02</v>
      </c>
      <c r="E245" s="746">
        <f t="shared" si="32"/>
        <v>6.1909999999999998</v>
      </c>
      <c r="F245" s="1007">
        <v>0</v>
      </c>
      <c r="G245" s="746">
        <f t="shared" si="33"/>
        <v>6.1909999999999998</v>
      </c>
      <c r="H245" s="746">
        <f t="shared" si="31"/>
        <v>12.382</v>
      </c>
      <c r="I245" s="1830"/>
      <c r="J245" s="1832"/>
      <c r="K245" s="1003"/>
      <c r="L245" s="796"/>
      <c r="M245" s="1851"/>
      <c r="N245" s="1852"/>
      <c r="O245" s="1007"/>
      <c r="Y245" s="1365" t="s">
        <v>4389</v>
      </c>
      <c r="Z245" s="1355">
        <f>Z319+Z320</f>
        <v>317.48</v>
      </c>
      <c r="AA245" s="728" t="s">
        <v>1752</v>
      </c>
    </row>
    <row r="246" spans="1:27" ht="15.75">
      <c r="A246" s="1002" t="s">
        <v>4559</v>
      </c>
      <c r="B246" s="1006">
        <v>1</v>
      </c>
      <c r="C246" s="1026">
        <v>1.25</v>
      </c>
      <c r="D246" s="886">
        <v>3.02</v>
      </c>
      <c r="E246" s="746">
        <f t="shared" si="32"/>
        <v>3.7749999999999999</v>
      </c>
      <c r="F246" s="1007">
        <v>0</v>
      </c>
      <c r="G246" s="746">
        <f t="shared" si="33"/>
        <v>3.7749999999999999</v>
      </c>
      <c r="H246" s="746">
        <f t="shared" si="31"/>
        <v>7.55</v>
      </c>
      <c r="I246" s="1830"/>
      <c r="J246" s="1832"/>
      <c r="K246" s="1003"/>
      <c r="L246" s="796"/>
      <c r="M246" s="1851"/>
      <c r="N246" s="1852"/>
      <c r="O246" s="1007"/>
      <c r="Y246" s="1365" t="s">
        <v>1170</v>
      </c>
      <c r="Z246" s="1355">
        <f>W314</f>
        <v>1343.5700000000002</v>
      </c>
      <c r="AA246" s="728" t="s">
        <v>1752</v>
      </c>
    </row>
    <row r="247" spans="1:27" ht="15.75">
      <c r="A247" s="1002" t="s">
        <v>4561</v>
      </c>
      <c r="B247" s="745">
        <v>1</v>
      </c>
      <c r="C247" s="858">
        <v>6.9</v>
      </c>
      <c r="D247" s="886">
        <v>1</v>
      </c>
      <c r="E247" s="746">
        <f t="shared" si="32"/>
        <v>6.9</v>
      </c>
      <c r="F247" s="746">
        <v>0</v>
      </c>
      <c r="G247" s="746">
        <f t="shared" si="33"/>
        <v>6.9</v>
      </c>
      <c r="H247" s="746">
        <f t="shared" si="31"/>
        <v>13.8</v>
      </c>
      <c r="I247" s="1830"/>
      <c r="J247" s="1832"/>
      <c r="K247" s="1003"/>
      <c r="L247" s="796"/>
      <c r="M247" s="1851"/>
      <c r="N247" s="1852"/>
      <c r="O247" s="1007">
        <f>0.8*2.1</f>
        <v>1.6800000000000002</v>
      </c>
      <c r="Y247" s="1365" t="s">
        <v>4700</v>
      </c>
      <c r="Z247" s="1364">
        <f>B329</f>
        <v>57</v>
      </c>
      <c r="AA247" s="728" t="s">
        <v>1752</v>
      </c>
    </row>
    <row r="248" spans="1:27" ht="15.75">
      <c r="A248" s="1002" t="s">
        <v>4695</v>
      </c>
      <c r="B248" s="745">
        <v>1</v>
      </c>
      <c r="C248" s="858">
        <v>8.15</v>
      </c>
      <c r="D248" s="886">
        <v>3.02</v>
      </c>
      <c r="E248" s="746">
        <f t="shared" si="32"/>
        <v>24.613</v>
      </c>
      <c r="F248" s="746">
        <v>0</v>
      </c>
      <c r="G248" s="746">
        <f>E248-F248</f>
        <v>24.613</v>
      </c>
      <c r="H248" s="746">
        <f t="shared" si="31"/>
        <v>49.225999999999999</v>
      </c>
      <c r="I248" s="1830"/>
      <c r="J248" s="1832"/>
      <c r="K248" s="1003"/>
      <c r="L248" s="796"/>
      <c r="M248" s="1851"/>
      <c r="N248" s="1852"/>
      <c r="O248" s="746">
        <f>2*1</f>
        <v>2</v>
      </c>
      <c r="Y248" s="1365" t="s">
        <v>4536</v>
      </c>
      <c r="Z248" s="1355">
        <f>G275</f>
        <v>551.03</v>
      </c>
      <c r="AA248" s="728" t="s">
        <v>1333</v>
      </c>
    </row>
    <row r="249" spans="1:27" ht="30.75">
      <c r="A249" s="756" t="s">
        <v>4696</v>
      </c>
      <c r="B249" s="745">
        <v>1</v>
      </c>
      <c r="C249" s="858">
        <v>2.72</v>
      </c>
      <c r="D249" s="753">
        <v>0.4</v>
      </c>
      <c r="E249" s="746">
        <f t="shared" si="32"/>
        <v>1.0880000000000001</v>
      </c>
      <c r="F249" s="746">
        <v>0</v>
      </c>
      <c r="G249" s="746">
        <f t="shared" ref="G249:G253" si="34">E249-F249</f>
        <v>1.0880000000000001</v>
      </c>
      <c r="H249" s="746">
        <f t="shared" si="31"/>
        <v>2.1760000000000002</v>
      </c>
      <c r="I249" s="1830"/>
      <c r="J249" s="1832"/>
      <c r="K249" s="1003"/>
      <c r="L249" s="796"/>
      <c r="M249" s="1851"/>
      <c r="N249" s="1852"/>
      <c r="O249" s="746"/>
      <c r="Y249" s="1365" t="s">
        <v>4702</v>
      </c>
      <c r="Z249" s="1355">
        <f>C321</f>
        <v>200.88</v>
      </c>
      <c r="AA249" s="728" t="s">
        <v>1333</v>
      </c>
    </row>
    <row r="250" spans="1:27" ht="15.75">
      <c r="A250" s="756"/>
      <c r="B250" s="745"/>
      <c r="C250" s="858"/>
      <c r="D250" s="753"/>
      <c r="E250" s="746"/>
      <c r="F250" s="746">
        <v>0</v>
      </c>
      <c r="G250" s="746"/>
      <c r="H250" s="746"/>
      <c r="I250" s="1830"/>
      <c r="J250" s="1832"/>
      <c r="K250" s="1003"/>
      <c r="L250" s="796"/>
      <c r="M250" s="1851"/>
      <c r="N250" s="1852"/>
      <c r="O250" s="746"/>
      <c r="Y250" s="1356" t="s">
        <v>4704</v>
      </c>
      <c r="Z250" s="1355">
        <f>C322</f>
        <v>85.399999999999991</v>
      </c>
      <c r="AA250" s="728" t="s">
        <v>1752</v>
      </c>
    </row>
    <row r="251" spans="1:27" ht="15.75">
      <c r="A251" s="756"/>
      <c r="B251" s="745"/>
      <c r="C251" s="883"/>
      <c r="D251" s="753"/>
      <c r="E251" s="746"/>
      <c r="F251" s="746">
        <v>0</v>
      </c>
      <c r="G251" s="746"/>
      <c r="H251" s="746"/>
      <c r="I251" s="1830"/>
      <c r="J251" s="1832"/>
      <c r="K251" s="1003"/>
      <c r="L251" s="796"/>
      <c r="M251" s="1851"/>
      <c r="N251" s="1852"/>
      <c r="O251" s="746"/>
      <c r="Y251" s="1368" t="s">
        <v>4706</v>
      </c>
      <c r="Z251" s="1355">
        <f>M306</f>
        <v>29</v>
      </c>
      <c r="AA251" s="728" t="s">
        <v>1752</v>
      </c>
    </row>
    <row r="252" spans="1:27" ht="15.75">
      <c r="A252" s="1002" t="s">
        <v>4697</v>
      </c>
      <c r="B252" s="745">
        <v>32</v>
      </c>
      <c r="C252" s="1026">
        <v>0.42</v>
      </c>
      <c r="D252" s="746">
        <v>2.8</v>
      </c>
      <c r="E252" s="746">
        <f t="shared" si="32"/>
        <v>37.631999999999998</v>
      </c>
      <c r="F252" s="1027">
        <v>0</v>
      </c>
      <c r="G252" s="746">
        <f t="shared" si="34"/>
        <v>37.631999999999998</v>
      </c>
      <c r="H252" s="746">
        <f t="shared" si="31"/>
        <v>75.263999999999996</v>
      </c>
      <c r="I252" s="1008"/>
      <c r="J252" s="1009"/>
      <c r="K252" s="1003"/>
      <c r="L252" s="796"/>
      <c r="M252" s="1010"/>
      <c r="N252" s="1011"/>
      <c r="O252" s="746"/>
      <c r="Y252" s="1368" t="s">
        <v>4543</v>
      </c>
      <c r="Z252" s="1364">
        <f>P306</f>
        <v>7.7</v>
      </c>
      <c r="AA252" s="728" t="s">
        <v>1333</v>
      </c>
    </row>
    <row r="253" spans="1:27" ht="15.75">
      <c r="A253" s="1002" t="s">
        <v>4698</v>
      </c>
      <c r="B253" s="745">
        <v>4</v>
      </c>
      <c r="C253" s="1026">
        <v>1.5</v>
      </c>
      <c r="D253" s="746">
        <v>0.2</v>
      </c>
      <c r="E253" s="746">
        <f t="shared" si="32"/>
        <v>1.2000000000000002</v>
      </c>
      <c r="F253" s="1027">
        <v>0</v>
      </c>
      <c r="G253" s="746">
        <f t="shared" si="34"/>
        <v>1.2000000000000002</v>
      </c>
      <c r="H253" s="746">
        <f t="shared" si="31"/>
        <v>2.4000000000000004</v>
      </c>
      <c r="I253" s="1008"/>
      <c r="J253" s="1009"/>
      <c r="K253" s="1003"/>
      <c r="L253" s="796"/>
      <c r="M253" s="1010"/>
      <c r="N253" s="1011"/>
      <c r="O253" s="1027">
        <v>0</v>
      </c>
      <c r="Y253" s="1365" t="s">
        <v>5279</v>
      </c>
      <c r="Z253" s="1355">
        <f>F289</f>
        <v>9</v>
      </c>
      <c r="AA253" s="728" t="s">
        <v>1752</v>
      </c>
    </row>
    <row r="254" spans="1:27" ht="15.75">
      <c r="A254" s="1837" t="s">
        <v>4571</v>
      </c>
      <c r="B254" s="1838"/>
      <c r="C254" s="1839"/>
      <c r="D254" s="1840"/>
      <c r="E254" s="1013"/>
      <c r="F254" s="1014"/>
      <c r="G254" s="1028">
        <f>SUM(G234:G253)+A259</f>
        <v>257.11279999999999</v>
      </c>
      <c r="H254" s="1015">
        <f>SUM(H234:H253)</f>
        <v>509.42559999999997</v>
      </c>
      <c r="I254" s="1014"/>
      <c r="J254" s="1014"/>
      <c r="K254" s="1014"/>
      <c r="L254" s="1016"/>
      <c r="M254" s="1017"/>
      <c r="N254" s="1017"/>
      <c r="O254" s="1027">
        <v>1</v>
      </c>
      <c r="Y254" s="1365" t="s">
        <v>4460</v>
      </c>
      <c r="Z254" s="1355">
        <f>K274</f>
        <v>4.3</v>
      </c>
      <c r="AA254" s="728" t="s">
        <v>1752</v>
      </c>
    </row>
    <row r="255" spans="1:27" ht="15.75">
      <c r="A255" s="1837" t="s">
        <v>4573</v>
      </c>
      <c r="B255" s="1838"/>
      <c r="C255" s="1018"/>
      <c r="D255" s="1019"/>
      <c r="E255" s="1019"/>
      <c r="F255" s="1019"/>
      <c r="G255" s="1020">
        <f>SUM(G234:G253)-23.15*0.4-G235-G236</f>
        <v>189.21280000000002</v>
      </c>
      <c r="H255" s="1020">
        <f>SUM(H234:H253)-I235-23.15*0.4+A259*2+1.5*0.15</f>
        <v>504.1026</v>
      </c>
      <c r="I255" s="1013">
        <f>SUM(I235)</f>
        <v>1.0880000000000001</v>
      </c>
      <c r="J255" s="1020">
        <f>SUM(J235)</f>
        <v>505.19060000000002</v>
      </c>
      <c r="K255" s="1021">
        <f>SUM(K235:K251)</f>
        <v>0</v>
      </c>
      <c r="L255" s="1020">
        <f>SUM(L235:L251)</f>
        <v>0</v>
      </c>
      <c r="M255" s="1022">
        <f>M235</f>
        <v>1.0880000000000001</v>
      </c>
      <c r="N255" s="1022">
        <f>N235</f>
        <v>504.1026</v>
      </c>
      <c r="Y255" s="1365" t="s">
        <v>4708</v>
      </c>
      <c r="Z255" s="1355">
        <f>L302</f>
        <v>2.7</v>
      </c>
      <c r="AA255" s="728" t="s">
        <v>1333</v>
      </c>
    </row>
    <row r="256" spans="1:27">
      <c r="G256" s="728">
        <f>G254*2-23.15*0.4</f>
        <v>504.96559999999999</v>
      </c>
      <c r="Y256" s="1359" t="s">
        <v>4560</v>
      </c>
      <c r="Z256" s="1355">
        <f>F326</f>
        <v>691.60349999999994</v>
      </c>
      <c r="AA256" s="728" t="s">
        <v>1333</v>
      </c>
    </row>
    <row r="257" spans="1:27">
      <c r="Y257" s="1359" t="s">
        <v>4562</v>
      </c>
      <c r="Z257" s="1355">
        <f>F327</f>
        <v>2655.9127000000003</v>
      </c>
      <c r="AA257" s="728" t="s">
        <v>1333</v>
      </c>
    </row>
    <row r="258" spans="1:27" ht="30">
      <c r="A258" s="1389" t="s">
        <v>5107</v>
      </c>
      <c r="I258" s="890" t="s">
        <v>4603</v>
      </c>
      <c r="J258" s="891">
        <f>I229+I255+3.2*2</f>
        <v>375.57100000000003</v>
      </c>
      <c r="K258" s="892" t="s">
        <v>1333</v>
      </c>
      <c r="Y258" s="1359" t="s">
        <v>4564</v>
      </c>
      <c r="Z258" s="1355">
        <f>F328</f>
        <v>496.85</v>
      </c>
      <c r="AA258" s="728" t="s">
        <v>1333</v>
      </c>
    </row>
    <row r="259" spans="1:27">
      <c r="A259" s="728">
        <f>4*1.5*0.4</f>
        <v>2.4000000000000004</v>
      </c>
      <c r="I259" s="890" t="s">
        <v>4604</v>
      </c>
      <c r="J259" s="891">
        <f>H255+H229</f>
        <v>2172.5872000000004</v>
      </c>
      <c r="K259" s="892" t="s">
        <v>1333</v>
      </c>
      <c r="Y259" s="1359" t="s">
        <v>4566</v>
      </c>
      <c r="Z259" s="1355">
        <f>Z256+Z257+Z258</f>
        <v>3844.3661999999999</v>
      </c>
      <c r="AA259" s="728" t="s">
        <v>1333</v>
      </c>
    </row>
    <row r="260" spans="1:27" ht="27" customHeight="1">
      <c r="I260" s="890" t="s">
        <v>4605</v>
      </c>
      <c r="J260" s="891">
        <f>J229+J255</f>
        <v>2541.7582000000002</v>
      </c>
      <c r="K260" s="892" t="s">
        <v>1333</v>
      </c>
      <c r="Y260" s="1359" t="s">
        <v>4737</v>
      </c>
      <c r="Z260" s="1355">
        <f>S304+5.2*2</f>
        <v>150.74</v>
      </c>
      <c r="AA260" s="728" t="s">
        <v>1333</v>
      </c>
    </row>
    <row r="261" spans="1:27">
      <c r="Y261" s="1359" t="s">
        <v>4738</v>
      </c>
      <c r="Z261" s="1355">
        <f>P317</f>
        <v>61.332000000000001</v>
      </c>
      <c r="AA261" s="728" t="s">
        <v>1333</v>
      </c>
    </row>
    <row r="262" spans="1:27">
      <c r="Y262" s="1360" t="s">
        <v>5076</v>
      </c>
      <c r="Z262" s="1360">
        <f>F323</f>
        <v>7.18</v>
      </c>
      <c r="AA262" s="728" t="s">
        <v>1333</v>
      </c>
    </row>
    <row r="263" spans="1:27" ht="20.25">
      <c r="A263" s="1803" t="s">
        <v>5095</v>
      </c>
      <c r="B263" s="1804"/>
      <c r="C263" s="1804"/>
      <c r="D263" s="1804"/>
      <c r="E263" s="1804"/>
      <c r="F263" s="1804"/>
      <c r="G263" s="1804"/>
      <c r="H263" s="1804"/>
      <c r="I263" s="1804"/>
      <c r="J263" s="1804"/>
      <c r="K263" s="1804"/>
      <c r="L263" s="1804"/>
      <c r="M263" s="1804"/>
      <c r="N263" s="1804"/>
      <c r="Y263" s="795" t="s">
        <v>5123</v>
      </c>
      <c r="Z263" s="789">
        <v>26</v>
      </c>
      <c r="AA263" s="728" t="s">
        <v>213</v>
      </c>
    </row>
    <row r="264" spans="1:27" ht="30">
      <c r="A264" s="740" t="s">
        <v>4469</v>
      </c>
      <c r="B264" s="740" t="s">
        <v>515</v>
      </c>
      <c r="C264" s="740" t="s">
        <v>4544</v>
      </c>
      <c r="D264" s="741" t="s">
        <v>4520</v>
      </c>
      <c r="E264" s="740" t="s">
        <v>4545</v>
      </c>
      <c r="F264" s="741" t="s">
        <v>4546</v>
      </c>
      <c r="G264" s="740" t="s">
        <v>4547</v>
      </c>
      <c r="H264" s="741" t="s">
        <v>4548</v>
      </c>
      <c r="I264" s="741" t="s">
        <v>4549</v>
      </c>
      <c r="J264" s="741" t="s">
        <v>4261</v>
      </c>
      <c r="K264" s="741"/>
      <c r="L264" s="853" t="s">
        <v>4274</v>
      </c>
      <c r="M264" s="854" t="s">
        <v>4526</v>
      </c>
      <c r="N264" s="854" t="s">
        <v>4550</v>
      </c>
      <c r="Y264" s="1412" t="s">
        <v>4457</v>
      </c>
      <c r="Z264" s="728">
        <f>M286</f>
        <v>416.77784000000003</v>
      </c>
      <c r="AA264" s="1523" t="s">
        <v>811</v>
      </c>
    </row>
    <row r="265" spans="1:27" ht="15.75">
      <c r="A265" s="1002" t="s">
        <v>4701</v>
      </c>
      <c r="B265" s="745">
        <v>1</v>
      </c>
      <c r="C265" s="858">
        <v>2.8</v>
      </c>
      <c r="D265" s="883">
        <v>2.78</v>
      </c>
      <c r="E265" s="746">
        <f t="shared" ref="E265:E269" si="35">C265*D265*B265</f>
        <v>7.7839999999999989</v>
      </c>
      <c r="F265" s="746"/>
      <c r="G265" s="746">
        <f t="shared" ref="G265:G267" si="36">E265-F265</f>
        <v>7.7839999999999989</v>
      </c>
      <c r="H265" s="746"/>
      <c r="I265" s="894"/>
      <c r="J265" s="895">
        <f>H271+I271</f>
        <v>0</v>
      </c>
      <c r="K265" s="1003"/>
      <c r="L265" s="796"/>
      <c r="M265" s="896">
        <f>G265</f>
        <v>7.7839999999999989</v>
      </c>
      <c r="N265" s="897">
        <f>G265</f>
        <v>7.7839999999999989</v>
      </c>
      <c r="Y265" s="1159" t="s">
        <v>4713</v>
      </c>
      <c r="Z265" s="789"/>
      <c r="AA265" s="1411"/>
    </row>
    <row r="266" spans="1:27" ht="15.75">
      <c r="A266" s="1002" t="s">
        <v>4703</v>
      </c>
      <c r="B266" s="745">
        <v>1</v>
      </c>
      <c r="C266" s="858">
        <v>3.2</v>
      </c>
      <c r="D266" s="883">
        <v>3.08</v>
      </c>
      <c r="E266" s="746">
        <f t="shared" si="35"/>
        <v>9.8560000000000016</v>
      </c>
      <c r="F266" s="746"/>
      <c r="G266" s="746">
        <f t="shared" si="36"/>
        <v>9.8560000000000016</v>
      </c>
      <c r="H266" s="746"/>
      <c r="I266" s="894"/>
      <c r="J266" s="895">
        <f>H272+I272</f>
        <v>0</v>
      </c>
      <c r="K266" s="1003"/>
      <c r="L266" s="796"/>
      <c r="M266" s="896">
        <f t="shared" ref="M266:M270" si="37">G266</f>
        <v>9.8560000000000016</v>
      </c>
      <c r="N266" s="897">
        <f t="shared" ref="N266:N269" si="38">G266</f>
        <v>9.8560000000000016</v>
      </c>
      <c r="Y266" s="1413" t="s">
        <v>4715</v>
      </c>
      <c r="Z266" s="743"/>
      <c r="AA266" s="1411"/>
    </row>
    <row r="267" spans="1:27" ht="15.75">
      <c r="A267" s="1002" t="s">
        <v>4705</v>
      </c>
      <c r="B267" s="745">
        <v>1</v>
      </c>
      <c r="C267" s="883">
        <v>4.95</v>
      </c>
      <c r="D267" s="883">
        <v>2.95</v>
      </c>
      <c r="E267" s="746">
        <f t="shared" si="35"/>
        <v>14.602500000000001</v>
      </c>
      <c r="F267" s="746"/>
      <c r="G267" s="746">
        <f t="shared" si="36"/>
        <v>14.602500000000001</v>
      </c>
      <c r="H267" s="746"/>
      <c r="I267" s="894"/>
      <c r="J267" s="895">
        <f>H273+I273</f>
        <v>0</v>
      </c>
      <c r="K267" s="1003"/>
      <c r="L267" s="796"/>
      <c r="M267" s="896">
        <f t="shared" si="37"/>
        <v>14.602500000000001</v>
      </c>
      <c r="N267" s="897">
        <f t="shared" si="38"/>
        <v>14.602500000000001</v>
      </c>
      <c r="Y267" s="1413" t="s">
        <v>4717</v>
      </c>
      <c r="Z267" s="743"/>
      <c r="AA267" s="1411"/>
    </row>
    <row r="268" spans="1:27" ht="31.5">
      <c r="A268" s="1394" t="s">
        <v>5106</v>
      </c>
      <c r="B268" s="855">
        <v>1</v>
      </c>
      <c r="C268" s="858">
        <v>2</v>
      </c>
      <c r="D268" s="859">
        <v>1.2</v>
      </c>
      <c r="E268" s="753">
        <f t="shared" si="35"/>
        <v>2.4</v>
      </c>
      <c r="F268" s="746"/>
      <c r="G268" s="746">
        <f t="shared" ref="G268:G269" si="39">E268-F268</f>
        <v>2.4</v>
      </c>
      <c r="H268" s="746"/>
      <c r="I268" s="894"/>
      <c r="J268" s="895"/>
      <c r="K268" s="1003"/>
      <c r="L268" s="1392"/>
      <c r="M268" s="896">
        <f t="shared" si="37"/>
        <v>2.4</v>
      </c>
      <c r="N268" s="897">
        <f t="shared" si="38"/>
        <v>2.4</v>
      </c>
      <c r="Y268" s="1413" t="s">
        <v>4718</v>
      </c>
      <c r="Z268" s="743"/>
      <c r="AA268" s="1411"/>
    </row>
    <row r="269" spans="1:27" ht="31.5">
      <c r="A269" s="1394" t="s">
        <v>5106</v>
      </c>
      <c r="B269" s="1395">
        <v>2</v>
      </c>
      <c r="C269" s="1396">
        <v>1.6</v>
      </c>
      <c r="D269" s="1386">
        <v>1.2</v>
      </c>
      <c r="E269" s="753">
        <f t="shared" si="35"/>
        <v>3.84</v>
      </c>
      <c r="F269" s="746"/>
      <c r="G269" s="746">
        <f t="shared" si="39"/>
        <v>3.84</v>
      </c>
      <c r="H269" s="746"/>
      <c r="I269" s="894"/>
      <c r="J269" s="895"/>
      <c r="K269" s="1003"/>
      <c r="L269" s="1392"/>
      <c r="M269" s="896">
        <f t="shared" si="37"/>
        <v>3.84</v>
      </c>
      <c r="N269" s="897">
        <f t="shared" si="38"/>
        <v>3.84</v>
      </c>
      <c r="Y269" s="1413" t="s">
        <v>4720</v>
      </c>
      <c r="Z269" s="743"/>
      <c r="AA269" s="1411"/>
    </row>
    <row r="270" spans="1:27" ht="15.75">
      <c r="A270" s="1792" t="s">
        <v>4609</v>
      </c>
      <c r="B270" s="1793"/>
      <c r="C270" s="1795"/>
      <c r="D270" s="1796"/>
      <c r="E270" s="863"/>
      <c r="F270" s="864"/>
      <c r="G270" s="867"/>
      <c r="H270" s="867"/>
      <c r="I270" s="867"/>
      <c r="J270" s="867"/>
      <c r="K270" s="868"/>
      <c r="L270" s="869"/>
      <c r="M270" s="896">
        <f t="shared" si="37"/>
        <v>0</v>
      </c>
      <c r="N270" s="898"/>
      <c r="Y270" s="1413" t="s">
        <v>4720</v>
      </c>
      <c r="Z270" s="743"/>
      <c r="AA270" s="1411"/>
    </row>
    <row r="271" spans="1:27" ht="15.75">
      <c r="A271" s="1792" t="s">
        <v>4573</v>
      </c>
      <c r="B271" s="1793"/>
      <c r="C271" s="870"/>
      <c r="D271" s="871"/>
      <c r="E271" s="871"/>
      <c r="F271" s="871"/>
      <c r="G271" s="865">
        <f>SUM(G265:G270)</f>
        <v>38.482500000000002</v>
      </c>
      <c r="H271" s="865">
        <f>SUM(H265:H270)</f>
        <v>0</v>
      </c>
      <c r="I271" s="865">
        <f>SUM(I265:I270)</f>
        <v>0</v>
      </c>
      <c r="J271" s="865">
        <f>SUM(J265:J270)</f>
        <v>0</v>
      </c>
      <c r="K271" s="899">
        <f>SUM(K265:K265)</f>
        <v>0</v>
      </c>
      <c r="L271" s="865">
        <f>SUM(L265:L265)</f>
        <v>0</v>
      </c>
      <c r="M271" s="865">
        <f>SUM(M265:M270)</f>
        <v>38.482500000000002</v>
      </c>
      <c r="N271" s="865">
        <f>SUM(N265:N270)</f>
        <v>38.482500000000002</v>
      </c>
      <c r="Y271" s="1413" t="s">
        <v>4723</v>
      </c>
      <c r="Z271" s="1051"/>
      <c r="AA271" s="1411"/>
    </row>
    <row r="272" spans="1:27" ht="15.75">
      <c r="Y272" s="1413" t="s">
        <v>4724</v>
      </c>
      <c r="AA272" s="1411"/>
    </row>
    <row r="273" spans="1:28" ht="15.75">
      <c r="A273" s="1030" t="s">
        <v>4610</v>
      </c>
      <c r="B273" s="1030"/>
      <c r="C273" s="1031"/>
      <c r="D273" s="837"/>
      <c r="F273" s="1032" t="s">
        <v>4707</v>
      </c>
      <c r="G273" s="1033"/>
      <c r="H273" s="1033"/>
      <c r="I273" s="1034"/>
      <c r="K273" s="1862" t="s">
        <v>4662</v>
      </c>
      <c r="L273" s="1863"/>
      <c r="M273" s="1035"/>
      <c r="Y273" s="1413" t="s">
        <v>4725</v>
      </c>
      <c r="Z273" s="1051"/>
      <c r="AA273" s="1411"/>
    </row>
    <row r="274" spans="1:28" ht="15.75">
      <c r="A274" s="739" t="s">
        <v>4524</v>
      </c>
      <c r="B274" s="739" t="s">
        <v>4516</v>
      </c>
      <c r="C274" s="739" t="s">
        <v>4612</v>
      </c>
      <c r="D274" s="739" t="s">
        <v>4613</v>
      </c>
      <c r="F274" s="945" t="s">
        <v>4524</v>
      </c>
      <c r="G274" s="853" t="s">
        <v>4516</v>
      </c>
      <c r="H274" s="853" t="s">
        <v>4639</v>
      </c>
      <c r="I274" s="980" t="s">
        <v>4640</v>
      </c>
      <c r="K274" s="1036">
        <v>4.3</v>
      </c>
      <c r="L274" s="953" t="s">
        <v>1752</v>
      </c>
      <c r="M274" s="807"/>
      <c r="Y274" s="757"/>
      <c r="Z274" s="1051"/>
      <c r="AA274" s="1411"/>
    </row>
    <row r="275" spans="1:28" ht="15.75">
      <c r="A275" s="794" t="s">
        <v>4709</v>
      </c>
      <c r="B275" s="905">
        <f>B295</f>
        <v>496.85</v>
      </c>
      <c r="C275" s="905">
        <f>B275</f>
        <v>496.85</v>
      </c>
      <c r="D275" s="905">
        <f>B275</f>
        <v>496.85</v>
      </c>
      <c r="F275" s="1037" t="s">
        <v>4641</v>
      </c>
      <c r="G275" s="743">
        <f>B298</f>
        <v>551.03</v>
      </c>
      <c r="H275" s="743">
        <v>0.1</v>
      </c>
      <c r="I275" s="795">
        <f>G275*H275</f>
        <v>55.103000000000002</v>
      </c>
      <c r="Y275" s="757"/>
      <c r="Z275" s="1051"/>
      <c r="AA275" s="1411"/>
    </row>
    <row r="276" spans="1:28">
      <c r="A276" s="1038"/>
      <c r="B276" s="1039"/>
      <c r="C276" s="1039"/>
      <c r="D276" s="1040"/>
      <c r="F276" s="1041"/>
      <c r="G276" s="743"/>
      <c r="H276" s="789"/>
      <c r="I276" s="789"/>
      <c r="Y276" s="1414" t="s">
        <v>4728</v>
      </c>
      <c r="Z276" s="1004"/>
      <c r="AA276" s="1411"/>
    </row>
    <row r="277" spans="1:28" ht="15.75">
      <c r="F277" s="1042" t="s">
        <v>4710</v>
      </c>
      <c r="G277" s="1042"/>
      <c r="H277" s="1042"/>
      <c r="I277" s="1043">
        <f>SUM(I275:I276)</f>
        <v>55.103000000000002</v>
      </c>
      <c r="K277" s="833"/>
      <c r="L277" s="1108"/>
      <c r="M277" s="730"/>
      <c r="N277" s="733"/>
      <c r="Y277" s="1415" t="s">
        <v>4730</v>
      </c>
      <c r="Z277" s="1004"/>
      <c r="AA277" s="1411"/>
    </row>
    <row r="278" spans="1:28" ht="15.75" customHeight="1">
      <c r="F278" s="1823" t="s">
        <v>5409</v>
      </c>
      <c r="G278" s="1824"/>
      <c r="H278" s="1824"/>
      <c r="I278" s="1824"/>
      <c r="J278" s="1824"/>
      <c r="K278" s="1824"/>
      <c r="L278" s="1824"/>
      <c r="M278" s="1824"/>
      <c r="N278" s="1824"/>
      <c r="O278" s="1824"/>
      <c r="P278" s="1824"/>
      <c r="Q278" s="1824"/>
      <c r="R278" s="769"/>
      <c r="Y278" s="1414" t="s">
        <v>4731</v>
      </c>
      <c r="Z278" s="1004"/>
      <c r="AA278" s="1411"/>
    </row>
    <row r="279" spans="1:28" ht="47.25">
      <c r="E279" s="1046"/>
      <c r="F279" s="1605" t="s">
        <v>5372</v>
      </c>
      <c r="G279" s="1606" t="s">
        <v>515</v>
      </c>
      <c r="H279" s="1605" t="s">
        <v>5382</v>
      </c>
      <c r="I279" s="1607" t="s">
        <v>5373</v>
      </c>
      <c r="J279" s="1607" t="s">
        <v>5383</v>
      </c>
      <c r="K279" s="1607" t="s">
        <v>5384</v>
      </c>
      <c r="L279" s="1608" t="s">
        <v>5374</v>
      </c>
      <c r="M279" s="1607" t="s">
        <v>5375</v>
      </c>
      <c r="N279" s="1609" t="s">
        <v>5376</v>
      </c>
      <c r="O279" s="1609" t="s">
        <v>5385</v>
      </c>
      <c r="P279" s="1609" t="s">
        <v>5377</v>
      </c>
      <c r="Q279" s="1609" t="s">
        <v>5378</v>
      </c>
      <c r="R279" s="1609" t="s">
        <v>5379</v>
      </c>
      <c r="Y279" s="1404" t="s">
        <v>5124</v>
      </c>
      <c r="Z279" s="743">
        <f>88.18*1.2*10.76</f>
        <v>1138.58016</v>
      </c>
      <c r="AA279" s="1439" t="s">
        <v>211</v>
      </c>
    </row>
    <row r="280" spans="1:28" ht="15.75">
      <c r="F280" s="1610" t="s">
        <v>5380</v>
      </c>
      <c r="G280" s="1610">
        <v>8</v>
      </c>
      <c r="H280" s="1611">
        <f>1.37*0.5*2*G280</f>
        <v>10.96</v>
      </c>
      <c r="I280" s="1612">
        <f>1.75*0.5</f>
        <v>0.875</v>
      </c>
      <c r="J280" s="1612">
        <f>H280*2+0.15*1.37*2*G280</f>
        <v>25.208000000000002</v>
      </c>
      <c r="K280" s="1612">
        <f>1.75*0.5*4*G280</f>
        <v>28</v>
      </c>
      <c r="L280" s="1613">
        <f>1.75*4*G280+1.37*2*G280+1.37*2*G280</f>
        <v>99.84</v>
      </c>
      <c r="M280" s="1616">
        <f>J280+K280</f>
        <v>53.207999999999998</v>
      </c>
      <c r="N280" s="1614">
        <f>1.75*2*8</f>
        <v>28</v>
      </c>
      <c r="O280" s="1616">
        <f>K280</f>
        <v>28</v>
      </c>
      <c r="P280" s="1614">
        <f>I280*8*2</f>
        <v>14</v>
      </c>
      <c r="Q280" s="1614">
        <f>1.75*G280*2</f>
        <v>28</v>
      </c>
      <c r="R280" s="1615">
        <f>P280</f>
        <v>14</v>
      </c>
      <c r="Y280" s="1369" t="s">
        <v>5242</v>
      </c>
      <c r="Z280" s="1355">
        <f>B289</f>
        <v>13.1</v>
      </c>
      <c r="AA280" s="728" t="s">
        <v>213</v>
      </c>
    </row>
    <row r="281" spans="1:28" ht="15.75">
      <c r="F281" s="1610" t="s">
        <v>5381</v>
      </c>
      <c r="G281" s="1610">
        <v>4</v>
      </c>
      <c r="H281" s="1611">
        <f>1.37*0.5*2*G281</f>
        <v>5.48</v>
      </c>
      <c r="I281" s="1612">
        <f>6.2*0.5</f>
        <v>3.1</v>
      </c>
      <c r="J281" s="1612">
        <f>H281*2+0.15*1.37*2*G281</f>
        <v>12.604000000000001</v>
      </c>
      <c r="K281" s="1612">
        <f>6.2*0.5*4*G281</f>
        <v>49.6</v>
      </c>
      <c r="L281" s="1613">
        <f>6.2*4*G281+1.37*4*G281</f>
        <v>121.12</v>
      </c>
      <c r="M281" s="1616">
        <f>K281+J281</f>
        <v>62.204000000000001</v>
      </c>
      <c r="N281" s="1616">
        <f>6.2*2*4</f>
        <v>49.6</v>
      </c>
      <c r="O281" s="1616">
        <f>K281</f>
        <v>49.6</v>
      </c>
      <c r="P281" s="1616">
        <f>I281*4*2</f>
        <v>24.8</v>
      </c>
      <c r="Q281" s="1616">
        <f>6.2*4*2</f>
        <v>49.6</v>
      </c>
      <c r="R281" s="1620">
        <f>P281</f>
        <v>24.8</v>
      </c>
      <c r="Y281" s="1369" t="s">
        <v>5243</v>
      </c>
      <c r="Z281" s="1355">
        <f>B285+B286+B287+B288+B290+B291+B293</f>
        <v>537.93000000000006</v>
      </c>
      <c r="AA281" s="728" t="s">
        <v>213</v>
      </c>
    </row>
    <row r="282" spans="1:28" ht="15.75">
      <c r="F282" s="1610"/>
      <c r="G282" s="1610"/>
      <c r="H282" s="1611"/>
      <c r="I282" s="1612"/>
      <c r="J282" s="1612"/>
      <c r="K282" s="1612"/>
      <c r="L282" s="1617"/>
      <c r="M282" s="1614"/>
      <c r="N282" s="1616"/>
      <c r="O282" s="1616"/>
      <c r="P282" s="1614"/>
      <c r="Q282" s="1616"/>
      <c r="R282" s="1615"/>
      <c r="Y282" s="1369" t="s">
        <v>5244</v>
      </c>
      <c r="Z282" s="1355">
        <f>C285+C286+C287+C288+C290+C291</f>
        <v>507.59000000000003</v>
      </c>
      <c r="AA282" s="1554" t="s">
        <v>1171</v>
      </c>
    </row>
    <row r="283" spans="1:28" ht="48" customHeight="1">
      <c r="A283" s="1864" t="s">
        <v>4711</v>
      </c>
      <c r="B283" s="1865"/>
      <c r="C283" s="1866"/>
      <c r="E283" s="1113"/>
      <c r="F283" s="1825" t="s">
        <v>4745</v>
      </c>
      <c r="G283" s="1826"/>
      <c r="H283" s="1618">
        <f t="shared" ref="H283:R283" si="40">SUM(H280:H282)</f>
        <v>16.440000000000001</v>
      </c>
      <c r="I283" s="1618">
        <f t="shared" si="40"/>
        <v>3.9750000000000001</v>
      </c>
      <c r="J283" s="1618">
        <f t="shared" si="40"/>
        <v>37.812000000000005</v>
      </c>
      <c r="K283" s="1618">
        <f>SUM(K280:K282)+50.2*0.4</f>
        <v>97.679999999999993</v>
      </c>
      <c r="L283" s="1618">
        <f t="shared" si="40"/>
        <v>220.96</v>
      </c>
      <c r="M283" s="1618">
        <f t="shared" si="40"/>
        <v>115.41200000000001</v>
      </c>
      <c r="N283" s="1618">
        <f t="shared" si="40"/>
        <v>77.599999999999994</v>
      </c>
      <c r="O283" s="1618">
        <f>SUM(O280:O282)+50.2*0.4</f>
        <v>97.679999999999993</v>
      </c>
      <c r="P283" s="1618">
        <f t="shared" si="40"/>
        <v>38.799999999999997</v>
      </c>
      <c r="Q283" s="1618">
        <f t="shared" si="40"/>
        <v>77.599999999999994</v>
      </c>
      <c r="R283" s="1618">
        <f t="shared" si="40"/>
        <v>38.799999999999997</v>
      </c>
      <c r="Y283" s="1369" t="s">
        <v>5282</v>
      </c>
      <c r="Z283" s="1355">
        <f>C289</f>
        <v>9.5</v>
      </c>
      <c r="AA283" s="1554" t="s">
        <v>1171</v>
      </c>
    </row>
    <row r="284" spans="1:28" ht="15.75">
      <c r="A284" s="739" t="s">
        <v>4516</v>
      </c>
      <c r="B284" s="739" t="s">
        <v>4525</v>
      </c>
      <c r="C284" s="741" t="s">
        <v>4614</v>
      </c>
      <c r="E284" s="829"/>
      <c r="F284" s="829"/>
      <c r="G284" s="829"/>
      <c r="H284" s="829"/>
      <c r="J284" s="829"/>
      <c r="K284" s="1619" t="s">
        <v>4522</v>
      </c>
      <c r="N284" s="829"/>
      <c r="O284" s="829"/>
      <c r="P284" s="829"/>
      <c r="Q284" s="829"/>
      <c r="R284" s="730"/>
      <c r="Y284" s="1369" t="s">
        <v>4792</v>
      </c>
      <c r="Z284" s="1355">
        <f>2.4*0.5*4+1.2*0.5*4</f>
        <v>7.1999999999999993</v>
      </c>
      <c r="AA284" s="728" t="s">
        <v>213</v>
      </c>
    </row>
    <row r="285" spans="1:28" ht="33" customHeight="1">
      <c r="A285" s="756" t="s">
        <v>4712</v>
      </c>
      <c r="B285" s="1048">
        <f>23*2</f>
        <v>46</v>
      </c>
      <c r="C285" s="1049">
        <f>14.77*2</f>
        <v>29.54</v>
      </c>
      <c r="E285" s="910"/>
      <c r="F285" s="1545"/>
      <c r="G285" s="1125"/>
      <c r="H285" s="1167"/>
      <c r="J285" s="1114"/>
      <c r="K285" s="1519"/>
      <c r="L285" s="1520" t="s">
        <v>213</v>
      </c>
      <c r="M285" s="1520" t="s">
        <v>211</v>
      </c>
      <c r="N285" s="1114"/>
      <c r="O285" s="1377"/>
      <c r="P285" s="1377"/>
      <c r="Q285" s="1114"/>
      <c r="R285" s="730"/>
      <c r="Y285" s="1369" t="s">
        <v>5094</v>
      </c>
      <c r="Z285" s="1355">
        <f>Z284</f>
        <v>7.1999999999999993</v>
      </c>
      <c r="AA285" s="728" t="s">
        <v>213</v>
      </c>
    </row>
    <row r="286" spans="1:28" ht="42" customHeight="1">
      <c r="A286" s="756" t="s">
        <v>4714</v>
      </c>
      <c r="B286" s="1048">
        <f>63+63</f>
        <v>126</v>
      </c>
      <c r="C286" s="1049">
        <f>20.28*4</f>
        <v>81.12</v>
      </c>
      <c r="E286" s="910"/>
      <c r="F286" s="1545"/>
      <c r="G286" s="1125"/>
      <c r="H286" s="1167"/>
      <c r="I286" s="1471" t="s">
        <v>5151</v>
      </c>
      <c r="K286" s="744" t="s">
        <v>4457</v>
      </c>
      <c r="L286" s="794">
        <f>1.45*1.07*8+1.07*6.15*4</f>
        <v>38.734000000000002</v>
      </c>
      <c r="M286" s="794">
        <f>L286*10.76</f>
        <v>416.77784000000003</v>
      </c>
      <c r="N286" s="1114"/>
      <c r="O286" s="1377"/>
      <c r="P286" s="1377"/>
      <c r="Q286" s="1114"/>
      <c r="R286" s="730"/>
      <c r="Y286" s="1369" t="s">
        <v>4279</v>
      </c>
      <c r="Z286" s="1355">
        <f>2.4*4+1.2*4</f>
        <v>14.399999999999999</v>
      </c>
      <c r="AA286" s="1554" t="s">
        <v>1171</v>
      </c>
    </row>
    <row r="287" spans="1:28" ht="15.75">
      <c r="A287" s="756" t="s">
        <v>4716</v>
      </c>
      <c r="B287" s="1048">
        <v>39.18</v>
      </c>
      <c r="C287" s="1049">
        <v>42.15</v>
      </c>
      <c r="E287" s="910"/>
      <c r="F287" s="1545"/>
      <c r="G287" s="1125"/>
      <c r="H287" s="1167"/>
      <c r="I287" s="808">
        <f>4.21*1.1*2</f>
        <v>9.2620000000000005</v>
      </c>
      <c r="J287" s="809" t="s">
        <v>1333</v>
      </c>
      <c r="K287" s="1782" t="s">
        <v>4632</v>
      </c>
      <c r="L287" s="1783"/>
      <c r="N287" s="1782" t="s">
        <v>5139</v>
      </c>
      <c r="O287" s="1783"/>
      <c r="P287" s="1377"/>
      <c r="Q287" s="1114"/>
      <c r="R287" s="730"/>
      <c r="Y287" s="1645" t="s">
        <v>5433</v>
      </c>
      <c r="Z287" s="728">
        <f>SUM(AB288:AB300)*2*1.05</f>
        <v>373.56059999999997</v>
      </c>
    </row>
    <row r="288" spans="1:28" ht="15.75">
      <c r="A288" s="756" t="s">
        <v>4619</v>
      </c>
      <c r="B288" s="1048">
        <v>8.8000000000000007</v>
      </c>
      <c r="C288" s="908">
        <v>11.1</v>
      </c>
      <c r="D288" s="1389" t="s">
        <v>5108</v>
      </c>
      <c r="E288" s="910" t="s">
        <v>4080</v>
      </c>
      <c r="F288" s="1545"/>
      <c r="G288" s="1545"/>
      <c r="H288" s="1167"/>
      <c r="I288" s="1079">
        <f>I287*10.76</f>
        <v>99.659120000000001</v>
      </c>
      <c r="J288" s="1079" t="s">
        <v>811</v>
      </c>
      <c r="K288" s="1784" t="s">
        <v>4515</v>
      </c>
      <c r="L288" s="1785"/>
      <c r="N288" s="1784" t="s">
        <v>4515</v>
      </c>
      <c r="O288" s="1785"/>
      <c r="P288" s="1377"/>
      <c r="Q288" s="1114"/>
      <c r="R288" s="730"/>
      <c r="AB288" s="1645">
        <f>1*2.1*8+0.88*2.1*8</f>
        <v>31.584000000000003</v>
      </c>
    </row>
    <row r="289" spans="1:28" ht="15.75">
      <c r="A289" s="756" t="s">
        <v>4719</v>
      </c>
      <c r="B289" s="1048">
        <v>13.1</v>
      </c>
      <c r="C289" s="908">
        <v>9.5</v>
      </c>
      <c r="D289" s="728">
        <v>6</v>
      </c>
      <c r="E289" s="910">
        <v>1.5</v>
      </c>
      <c r="F289" s="802">
        <f>D289*E289</f>
        <v>9</v>
      </c>
      <c r="G289" s="802"/>
      <c r="H289" s="1167"/>
      <c r="J289" s="1115"/>
      <c r="K289" s="740" t="s">
        <v>4492</v>
      </c>
      <c r="L289" s="740" t="s">
        <v>4516</v>
      </c>
      <c r="N289" s="740" t="s">
        <v>4492</v>
      </c>
      <c r="O289" s="740" t="s">
        <v>4516</v>
      </c>
      <c r="P289" s="1117"/>
      <c r="Q289" s="1116"/>
      <c r="R289" s="730"/>
      <c r="AB289" s="728">
        <f>0.9*2.1*2</f>
        <v>3.7800000000000002</v>
      </c>
    </row>
    <row r="290" spans="1:28" ht="93" customHeight="1">
      <c r="A290" s="756" t="s">
        <v>4622</v>
      </c>
      <c r="B290" s="1048">
        <v>32.299999999999997</v>
      </c>
      <c r="C290" s="1049">
        <v>18.88</v>
      </c>
      <c r="D290" s="1389"/>
      <c r="E290" s="1546"/>
      <c r="F290" s="1547"/>
      <c r="G290" s="832"/>
      <c r="H290" s="832"/>
      <c r="J290" s="730"/>
      <c r="K290" s="744" t="s">
        <v>4521</v>
      </c>
      <c r="L290" s="794">
        <f>16*1*1</f>
        <v>16</v>
      </c>
      <c r="N290" s="744" t="s">
        <v>5149</v>
      </c>
      <c r="O290" s="1467">
        <f>1*2.1*16+0.42*2*16*1.62</f>
        <v>55.372799999999998</v>
      </c>
      <c r="P290" s="730"/>
      <c r="Q290" s="730"/>
      <c r="R290" s="730"/>
      <c r="AB290" s="728">
        <f>1*2.1*16+0.4*2.1*16</f>
        <v>47.040000000000006</v>
      </c>
    </row>
    <row r="291" spans="1:28" ht="35.25" customHeight="1">
      <c r="A291" s="756" t="s">
        <v>4722</v>
      </c>
      <c r="B291" s="1048">
        <f>17.45*16</f>
        <v>279.2</v>
      </c>
      <c r="C291" s="1050">
        <f>20.3*16</f>
        <v>324.8</v>
      </c>
      <c r="J291" s="730"/>
      <c r="K291" s="744" t="s">
        <v>5150</v>
      </c>
      <c r="L291" s="728">
        <f>16*1*0.6</f>
        <v>9.6</v>
      </c>
      <c r="N291" s="744" t="s">
        <v>5148</v>
      </c>
      <c r="O291" s="794">
        <f>1*2.1*8+1*2.1*8</f>
        <v>33.6</v>
      </c>
      <c r="P291" s="730"/>
      <c r="Q291" s="730"/>
      <c r="R291" s="730"/>
      <c r="AB291" s="728">
        <f>2*2.1*2+0.75*2.1*2</f>
        <v>11.55</v>
      </c>
    </row>
    <row r="292" spans="1:28" ht="90.75">
      <c r="A292" s="756" t="s">
        <v>1336</v>
      </c>
      <c r="B292" s="1052"/>
      <c r="C292" s="918">
        <f>19.2+36*0.15</f>
        <v>24.599999999999998</v>
      </c>
      <c r="K292" s="1472" t="s">
        <v>5155</v>
      </c>
      <c r="L292" s="728">
        <f>0.6*0.8</f>
        <v>0.48</v>
      </c>
      <c r="N292" s="1468" t="s">
        <v>5220</v>
      </c>
      <c r="O292" s="822">
        <f>2*2.1</f>
        <v>4.2</v>
      </c>
      <c r="AB292" s="728">
        <f>2*2.1*2</f>
        <v>8.4</v>
      </c>
    </row>
    <row r="293" spans="1:28" ht="15.75" customHeight="1">
      <c r="A293" s="756" t="s">
        <v>5109</v>
      </c>
      <c r="B293" s="922">
        <v>6.45</v>
      </c>
      <c r="C293" s="1053"/>
      <c r="F293" s="801"/>
      <c r="G293" s="807"/>
      <c r="H293" s="807"/>
      <c r="I293" s="807"/>
      <c r="K293" s="1472" t="s">
        <v>5154</v>
      </c>
      <c r="L293" s="728">
        <f>0.6*0.8</f>
        <v>0.48</v>
      </c>
      <c r="N293" s="1468" t="s">
        <v>5152</v>
      </c>
      <c r="O293" s="822">
        <f>2.75*2.1*2</f>
        <v>11.55</v>
      </c>
      <c r="P293" s="944"/>
      <c r="Q293" s="944"/>
      <c r="R293" s="944"/>
      <c r="S293" s="944"/>
      <c r="T293" s="944"/>
      <c r="U293" s="944"/>
      <c r="V293" s="944"/>
      <c r="W293" s="730"/>
      <c r="X293" s="730"/>
      <c r="Y293" s="730"/>
      <c r="AB293" s="728">
        <f>2*2.1*2</f>
        <v>8.4</v>
      </c>
    </row>
    <row r="294" spans="1:28" ht="42.75" customHeight="1">
      <c r="A294" s="795"/>
      <c r="B294" s="1054"/>
      <c r="C294" s="795"/>
      <c r="E294" s="1055" t="s">
        <v>4726</v>
      </c>
      <c r="F294" s="1056"/>
      <c r="G294" s="1056"/>
      <c r="H294" s="1056"/>
      <c r="I294" s="1056"/>
      <c r="K294" s="1472" t="s">
        <v>5156</v>
      </c>
      <c r="L294" s="728">
        <f>1.2*1</f>
        <v>1.2</v>
      </c>
      <c r="N294" s="1466"/>
      <c r="O294" s="820"/>
      <c r="P294" s="1121"/>
      <c r="Q294" s="1120"/>
      <c r="R294" s="1122"/>
      <c r="S294" s="1122"/>
      <c r="T294" s="1122"/>
      <c r="U294" s="1122"/>
      <c r="V294" s="1122"/>
      <c r="W294" s="1122"/>
      <c r="X294" s="730"/>
      <c r="Y294" s="730"/>
      <c r="AB294" s="728">
        <f>1.2*1.1</f>
        <v>1.32</v>
      </c>
    </row>
    <row r="295" spans="1:28" ht="60">
      <c r="A295" s="989" t="s">
        <v>4635</v>
      </c>
      <c r="B295" s="892">
        <f>35.9*2+62.6+63.15+13.5*16+55.5+27.8</f>
        <v>496.85</v>
      </c>
      <c r="C295" s="1057">
        <f>SUM(C285:C294)</f>
        <v>541.69000000000005</v>
      </c>
      <c r="D295" s="728">
        <f>35.9*2+62.6+63.15+13.5*16+55.5+27.8</f>
        <v>496.85</v>
      </c>
      <c r="E295" s="814" t="s">
        <v>4492</v>
      </c>
      <c r="F295" s="815" t="s">
        <v>515</v>
      </c>
      <c r="G295" s="816" t="s">
        <v>4527</v>
      </c>
      <c r="H295" s="814" t="s">
        <v>4516</v>
      </c>
      <c r="I295" s="817"/>
      <c r="K295" s="1096" t="s">
        <v>5219</v>
      </c>
      <c r="L295" s="728">
        <f>2*0.6*8</f>
        <v>9.6</v>
      </c>
      <c r="N295" s="1471"/>
      <c r="P295" s="1125"/>
      <c r="Q295" s="822"/>
      <c r="R295" s="822"/>
      <c r="S295" s="1125"/>
      <c r="T295" s="1125"/>
      <c r="U295" s="822"/>
      <c r="V295" s="1125"/>
      <c r="W295" s="1423"/>
      <c r="X295" s="730"/>
      <c r="Y295" s="730"/>
      <c r="AB295" s="728">
        <f>1.1*16</f>
        <v>17.600000000000001</v>
      </c>
    </row>
    <row r="296" spans="1:28" ht="15.75">
      <c r="A296" s="1060"/>
      <c r="B296" s="991"/>
      <c r="C296" s="1061"/>
      <c r="F296" s="794">
        <v>2</v>
      </c>
      <c r="G296" s="819" t="s">
        <v>5137</v>
      </c>
      <c r="H296" s="820">
        <f>F296*2*2.1</f>
        <v>8.4</v>
      </c>
      <c r="I296" s="821"/>
      <c r="K296" s="786"/>
      <c r="L296" s="797"/>
      <c r="N296" s="808"/>
      <c r="O296" s="809"/>
      <c r="P296" s="1125"/>
      <c r="Q296" s="822"/>
      <c r="R296" s="822"/>
      <c r="S296" s="1125"/>
      <c r="T296" s="1125"/>
      <c r="U296" s="822"/>
      <c r="V296" s="1125"/>
      <c r="W296" s="1423"/>
      <c r="X296" s="730"/>
      <c r="Y296" s="730"/>
      <c r="AB296" s="728">
        <f>0.6*16</f>
        <v>9.6</v>
      </c>
    </row>
    <row r="297" spans="1:28" ht="45.75">
      <c r="A297" s="1062" t="s">
        <v>4727</v>
      </c>
      <c r="B297" s="1063">
        <f>B293</f>
        <v>6.45</v>
      </c>
      <c r="C297" s="1061"/>
      <c r="E297" s="1466" t="s">
        <v>5138</v>
      </c>
      <c r="F297" s="794">
        <v>4</v>
      </c>
      <c r="G297" s="819" t="s">
        <v>4535</v>
      </c>
      <c r="H297" s="820">
        <f>F297*1*2.1</f>
        <v>8.4</v>
      </c>
      <c r="I297" s="821"/>
      <c r="K297" s="1519"/>
      <c r="L297" s="1520"/>
      <c r="M297" s="1520"/>
      <c r="N297" s="1079"/>
      <c r="O297" s="1079"/>
      <c r="P297" s="1125"/>
      <c r="Q297" s="822"/>
      <c r="R297" s="1125"/>
      <c r="S297" s="1125"/>
      <c r="T297" s="1125"/>
      <c r="U297" s="1125"/>
      <c r="V297" s="1125"/>
      <c r="W297" s="1423"/>
      <c r="X297" s="730"/>
      <c r="Y297" s="730"/>
      <c r="AB297" s="728">
        <f>1.2*0.6*4</f>
        <v>2.88</v>
      </c>
    </row>
    <row r="298" spans="1:28" ht="30.75">
      <c r="A298" s="1062" t="s">
        <v>4729</v>
      </c>
      <c r="B298" s="1065">
        <f>SUM(B285:B294)</f>
        <v>551.03</v>
      </c>
      <c r="C298" s="1066"/>
      <c r="E298" s="1466" t="s">
        <v>5140</v>
      </c>
      <c r="F298" s="794">
        <v>16</v>
      </c>
      <c r="G298" s="819" t="s">
        <v>5141</v>
      </c>
      <c r="H298" s="820">
        <f>F298*0.8*1.8</f>
        <v>23.040000000000003</v>
      </c>
      <c r="I298" s="821"/>
      <c r="K298" s="1126"/>
      <c r="L298" s="1127"/>
      <c r="M298" s="1128"/>
      <c r="N298" s="1129"/>
      <c r="O298" s="1129"/>
      <c r="P298" s="1130"/>
      <c r="Q298" s="1131"/>
      <c r="R298" s="1131"/>
      <c r="S298" s="1131"/>
      <c r="T298" s="1131"/>
      <c r="U298" s="1131"/>
      <c r="V298" s="1131"/>
      <c r="W298" s="1423"/>
      <c r="X298" s="730"/>
      <c r="Y298" s="730"/>
      <c r="AB298" s="728">
        <f>2.4*0.6*4</f>
        <v>5.76</v>
      </c>
    </row>
    <row r="299" spans="1:28" ht="15.75">
      <c r="E299" s="794" t="s">
        <v>5142</v>
      </c>
      <c r="F299" s="794">
        <v>1</v>
      </c>
      <c r="G299" s="836" t="s">
        <v>5143</v>
      </c>
      <c r="H299" s="820">
        <f>1*0.9*2.1</f>
        <v>1.8900000000000001</v>
      </c>
      <c r="I299" s="821"/>
      <c r="K299" s="730"/>
      <c r="L299" s="730"/>
      <c r="M299" s="730"/>
      <c r="N299" s="730"/>
      <c r="O299" s="730"/>
      <c r="P299" s="730"/>
      <c r="Q299" s="730"/>
      <c r="R299" s="730"/>
      <c r="S299" s="730"/>
      <c r="T299" s="730"/>
      <c r="U299" s="730"/>
      <c r="V299" s="730"/>
      <c r="W299" s="730"/>
      <c r="X299" s="730"/>
      <c r="Y299" s="730"/>
      <c r="AB299" s="1645">
        <f>1.42*1.1*4</f>
        <v>6.2480000000000002</v>
      </c>
    </row>
    <row r="300" spans="1:28" ht="15.75">
      <c r="E300" s="794" t="s">
        <v>5145</v>
      </c>
      <c r="F300" s="794">
        <v>1</v>
      </c>
      <c r="G300" s="836" t="s">
        <v>5144</v>
      </c>
      <c r="H300" s="820">
        <f>0.9*2.1*F300</f>
        <v>1.8900000000000001</v>
      </c>
      <c r="I300" s="821"/>
      <c r="AB300" s="728">
        <f>1.88*1.1*8+F323</f>
        <v>23.724</v>
      </c>
    </row>
    <row r="301" spans="1:28" ht="34.5" customHeight="1">
      <c r="E301" s="794" t="s">
        <v>5146</v>
      </c>
      <c r="F301" s="794">
        <v>1</v>
      </c>
      <c r="G301" s="836" t="s">
        <v>4537</v>
      </c>
      <c r="H301" s="820">
        <f>0.8*2.1*F301</f>
        <v>1.6800000000000002</v>
      </c>
      <c r="I301" s="821"/>
      <c r="L301" s="1044" t="s">
        <v>4732</v>
      </c>
      <c r="M301" s="1045"/>
      <c r="R301" s="1867" t="s">
        <v>4733</v>
      </c>
      <c r="S301" s="1868"/>
    </row>
    <row r="302" spans="1:28" ht="15.75">
      <c r="E302" s="838" t="s">
        <v>5147</v>
      </c>
      <c r="F302" s="838">
        <v>1</v>
      </c>
      <c r="G302" s="836" t="s">
        <v>5144</v>
      </c>
      <c r="H302" s="820">
        <f>0.9*2.1*F302</f>
        <v>1.8900000000000001</v>
      </c>
      <c r="I302" s="821"/>
      <c r="L302" s="1068">
        <v>2.7</v>
      </c>
      <c r="M302" s="953" t="s">
        <v>1333</v>
      </c>
      <c r="R302" s="794" t="s">
        <v>4657</v>
      </c>
      <c r="S302" s="972">
        <f>3.1*4+6.75*4+3.9+3.1+2.75+2.92+0.75</f>
        <v>52.82</v>
      </c>
    </row>
    <row r="303" spans="1:28" ht="30">
      <c r="A303" s="1869" t="s">
        <v>4735</v>
      </c>
      <c r="B303" s="1870"/>
      <c r="C303" s="1870"/>
      <c r="E303" s="838"/>
      <c r="F303" s="838"/>
      <c r="G303" s="836"/>
      <c r="H303" s="820">
        <f>F303*0.8*2.1</f>
        <v>0</v>
      </c>
      <c r="I303" s="821"/>
      <c r="R303" s="974" t="s">
        <v>4658</v>
      </c>
      <c r="S303" s="794">
        <f>16*3.32+10*3.32+0.4*3</f>
        <v>87.52</v>
      </c>
      <c r="Y303" s="1411"/>
      <c r="Z303" s="1411"/>
    </row>
    <row r="304" spans="1:28" ht="15.75">
      <c r="A304" s="739" t="s">
        <v>4524</v>
      </c>
      <c r="B304" s="739" t="s">
        <v>4626</v>
      </c>
      <c r="C304" s="739" t="s">
        <v>4525</v>
      </c>
      <c r="E304" s="839" t="s">
        <v>518</v>
      </c>
      <c r="F304" s="840"/>
      <c r="G304" s="841"/>
      <c r="H304" s="842"/>
      <c r="I304" s="843"/>
      <c r="R304" s="815" t="s">
        <v>518</v>
      </c>
      <c r="S304" s="976">
        <f>SUM(S302:S303)</f>
        <v>140.34</v>
      </c>
      <c r="Y304" s="1411"/>
      <c r="Z304" s="1411"/>
    </row>
    <row r="305" spans="1:27" ht="15.75">
      <c r="A305" s="1853" t="s">
        <v>4528</v>
      </c>
      <c r="B305" s="791"/>
      <c r="C305" s="987"/>
      <c r="E305" s="1069" t="s">
        <v>518</v>
      </c>
      <c r="F305" s="1070"/>
      <c r="G305" s="1071"/>
      <c r="H305" s="842">
        <f>SUM(H296:H304)</f>
        <v>47.190000000000005</v>
      </c>
      <c r="I305" s="843"/>
      <c r="L305" s="1044" t="s">
        <v>5280</v>
      </c>
      <c r="M305" s="1044"/>
      <c r="O305" s="1044" t="s">
        <v>5281</v>
      </c>
      <c r="P305" s="1044"/>
      <c r="Y305" s="1411"/>
      <c r="Z305" s="1411"/>
    </row>
    <row r="306" spans="1:27">
      <c r="A306" s="1854"/>
      <c r="B306" s="791"/>
      <c r="C306" s="987"/>
      <c r="L306" s="1074" t="s">
        <v>1752</v>
      </c>
      <c r="M306" s="1075">
        <v>29</v>
      </c>
      <c r="O306" s="994" t="s">
        <v>1333</v>
      </c>
      <c r="P306" s="1076">
        <f>2.75+2.25+2.7</f>
        <v>7.7</v>
      </c>
      <c r="Y306" s="1411"/>
      <c r="Z306" s="1411"/>
    </row>
    <row r="307" spans="1:27">
      <c r="A307" s="1077" t="s">
        <v>518</v>
      </c>
      <c r="B307" s="1077"/>
      <c r="C307" s="991">
        <f>SUM(C305:C306)</f>
        <v>0</v>
      </c>
      <c r="O307" s="913"/>
      <c r="Y307" s="1411"/>
      <c r="Z307" s="1411"/>
    </row>
    <row r="308" spans="1:27" ht="15.75">
      <c r="L308" s="1078"/>
      <c r="M308" s="1078"/>
      <c r="Y308" s="1411"/>
      <c r="Z308" s="1411"/>
    </row>
    <row r="309" spans="1:27" ht="15.75">
      <c r="F309" s="913"/>
      <c r="L309" s="1079"/>
      <c r="M309" s="1079"/>
      <c r="N309" s="1079"/>
      <c r="O309" s="1079"/>
      <c r="P309" s="1079"/>
      <c r="Q309" s="1079"/>
      <c r="R309" s="1079"/>
      <c r="S309" s="730"/>
      <c r="Y309" s="1411"/>
      <c r="Z309" s="1411"/>
    </row>
    <row r="310" spans="1:27">
      <c r="F310" s="913"/>
      <c r="L310" s="1080"/>
      <c r="M310" s="1080"/>
      <c r="N310" s="1080"/>
      <c r="O310" s="916"/>
      <c r="P310" s="916"/>
      <c r="Q310" s="916"/>
      <c r="R310" s="916"/>
      <c r="S310" s="1080"/>
      <c r="Y310" s="1411"/>
      <c r="Z310" s="1411"/>
    </row>
    <row r="311" spans="1:27" ht="15.75">
      <c r="A311" s="1855" t="s">
        <v>4739</v>
      </c>
      <c r="B311" s="1856"/>
      <c r="C311" s="1856"/>
      <c r="D311" s="1856"/>
      <c r="E311" s="1856"/>
      <c r="F311" s="1856"/>
      <c r="G311" s="785"/>
      <c r="H311" s="955" t="s">
        <v>4740</v>
      </c>
      <c r="I311" s="955"/>
      <c r="J311" s="956"/>
      <c r="L311" s="957"/>
      <c r="M311" s="786"/>
      <c r="N311" s="1081"/>
      <c r="O311" s="1082"/>
      <c r="P311" s="1082"/>
      <c r="Q311" s="1083"/>
      <c r="R311" s="1083"/>
      <c r="S311" s="1084"/>
      <c r="U311" s="1786" t="s">
        <v>4274</v>
      </c>
      <c r="V311" s="1786"/>
      <c r="W311" s="1786"/>
    </row>
    <row r="312" spans="1:27" ht="15.75">
      <c r="A312" s="739" t="s">
        <v>4741</v>
      </c>
      <c r="B312" s="739" t="s">
        <v>2116</v>
      </c>
      <c r="C312" s="739" t="s">
        <v>4525</v>
      </c>
      <c r="D312" s="978" t="s">
        <v>4742</v>
      </c>
      <c r="E312" s="978" t="s">
        <v>4613</v>
      </c>
      <c r="F312" s="978" t="s">
        <v>4261</v>
      </c>
      <c r="G312" s="1085"/>
      <c r="H312" s="958" t="s">
        <v>4645</v>
      </c>
      <c r="I312" s="958" t="s">
        <v>4646</v>
      </c>
      <c r="J312" s="959" t="s">
        <v>4647</v>
      </c>
      <c r="K312" s="958" t="s">
        <v>4648</v>
      </c>
      <c r="L312" s="958" t="s">
        <v>4649</v>
      </c>
      <c r="M312" s="1438" t="s">
        <v>4274</v>
      </c>
      <c r="N312" s="831"/>
      <c r="O312" s="832"/>
      <c r="P312" s="832"/>
      <c r="Q312" s="1109"/>
      <c r="R312" s="1109"/>
      <c r="S312" s="833"/>
      <c r="U312" s="739" t="s">
        <v>4217</v>
      </c>
      <c r="V312" s="739" t="s">
        <v>4627</v>
      </c>
      <c r="W312" s="739" t="s">
        <v>1752</v>
      </c>
    </row>
    <row r="313" spans="1:27" ht="15.75">
      <c r="A313" s="744"/>
      <c r="B313" s="744"/>
      <c r="C313" s="774"/>
      <c r="D313" s="774"/>
      <c r="E313" s="1086"/>
      <c r="F313" s="1086"/>
      <c r="G313" s="822"/>
      <c r="H313" s="958">
        <f>85*0.4+7.6*2*0.4</f>
        <v>40.08</v>
      </c>
      <c r="I313" s="958">
        <f>85*0.4+65.4*0.4*2+7.6*2*0.4+1.5*0.4*2*5+1.5*0.15*5</f>
        <v>99.525000000000006</v>
      </c>
      <c r="J313" s="958">
        <f>H313+I313</f>
        <v>139.60500000000002</v>
      </c>
      <c r="K313" s="958">
        <f>I313</f>
        <v>99.525000000000006</v>
      </c>
      <c r="L313" s="958">
        <f>H313</f>
        <v>40.08</v>
      </c>
      <c r="M313" s="841">
        <f>2.77*4+3.6*2+64+2*8+1.85*32+1.5*6+1.2*2+0.9*4+0.8*4+1.45*2+0.8+2.95*4+3.9*2+2.4*4*2+1.2*8+1.5*4</f>
        <v>233.78000000000003</v>
      </c>
      <c r="U313" s="924" t="s">
        <v>4630</v>
      </c>
      <c r="V313" s="923"/>
      <c r="W313" s="908">
        <f>0.42*64+64+1.8*16+16*1.8+2.45*4+4*1+4.06*2+4.08*2+4.33*2+4.36*2+2.71*2+8*3.32+20*3.32+40*1.8+40*1.8+2.2*4+4*1.8+1.5*8+32*2+32*2*1.07+16*2*0.6+3.6*2+1.2*2+2.4*8+12*8+1.2*0.6*8+1.5*4*2.1+0.9*4*2.1+0.9*3*2.1+3*3.02+0.8*4+0.6*4+2.95*4+1.35*4+5*2.1+1.2*2*4+0.15*2*4+3.3*4*2+6*2.1*2</f>
        <v>879.15</v>
      </c>
    </row>
    <row r="314" spans="1:27" ht="15.75">
      <c r="A314" s="744"/>
      <c r="B314" s="744"/>
      <c r="C314" s="774"/>
      <c r="D314" s="774"/>
      <c r="E314" s="1086"/>
      <c r="F314" s="1086"/>
      <c r="G314" s="822"/>
      <c r="H314" s="964"/>
      <c r="I314" s="964"/>
      <c r="J314" s="964"/>
      <c r="K314" s="964"/>
      <c r="L314" s="964"/>
      <c r="M314" s="1087">
        <f t="shared" ref="M314" si="41">M313</f>
        <v>233.78000000000003</v>
      </c>
      <c r="U314" s="927" t="s">
        <v>518</v>
      </c>
      <c r="V314" s="927"/>
      <c r="W314" s="928">
        <f>W313+M314+M318+J323+J329</f>
        <v>1343.5700000000002</v>
      </c>
    </row>
    <row r="315" spans="1:27" ht="15.75">
      <c r="A315" s="744"/>
      <c r="B315" s="744"/>
      <c r="C315" s="774"/>
      <c r="D315" s="774"/>
      <c r="E315" s="1086"/>
      <c r="F315" s="1086"/>
      <c r="G315" s="730"/>
      <c r="H315" s="955" t="s">
        <v>4743</v>
      </c>
      <c r="I315" s="955"/>
      <c r="J315" s="956"/>
      <c r="O315" s="1044" t="s">
        <v>4744</v>
      </c>
      <c r="P315" s="1045"/>
      <c r="Q315" s="837"/>
      <c r="R315" s="837"/>
      <c r="U315" s="1088"/>
      <c r="V315" s="1089"/>
      <c r="W315" s="918"/>
    </row>
    <row r="316" spans="1:27" ht="30">
      <c r="A316" s="1857" t="s">
        <v>4745</v>
      </c>
      <c r="B316" s="1858"/>
      <c r="C316" s="1090">
        <f>SUM(C313:C315)</f>
        <v>0</v>
      </c>
      <c r="D316" s="1090">
        <f>SUM(D313:D315)</f>
        <v>0</v>
      </c>
      <c r="E316" s="1043">
        <f>SUM(E313:E315)</f>
        <v>0</v>
      </c>
      <c r="F316" s="1043">
        <f>SUM(F313:F315)</f>
        <v>0</v>
      </c>
      <c r="G316" s="833"/>
      <c r="H316" s="960" t="s">
        <v>4652</v>
      </c>
      <c r="I316" s="960" t="s">
        <v>4653</v>
      </c>
      <c r="J316" s="970" t="s">
        <v>4647</v>
      </c>
      <c r="K316" s="960" t="s">
        <v>4654</v>
      </c>
      <c r="L316" s="960" t="s">
        <v>4655</v>
      </c>
      <c r="M316" s="985" t="s">
        <v>4274</v>
      </c>
      <c r="O316" s="795" t="s">
        <v>1171</v>
      </c>
      <c r="P316" s="940">
        <f>2.85*2</f>
        <v>5.7</v>
      </c>
      <c r="U316" s="1091"/>
      <c r="V316" s="1092"/>
      <c r="W316" s="1093"/>
    </row>
    <row r="317" spans="1:27" ht="15.75">
      <c r="F317" s="913"/>
      <c r="G317" s="730"/>
      <c r="H317" s="984">
        <f>635.28*0.35+50.2*0.4</f>
        <v>242.428</v>
      </c>
      <c r="I317" s="987">
        <f>175.2*0.6</f>
        <v>105.11999999999999</v>
      </c>
      <c r="J317" s="908">
        <f>H317+I317</f>
        <v>347.548</v>
      </c>
      <c r="K317" s="908">
        <f>I317</f>
        <v>105.11999999999999</v>
      </c>
      <c r="L317" s="908">
        <f>H317</f>
        <v>242.428</v>
      </c>
      <c r="M317" s="841">
        <f>4+3.2*5.25+6.85*2+6.8*2+6.7*4+3.18*4</f>
        <v>87.62</v>
      </c>
      <c r="O317" s="728" t="s">
        <v>211</v>
      </c>
      <c r="P317" s="728">
        <f>P316*10.76</f>
        <v>61.332000000000001</v>
      </c>
      <c r="U317" s="1091"/>
      <c r="V317" s="807"/>
      <c r="W317" s="807"/>
      <c r="Y317" s="1786" t="s">
        <v>4390</v>
      </c>
      <c r="Z317" s="1786"/>
      <c r="AA317" s="1786"/>
    </row>
    <row r="318" spans="1:27">
      <c r="F318" s="913"/>
      <c r="G318" s="730"/>
      <c r="H318" s="989">
        <f t="shared" ref="H318:M318" si="42">H317</f>
        <v>242.428</v>
      </c>
      <c r="I318" s="990">
        <f t="shared" si="42"/>
        <v>105.11999999999999</v>
      </c>
      <c r="J318" s="989">
        <f t="shared" si="42"/>
        <v>347.548</v>
      </c>
      <c r="K318" s="991">
        <f t="shared" si="42"/>
        <v>105.11999999999999</v>
      </c>
      <c r="L318" s="991">
        <f t="shared" si="42"/>
        <v>242.428</v>
      </c>
      <c r="M318" s="1087">
        <f t="shared" si="42"/>
        <v>87.62</v>
      </c>
      <c r="Y318" s="739" t="s">
        <v>4217</v>
      </c>
      <c r="Z318" s="739" t="s">
        <v>4627</v>
      </c>
      <c r="AA318" s="739" t="s">
        <v>1752</v>
      </c>
    </row>
    <row r="319" spans="1:27" ht="39.75" customHeight="1">
      <c r="A319" s="1859" t="s">
        <v>4746</v>
      </c>
      <c r="B319" s="1859"/>
      <c r="C319" s="1859"/>
      <c r="E319" s="1860" t="s">
        <v>4747</v>
      </c>
      <c r="F319" s="1861"/>
      <c r="H319" s="956"/>
      <c r="I319" s="956"/>
      <c r="J319" s="956"/>
      <c r="Y319" s="924" t="s">
        <v>4632</v>
      </c>
      <c r="Z319" s="923">
        <f>2.4*8+1.2*4+32*1.1+64*0.42+16*1.2+2.2*8+0.6*16+16*1+16*0.6+2.45*2+4.06*2+4.08*2+2.95*2+1.35*2+2.4*4*4+0.15*2*4</f>
        <v>227.45999999999998</v>
      </c>
      <c r="AA319" s="908"/>
    </row>
    <row r="320" spans="1:27" ht="15.75" customHeight="1">
      <c r="A320" s="739" t="s">
        <v>4524</v>
      </c>
      <c r="B320" s="739" t="s">
        <v>4626</v>
      </c>
      <c r="C320" s="739" t="s">
        <v>4525</v>
      </c>
      <c r="E320" s="740" t="s">
        <v>4492</v>
      </c>
      <c r="F320" s="740" t="s">
        <v>4516</v>
      </c>
      <c r="H320" s="955" t="s">
        <v>4748</v>
      </c>
      <c r="I320" s="955"/>
      <c r="J320" s="956"/>
      <c r="Y320" s="924" t="s">
        <v>4631</v>
      </c>
      <c r="Z320" s="840">
        <f>16*1.8+7*2.1+3.32+24*1.8</f>
        <v>90.02000000000001</v>
      </c>
      <c r="AA320" s="926"/>
    </row>
    <row r="321" spans="1:27" ht="47.25" customHeight="1">
      <c r="A321" s="1871" t="s">
        <v>4709</v>
      </c>
      <c r="B321" s="791" t="s">
        <v>4749</v>
      </c>
      <c r="C321" s="907">
        <f>2.9*16*2+85.4+0.9*24*1.05</f>
        <v>200.88</v>
      </c>
      <c r="E321" s="744" t="s">
        <v>4521</v>
      </c>
      <c r="F321" s="815"/>
      <c r="H321" s="960" t="s">
        <v>4660</v>
      </c>
      <c r="I321" s="978" t="s">
        <v>515</v>
      </c>
      <c r="J321" s="979" t="s">
        <v>4661</v>
      </c>
      <c r="K321" s="960" t="s">
        <v>4652</v>
      </c>
      <c r="L321" s="960" t="s">
        <v>4653</v>
      </c>
      <c r="M321" s="980" t="s">
        <v>4612</v>
      </c>
      <c r="N321" s="960" t="s">
        <v>4654</v>
      </c>
      <c r="O321" s="960" t="s">
        <v>4655</v>
      </c>
      <c r="Q321" s="955" t="s">
        <v>4666</v>
      </c>
      <c r="R321" s="955"/>
      <c r="S321" s="956"/>
      <c r="Y321" s="927" t="s">
        <v>518</v>
      </c>
      <c r="Z321" s="927"/>
      <c r="AA321" s="928"/>
    </row>
    <row r="322" spans="1:27" ht="30">
      <c r="A322" s="1871"/>
      <c r="B322" s="1094" t="s">
        <v>4750</v>
      </c>
      <c r="C322" s="1029">
        <f>3.05*28</f>
        <v>85.399999999999991</v>
      </c>
      <c r="E322" s="755" t="s">
        <v>4522</v>
      </c>
      <c r="F322" s="755"/>
      <c r="H322" s="984"/>
      <c r="I322" s="774"/>
      <c r="J322" s="774">
        <f>24*2.1+4*3.32+2*3.32+4*1.2+2*3.47+6*3.32+4*3.32</f>
        <v>115.26</v>
      </c>
      <c r="K322" s="743">
        <f>20.5*3.05+1.92*0.2*16</f>
        <v>68.668999999999997</v>
      </c>
      <c r="L322" s="926">
        <f>4.2*3.05+3.3*0.4*4*2</f>
        <v>23.37</v>
      </c>
      <c r="M322" s="743">
        <f>K322+L322</f>
        <v>92.039000000000001</v>
      </c>
      <c r="N322" s="789">
        <f>L322</f>
        <v>23.37</v>
      </c>
      <c r="O322" s="743">
        <f>K322</f>
        <v>68.668999999999997</v>
      </c>
      <c r="Q322" s="960" t="s">
        <v>4652</v>
      </c>
      <c r="R322" s="960" t="s">
        <v>4653</v>
      </c>
      <c r="S322" s="970" t="s">
        <v>4647</v>
      </c>
      <c r="T322" s="960" t="s">
        <v>4654</v>
      </c>
      <c r="U322" s="960" t="s">
        <v>4655</v>
      </c>
      <c r="V322" s="985" t="s">
        <v>4274</v>
      </c>
      <c r="Y322" s="1088"/>
      <c r="Z322" s="1089"/>
      <c r="AA322" s="918"/>
    </row>
    <row r="323" spans="1:27" ht="15.75">
      <c r="A323" s="1871"/>
      <c r="B323" s="791"/>
      <c r="C323" s="1095"/>
      <c r="E323" s="1096" t="s">
        <v>4751</v>
      </c>
      <c r="F323" s="728">
        <v>7.18</v>
      </c>
      <c r="H323" s="989"/>
      <c r="I323" s="1097"/>
      <c r="J323" s="1090">
        <f t="shared" ref="J323:O323" si="43">J322</f>
        <v>115.26</v>
      </c>
      <c r="K323" s="990">
        <f t="shared" si="43"/>
        <v>68.668999999999997</v>
      </c>
      <c r="L323" s="1042">
        <f t="shared" si="43"/>
        <v>23.37</v>
      </c>
      <c r="M323" s="1042">
        <f t="shared" si="43"/>
        <v>92.039000000000001</v>
      </c>
      <c r="N323" s="1042">
        <f t="shared" si="43"/>
        <v>23.37</v>
      </c>
      <c r="O323" s="990">
        <f t="shared" si="43"/>
        <v>68.668999999999997</v>
      </c>
      <c r="Q323" s="984"/>
      <c r="R323" s="986">
        <f>2.4*0.5*2*4+1.2*0.5*2*4+2.4*0.15*4+1.2*0.15*4</f>
        <v>16.559999999999999</v>
      </c>
      <c r="S323" s="987">
        <f>Q323+R323</f>
        <v>16.559999999999999</v>
      </c>
      <c r="T323" s="987">
        <f>R323</f>
        <v>16.559999999999999</v>
      </c>
      <c r="U323" s="987">
        <f>Q323</f>
        <v>0</v>
      </c>
      <c r="V323" s="1098"/>
      <c r="Y323" s="1091"/>
      <c r="Z323" s="807"/>
      <c r="AA323" s="807"/>
    </row>
    <row r="324" spans="1:27" ht="15.75">
      <c r="A324" s="1077" t="s">
        <v>518</v>
      </c>
      <c r="B324" s="1077"/>
      <c r="C324" s="991">
        <f>SUM(C321:C323)</f>
        <v>286.27999999999997</v>
      </c>
      <c r="E324" s="1099"/>
      <c r="F324" s="1100"/>
      <c r="H324" s="968"/>
      <c r="I324" s="968"/>
      <c r="J324" s="968"/>
      <c r="K324" s="913"/>
      <c r="L324" s="831"/>
      <c r="M324" s="730"/>
      <c r="N324" s="730"/>
      <c r="Q324" s="989">
        <f t="shared" ref="Q324:V324" si="44">Q323</f>
        <v>0</v>
      </c>
      <c r="R324" s="990">
        <f t="shared" si="44"/>
        <v>16.559999999999999</v>
      </c>
      <c r="S324" s="989">
        <f t="shared" si="44"/>
        <v>16.559999999999999</v>
      </c>
      <c r="T324" s="991">
        <f t="shared" si="44"/>
        <v>16.559999999999999</v>
      </c>
      <c r="U324" s="991">
        <f t="shared" si="44"/>
        <v>0</v>
      </c>
      <c r="V324" s="1087">
        <f t="shared" si="44"/>
        <v>0</v>
      </c>
    </row>
    <row r="325" spans="1:27">
      <c r="E325" s="1101" t="s">
        <v>4752</v>
      </c>
      <c r="F325" s="1102"/>
      <c r="K325" s="913"/>
      <c r="L325" s="913"/>
      <c r="M325" s="730"/>
      <c r="N325" s="730"/>
      <c r="O325" s="730"/>
      <c r="P325" s="730"/>
    </row>
    <row r="326" spans="1:27">
      <c r="E326" s="1103" t="s">
        <v>4670</v>
      </c>
      <c r="F326" s="1104">
        <f>M229+M255+M271+L313+K317+N322+N328+T323</f>
        <v>691.60349999999994</v>
      </c>
      <c r="H326" s="1105" t="s">
        <v>4753</v>
      </c>
      <c r="I326" s="1105"/>
      <c r="J326" s="968"/>
      <c r="K326" s="913"/>
      <c r="L326" s="913"/>
      <c r="P326" s="730"/>
    </row>
    <row r="327" spans="1:27" ht="30">
      <c r="A327" s="1044" t="s">
        <v>4668</v>
      </c>
      <c r="B327" s="1044"/>
      <c r="E327" s="1103" t="s">
        <v>4671</v>
      </c>
      <c r="F327" s="1104">
        <f>N229++N255+N271+K313+L317+O322+O328</f>
        <v>2655.9127000000003</v>
      </c>
      <c r="H327" s="960" t="s">
        <v>4660</v>
      </c>
      <c r="I327" s="978" t="s">
        <v>515</v>
      </c>
      <c r="J327" s="979" t="s">
        <v>4661</v>
      </c>
      <c r="K327" s="983" t="s">
        <v>4664</v>
      </c>
      <c r="L327" s="983" t="s">
        <v>4665</v>
      </c>
      <c r="M327" s="970" t="s">
        <v>4647</v>
      </c>
      <c r="N327" s="960" t="s">
        <v>4654</v>
      </c>
      <c r="O327" s="960" t="s">
        <v>4655</v>
      </c>
      <c r="P327" s="730"/>
    </row>
    <row r="328" spans="1:27" ht="15.75">
      <c r="A328" s="1044"/>
      <c r="B328" s="1044"/>
      <c r="E328" s="755" t="s">
        <v>4674</v>
      </c>
      <c r="F328" s="1106">
        <f>B295</f>
        <v>496.85</v>
      </c>
      <c r="H328" s="984"/>
      <c r="I328" s="774"/>
      <c r="J328" s="774">
        <f>8*3.47</f>
        <v>27.76</v>
      </c>
      <c r="K328" s="789">
        <f>4.05*8*3.05</f>
        <v>98.82</v>
      </c>
      <c r="L328" s="789">
        <f>5.61*2*3.05</f>
        <v>34.220999999999997</v>
      </c>
      <c r="M328" s="984">
        <f>K328+L328</f>
        <v>133.041</v>
      </c>
      <c r="N328" s="789">
        <f>K328</f>
        <v>98.82</v>
      </c>
      <c r="O328" s="743">
        <f>L328</f>
        <v>34.220999999999997</v>
      </c>
      <c r="P328" s="730"/>
    </row>
    <row r="329" spans="1:27" ht="15.75">
      <c r="A329" s="755" t="s">
        <v>1752</v>
      </c>
      <c r="B329" s="981">
        <v>57</v>
      </c>
      <c r="E329" s="833" t="s">
        <v>5221</v>
      </c>
      <c r="F329" s="833">
        <f>(L290+L291+L292+L293+L294+L295+O290+O291+O292+O293+F323)*2</f>
        <v>298.5256</v>
      </c>
      <c r="H329" s="989"/>
      <c r="I329" s="1097"/>
      <c r="J329" s="1090">
        <f t="shared" ref="J329:O329" si="45">J328</f>
        <v>27.76</v>
      </c>
      <c r="K329" s="1042">
        <f t="shared" si="45"/>
        <v>98.82</v>
      </c>
      <c r="L329" s="1042">
        <f t="shared" si="45"/>
        <v>34.220999999999997</v>
      </c>
      <c r="M329" s="989">
        <f t="shared" si="45"/>
        <v>133.041</v>
      </c>
      <c r="N329" s="1042">
        <f t="shared" si="45"/>
        <v>98.82</v>
      </c>
      <c r="O329" s="990">
        <f t="shared" si="45"/>
        <v>34.220999999999997</v>
      </c>
      <c r="P329" s="730"/>
    </row>
    <row r="330" spans="1:27" ht="15.75">
      <c r="E330" s="730"/>
      <c r="F330" s="1107"/>
      <c r="H330" s="968"/>
      <c r="I330" s="913"/>
      <c r="J330" s="831"/>
      <c r="K330" s="1108"/>
      <c r="L330" s="1108"/>
      <c r="M330" s="968"/>
      <c r="N330" s="1108"/>
      <c r="O330" s="1109"/>
      <c r="P330" s="730"/>
    </row>
    <row r="331" spans="1:27" ht="15.75">
      <c r="E331" s="730"/>
      <c r="F331" s="1107"/>
      <c r="H331" s="968"/>
      <c r="I331" s="913"/>
      <c r="J331" s="831"/>
      <c r="K331" s="1108"/>
      <c r="L331" s="1108"/>
      <c r="M331" s="968"/>
      <c r="N331" s="1108"/>
      <c r="O331" s="1109"/>
      <c r="P331" s="730"/>
    </row>
    <row r="332" spans="1:27" ht="15.75">
      <c r="E332" s="730"/>
      <c r="F332" s="1107"/>
      <c r="H332" s="968"/>
      <c r="I332" s="913"/>
      <c r="J332" s="831"/>
      <c r="K332" s="1108"/>
      <c r="L332" s="1108"/>
      <c r="M332" s="968"/>
      <c r="N332" s="1108"/>
      <c r="O332" s="1109"/>
      <c r="P332" s="730"/>
    </row>
    <row r="333" spans="1:27" ht="15.75">
      <c r="E333" s="730"/>
      <c r="F333" s="1107"/>
      <c r="H333" s="968"/>
      <c r="I333" s="913"/>
      <c r="J333" s="831"/>
      <c r="K333" s="1108"/>
      <c r="L333" s="1108"/>
      <c r="M333" s="968"/>
      <c r="N333" s="1108"/>
      <c r="O333" s="1109"/>
      <c r="P333" s="730"/>
    </row>
    <row r="334" spans="1:27" ht="15.75">
      <c r="E334" s="730"/>
      <c r="F334" s="1107"/>
      <c r="H334" s="968"/>
      <c r="I334" s="913"/>
      <c r="J334" s="831"/>
      <c r="K334" s="1108"/>
      <c r="L334" s="1108"/>
      <c r="M334" s="968"/>
      <c r="N334" s="1108"/>
      <c r="O334" s="1109"/>
      <c r="P334" s="730"/>
    </row>
    <row r="335" spans="1:27" ht="15.75">
      <c r="H335" s="956"/>
      <c r="I335" s="956"/>
      <c r="J335" s="956"/>
      <c r="K335" s="831"/>
      <c r="L335" s="831"/>
      <c r="M335" s="1110"/>
      <c r="N335" s="1110"/>
    </row>
    <row r="336" spans="1:27">
      <c r="A336" s="997"/>
      <c r="B336" s="997"/>
      <c r="C336" s="997"/>
      <c r="D336" s="997"/>
      <c r="E336" s="997"/>
      <c r="F336" s="997"/>
      <c r="G336" s="997"/>
      <c r="H336" s="997"/>
      <c r="I336" s="997"/>
      <c r="J336" s="997"/>
      <c r="K336" s="997"/>
      <c r="L336" s="997"/>
      <c r="M336" s="997"/>
      <c r="N336" s="997"/>
      <c r="O336" s="997"/>
      <c r="P336" s="997"/>
      <c r="Q336" s="997"/>
      <c r="R336" s="997"/>
    </row>
    <row r="337" spans="1:27" ht="15.75">
      <c r="H337" s="956"/>
      <c r="I337" s="956"/>
      <c r="J337" s="956"/>
      <c r="K337" s="831"/>
      <c r="L337" s="831"/>
      <c r="M337" s="1110"/>
      <c r="N337" s="1110"/>
    </row>
    <row r="338" spans="1:27" ht="15.75">
      <c r="H338" s="956"/>
      <c r="I338" s="956"/>
      <c r="J338" s="956"/>
      <c r="K338" s="831"/>
      <c r="L338" s="831"/>
      <c r="M338" s="1110"/>
      <c r="N338" s="1110"/>
    </row>
    <row r="339" spans="1:27" ht="20.25">
      <c r="H339" s="956"/>
      <c r="I339" s="956"/>
      <c r="J339" s="956"/>
      <c r="K339" s="831"/>
      <c r="L339" s="831"/>
      <c r="M339" s="1110"/>
      <c r="N339" s="1110"/>
      <c r="Y339" s="998" t="s">
        <v>4754</v>
      </c>
      <c r="Z339" s="998"/>
    </row>
    <row r="340" spans="1:27" ht="20.25">
      <c r="F340" s="1872" t="s">
        <v>4755</v>
      </c>
      <c r="G340" s="1872"/>
      <c r="H340" s="1872"/>
      <c r="I340" s="1872"/>
      <c r="J340" s="1872"/>
      <c r="K340" s="831"/>
      <c r="L340" s="831"/>
      <c r="M340" s="1110"/>
      <c r="N340" s="1110"/>
      <c r="Y340" s="1359" t="s">
        <v>4434</v>
      </c>
      <c r="Z340" s="1355">
        <f>CUANTIAS!H310</f>
        <v>2.1743999999999999</v>
      </c>
      <c r="AA340" s="728" t="s">
        <v>1806</v>
      </c>
    </row>
    <row r="341" spans="1:27" ht="15.75">
      <c r="H341" s="956"/>
      <c r="I341" s="956"/>
      <c r="J341" s="956"/>
      <c r="K341" s="831"/>
      <c r="L341" s="831"/>
      <c r="M341" s="1110"/>
      <c r="N341" s="1110"/>
      <c r="Y341" s="1359" t="s">
        <v>4435</v>
      </c>
      <c r="Z341" s="1355">
        <f>CUANTIAS!H334</f>
        <v>2.8992000000000004</v>
      </c>
      <c r="AA341" s="728" t="s">
        <v>1806</v>
      </c>
    </row>
    <row r="342" spans="1:27" ht="15.75">
      <c r="A342" s="1827" t="s">
        <v>4756</v>
      </c>
      <c r="B342" s="1828"/>
      <c r="C342" s="1828"/>
      <c r="D342" s="1828"/>
      <c r="E342" s="1828"/>
      <c r="F342" s="1828"/>
      <c r="G342" s="1828"/>
      <c r="H342" s="1828"/>
      <c r="I342" s="1828"/>
      <c r="J342" s="1828"/>
      <c r="K342" s="1828"/>
      <c r="L342" s="1828"/>
      <c r="M342" s="1828"/>
      <c r="N342" s="1828"/>
      <c r="Y342" s="1359" t="s">
        <v>4436</v>
      </c>
      <c r="Z342" s="1364">
        <f>CUANTIAS!H361</f>
        <v>0.54359999999999997</v>
      </c>
      <c r="AA342" s="728" t="s">
        <v>1806</v>
      </c>
    </row>
    <row r="343" spans="1:27" ht="63">
      <c r="A343" s="814" t="s">
        <v>4469</v>
      </c>
      <c r="B343" s="814" t="s">
        <v>515</v>
      </c>
      <c r="C343" s="814" t="s">
        <v>4544</v>
      </c>
      <c r="D343" s="814" t="s">
        <v>4520</v>
      </c>
      <c r="E343" s="814" t="s">
        <v>4545</v>
      </c>
      <c r="F343" s="814" t="s">
        <v>4546</v>
      </c>
      <c r="G343" s="814" t="s">
        <v>4547</v>
      </c>
      <c r="H343" s="771" t="s">
        <v>4548</v>
      </c>
      <c r="I343" s="771" t="s">
        <v>4549</v>
      </c>
      <c r="J343" s="771" t="s">
        <v>4678</v>
      </c>
      <c r="K343" s="999" t="s">
        <v>4679</v>
      </c>
      <c r="L343" s="1000" t="s">
        <v>4274</v>
      </c>
      <c r="M343" s="1001" t="s">
        <v>4526</v>
      </c>
      <c r="N343" s="1001" t="s">
        <v>4550</v>
      </c>
      <c r="Y343" s="1359" t="s">
        <v>4437</v>
      </c>
      <c r="Z343" s="1364">
        <f>CUANTIAS!H393</f>
        <v>0.95360000000000023</v>
      </c>
      <c r="AA343" s="728" t="s">
        <v>1806</v>
      </c>
    </row>
    <row r="344" spans="1:27" ht="15.75">
      <c r="A344" s="1002" t="s">
        <v>4584</v>
      </c>
      <c r="B344" s="745">
        <v>4</v>
      </c>
      <c r="C344" s="856">
        <v>6.7</v>
      </c>
      <c r="D344" s="856">
        <v>3.02</v>
      </c>
      <c r="E344" s="746">
        <f>C344*D344*B344</f>
        <v>80.936000000000007</v>
      </c>
      <c r="F344" s="746">
        <v>0</v>
      </c>
      <c r="G344" s="746">
        <f>E344-F344</f>
        <v>80.936000000000007</v>
      </c>
      <c r="H344" s="746">
        <f>G344*2</f>
        <v>161.87200000000001</v>
      </c>
      <c r="I344" s="1829">
        <f>I365</f>
        <v>368.08300000000003</v>
      </c>
      <c r="J344" s="1831">
        <f>H364+I364</f>
        <v>2036.5676000000003</v>
      </c>
      <c r="K344" s="1003"/>
      <c r="L344" s="796"/>
      <c r="M344" s="1833">
        <f>I344</f>
        <v>368.08300000000003</v>
      </c>
      <c r="N344" s="1835">
        <f>H364</f>
        <v>1668.4846000000002</v>
      </c>
      <c r="O344" s="746">
        <f>1.2*0.6*4+1.5*2.1*2</f>
        <v>9.18</v>
      </c>
      <c r="Y344" s="1359" t="s">
        <v>5073</v>
      </c>
      <c r="Z344" s="1355">
        <f>CUANTIAS!H407</f>
        <v>0.95360000000000023</v>
      </c>
      <c r="AA344" s="728" t="s">
        <v>1806</v>
      </c>
    </row>
    <row r="345" spans="1:27" ht="15.75">
      <c r="A345" s="1002" t="s">
        <v>4589</v>
      </c>
      <c r="B345" s="745">
        <v>4</v>
      </c>
      <c r="C345" s="858">
        <v>3.1</v>
      </c>
      <c r="D345" s="856">
        <v>3.02</v>
      </c>
      <c r="E345" s="746">
        <f>C345*D345*B345</f>
        <v>37.448</v>
      </c>
      <c r="F345" s="746">
        <v>0</v>
      </c>
      <c r="G345" s="746">
        <f>E345-F345</f>
        <v>37.448</v>
      </c>
      <c r="H345" s="746">
        <f t="shared" ref="H345:H360" si="46">G345*2</f>
        <v>74.896000000000001</v>
      </c>
      <c r="I345" s="1830"/>
      <c r="J345" s="1832"/>
      <c r="K345" s="1003"/>
      <c r="L345" s="796"/>
      <c r="M345" s="1834"/>
      <c r="N345" s="1836"/>
      <c r="O345" s="746">
        <f>2.4*0.6*4</f>
        <v>5.76</v>
      </c>
      <c r="Y345" s="1359" t="s">
        <v>4461</v>
      </c>
      <c r="Z345" s="1355">
        <f>CUANTIAS!H280</f>
        <v>11.913599999999999</v>
      </c>
      <c r="AA345" s="728" t="s">
        <v>1806</v>
      </c>
    </row>
    <row r="346" spans="1:27" ht="15.75">
      <c r="A346" s="1002" t="s">
        <v>4590</v>
      </c>
      <c r="B346" s="745">
        <v>4</v>
      </c>
      <c r="C346" s="858">
        <v>1.42</v>
      </c>
      <c r="D346" s="856">
        <v>3.02</v>
      </c>
      <c r="E346" s="746">
        <f>C346*D346*B346</f>
        <v>17.153600000000001</v>
      </c>
      <c r="F346" s="746">
        <v>0</v>
      </c>
      <c r="G346" s="746">
        <f>E346-F346</f>
        <v>17.153600000000001</v>
      </c>
      <c r="H346" s="746">
        <f t="shared" si="46"/>
        <v>34.307200000000002</v>
      </c>
      <c r="I346" s="1830"/>
      <c r="J346" s="1832"/>
      <c r="K346" s="1003"/>
      <c r="L346" s="796"/>
      <c r="M346" s="1834"/>
      <c r="N346" s="1836"/>
      <c r="O346" s="746"/>
      <c r="Y346" s="1359" t="s">
        <v>4440</v>
      </c>
      <c r="Z346" s="1355">
        <f>CUANTIAS!I469</f>
        <v>0.61199999999999999</v>
      </c>
      <c r="AA346" s="728" t="s">
        <v>1806</v>
      </c>
    </row>
    <row r="347" spans="1:27" ht="15.75">
      <c r="A347" s="1002" t="s">
        <v>4680</v>
      </c>
      <c r="B347" s="745">
        <v>2</v>
      </c>
      <c r="C347" s="858">
        <v>11.47</v>
      </c>
      <c r="D347" s="856">
        <v>3.02</v>
      </c>
      <c r="E347" s="746">
        <f>C347*D347*B347</f>
        <v>69.278800000000004</v>
      </c>
      <c r="F347" s="746">
        <v>0</v>
      </c>
      <c r="G347" s="746">
        <f>E347-F347</f>
        <v>69.278800000000004</v>
      </c>
      <c r="H347" s="746">
        <f t="shared" si="46"/>
        <v>138.55760000000001</v>
      </c>
      <c r="I347" s="1830"/>
      <c r="J347" s="1832"/>
      <c r="K347" s="1003"/>
      <c r="L347" s="796"/>
      <c r="M347" s="1834"/>
      <c r="N347" s="1836"/>
      <c r="O347" s="746">
        <f>2.75*2.2*2</f>
        <v>12.100000000000001</v>
      </c>
      <c r="Y347" s="1363" t="s">
        <v>4441</v>
      </c>
      <c r="Z347" s="1355">
        <f>CUANTIAS!I485</f>
        <v>0.7752</v>
      </c>
      <c r="AA347" s="728" t="s">
        <v>1806</v>
      </c>
    </row>
    <row r="348" spans="1:27" ht="15.75">
      <c r="A348" s="1002" t="s">
        <v>4681</v>
      </c>
      <c r="B348" s="745">
        <v>2</v>
      </c>
      <c r="C348" s="858">
        <v>3.7</v>
      </c>
      <c r="D348" s="856">
        <v>3.02</v>
      </c>
      <c r="E348" s="746">
        <f>C348*D348*B348</f>
        <v>22.348000000000003</v>
      </c>
      <c r="F348" s="746">
        <v>0</v>
      </c>
      <c r="G348" s="746">
        <f>E348-F348</f>
        <v>22.348000000000003</v>
      </c>
      <c r="H348" s="746">
        <f t="shared" si="46"/>
        <v>44.696000000000005</v>
      </c>
      <c r="I348" s="1830"/>
      <c r="J348" s="1832"/>
      <c r="K348" s="1003"/>
      <c r="L348" s="796"/>
      <c r="M348" s="1834"/>
      <c r="N348" s="1836"/>
      <c r="O348" s="746"/>
      <c r="Y348" s="1363" t="s">
        <v>4444</v>
      </c>
      <c r="Z348" s="1355">
        <f>CUANTIAS!I535</f>
        <v>2.16</v>
      </c>
      <c r="AA348" s="728" t="s">
        <v>1806</v>
      </c>
    </row>
    <row r="349" spans="1:27" ht="18" customHeight="1">
      <c r="A349" s="1002" t="s">
        <v>4682</v>
      </c>
      <c r="B349" s="745">
        <v>8</v>
      </c>
      <c r="C349" s="858">
        <v>3.3</v>
      </c>
      <c r="D349" s="856">
        <v>3.02</v>
      </c>
      <c r="E349" s="746">
        <f t="shared" ref="E349:E360" si="47">C349*D349*B349</f>
        <v>79.727999999999994</v>
      </c>
      <c r="F349" s="746">
        <v>0</v>
      </c>
      <c r="G349" s="746">
        <f t="shared" ref="G349:G360" si="48">E349-F349</f>
        <v>79.727999999999994</v>
      </c>
      <c r="H349" s="746">
        <f t="shared" si="46"/>
        <v>159.45599999999999</v>
      </c>
      <c r="I349" s="1830"/>
      <c r="J349" s="1832"/>
      <c r="K349" s="1003"/>
      <c r="L349" s="796"/>
      <c r="M349" s="1834"/>
      <c r="N349" s="1836"/>
      <c r="O349" s="746">
        <f>1*1.2*8</f>
        <v>9.6</v>
      </c>
      <c r="Y349" s="1363" t="s">
        <v>4445</v>
      </c>
      <c r="Z349" s="1355">
        <f>CUANTIAS!I552</f>
        <v>4.1760000000000002</v>
      </c>
      <c r="AA349" s="728" t="s">
        <v>1806</v>
      </c>
    </row>
    <row r="350" spans="1:27" ht="15.75">
      <c r="A350" s="1002" t="s">
        <v>4683</v>
      </c>
      <c r="B350" s="745">
        <v>2</v>
      </c>
      <c r="C350" s="858">
        <v>15.15</v>
      </c>
      <c r="D350" s="856">
        <v>3.02</v>
      </c>
      <c r="E350" s="746">
        <f t="shared" si="47"/>
        <v>91.506</v>
      </c>
      <c r="F350" s="746">
        <v>0</v>
      </c>
      <c r="G350" s="746">
        <f t="shared" si="48"/>
        <v>91.506</v>
      </c>
      <c r="H350" s="746">
        <f t="shared" si="46"/>
        <v>183.012</v>
      </c>
      <c r="I350" s="1830"/>
      <c r="J350" s="1832"/>
      <c r="K350" s="1003"/>
      <c r="L350" s="796"/>
      <c r="M350" s="1834"/>
      <c r="N350" s="1836"/>
      <c r="O350" s="746">
        <f>1.85*2.1*8</f>
        <v>31.080000000000002</v>
      </c>
      <c r="Y350" s="1363" t="s">
        <v>4446</v>
      </c>
      <c r="Z350" s="1355">
        <f>CUANTIAS!I585</f>
        <v>0.68510000000000004</v>
      </c>
      <c r="AA350" s="728" t="s">
        <v>1806</v>
      </c>
    </row>
    <row r="351" spans="1:27" ht="15.75">
      <c r="A351" s="1002" t="s">
        <v>4684</v>
      </c>
      <c r="B351" s="745">
        <v>2</v>
      </c>
      <c r="C351" s="858">
        <v>19.3</v>
      </c>
      <c r="D351" s="856">
        <v>3.02</v>
      </c>
      <c r="E351" s="746">
        <f t="shared" si="47"/>
        <v>116.572</v>
      </c>
      <c r="F351" s="746">
        <v>0</v>
      </c>
      <c r="G351" s="746">
        <f t="shared" si="48"/>
        <v>116.572</v>
      </c>
      <c r="H351" s="746">
        <f t="shared" si="46"/>
        <v>233.14400000000001</v>
      </c>
      <c r="I351" s="1830"/>
      <c r="J351" s="1832"/>
      <c r="K351" s="1003"/>
      <c r="L351" s="796"/>
      <c r="M351" s="1834"/>
      <c r="N351" s="1836"/>
      <c r="O351" s="746">
        <f>8*1.85*2.1</f>
        <v>31.080000000000002</v>
      </c>
      <c r="Y351" s="1356" t="s">
        <v>4447</v>
      </c>
      <c r="Z351" s="1355">
        <f>CUANTIAS!I625</f>
        <v>1.1540999999999999</v>
      </c>
      <c r="AA351" s="728" t="s">
        <v>1806</v>
      </c>
    </row>
    <row r="352" spans="1:27" ht="15.75">
      <c r="A352" s="1002" t="s">
        <v>4685</v>
      </c>
      <c r="B352" s="745">
        <v>8</v>
      </c>
      <c r="C352" s="858">
        <v>2.6</v>
      </c>
      <c r="D352" s="856">
        <v>3.02</v>
      </c>
      <c r="E352" s="746">
        <f t="shared" si="47"/>
        <v>62.816000000000003</v>
      </c>
      <c r="F352" s="746">
        <v>0</v>
      </c>
      <c r="G352" s="746">
        <f t="shared" si="48"/>
        <v>62.816000000000003</v>
      </c>
      <c r="H352" s="746">
        <f t="shared" si="46"/>
        <v>125.63200000000001</v>
      </c>
      <c r="I352" s="1830"/>
      <c r="J352" s="1832"/>
      <c r="K352" s="1003"/>
      <c r="L352" s="796"/>
      <c r="M352" s="1834"/>
      <c r="N352" s="1836"/>
      <c r="O352" s="746"/>
      <c r="Y352" s="1356" t="s">
        <v>4448</v>
      </c>
      <c r="Z352" s="1358">
        <f>CUANTIAS!I646</f>
        <v>0.58755000000000002</v>
      </c>
      <c r="AA352" s="728" t="s">
        <v>1806</v>
      </c>
    </row>
    <row r="353" spans="1:27" ht="30">
      <c r="A353" s="1002" t="s">
        <v>5227</v>
      </c>
      <c r="B353" s="745">
        <v>16</v>
      </c>
      <c r="C353" s="858">
        <v>2.6</v>
      </c>
      <c r="D353" s="856">
        <v>1.8</v>
      </c>
      <c r="E353" s="746">
        <f t="shared" si="47"/>
        <v>74.88000000000001</v>
      </c>
      <c r="F353" s="746">
        <v>0</v>
      </c>
      <c r="G353" s="746">
        <f t="shared" si="48"/>
        <v>74.88000000000001</v>
      </c>
      <c r="H353" s="746">
        <f t="shared" si="46"/>
        <v>149.76000000000002</v>
      </c>
      <c r="I353" s="1830"/>
      <c r="J353" s="1832"/>
      <c r="K353" s="1003"/>
      <c r="L353" s="796"/>
      <c r="M353" s="1834"/>
      <c r="N353" s="1836"/>
      <c r="O353" s="746">
        <f>0.8*1.8*16</f>
        <v>23.040000000000003</v>
      </c>
      <c r="Y353" s="1362" t="s">
        <v>4449</v>
      </c>
      <c r="Z353" s="1358">
        <f>CUANTIAS!G71</f>
        <v>18.572099999999999</v>
      </c>
      <c r="AA353" s="728" t="s">
        <v>1806</v>
      </c>
    </row>
    <row r="354" spans="1:27" ht="30">
      <c r="A354" s="1002" t="s">
        <v>4597</v>
      </c>
      <c r="B354" s="745">
        <v>16</v>
      </c>
      <c r="C354" s="858">
        <f>1.72-0.2*4</f>
        <v>0.91999999999999993</v>
      </c>
      <c r="D354" s="856">
        <v>3.02</v>
      </c>
      <c r="E354" s="746">
        <f t="shared" si="47"/>
        <v>44.4544</v>
      </c>
      <c r="F354" s="746">
        <v>0</v>
      </c>
      <c r="G354" s="746">
        <f t="shared" si="48"/>
        <v>44.4544</v>
      </c>
      <c r="H354" s="746">
        <f t="shared" si="46"/>
        <v>88.908799999999999</v>
      </c>
      <c r="I354" s="1830"/>
      <c r="J354" s="1832"/>
      <c r="K354" s="1003"/>
      <c r="L354" s="796"/>
      <c r="M354" s="1834"/>
      <c r="N354" s="1836"/>
      <c r="O354" s="746"/>
      <c r="Y354" s="1362" t="s">
        <v>4450</v>
      </c>
      <c r="Z354" s="1358">
        <f>CUANTIAS!G62</f>
        <v>1.5264</v>
      </c>
      <c r="AA354" s="728" t="s">
        <v>1806</v>
      </c>
    </row>
    <row r="355" spans="1:27" ht="15.75">
      <c r="A355" s="1002" t="s">
        <v>4598</v>
      </c>
      <c r="B355" s="745">
        <v>16</v>
      </c>
      <c r="C355" s="858">
        <v>2.9</v>
      </c>
      <c r="D355" s="856">
        <v>3.02</v>
      </c>
      <c r="E355" s="746">
        <f t="shared" si="47"/>
        <v>140.12799999999999</v>
      </c>
      <c r="F355" s="746">
        <v>0</v>
      </c>
      <c r="G355" s="746">
        <f t="shared" si="48"/>
        <v>140.12799999999999</v>
      </c>
      <c r="H355" s="746">
        <f t="shared" si="46"/>
        <v>280.25599999999997</v>
      </c>
      <c r="I355" s="1830"/>
      <c r="J355" s="1832"/>
      <c r="K355" s="1003"/>
      <c r="L355" s="796"/>
      <c r="M355" s="1834"/>
      <c r="N355" s="1836"/>
      <c r="O355" s="746">
        <f>0.6*2*8+0.6*1*16</f>
        <v>19.2</v>
      </c>
      <c r="Y355" s="1363" t="s">
        <v>4502</v>
      </c>
      <c r="Z355" s="1355">
        <f>113.98*0.4*0.2</f>
        <v>9.1184000000000012</v>
      </c>
      <c r="AA355" s="728" t="s">
        <v>1806</v>
      </c>
    </row>
    <row r="356" spans="1:27" ht="15.75">
      <c r="A356" s="1002" t="s">
        <v>4687</v>
      </c>
      <c r="B356" s="745">
        <v>2</v>
      </c>
      <c r="C356" s="858">
        <v>6.6</v>
      </c>
      <c r="D356" s="856">
        <v>3.02</v>
      </c>
      <c r="E356" s="746">
        <f t="shared" si="47"/>
        <v>39.863999999999997</v>
      </c>
      <c r="F356" s="746">
        <v>0</v>
      </c>
      <c r="G356" s="746">
        <f t="shared" si="48"/>
        <v>39.863999999999997</v>
      </c>
      <c r="H356" s="746">
        <f t="shared" si="46"/>
        <v>79.727999999999994</v>
      </c>
      <c r="I356" s="1830"/>
      <c r="J356" s="1832"/>
      <c r="K356" s="1003"/>
      <c r="L356" s="796"/>
      <c r="M356" s="1834"/>
      <c r="N356" s="1836"/>
      <c r="O356" s="746">
        <f>1.2*1*4</f>
        <v>4.8</v>
      </c>
      <c r="Y356" s="1363" t="s">
        <v>4504</v>
      </c>
      <c r="Z356" s="1355">
        <f>8*0.4*0.15+1.5*0.4*0.15*5</f>
        <v>0.93</v>
      </c>
      <c r="AA356" s="728" t="s">
        <v>1806</v>
      </c>
    </row>
    <row r="357" spans="1:27" ht="15.75">
      <c r="A357" s="1002" t="s">
        <v>4688</v>
      </c>
      <c r="B357" s="745">
        <v>2</v>
      </c>
      <c r="C357" s="858">
        <v>6.8</v>
      </c>
      <c r="D357" s="856">
        <v>3.02</v>
      </c>
      <c r="E357" s="746">
        <f t="shared" si="47"/>
        <v>41.071999999999996</v>
      </c>
      <c r="F357" s="746">
        <v>0</v>
      </c>
      <c r="G357" s="746">
        <f t="shared" si="48"/>
        <v>41.071999999999996</v>
      </c>
      <c r="H357" s="746">
        <f t="shared" si="46"/>
        <v>82.143999999999991</v>
      </c>
      <c r="I357" s="1830"/>
      <c r="J357" s="1832"/>
      <c r="K357" s="1003"/>
      <c r="L357" s="796"/>
      <c r="M357" s="1834"/>
      <c r="N357" s="1836"/>
      <c r="O357" s="746">
        <f>1.2*1*4</f>
        <v>4.8</v>
      </c>
      <c r="Y357" s="1363" t="s">
        <v>4506</v>
      </c>
      <c r="Z357" s="1355">
        <f>12.7*0.4*0.2</f>
        <v>1.016</v>
      </c>
      <c r="AA357" s="728" t="s">
        <v>1806</v>
      </c>
    </row>
    <row r="358" spans="1:27" ht="15.75">
      <c r="A358" s="1002" t="s">
        <v>5229</v>
      </c>
      <c r="B358" s="745">
        <v>4</v>
      </c>
      <c r="C358" s="858">
        <v>4.0999999999999996</v>
      </c>
      <c r="D358" s="856">
        <v>3.02</v>
      </c>
      <c r="E358" s="746">
        <f t="shared" si="47"/>
        <v>49.527999999999999</v>
      </c>
      <c r="F358" s="746">
        <v>0</v>
      </c>
      <c r="G358" s="746">
        <f t="shared" si="48"/>
        <v>49.527999999999999</v>
      </c>
      <c r="H358" s="746">
        <f t="shared" si="46"/>
        <v>99.055999999999997</v>
      </c>
      <c r="I358" s="1830"/>
      <c r="J358" s="1832"/>
      <c r="K358" s="1003"/>
      <c r="L358" s="796"/>
      <c r="M358" s="1834"/>
      <c r="N358" s="1836"/>
      <c r="O358" s="746"/>
      <c r="Y358" s="1363" t="s">
        <v>4508</v>
      </c>
      <c r="Z358" s="1355">
        <f>13.1*0.15*0.4</f>
        <v>0.78600000000000003</v>
      </c>
      <c r="AA358" s="728" t="s">
        <v>1806</v>
      </c>
    </row>
    <row r="359" spans="1:27" ht="15.75">
      <c r="A359" s="1002" t="s">
        <v>4600</v>
      </c>
      <c r="B359" s="745">
        <v>2</v>
      </c>
      <c r="C359" s="858">
        <v>10</v>
      </c>
      <c r="D359" s="856">
        <v>3.02</v>
      </c>
      <c r="E359" s="746">
        <f t="shared" si="47"/>
        <v>60.4</v>
      </c>
      <c r="F359" s="746">
        <v>0</v>
      </c>
      <c r="G359" s="746">
        <f t="shared" si="48"/>
        <v>60.4</v>
      </c>
      <c r="H359" s="746">
        <f t="shared" si="46"/>
        <v>120.8</v>
      </c>
      <c r="I359" s="1830"/>
      <c r="J359" s="1832"/>
      <c r="K359" s="1003"/>
      <c r="L359" s="796"/>
      <c r="M359" s="1834"/>
      <c r="N359" s="1836"/>
      <c r="O359" s="746">
        <f>2*2.2*2.75+N411</f>
        <v>16.060000000000002</v>
      </c>
      <c r="Y359" s="1370" t="s">
        <v>4397</v>
      </c>
      <c r="Z359" s="1360"/>
    </row>
    <row r="360" spans="1:27" ht="15.75">
      <c r="A360" s="1002" t="s">
        <v>4690</v>
      </c>
      <c r="B360" s="745">
        <v>1</v>
      </c>
      <c r="C360" s="858">
        <v>6.3</v>
      </c>
      <c r="D360" s="856">
        <v>3.02</v>
      </c>
      <c r="E360" s="746">
        <f t="shared" si="47"/>
        <v>19.026</v>
      </c>
      <c r="F360" s="746">
        <v>0</v>
      </c>
      <c r="G360" s="746">
        <f t="shared" si="48"/>
        <v>19.026</v>
      </c>
      <c r="H360" s="746">
        <f t="shared" si="46"/>
        <v>38.052</v>
      </c>
      <c r="I360" s="1830"/>
      <c r="J360" s="1832"/>
      <c r="K360" s="1003"/>
      <c r="L360" s="796"/>
      <c r="M360" s="1834"/>
      <c r="N360" s="1836"/>
      <c r="O360" s="746">
        <f>1.2*2</f>
        <v>2.4</v>
      </c>
      <c r="Y360" s="1356" t="s">
        <v>4454</v>
      </c>
      <c r="Z360" s="1358">
        <f>CUANTIAS!G203</f>
        <v>1.9599999999999995</v>
      </c>
      <c r="AA360" s="728" t="s">
        <v>1806</v>
      </c>
    </row>
    <row r="361" spans="1:27" ht="15.75">
      <c r="A361" s="1005"/>
      <c r="B361" s="1006"/>
      <c r="C361" s="1007"/>
      <c r="D361" s="746"/>
      <c r="E361" s="746"/>
      <c r="F361" s="1007">
        <v>0</v>
      </c>
      <c r="G361" s="746"/>
      <c r="H361" s="746"/>
      <c r="I361" s="1008"/>
      <c r="J361" s="1009"/>
      <c r="K361" s="1003"/>
      <c r="L361" s="796"/>
      <c r="M361" s="1010"/>
      <c r="N361" s="1011"/>
      <c r="Y361" s="1366" t="s">
        <v>4455</v>
      </c>
      <c r="Z361" s="1371">
        <f>CUANTIAS!D921</f>
        <v>62.851199999999992</v>
      </c>
      <c r="AA361" s="728" t="s">
        <v>1806</v>
      </c>
    </row>
    <row r="362" spans="1:27" ht="15.75">
      <c r="A362" s="1005"/>
      <c r="B362" s="1006"/>
      <c r="C362" s="1007"/>
      <c r="D362" s="746"/>
      <c r="E362" s="746"/>
      <c r="F362" s="1007">
        <v>0</v>
      </c>
      <c r="G362" s="746"/>
      <c r="H362" s="746"/>
      <c r="I362" s="1008"/>
      <c r="J362" s="1009"/>
      <c r="K362" s="1003"/>
      <c r="L362" s="796"/>
      <c r="M362" s="1010"/>
      <c r="N362" s="1011"/>
      <c r="Y362" s="1366" t="s">
        <v>4456</v>
      </c>
      <c r="Z362" s="1358">
        <f>CUANTIAS!D922</f>
        <v>13.3263</v>
      </c>
      <c r="AA362" s="728" t="s">
        <v>1806</v>
      </c>
    </row>
    <row r="363" spans="1:27" ht="30">
      <c r="A363" s="1837" t="s">
        <v>4602</v>
      </c>
      <c r="B363" s="1838"/>
      <c r="C363" s="1839"/>
      <c r="D363" s="1840"/>
      <c r="E363" s="1013"/>
      <c r="F363" s="1014"/>
      <c r="G363" s="1014"/>
      <c r="H363" s="1015">
        <f>SUM(H344:H361)-138.05*0.4</f>
        <v>2039.0576000000003</v>
      </c>
      <c r="I363" s="1014"/>
      <c r="J363" s="1014"/>
      <c r="K363" s="1014"/>
      <c r="L363" s="1016"/>
      <c r="M363" s="1017"/>
      <c r="N363" s="1017"/>
      <c r="Y363" s="1366" t="s">
        <v>4462</v>
      </c>
      <c r="Z363" s="1355">
        <f>CUANTIAS!H1132</f>
        <v>0.52447499999999991</v>
      </c>
      <c r="AA363" s="728" t="s">
        <v>1806</v>
      </c>
    </row>
    <row r="364" spans="1:27" ht="30">
      <c r="A364" s="1837" t="s">
        <v>4573</v>
      </c>
      <c r="B364" s="1838"/>
      <c r="C364" s="1018"/>
      <c r="D364" s="1019"/>
      <c r="E364" s="1019"/>
      <c r="F364" s="1019"/>
      <c r="G364" s="1020">
        <f>SUM(G344:G361)-138.5*0.4-6.6*0.35-G353-G358</f>
        <v>865.02080000000024</v>
      </c>
      <c r="H364" s="1020">
        <f>SUM(H344:H361)-I344-138.5*0.4-6.6*0.35</f>
        <v>1668.4846000000002</v>
      </c>
      <c r="I364" s="1013">
        <f>SUM(I344)</f>
        <v>368.08300000000003</v>
      </c>
      <c r="J364" s="1020">
        <f>SUM(J344)</f>
        <v>2036.5676000000003</v>
      </c>
      <c r="K364" s="1021">
        <f>SUM(K344:K360)</f>
        <v>0</v>
      </c>
      <c r="L364" s="1020">
        <f>SUM(L344:L360)</f>
        <v>0</v>
      </c>
      <c r="M364" s="1022">
        <f>M344</f>
        <v>368.08300000000003</v>
      </c>
      <c r="N364" s="1022">
        <f>N344</f>
        <v>1668.4846000000002</v>
      </c>
      <c r="Y364" s="1363" t="s">
        <v>5183</v>
      </c>
      <c r="Z364" s="1364">
        <f>5.2*2</f>
        <v>10.4</v>
      </c>
      <c r="AA364" s="728" t="s">
        <v>4019</v>
      </c>
    </row>
    <row r="365" spans="1:27" ht="30">
      <c r="G365" s="783">
        <f>SUM(G344:G360)*2-138.5*0.4-6.6*0.35+A394</f>
        <v>2038.9676000000004</v>
      </c>
      <c r="I365" s="728">
        <f>155.15*3.02-2.4*0.6*4-1.2*0.6*4-1.2*16*1-6*0.6*8-1.2*1.2-H444-6.6*0.35</f>
        <v>368.08300000000003</v>
      </c>
      <c r="Y365" s="1363" t="s">
        <v>5406</v>
      </c>
      <c r="Z365" s="1364">
        <f>2.4*4+1.2*4</f>
        <v>14.399999999999999</v>
      </c>
      <c r="AA365" s="728" t="s">
        <v>4019</v>
      </c>
    </row>
    <row r="366" spans="1:27" ht="30">
      <c r="Y366" s="1363" t="s">
        <v>5069</v>
      </c>
      <c r="Z366" s="1355">
        <f>G364</f>
        <v>865.02080000000024</v>
      </c>
      <c r="AA366" s="728" t="s">
        <v>1333</v>
      </c>
    </row>
    <row r="367" spans="1:27" ht="30">
      <c r="A367" s="1827" t="s">
        <v>4757</v>
      </c>
      <c r="B367" s="1828"/>
      <c r="C367" s="1828"/>
      <c r="D367" s="1828"/>
      <c r="E367" s="1828"/>
      <c r="F367" s="1828"/>
      <c r="G367" s="1828"/>
      <c r="H367" s="1828"/>
      <c r="I367" s="1828"/>
      <c r="J367" s="1828"/>
      <c r="K367" s="1828"/>
      <c r="L367" s="1828"/>
      <c r="M367" s="1828"/>
      <c r="N367" s="1828"/>
      <c r="Y367" s="1363" t="s">
        <v>5071</v>
      </c>
      <c r="Z367" s="1355">
        <f>G390</f>
        <v>190.17480000000003</v>
      </c>
      <c r="AA367" s="728" t="s">
        <v>1333</v>
      </c>
    </row>
    <row r="368" spans="1:27" ht="63">
      <c r="A368" s="814" t="s">
        <v>4469</v>
      </c>
      <c r="B368" s="814" t="s">
        <v>515</v>
      </c>
      <c r="C368" s="814" t="s">
        <v>4544</v>
      </c>
      <c r="D368" s="814" t="s">
        <v>4520</v>
      </c>
      <c r="E368" s="814" t="s">
        <v>4545</v>
      </c>
      <c r="F368" s="814" t="s">
        <v>4546</v>
      </c>
      <c r="G368" s="814" t="s">
        <v>4547</v>
      </c>
      <c r="H368" s="771" t="s">
        <v>4548</v>
      </c>
      <c r="I368" s="771" t="s">
        <v>4549</v>
      </c>
      <c r="J368" s="771" t="s">
        <v>4678</v>
      </c>
      <c r="K368" s="999" t="s">
        <v>4679</v>
      </c>
      <c r="L368" s="1000" t="s">
        <v>4274</v>
      </c>
      <c r="M368" s="1001" t="s">
        <v>4526</v>
      </c>
      <c r="N368" s="1001" t="s">
        <v>4550</v>
      </c>
      <c r="Y368" s="1359" t="s">
        <v>4463</v>
      </c>
      <c r="Z368" s="1355">
        <f>G413</f>
        <v>44.465100000000007</v>
      </c>
      <c r="AA368" s="728" t="s">
        <v>1333</v>
      </c>
    </row>
    <row r="369" spans="1:27" ht="15.75">
      <c r="A369" s="1002" t="s">
        <v>1333</v>
      </c>
      <c r="B369" s="814">
        <v>2</v>
      </c>
      <c r="C369" s="1023">
        <v>3</v>
      </c>
      <c r="D369" s="886">
        <v>1.8</v>
      </c>
      <c r="E369" s="746">
        <f>C369*D369*B369</f>
        <v>10.8</v>
      </c>
      <c r="F369" s="746"/>
      <c r="G369" s="746">
        <f>E369-F369</f>
        <v>10.8</v>
      </c>
      <c r="H369" s="746">
        <f>G369*2</f>
        <v>21.6</v>
      </c>
      <c r="I369" s="1024"/>
      <c r="J369" s="1024"/>
      <c r="K369" s="1025"/>
      <c r="L369" s="1000"/>
      <c r="M369" s="1001"/>
      <c r="N369" s="1001"/>
      <c r="Y369" s="1359" t="s">
        <v>5085</v>
      </c>
      <c r="Z369" s="1355">
        <f>A394</f>
        <v>2.4000000000000004</v>
      </c>
      <c r="AA369" s="728" t="s">
        <v>1333</v>
      </c>
    </row>
    <row r="370" spans="1:27" ht="15.75">
      <c r="A370" s="1002" t="s">
        <v>5230</v>
      </c>
      <c r="B370" s="745">
        <v>2</v>
      </c>
      <c r="C370" s="856">
        <v>2.2000000000000002</v>
      </c>
      <c r="D370" s="886">
        <v>1.8</v>
      </c>
      <c r="E370" s="746">
        <f>C370*D370*B370</f>
        <v>7.9200000000000008</v>
      </c>
      <c r="F370" s="746"/>
      <c r="G370" s="746">
        <f>E370-F370</f>
        <v>7.9200000000000008</v>
      </c>
      <c r="H370" s="746">
        <f t="shared" ref="H370:H388" si="49">G370*2</f>
        <v>15.840000000000002</v>
      </c>
      <c r="I370" s="1829">
        <f>G384+G385+G386</f>
        <v>0</v>
      </c>
      <c r="J370" s="1831">
        <f>H390+I390</f>
        <v>503.01460000000003</v>
      </c>
      <c r="K370" s="1003"/>
      <c r="L370" s="796"/>
      <c r="M370" s="1851">
        <f>I370</f>
        <v>0</v>
      </c>
      <c r="N370" s="1852">
        <f>H390</f>
        <v>503.01460000000003</v>
      </c>
      <c r="O370" s="746"/>
      <c r="Y370" s="1363" t="s">
        <v>5232</v>
      </c>
      <c r="Z370" s="1355">
        <f>G353+G358</f>
        <v>124.40800000000002</v>
      </c>
      <c r="AA370" s="728" t="s">
        <v>1333</v>
      </c>
    </row>
    <row r="371" spans="1:27" ht="15.75">
      <c r="A371" s="1002" t="s">
        <v>5226</v>
      </c>
      <c r="B371" s="745">
        <v>16</v>
      </c>
      <c r="C371" s="856">
        <v>1</v>
      </c>
      <c r="D371" s="886">
        <v>3.02</v>
      </c>
      <c r="E371" s="746">
        <f t="shared" ref="E371:E383" si="50">C371*D371*B371</f>
        <v>48.32</v>
      </c>
      <c r="F371" s="746"/>
      <c r="G371" s="746">
        <f t="shared" ref="G371:G382" si="51">E371-F371</f>
        <v>48.32</v>
      </c>
      <c r="H371" s="746">
        <f t="shared" si="49"/>
        <v>96.64</v>
      </c>
      <c r="I371" s="1830"/>
      <c r="J371" s="1832"/>
      <c r="K371" s="1003"/>
      <c r="L371" s="796"/>
      <c r="M371" s="1851"/>
      <c r="N371" s="1852"/>
      <c r="O371" s="746"/>
      <c r="Y371" s="1363" t="s">
        <v>5233</v>
      </c>
      <c r="Z371" s="1355">
        <f>G370+G371</f>
        <v>56.24</v>
      </c>
      <c r="AA371" s="728" t="s">
        <v>1333</v>
      </c>
    </row>
    <row r="372" spans="1:27" ht="15.75">
      <c r="A372" s="1002" t="s">
        <v>4588</v>
      </c>
      <c r="B372" s="745">
        <v>4</v>
      </c>
      <c r="C372" s="858">
        <v>1</v>
      </c>
      <c r="D372" s="886">
        <v>3.02</v>
      </c>
      <c r="E372" s="746">
        <f t="shared" si="50"/>
        <v>12.08</v>
      </c>
      <c r="F372" s="746"/>
      <c r="G372" s="746">
        <f t="shared" si="51"/>
        <v>12.08</v>
      </c>
      <c r="H372" s="746">
        <f t="shared" si="49"/>
        <v>24.16</v>
      </c>
      <c r="I372" s="1830"/>
      <c r="J372" s="1832"/>
      <c r="K372" s="1003"/>
      <c r="L372" s="796"/>
      <c r="M372" s="1851"/>
      <c r="N372" s="1852"/>
      <c r="O372" s="746"/>
      <c r="Y372" s="1365" t="s">
        <v>4523</v>
      </c>
      <c r="Z372" s="1371">
        <f>I394</f>
        <v>2539.5822000000003</v>
      </c>
      <c r="AA372" s="728" t="s">
        <v>1333</v>
      </c>
    </row>
    <row r="373" spans="1:27" ht="15.75">
      <c r="A373" s="1002" t="s">
        <v>4601</v>
      </c>
      <c r="B373" s="745">
        <v>2</v>
      </c>
      <c r="C373" s="858">
        <v>3.6</v>
      </c>
      <c r="D373" s="886">
        <v>3.02</v>
      </c>
      <c r="E373" s="746">
        <f t="shared" si="50"/>
        <v>21.744</v>
      </c>
      <c r="F373" s="746">
        <v>0</v>
      </c>
      <c r="G373" s="746">
        <f t="shared" si="51"/>
        <v>21.744</v>
      </c>
      <c r="H373" s="746">
        <f t="shared" si="49"/>
        <v>43.488</v>
      </c>
      <c r="I373" s="1830"/>
      <c r="J373" s="1832"/>
      <c r="K373" s="1003"/>
      <c r="L373" s="796"/>
      <c r="M373" s="1851"/>
      <c r="N373" s="1852"/>
      <c r="O373" s="746"/>
      <c r="Y373" s="1365" t="s">
        <v>2149</v>
      </c>
      <c r="Z373" s="1355">
        <f>C401+J444+J448+M453+M459+J474</f>
        <v>1225.643</v>
      </c>
      <c r="AA373" s="728" t="s">
        <v>1333</v>
      </c>
    </row>
    <row r="374" spans="1:27" ht="15.75">
      <c r="A374" s="1002" t="s">
        <v>4552</v>
      </c>
      <c r="B374" s="745">
        <v>2</v>
      </c>
      <c r="C374" s="858">
        <v>2.72</v>
      </c>
      <c r="D374" s="886">
        <v>3.02</v>
      </c>
      <c r="E374" s="746">
        <f t="shared" si="50"/>
        <v>16.428800000000003</v>
      </c>
      <c r="F374" s="746">
        <v>0</v>
      </c>
      <c r="G374" s="746">
        <f t="shared" si="51"/>
        <v>16.428800000000003</v>
      </c>
      <c r="H374" s="746">
        <f t="shared" si="49"/>
        <v>32.857600000000005</v>
      </c>
      <c r="I374" s="1830"/>
      <c r="J374" s="1832"/>
      <c r="K374" s="1003"/>
      <c r="L374" s="796"/>
      <c r="M374" s="1851"/>
      <c r="N374" s="1852"/>
      <c r="O374" s="746">
        <f>1.2*0.6+0.9*2.1</f>
        <v>2.6100000000000003</v>
      </c>
      <c r="Y374" s="1365" t="s">
        <v>4355</v>
      </c>
      <c r="Z374" s="1355">
        <f>I393</f>
        <v>2171.4992000000002</v>
      </c>
      <c r="AA374" s="728" t="s">
        <v>1333</v>
      </c>
    </row>
    <row r="375" spans="1:27" ht="15.75">
      <c r="A375" s="1002" t="s">
        <v>4692</v>
      </c>
      <c r="B375" s="1006">
        <v>1</v>
      </c>
      <c r="C375" s="883">
        <v>1.5</v>
      </c>
      <c r="D375" s="886">
        <v>3.02</v>
      </c>
      <c r="E375" s="746">
        <f t="shared" si="50"/>
        <v>4.53</v>
      </c>
      <c r="F375" s="746">
        <v>0</v>
      </c>
      <c r="G375" s="746">
        <f t="shared" si="51"/>
        <v>4.53</v>
      </c>
      <c r="H375" s="746">
        <f t="shared" si="49"/>
        <v>9.06</v>
      </c>
      <c r="I375" s="1830"/>
      <c r="J375" s="1832"/>
      <c r="K375" s="1003"/>
      <c r="L375" s="796"/>
      <c r="M375" s="1851"/>
      <c r="N375" s="1852"/>
      <c r="O375" s="746"/>
      <c r="Y375" s="1365" t="s">
        <v>4356</v>
      </c>
      <c r="Z375" s="1355">
        <f>I392</f>
        <v>389.78300000000007</v>
      </c>
      <c r="AA375" s="728" t="s">
        <v>1333</v>
      </c>
    </row>
    <row r="376" spans="1:27" ht="20.25" customHeight="1">
      <c r="A376" s="1002" t="s">
        <v>4693</v>
      </c>
      <c r="B376" s="1006">
        <v>1</v>
      </c>
      <c r="C376" s="883">
        <v>3.3</v>
      </c>
      <c r="D376" s="886">
        <v>3.02</v>
      </c>
      <c r="E376" s="746">
        <f t="shared" si="50"/>
        <v>9.9659999999999993</v>
      </c>
      <c r="F376" s="1007">
        <v>0</v>
      </c>
      <c r="G376" s="746">
        <f t="shared" si="51"/>
        <v>9.9659999999999993</v>
      </c>
      <c r="H376" s="746">
        <f t="shared" si="49"/>
        <v>19.931999999999999</v>
      </c>
      <c r="I376" s="1830"/>
      <c r="J376" s="1832"/>
      <c r="K376" s="1003"/>
      <c r="L376" s="796"/>
      <c r="M376" s="1851"/>
      <c r="N376" s="1852"/>
      <c r="O376" s="746">
        <f>0.9*2.1</f>
        <v>1.8900000000000001</v>
      </c>
      <c r="Y376" s="1365" t="s">
        <v>4357</v>
      </c>
      <c r="Z376" s="1355">
        <f>C401+J444+J448+M453+M459+I474</f>
        <v>1225.643</v>
      </c>
      <c r="AA376" s="728" t="s">
        <v>1333</v>
      </c>
    </row>
    <row r="377" spans="1:27" ht="20.25" customHeight="1">
      <c r="A377" s="1002" t="s">
        <v>4694</v>
      </c>
      <c r="B377" s="1006">
        <v>1</v>
      </c>
      <c r="C377" s="883">
        <v>3.6</v>
      </c>
      <c r="D377" s="886">
        <v>3.02</v>
      </c>
      <c r="E377" s="746">
        <f t="shared" si="50"/>
        <v>10.872</v>
      </c>
      <c r="F377" s="1007">
        <v>0</v>
      </c>
      <c r="G377" s="746">
        <f t="shared" si="51"/>
        <v>10.872</v>
      </c>
      <c r="H377" s="746">
        <f t="shared" si="49"/>
        <v>21.744</v>
      </c>
      <c r="I377" s="1830"/>
      <c r="J377" s="1832"/>
      <c r="K377" s="1003"/>
      <c r="L377" s="796"/>
      <c r="M377" s="1851"/>
      <c r="N377" s="1852"/>
      <c r="O377" s="1007">
        <f>0.8*0.6*2+0.9*2.2+1.35*2*1.1</f>
        <v>5.910000000000001</v>
      </c>
      <c r="Y377" s="1365" t="s">
        <v>4389</v>
      </c>
      <c r="Z377" s="1355">
        <f>P419+P418</f>
        <v>277.88</v>
      </c>
      <c r="AA377" s="1416" t="s">
        <v>1752</v>
      </c>
    </row>
    <row r="378" spans="1:27" ht="15.75">
      <c r="A378" s="1002" t="s">
        <v>4556</v>
      </c>
      <c r="B378" s="1006">
        <v>2</v>
      </c>
      <c r="C378" s="883">
        <v>4.8499999999999996</v>
      </c>
      <c r="D378" s="886">
        <v>3.02</v>
      </c>
      <c r="E378" s="746">
        <f t="shared" si="50"/>
        <v>29.293999999999997</v>
      </c>
      <c r="F378" s="1007">
        <v>0</v>
      </c>
      <c r="G378" s="746">
        <f t="shared" si="51"/>
        <v>29.293999999999997</v>
      </c>
      <c r="H378" s="746">
        <f t="shared" si="49"/>
        <v>58.587999999999994</v>
      </c>
      <c r="I378" s="1830"/>
      <c r="J378" s="1832"/>
      <c r="K378" s="1003"/>
      <c r="L378" s="796"/>
      <c r="M378" s="1851"/>
      <c r="N378" s="1852"/>
      <c r="O378" s="1007">
        <f>0.8*0.6*2+0.9*2.1+1.35*2*1.1</f>
        <v>5.82</v>
      </c>
      <c r="Y378" s="1365" t="s">
        <v>1170</v>
      </c>
      <c r="Z378" s="1355">
        <f>M419</f>
        <v>1383.17</v>
      </c>
      <c r="AA378" s="1416" t="s">
        <v>1752</v>
      </c>
    </row>
    <row r="379" spans="1:27" ht="15.75">
      <c r="A379" s="1002" t="s">
        <v>4557</v>
      </c>
      <c r="B379" s="1006">
        <v>1</v>
      </c>
      <c r="C379" s="1026">
        <v>0.45</v>
      </c>
      <c r="D379" s="886">
        <v>3.02</v>
      </c>
      <c r="E379" s="746">
        <f t="shared" si="50"/>
        <v>1.359</v>
      </c>
      <c r="F379" s="1007">
        <v>0</v>
      </c>
      <c r="G379" s="746">
        <f t="shared" si="51"/>
        <v>1.359</v>
      </c>
      <c r="H379" s="746">
        <f t="shared" si="49"/>
        <v>2.718</v>
      </c>
      <c r="I379" s="1830"/>
      <c r="J379" s="1832"/>
      <c r="K379" s="1003"/>
      <c r="L379" s="796"/>
      <c r="M379" s="1851"/>
      <c r="N379" s="1852"/>
      <c r="O379" s="1007">
        <f>2.95*1.1*2</f>
        <v>6.4900000000000011</v>
      </c>
      <c r="Y379" s="1365" t="s">
        <v>4700</v>
      </c>
      <c r="Z379" s="1364">
        <f>B460</f>
        <v>57</v>
      </c>
      <c r="AA379" s="1416" t="s">
        <v>1752</v>
      </c>
    </row>
    <row r="380" spans="1:27" ht="15.75">
      <c r="A380" s="1002" t="s">
        <v>4558</v>
      </c>
      <c r="B380" s="1006">
        <v>1</v>
      </c>
      <c r="C380" s="1026">
        <v>2.0499999999999998</v>
      </c>
      <c r="D380" s="886">
        <v>3.02</v>
      </c>
      <c r="E380" s="746">
        <f t="shared" si="50"/>
        <v>6.1909999999999998</v>
      </c>
      <c r="F380" s="1007">
        <v>0</v>
      </c>
      <c r="G380" s="746">
        <f t="shared" si="51"/>
        <v>6.1909999999999998</v>
      </c>
      <c r="H380" s="746">
        <f t="shared" si="49"/>
        <v>12.382</v>
      </c>
      <c r="I380" s="1830"/>
      <c r="J380" s="1832"/>
      <c r="K380" s="1003"/>
      <c r="L380" s="796"/>
      <c r="M380" s="1851"/>
      <c r="N380" s="1852"/>
      <c r="O380" s="1007"/>
      <c r="Y380" s="1365" t="s">
        <v>4536</v>
      </c>
      <c r="Z380" s="1355">
        <f>B429</f>
        <v>551.03</v>
      </c>
      <c r="AA380" s="728" t="s">
        <v>1333</v>
      </c>
    </row>
    <row r="381" spans="1:27" ht="15.75">
      <c r="A381" s="1002" t="s">
        <v>4559</v>
      </c>
      <c r="B381" s="1006">
        <v>1</v>
      </c>
      <c r="C381" s="1026">
        <v>1.25</v>
      </c>
      <c r="D381" s="886">
        <v>3.02</v>
      </c>
      <c r="E381" s="746">
        <f t="shared" si="50"/>
        <v>3.7749999999999999</v>
      </c>
      <c r="F381" s="1007">
        <v>0</v>
      </c>
      <c r="G381" s="746">
        <f t="shared" si="51"/>
        <v>3.7749999999999999</v>
      </c>
      <c r="H381" s="746">
        <f t="shared" si="49"/>
        <v>7.55</v>
      </c>
      <c r="I381" s="1830"/>
      <c r="J381" s="1832"/>
      <c r="K381" s="1003"/>
      <c r="L381" s="796"/>
      <c r="M381" s="1851"/>
      <c r="N381" s="1852"/>
      <c r="O381" s="1007"/>
      <c r="Y381" s="813" t="s">
        <v>4702</v>
      </c>
      <c r="Z381" s="765">
        <f>C452</f>
        <v>200.88</v>
      </c>
      <c r="AA381" s="728" t="s">
        <v>1333</v>
      </c>
    </row>
    <row r="382" spans="1:27" ht="15.75">
      <c r="A382" s="1002" t="s">
        <v>4561</v>
      </c>
      <c r="B382" s="745">
        <v>1</v>
      </c>
      <c r="C382" s="858">
        <v>6.9</v>
      </c>
      <c r="D382" s="886">
        <v>1</v>
      </c>
      <c r="E382" s="746">
        <f t="shared" si="50"/>
        <v>6.9</v>
      </c>
      <c r="F382" s="746">
        <v>0</v>
      </c>
      <c r="G382" s="746">
        <f t="shared" si="51"/>
        <v>6.9</v>
      </c>
      <c r="H382" s="746">
        <f t="shared" si="49"/>
        <v>13.8</v>
      </c>
      <c r="I382" s="1830"/>
      <c r="J382" s="1832"/>
      <c r="K382" s="1003"/>
      <c r="L382" s="796"/>
      <c r="M382" s="1851"/>
      <c r="N382" s="1852"/>
      <c r="O382" s="1007">
        <f>0.8*2.1</f>
        <v>1.6800000000000002</v>
      </c>
      <c r="Y382" s="1356" t="s">
        <v>4704</v>
      </c>
      <c r="Z382" s="1355">
        <f>C453</f>
        <v>85.399999999999991</v>
      </c>
      <c r="AA382" s="1416" t="s">
        <v>1752</v>
      </c>
    </row>
    <row r="383" spans="1:27" ht="15.75">
      <c r="A383" s="1002" t="s">
        <v>4695</v>
      </c>
      <c r="B383" s="745">
        <v>1</v>
      </c>
      <c r="C383" s="858">
        <v>8.15</v>
      </c>
      <c r="D383" s="886">
        <v>3.02</v>
      </c>
      <c r="E383" s="746">
        <f t="shared" si="50"/>
        <v>24.613</v>
      </c>
      <c r="F383" s="746">
        <v>0</v>
      </c>
      <c r="G383" s="746">
        <f>E383-F383</f>
        <v>24.613</v>
      </c>
      <c r="H383" s="746">
        <f t="shared" si="49"/>
        <v>49.225999999999999</v>
      </c>
      <c r="I383" s="1830"/>
      <c r="J383" s="1832"/>
      <c r="K383" s="1003"/>
      <c r="L383" s="796"/>
      <c r="M383" s="1851"/>
      <c r="N383" s="1852"/>
      <c r="O383" s="746">
        <f>2*1</f>
        <v>2</v>
      </c>
      <c r="Y383" s="1368" t="s">
        <v>4706</v>
      </c>
      <c r="Z383" s="1355">
        <f>M437</f>
        <v>29</v>
      </c>
      <c r="AA383" s="1416" t="s">
        <v>1752</v>
      </c>
    </row>
    <row r="384" spans="1:27" ht="15.75">
      <c r="A384" s="756"/>
      <c r="B384" s="745"/>
      <c r="C384" s="858"/>
      <c r="D384" s="753"/>
      <c r="E384" s="746"/>
      <c r="F384" s="746">
        <v>0</v>
      </c>
      <c r="G384" s="746"/>
      <c r="H384" s="746"/>
      <c r="I384" s="1830"/>
      <c r="J384" s="1832"/>
      <c r="K384" s="1003"/>
      <c r="L384" s="796"/>
      <c r="M384" s="1851"/>
      <c r="N384" s="1852"/>
      <c r="O384" s="746"/>
      <c r="Y384" s="1368" t="s">
        <v>4543</v>
      </c>
      <c r="Z384" s="1364">
        <f>P437</f>
        <v>7.7</v>
      </c>
      <c r="AA384" s="728" t="s">
        <v>1333</v>
      </c>
    </row>
    <row r="385" spans="1:27" ht="15.75">
      <c r="A385" s="756"/>
      <c r="B385" s="745"/>
      <c r="C385" s="858"/>
      <c r="D385" s="753"/>
      <c r="E385" s="746"/>
      <c r="F385" s="746">
        <v>0</v>
      </c>
      <c r="G385" s="746"/>
      <c r="H385" s="746"/>
      <c r="I385" s="1830"/>
      <c r="J385" s="1832"/>
      <c r="K385" s="1003"/>
      <c r="L385" s="796"/>
      <c r="M385" s="1851"/>
      <c r="N385" s="1852"/>
      <c r="O385" s="746"/>
      <c r="Y385" s="1365"/>
      <c r="Z385" s="1355"/>
    </row>
    <row r="386" spans="1:27" ht="15.75">
      <c r="A386" s="756"/>
      <c r="B386" s="745"/>
      <c r="C386" s="883"/>
      <c r="D386" s="753"/>
      <c r="E386" s="746"/>
      <c r="F386" s="746">
        <v>0</v>
      </c>
      <c r="G386" s="746"/>
      <c r="H386" s="746"/>
      <c r="I386" s="1830"/>
      <c r="J386" s="1832"/>
      <c r="K386" s="1003"/>
      <c r="L386" s="796"/>
      <c r="M386" s="1851"/>
      <c r="N386" s="1852"/>
      <c r="O386" s="746"/>
      <c r="Y386" s="1365" t="s">
        <v>4460</v>
      </c>
      <c r="Z386" s="1355">
        <f>K400</f>
        <v>4.3</v>
      </c>
      <c r="AA386" s="1416" t="s">
        <v>1752</v>
      </c>
    </row>
    <row r="387" spans="1:27" ht="15.75">
      <c r="A387" s="1002" t="s">
        <v>4697</v>
      </c>
      <c r="B387" s="745">
        <v>32</v>
      </c>
      <c r="C387" s="1026">
        <v>0.42</v>
      </c>
      <c r="D387" s="746">
        <v>2.8</v>
      </c>
      <c r="E387" s="746">
        <f t="shared" ref="E387:E388" si="52">C387*D387*B387</f>
        <v>37.631999999999998</v>
      </c>
      <c r="F387" s="1027">
        <v>0</v>
      </c>
      <c r="G387" s="746">
        <f t="shared" ref="G387:G388" si="53">E387-F387</f>
        <v>37.631999999999998</v>
      </c>
      <c r="H387" s="746">
        <f t="shared" si="49"/>
        <v>75.263999999999996</v>
      </c>
      <c r="I387" s="1008"/>
      <c r="J387" s="1009"/>
      <c r="K387" s="1003"/>
      <c r="L387" s="796"/>
      <c r="M387" s="1010"/>
      <c r="N387" s="1011"/>
      <c r="O387" s="746"/>
      <c r="Y387" s="1365" t="s">
        <v>4760</v>
      </c>
      <c r="Z387" s="1355">
        <v>2.7</v>
      </c>
      <c r="AA387" s="728" t="s">
        <v>1333</v>
      </c>
    </row>
    <row r="388" spans="1:27" ht="15.75">
      <c r="A388" s="1002" t="s">
        <v>4698</v>
      </c>
      <c r="B388" s="745">
        <v>4</v>
      </c>
      <c r="C388" s="1026">
        <v>1.5</v>
      </c>
      <c r="D388" s="746">
        <v>0.2</v>
      </c>
      <c r="E388" s="746">
        <f t="shared" si="52"/>
        <v>1.2000000000000002</v>
      </c>
      <c r="F388" s="1027">
        <v>0</v>
      </c>
      <c r="G388" s="746">
        <f t="shared" si="53"/>
        <v>1.2000000000000002</v>
      </c>
      <c r="H388" s="746">
        <f t="shared" si="49"/>
        <v>2.4000000000000004</v>
      </c>
      <c r="I388" s="1008"/>
      <c r="J388" s="1009"/>
      <c r="K388" s="1003"/>
      <c r="L388" s="796"/>
      <c r="M388" s="1010"/>
      <c r="N388" s="1011"/>
      <c r="O388" s="1027">
        <v>0</v>
      </c>
      <c r="Y388" s="1356" t="s">
        <v>5240</v>
      </c>
      <c r="Z388" s="1355">
        <f>F421</f>
        <v>9</v>
      </c>
      <c r="AA388" s="728" t="s">
        <v>1333</v>
      </c>
    </row>
    <row r="389" spans="1:27" ht="15.75">
      <c r="A389" s="1837" t="s">
        <v>4571</v>
      </c>
      <c r="B389" s="1838"/>
      <c r="C389" s="1839"/>
      <c r="D389" s="1840"/>
      <c r="E389" s="1013"/>
      <c r="F389" s="1014"/>
      <c r="G389" s="1028">
        <f>SUM(G369:G388)*2</f>
        <v>507.24959999999999</v>
      </c>
      <c r="H389" s="1015">
        <f>SUM(H369:H388)</f>
        <v>507.24959999999999</v>
      </c>
      <c r="I389" s="1014"/>
      <c r="J389" s="1014"/>
      <c r="K389" s="1014"/>
      <c r="L389" s="1016"/>
      <c r="M389" s="1017"/>
      <c r="N389" s="1017"/>
      <c r="O389" s="1027">
        <v>1</v>
      </c>
      <c r="Y389" s="1363"/>
      <c r="Z389" s="1364"/>
    </row>
    <row r="390" spans="1:27" ht="15.75">
      <c r="A390" s="1837" t="s">
        <v>4573</v>
      </c>
      <c r="B390" s="1838"/>
      <c r="C390" s="1018"/>
      <c r="D390" s="1019"/>
      <c r="E390" s="1019"/>
      <c r="F390" s="1019"/>
      <c r="G390" s="1020">
        <f>SUM(G369:G388)-23.15*0.4-G370-G371+2.05</f>
        <v>190.17480000000003</v>
      </c>
      <c r="H390" s="1020">
        <f>SUM(H369:H388)-I370-23.15*0.4+A394*2+1.5*0.15</f>
        <v>503.01460000000003</v>
      </c>
      <c r="I390" s="1013">
        <f>SUM(I370)</f>
        <v>0</v>
      </c>
      <c r="J390" s="1020">
        <f>SUM(J370)</f>
        <v>503.01460000000003</v>
      </c>
      <c r="K390" s="1021">
        <f>SUM(K370:K386)</f>
        <v>0</v>
      </c>
      <c r="L390" s="1020">
        <f>SUM(L370:L386)</f>
        <v>0</v>
      </c>
      <c r="M390" s="1022">
        <f>M370</f>
        <v>0</v>
      </c>
      <c r="N390" s="1022">
        <f>N370</f>
        <v>503.01460000000003</v>
      </c>
      <c r="Y390" s="1359" t="s">
        <v>4560</v>
      </c>
      <c r="Z390" s="1355">
        <f>F457</f>
        <v>696.49810000000002</v>
      </c>
      <c r="AA390" s="728" t="s">
        <v>1333</v>
      </c>
    </row>
    <row r="391" spans="1:27" ht="15.75">
      <c r="H391" s="956"/>
      <c r="I391" s="956"/>
      <c r="J391" s="956"/>
      <c r="K391" s="831"/>
      <c r="L391" s="831"/>
      <c r="M391" s="1110"/>
      <c r="N391" s="1110"/>
      <c r="Y391" s="1359" t="s">
        <v>4562</v>
      </c>
      <c r="Z391" s="1355">
        <f>F458</f>
        <v>2660.8072999999999</v>
      </c>
      <c r="AA391" s="728" t="s">
        <v>1333</v>
      </c>
    </row>
    <row r="392" spans="1:27" ht="30" customHeight="1">
      <c r="H392" s="890" t="s">
        <v>4603</v>
      </c>
      <c r="I392" s="891">
        <f>I364+I390+8.8*2+2.05*2</f>
        <v>389.78300000000007</v>
      </c>
      <c r="J392" s="892" t="s">
        <v>1333</v>
      </c>
      <c r="K392" s="831"/>
      <c r="L392" s="831"/>
      <c r="M392" s="1110"/>
      <c r="N392" s="1110"/>
      <c r="Y392" s="1359" t="s">
        <v>4564</v>
      </c>
      <c r="Z392" s="1355">
        <f>F459</f>
        <v>496.85</v>
      </c>
      <c r="AA392" s="728" t="s">
        <v>1333</v>
      </c>
    </row>
    <row r="393" spans="1:27" ht="30" customHeight="1">
      <c r="A393" s="1389" t="s">
        <v>5107</v>
      </c>
      <c r="H393" s="890" t="s">
        <v>4604</v>
      </c>
      <c r="I393" s="891">
        <f>H364+H390</f>
        <v>2171.4992000000002</v>
      </c>
      <c r="J393" s="892" t="s">
        <v>1333</v>
      </c>
      <c r="K393" s="831"/>
      <c r="L393" s="831"/>
      <c r="M393" s="1110"/>
      <c r="N393" s="1110"/>
      <c r="Y393" s="1359" t="s">
        <v>4566</v>
      </c>
      <c r="Z393" s="1355">
        <f>Z390+Z391+Z392</f>
        <v>3854.1554000000001</v>
      </c>
      <c r="AA393" s="728" t="s">
        <v>1333</v>
      </c>
    </row>
    <row r="394" spans="1:27" ht="30" customHeight="1">
      <c r="A394" s="728">
        <f>4*1.5*0.4</f>
        <v>2.4000000000000004</v>
      </c>
      <c r="H394" s="890" t="s">
        <v>4605</v>
      </c>
      <c r="I394" s="891">
        <f>J364+J390</f>
        <v>2539.5822000000003</v>
      </c>
      <c r="J394" s="892" t="s">
        <v>1333</v>
      </c>
      <c r="K394" s="831"/>
      <c r="L394" s="831"/>
      <c r="M394" s="1110"/>
      <c r="N394" s="1110"/>
      <c r="O394" s="1867" t="s">
        <v>4758</v>
      </c>
      <c r="P394" s="1868"/>
      <c r="Y394" s="1359" t="s">
        <v>4737</v>
      </c>
      <c r="Z394" s="1355">
        <f>P397+5.2*2</f>
        <v>149.54</v>
      </c>
      <c r="AA394" s="1416" t="s">
        <v>1752</v>
      </c>
    </row>
    <row r="395" spans="1:27" ht="15.75">
      <c r="H395" s="956"/>
      <c r="I395" s="956"/>
      <c r="J395" s="956"/>
      <c r="K395" s="831"/>
      <c r="L395" s="831"/>
      <c r="M395" s="1110"/>
      <c r="N395" s="1110"/>
      <c r="O395" s="794" t="s">
        <v>4657</v>
      </c>
      <c r="P395" s="972">
        <f>3.1*4+6.75*4+3.9+3.1+2.75+2.92+0.75</f>
        <v>52.82</v>
      </c>
      <c r="Y395" s="1359" t="s">
        <v>4738</v>
      </c>
      <c r="Z395" s="1355">
        <f>P448</f>
        <v>61.332000000000001</v>
      </c>
      <c r="AA395" s="1416" t="s">
        <v>1752</v>
      </c>
    </row>
    <row r="396" spans="1:27" ht="30">
      <c r="H396" s="956"/>
      <c r="I396" s="956"/>
      <c r="J396" s="956"/>
      <c r="K396" s="831"/>
      <c r="L396" s="831"/>
      <c r="M396" s="1110"/>
      <c r="N396" s="1110"/>
      <c r="O396" s="974" t="s">
        <v>4658</v>
      </c>
      <c r="P396" s="794">
        <f>16*3.32+10*3.32</f>
        <v>86.32</v>
      </c>
      <c r="Y396" s="1412" t="s">
        <v>4359</v>
      </c>
      <c r="AA396" s="728" t="s">
        <v>1333</v>
      </c>
    </row>
    <row r="397" spans="1:27" ht="15.75">
      <c r="H397" s="956"/>
      <c r="I397" s="956"/>
      <c r="J397" s="956"/>
      <c r="K397" s="831"/>
      <c r="L397" s="831"/>
      <c r="M397" s="1110"/>
      <c r="N397" s="1110"/>
      <c r="O397" s="815" t="s">
        <v>518</v>
      </c>
      <c r="P397" s="976">
        <f>SUM(P395:P396)</f>
        <v>139.13999999999999</v>
      </c>
      <c r="Y397" s="1360" t="s">
        <v>5076</v>
      </c>
      <c r="Z397" s="1360">
        <f>F454</f>
        <v>7.18</v>
      </c>
      <c r="AA397" s="728" t="s">
        <v>1333</v>
      </c>
    </row>
    <row r="398" spans="1:27" ht="15.75">
      <c r="H398" s="956"/>
      <c r="I398" s="956"/>
      <c r="J398" s="956"/>
      <c r="K398" s="831"/>
      <c r="L398" s="831"/>
      <c r="M398" s="1110"/>
      <c r="N398" s="1110"/>
      <c r="Y398" s="1412" t="s">
        <v>5077</v>
      </c>
      <c r="AA398" s="728" t="s">
        <v>1333</v>
      </c>
    </row>
    <row r="399" spans="1:27" ht="15.75">
      <c r="A399" s="1030" t="s">
        <v>4610</v>
      </c>
      <c r="B399" s="1030"/>
      <c r="C399" s="1031"/>
      <c r="D399" s="837"/>
      <c r="F399" s="1032" t="s">
        <v>4759</v>
      </c>
      <c r="G399" s="1033"/>
      <c r="H399" s="1033"/>
      <c r="I399" s="1034"/>
      <c r="K399" s="1862" t="s">
        <v>4662</v>
      </c>
      <c r="L399" s="1863"/>
      <c r="M399" s="1035"/>
      <c r="Y399" s="795" t="s">
        <v>4457</v>
      </c>
      <c r="Z399" s="789">
        <f>N425</f>
        <v>416.77784000000003</v>
      </c>
      <c r="AA399" s="1492" t="s">
        <v>811</v>
      </c>
    </row>
    <row r="400" spans="1:27" ht="15.75">
      <c r="A400" s="739" t="s">
        <v>4524</v>
      </c>
      <c r="B400" s="739" t="s">
        <v>4516</v>
      </c>
      <c r="C400" s="739" t="s">
        <v>4612</v>
      </c>
      <c r="D400" s="739" t="s">
        <v>4613</v>
      </c>
      <c r="F400" s="945" t="s">
        <v>4524</v>
      </c>
      <c r="G400" s="853" t="s">
        <v>4516</v>
      </c>
      <c r="H400" s="853" t="s">
        <v>4639</v>
      </c>
      <c r="I400" s="980" t="s">
        <v>4640</v>
      </c>
      <c r="K400" s="1036">
        <v>4.3</v>
      </c>
      <c r="L400" s="953" t="s">
        <v>1752</v>
      </c>
      <c r="M400" s="807"/>
      <c r="Y400" s="1369" t="s">
        <v>5242</v>
      </c>
      <c r="Z400" s="1355">
        <f>B421</f>
        <v>13.1</v>
      </c>
      <c r="AA400" s="728" t="s">
        <v>213</v>
      </c>
    </row>
    <row r="401" spans="1:28" ht="15.75">
      <c r="A401" s="794" t="s">
        <v>4709</v>
      </c>
      <c r="B401" s="905">
        <f>B427</f>
        <v>496.85</v>
      </c>
      <c r="C401" s="905">
        <f>B401</f>
        <v>496.85</v>
      </c>
      <c r="D401" s="905">
        <f>B401</f>
        <v>496.85</v>
      </c>
      <c r="F401" s="1037" t="s">
        <v>4641</v>
      </c>
      <c r="G401" s="743">
        <f>B429</f>
        <v>551.03</v>
      </c>
      <c r="H401" s="743">
        <v>0.1</v>
      </c>
      <c r="I401" s="795">
        <f>G401*H401</f>
        <v>55.103000000000002</v>
      </c>
      <c r="Y401" s="1369" t="s">
        <v>5243</v>
      </c>
      <c r="Z401" s="1355">
        <f>B417+B418+B419+B420+B422+B423+B425</f>
        <v>537.93000000000006</v>
      </c>
      <c r="AA401" s="728" t="s">
        <v>213</v>
      </c>
    </row>
    <row r="402" spans="1:28" ht="15.75">
      <c r="A402" s="1038"/>
      <c r="B402" s="1039"/>
      <c r="C402" s="1039"/>
      <c r="D402" s="1040"/>
      <c r="F402" s="1041"/>
      <c r="G402" s="743"/>
      <c r="H402" s="789"/>
      <c r="I402" s="789"/>
      <c r="Y402" s="1369" t="s">
        <v>5244</v>
      </c>
      <c r="Z402" s="1355">
        <f>C417+C418+C419+C420+C422+C423+C424</f>
        <v>532.19000000000005</v>
      </c>
      <c r="AA402" s="1554" t="s">
        <v>1171</v>
      </c>
    </row>
    <row r="403" spans="1:28" ht="15.75">
      <c r="F403" s="1042" t="s">
        <v>4710</v>
      </c>
      <c r="G403" s="1042"/>
      <c r="H403" s="1042"/>
      <c r="I403" s="1043">
        <f>SUM(I401:I402)</f>
        <v>55.103000000000002</v>
      </c>
      <c r="K403" s="833"/>
      <c r="L403" s="1108"/>
      <c r="M403" s="733"/>
      <c r="N403" s="733"/>
      <c r="Y403" s="1585" t="s">
        <v>5283</v>
      </c>
      <c r="Z403" s="783">
        <f>Z283</f>
        <v>9.5</v>
      </c>
      <c r="AA403" s="1554" t="s">
        <v>1171</v>
      </c>
    </row>
    <row r="404" spans="1:28" ht="15.75">
      <c r="F404" s="1111"/>
      <c r="G404" s="1111"/>
      <c r="H404" s="1111"/>
      <c r="I404" s="1112"/>
      <c r="J404" s="733"/>
      <c r="K404" s="1112"/>
      <c r="L404" s="1111"/>
      <c r="M404" s="733"/>
      <c r="N404" s="733"/>
      <c r="Y404" s="795" t="s">
        <v>5123</v>
      </c>
      <c r="Z404" s="789">
        <v>26</v>
      </c>
      <c r="AA404" s="728" t="s">
        <v>213</v>
      </c>
    </row>
    <row r="405" spans="1:28" ht="20.25">
      <c r="A405" s="1803" t="s">
        <v>5096</v>
      </c>
      <c r="B405" s="1804"/>
      <c r="C405" s="1804"/>
      <c r="D405" s="1804"/>
      <c r="E405" s="1804"/>
      <c r="F405" s="1804"/>
      <c r="G405" s="1804"/>
      <c r="H405" s="1804"/>
      <c r="I405" s="1804"/>
      <c r="J405" s="1804"/>
      <c r="K405" s="1804"/>
      <c r="L405" s="1804"/>
      <c r="M405" s="1804"/>
      <c r="N405" s="1804"/>
      <c r="Y405" s="1639" t="s">
        <v>5412</v>
      </c>
      <c r="Z405" s="728">
        <v>5.9</v>
      </c>
    </row>
    <row r="406" spans="1:28" ht="30">
      <c r="A406" s="740" t="s">
        <v>4469</v>
      </c>
      <c r="B406" s="740" t="s">
        <v>515</v>
      </c>
      <c r="C406" s="740" t="s">
        <v>4544</v>
      </c>
      <c r="D406" s="741" t="s">
        <v>4520</v>
      </c>
      <c r="E406" s="740" t="s">
        <v>4545</v>
      </c>
      <c r="F406" s="741" t="s">
        <v>4546</v>
      </c>
      <c r="G406" s="740" t="s">
        <v>4547</v>
      </c>
      <c r="H406" s="741" t="s">
        <v>4548</v>
      </c>
      <c r="I406" s="741" t="s">
        <v>4549</v>
      </c>
      <c r="J406" s="741" t="s">
        <v>4261</v>
      </c>
      <c r="K406" s="741"/>
      <c r="L406" s="853" t="s">
        <v>4274</v>
      </c>
      <c r="M406" s="854" t="s">
        <v>4526</v>
      </c>
      <c r="N406" s="854" t="s">
        <v>4550</v>
      </c>
      <c r="Y406" s="1639" t="s">
        <v>5094</v>
      </c>
      <c r="Z406" s="728">
        <v>5.9</v>
      </c>
    </row>
    <row r="407" spans="1:28" ht="15.75">
      <c r="A407" s="1002" t="s">
        <v>4701</v>
      </c>
      <c r="B407" s="745">
        <v>1</v>
      </c>
      <c r="C407" s="858">
        <v>2.85</v>
      </c>
      <c r="D407" s="858">
        <v>3.25</v>
      </c>
      <c r="E407" s="746">
        <f t="shared" ref="E407:E411" si="54">C407*D407*B407</f>
        <v>9.2625000000000011</v>
      </c>
      <c r="F407" s="746"/>
      <c r="G407" s="746">
        <f t="shared" ref="G407:G409" si="55">E407-F407</f>
        <v>9.2625000000000011</v>
      </c>
      <c r="H407" s="746"/>
      <c r="I407" s="894"/>
      <c r="J407" s="895">
        <f>H413+I413</f>
        <v>0</v>
      </c>
      <c r="K407" s="1003"/>
      <c r="L407" s="796"/>
      <c r="M407" s="896">
        <f>G407</f>
        <v>9.2625000000000011</v>
      </c>
      <c r="N407" s="897">
        <f>G407</f>
        <v>9.2625000000000011</v>
      </c>
      <c r="Y407" s="1640" t="s">
        <v>4279</v>
      </c>
      <c r="Z407" s="1411"/>
    </row>
    <row r="408" spans="1:28" ht="15.75">
      <c r="A408" s="1002" t="s">
        <v>4703</v>
      </c>
      <c r="B408" s="745">
        <v>1</v>
      </c>
      <c r="C408" s="858">
        <v>4.42</v>
      </c>
      <c r="D408" s="858">
        <v>3.18</v>
      </c>
      <c r="E408" s="746">
        <f t="shared" si="54"/>
        <v>14.0556</v>
      </c>
      <c r="F408" s="746"/>
      <c r="G408" s="746">
        <f t="shared" si="55"/>
        <v>14.0556</v>
      </c>
      <c r="H408" s="746"/>
      <c r="I408" s="894"/>
      <c r="J408" s="895">
        <f>H414+I414</f>
        <v>0</v>
      </c>
      <c r="K408" s="1003"/>
      <c r="L408" s="796"/>
      <c r="M408" s="896">
        <f t="shared" ref="M408:M409" si="56">G408</f>
        <v>14.0556</v>
      </c>
      <c r="N408" s="897">
        <f t="shared" ref="N408:N409" si="57">G408</f>
        <v>14.0556</v>
      </c>
      <c r="Y408" s="1369" t="s">
        <v>4792</v>
      </c>
      <c r="Z408" s="1355">
        <f>2.4*0.5*4+1.2*0.5*4+Z405</f>
        <v>13.1</v>
      </c>
      <c r="AA408" s="728" t="s">
        <v>213</v>
      </c>
    </row>
    <row r="409" spans="1:28" ht="15.75">
      <c r="A409" s="1002" t="s">
        <v>4705</v>
      </c>
      <c r="B409" s="745">
        <v>1</v>
      </c>
      <c r="C409" s="883">
        <v>4.6500000000000004</v>
      </c>
      <c r="D409" s="858">
        <v>3.18</v>
      </c>
      <c r="E409" s="746">
        <f t="shared" si="54"/>
        <v>14.787000000000003</v>
      </c>
      <c r="F409" s="746"/>
      <c r="G409" s="746">
        <f t="shared" si="55"/>
        <v>14.787000000000003</v>
      </c>
      <c r="H409" s="746"/>
      <c r="I409" s="894"/>
      <c r="J409" s="895">
        <f>H415+I415</f>
        <v>0</v>
      </c>
      <c r="K409" s="1003"/>
      <c r="L409" s="796"/>
      <c r="M409" s="896">
        <f t="shared" si="56"/>
        <v>14.787000000000003</v>
      </c>
      <c r="N409" s="897">
        <f t="shared" si="57"/>
        <v>14.787000000000003</v>
      </c>
      <c r="Y409" s="1369" t="s">
        <v>5094</v>
      </c>
      <c r="Z409" s="1355">
        <f>Z408</f>
        <v>13.1</v>
      </c>
      <c r="AA409" s="728" t="s">
        <v>213</v>
      </c>
    </row>
    <row r="410" spans="1:28" ht="31.5">
      <c r="A410" s="1394" t="s">
        <v>5106</v>
      </c>
      <c r="B410" s="855">
        <v>1</v>
      </c>
      <c r="C410" s="858">
        <v>2</v>
      </c>
      <c r="D410" s="859">
        <v>1.2</v>
      </c>
      <c r="E410" s="753">
        <f t="shared" si="54"/>
        <v>2.4</v>
      </c>
      <c r="F410" s="746"/>
      <c r="G410" s="746">
        <f t="shared" ref="G410:G411" si="58">E410-F410</f>
        <v>2.4</v>
      </c>
      <c r="H410" s="746"/>
      <c r="I410" s="894"/>
      <c r="J410" s="895"/>
      <c r="K410" s="1391"/>
      <c r="L410" s="1392"/>
      <c r="M410" s="896">
        <f t="shared" ref="M410:M411" si="59">G410</f>
        <v>2.4</v>
      </c>
      <c r="N410" s="897">
        <f t="shared" ref="N410:N411" si="60">G410</f>
        <v>2.4</v>
      </c>
      <c r="Y410" s="1369" t="s">
        <v>4279</v>
      </c>
      <c r="Z410" s="1355">
        <f>2.4*4+1.2*4</f>
        <v>14.399999999999999</v>
      </c>
      <c r="AA410" s="1554" t="s">
        <v>1171</v>
      </c>
    </row>
    <row r="411" spans="1:28" ht="31.5">
      <c r="A411" s="1394" t="s">
        <v>5106</v>
      </c>
      <c r="B411" s="1395">
        <v>2</v>
      </c>
      <c r="C411" s="1396">
        <v>1.65</v>
      </c>
      <c r="D411" s="1386">
        <v>1.2</v>
      </c>
      <c r="E411" s="753">
        <f t="shared" si="54"/>
        <v>3.9599999999999995</v>
      </c>
      <c r="F411" s="746"/>
      <c r="G411" s="746">
        <f t="shared" si="58"/>
        <v>3.9599999999999995</v>
      </c>
      <c r="H411" s="746"/>
      <c r="I411" s="894"/>
      <c r="J411" s="895">
        <f t="shared" ref="J411" si="61">H417+I417</f>
        <v>0</v>
      </c>
      <c r="K411" s="1391"/>
      <c r="L411" s="1392"/>
      <c r="M411" s="896">
        <f t="shared" si="59"/>
        <v>3.9599999999999995</v>
      </c>
      <c r="N411" s="897">
        <f t="shared" si="60"/>
        <v>3.9599999999999995</v>
      </c>
      <c r="Y411" s="1645" t="s">
        <v>5433</v>
      </c>
      <c r="Z411" s="728">
        <f>SUM(AB412:AB424)*2*1.05</f>
        <v>373.56059999999997</v>
      </c>
    </row>
    <row r="412" spans="1:28">
      <c r="A412" s="1792" t="s">
        <v>4609</v>
      </c>
      <c r="B412" s="1793"/>
      <c r="C412" s="1795"/>
      <c r="D412" s="1796"/>
      <c r="E412" s="863"/>
      <c r="F412" s="864"/>
      <c r="G412" s="867"/>
      <c r="H412" s="867"/>
      <c r="I412" s="867"/>
      <c r="J412" s="867"/>
      <c r="K412" s="868"/>
      <c r="L412" s="869"/>
      <c r="M412" s="841"/>
      <c r="N412" s="898"/>
      <c r="AB412" s="1645">
        <f>1*2.1*8+0.88*2.1*8</f>
        <v>31.584000000000003</v>
      </c>
    </row>
    <row r="413" spans="1:28">
      <c r="A413" s="1792" t="s">
        <v>4573</v>
      </c>
      <c r="B413" s="1793"/>
      <c r="C413" s="870"/>
      <c r="D413" s="871"/>
      <c r="E413" s="871"/>
      <c r="F413" s="871"/>
      <c r="G413" s="865">
        <f>SUM(G407:G412)</f>
        <v>44.465100000000007</v>
      </c>
      <c r="H413" s="865">
        <f>SUM(H407:H412)</f>
        <v>0</v>
      </c>
      <c r="I413" s="865">
        <f>SUM(I407:I412)</f>
        <v>0</v>
      </c>
      <c r="J413" s="865">
        <f>J407</f>
        <v>0</v>
      </c>
      <c r="K413" s="899">
        <f>SUM(K407:K407)</f>
        <v>0</v>
      </c>
      <c r="L413" s="865">
        <f>SUM(L407:L407)</f>
        <v>0</v>
      </c>
      <c r="M413" s="865">
        <f>SUM(M407:M412)</f>
        <v>44.465100000000007</v>
      </c>
      <c r="N413" s="865">
        <f>SUM(N407:N412)</f>
        <v>44.465100000000007</v>
      </c>
      <c r="AB413" s="728">
        <f>0.9*2.1*2</f>
        <v>3.7800000000000002</v>
      </c>
    </row>
    <row r="414" spans="1:28">
      <c r="O414" s="734"/>
      <c r="AB414" s="728">
        <f>1*2.1*16+0.4*2.1*16</f>
        <v>47.040000000000006</v>
      </c>
    </row>
    <row r="415" spans="1:28" ht="15.75">
      <c r="A415" s="1864" t="s">
        <v>4761</v>
      </c>
      <c r="B415" s="1865"/>
      <c r="C415" s="1866"/>
      <c r="E415" s="1113"/>
      <c r="F415" s="1113"/>
      <c r="G415" s="1113"/>
      <c r="H415" s="1113"/>
      <c r="J415" s="1113"/>
      <c r="K415" s="1113"/>
      <c r="L415" s="1113"/>
      <c r="M415" s="1113"/>
      <c r="N415" s="1113"/>
      <c r="O415" s="1113"/>
      <c r="P415" s="1113"/>
      <c r="Q415" s="1113"/>
      <c r="AB415" s="728">
        <f>2*2.1*2+0.75*2.1*2</f>
        <v>11.55</v>
      </c>
    </row>
    <row r="416" spans="1:28" ht="15.75">
      <c r="A416" s="739" t="s">
        <v>4516</v>
      </c>
      <c r="B416" s="739" t="s">
        <v>4525</v>
      </c>
      <c r="C416" s="741" t="s">
        <v>4614</v>
      </c>
      <c r="E416" s="829"/>
      <c r="F416" s="829"/>
      <c r="G416" s="829"/>
      <c r="H416" s="829"/>
      <c r="J416" s="829"/>
      <c r="K416" s="1786" t="s">
        <v>4274</v>
      </c>
      <c r="L416" s="1786"/>
      <c r="M416" s="1786"/>
      <c r="N416" s="829"/>
      <c r="O416" s="1786" t="s">
        <v>4390</v>
      </c>
      <c r="P416" s="1786"/>
      <c r="Q416" s="1786"/>
      <c r="AB416" s="728">
        <f>2*2.1*2</f>
        <v>8.4</v>
      </c>
    </row>
    <row r="417" spans="1:28" ht="15.75">
      <c r="A417" s="756" t="s">
        <v>4712</v>
      </c>
      <c r="B417" s="1048">
        <f>23*2</f>
        <v>46</v>
      </c>
      <c r="C417" s="1049">
        <f>14.77*2</f>
        <v>29.54</v>
      </c>
      <c r="E417" s="910"/>
      <c r="F417" s="1545"/>
      <c r="G417" s="1125"/>
      <c r="H417" s="1167"/>
      <c r="J417" s="1114"/>
      <c r="K417" s="739" t="s">
        <v>4217</v>
      </c>
      <c r="L417" s="739" t="s">
        <v>4627</v>
      </c>
      <c r="M417" s="739" t="s">
        <v>1752</v>
      </c>
      <c r="N417" s="1114"/>
      <c r="O417" s="739" t="s">
        <v>4217</v>
      </c>
      <c r="P417" s="739" t="s">
        <v>4627</v>
      </c>
      <c r="Q417" s="739" t="s">
        <v>1752</v>
      </c>
      <c r="Y417" s="730"/>
      <c r="AB417" s="728">
        <f>2*2.1*2</f>
        <v>8.4</v>
      </c>
    </row>
    <row r="418" spans="1:28" ht="15.75">
      <c r="A418" s="756" t="s">
        <v>4714</v>
      </c>
      <c r="B418" s="1048">
        <f>63+63</f>
        <v>126</v>
      </c>
      <c r="C418" s="1049">
        <f>20.28*4</f>
        <v>81.12</v>
      </c>
      <c r="E418" s="910"/>
      <c r="F418" s="1545"/>
      <c r="G418" s="1125"/>
      <c r="H418" s="1167"/>
      <c r="J418" s="1114"/>
      <c r="K418" s="924" t="s">
        <v>4630</v>
      </c>
      <c r="L418" s="923"/>
      <c r="M418" s="908">
        <f>0.42*64+64+1.8*16+16*1.8+2.45*4+4*1+4.06*2+4.08*2+4.33*2+4.36*2+2.71*2+8*3.32+20*3.32+40*1.8+40*1.8+2.2*4+4*1.8+1.5*8+32*2+32*2*1.07+16*2*0.6+3.6*2+1.2*2+2.4*8+12*8+1.2*0.6*8+1.5*4*2.1+0.9*4*2.1+0.9*3*2.1+3*3.02+0.8*4+0.6*4+2.95*4+1.35*4+5*2.1+2.4*4*4+0.15*2*4+1.2*2*4+0.15*2*4+3.3*4*2+6*2.1*2</f>
        <v>918.75</v>
      </c>
      <c r="N418" s="1114"/>
      <c r="O418" s="924" t="s">
        <v>4632</v>
      </c>
      <c r="P418" s="923">
        <f>2.4*8+1.2*4+32*1.1+64*0.42+16*1.2+2.2*8+0.6*16+16*1+16*0.6+2.45*2+4.06*2+4.08*2+2.95*2+1.35*2</f>
        <v>187.85999999999999</v>
      </c>
      <c r="Q418" s="908"/>
      <c r="Y418" s="730"/>
      <c r="AB418" s="728">
        <f>1.2*1.1</f>
        <v>1.32</v>
      </c>
    </row>
    <row r="419" spans="1:28" ht="15.75">
      <c r="A419" s="756" t="s">
        <v>4716</v>
      </c>
      <c r="B419" s="1048">
        <v>39.18</v>
      </c>
      <c r="C419" s="1049">
        <v>42.15</v>
      </c>
      <c r="E419" s="910"/>
      <c r="F419" s="1545"/>
      <c r="G419" s="1125"/>
      <c r="H419" s="1167"/>
      <c r="J419" s="1114"/>
      <c r="K419" s="927" t="s">
        <v>518</v>
      </c>
      <c r="L419" s="927"/>
      <c r="M419" s="928">
        <f>M418+M445+M449+J454+J460</f>
        <v>1383.17</v>
      </c>
      <c r="N419" s="1114"/>
      <c r="O419" s="924" t="s">
        <v>4631</v>
      </c>
      <c r="P419" s="840">
        <f>16*1.8+7*2.1+3.32+24*1.8</f>
        <v>90.02000000000001</v>
      </c>
      <c r="Q419" s="926"/>
      <c r="Y419" s="730"/>
      <c r="AB419" s="728">
        <f>1.1*16</f>
        <v>17.600000000000001</v>
      </c>
    </row>
    <row r="420" spans="1:28" ht="15.75">
      <c r="A420" s="756" t="s">
        <v>4619</v>
      </c>
      <c r="B420" s="1048">
        <v>8.8000000000000007</v>
      </c>
      <c r="C420" s="908">
        <v>11.1</v>
      </c>
      <c r="D420" s="1389" t="s">
        <v>5108</v>
      </c>
      <c r="E420" s="910" t="s">
        <v>4080</v>
      </c>
      <c r="F420" s="1545"/>
      <c r="G420" s="1125"/>
      <c r="H420" s="1167"/>
      <c r="J420" s="1114"/>
      <c r="K420" s="1088"/>
      <c r="L420" s="1089"/>
      <c r="M420" s="918"/>
      <c r="N420" s="1114"/>
      <c r="O420" s="927" t="s">
        <v>518</v>
      </c>
      <c r="P420" s="927"/>
      <c r="Q420" s="928"/>
      <c r="Y420" s="730"/>
      <c r="AB420" s="728">
        <f>0.6*16</f>
        <v>9.6</v>
      </c>
    </row>
    <row r="421" spans="1:28" ht="15.75">
      <c r="A421" s="756" t="s">
        <v>4719</v>
      </c>
      <c r="B421" s="1048">
        <v>13.1</v>
      </c>
      <c r="C421" s="908">
        <v>9.5</v>
      </c>
      <c r="D421" s="728">
        <v>6</v>
      </c>
      <c r="E421" s="910">
        <v>1.5</v>
      </c>
      <c r="F421" s="802">
        <f>D421*E421</f>
        <v>9</v>
      </c>
      <c r="G421" s="1423"/>
      <c r="H421" s="1167"/>
      <c r="I421" s="1471" t="s">
        <v>5151</v>
      </c>
      <c r="K421" s="833"/>
      <c r="L421" s="822"/>
      <c r="M421" s="822"/>
      <c r="N421" s="1116"/>
      <c r="O421" s="1117"/>
      <c r="P421" s="1117"/>
      <c r="Q421" s="1116"/>
      <c r="Y421" s="730"/>
      <c r="AB421" s="728">
        <f>1.2*0.6*4</f>
        <v>2.88</v>
      </c>
    </row>
    <row r="422" spans="1:28" ht="15.75">
      <c r="A422" s="756" t="s">
        <v>4622</v>
      </c>
      <c r="B422" s="1048">
        <v>32.299999999999997</v>
      </c>
      <c r="C422" s="1049">
        <v>18.88</v>
      </c>
      <c r="D422" s="1389"/>
      <c r="E422" s="1546"/>
      <c r="F422" s="1547"/>
      <c r="G422" s="832"/>
      <c r="H422" s="832"/>
      <c r="I422" s="808">
        <f>4.21*1.1*2</f>
        <v>9.2620000000000005</v>
      </c>
      <c r="J422" s="809" t="s">
        <v>1333</v>
      </c>
      <c r="S422" s="786" t="s">
        <v>4522</v>
      </c>
      <c r="T422" s="797"/>
      <c r="V422" s="1113"/>
      <c r="W422" s="1113"/>
      <c r="Y422" s="730"/>
      <c r="AB422" s="728">
        <f>2.4*0.6*4</f>
        <v>5.76</v>
      </c>
    </row>
    <row r="423" spans="1:28" ht="15.75">
      <c r="A423" s="756" t="s">
        <v>4722</v>
      </c>
      <c r="B423" s="1048">
        <f>17.45*16</f>
        <v>279.2</v>
      </c>
      <c r="C423" s="1050">
        <f>20.3*16</f>
        <v>324.8</v>
      </c>
      <c r="I423" s="1079">
        <f>I422*10.76</f>
        <v>99.659120000000001</v>
      </c>
      <c r="J423" s="1079" t="s">
        <v>811</v>
      </c>
      <c r="L423" s="786" t="s">
        <v>4522</v>
      </c>
      <c r="M423" s="797"/>
      <c r="S423" s="1519"/>
      <c r="T423" s="1520" t="s">
        <v>213</v>
      </c>
      <c r="U423" s="1520" t="s">
        <v>211</v>
      </c>
      <c r="V423" s="829"/>
      <c r="W423" s="829"/>
      <c r="Y423" s="730"/>
      <c r="AB423" s="1645">
        <f>1.42*1.1*4</f>
        <v>6.2480000000000002</v>
      </c>
    </row>
    <row r="424" spans="1:28" ht="15.75">
      <c r="A424" s="756" t="s">
        <v>1336</v>
      </c>
      <c r="B424" s="1052"/>
      <c r="C424" s="918">
        <f>19.2+36*0.15</f>
        <v>24.599999999999998</v>
      </c>
      <c r="L424" s="1519"/>
      <c r="M424" s="1520" t="s">
        <v>213</v>
      </c>
      <c r="N424" s="1520" t="s">
        <v>211</v>
      </c>
      <c r="S424" s="744" t="s">
        <v>4457</v>
      </c>
      <c r="T424" s="794">
        <f>1.43*1.07*8+1.07*6.13*4</f>
        <v>38.477199999999996</v>
      </c>
      <c r="U424" s="794">
        <f>T424*10.76</f>
        <v>414.01467199999996</v>
      </c>
      <c r="V424" s="1114"/>
      <c r="W424" s="1377"/>
      <c r="AB424" s="728">
        <f>1.88*1.1*8+F323</f>
        <v>23.724</v>
      </c>
    </row>
    <row r="425" spans="1:28" ht="30.75">
      <c r="A425" s="756" t="s">
        <v>5109</v>
      </c>
      <c r="B425" s="922">
        <v>6.45</v>
      </c>
      <c r="C425" s="1053"/>
      <c r="F425" s="801"/>
      <c r="G425" s="807"/>
      <c r="H425" s="807"/>
      <c r="I425" s="807"/>
      <c r="K425" s="944"/>
      <c r="L425" s="744" t="s">
        <v>4457</v>
      </c>
      <c r="M425" s="794">
        <f>1.45*1.07*8+1.07*6.15*4</f>
        <v>38.734000000000002</v>
      </c>
      <c r="N425" s="794">
        <f>M425*10.76</f>
        <v>416.77784000000003</v>
      </c>
      <c r="O425" s="944"/>
      <c r="P425" s="944"/>
      <c r="Q425" s="944"/>
      <c r="R425" s="944"/>
      <c r="S425" s="818"/>
      <c r="T425" s="1382"/>
      <c r="U425" s="1382"/>
      <c r="V425" s="1114"/>
      <c r="W425" s="1377"/>
      <c r="Y425" s="1411"/>
      <c r="Z425" s="1411"/>
    </row>
    <row r="426" spans="1:28" ht="15.75">
      <c r="A426" s="795"/>
      <c r="B426" s="1054"/>
      <c r="C426" s="795"/>
      <c r="E426" s="1055" t="s">
        <v>4726</v>
      </c>
      <c r="F426" s="1056"/>
      <c r="G426" s="1056"/>
      <c r="H426" s="1056"/>
      <c r="I426" s="1056"/>
      <c r="K426" s="1118"/>
      <c r="L426" s="1119"/>
      <c r="M426" s="1118"/>
      <c r="N426" s="1120"/>
      <c r="O426" s="1120"/>
      <c r="P426" s="1121"/>
      <c r="Q426" s="1120"/>
      <c r="R426" s="1122"/>
      <c r="S426" s="1782" t="s">
        <v>4632</v>
      </c>
      <c r="T426" s="1783"/>
      <c r="V426" s="1782" t="s">
        <v>5139</v>
      </c>
      <c r="W426" s="1783"/>
      <c r="Y426" s="1411"/>
      <c r="Z426" s="1411"/>
    </row>
    <row r="427" spans="1:28" ht="15.75">
      <c r="A427" s="989" t="s">
        <v>4635</v>
      </c>
      <c r="B427" s="728">
        <f>35.9*2+62.6+63.15+13.5*16+55.5+27.8</f>
        <v>496.85</v>
      </c>
      <c r="C427" s="1057">
        <f>SUM(C417:C426)</f>
        <v>541.69000000000005</v>
      </c>
      <c r="E427" s="814" t="s">
        <v>4492</v>
      </c>
      <c r="F427" s="815" t="s">
        <v>515</v>
      </c>
      <c r="G427" s="816" t="s">
        <v>4527</v>
      </c>
      <c r="H427" s="814" t="s">
        <v>4516</v>
      </c>
      <c r="I427" s="817"/>
      <c r="K427" s="1123"/>
      <c r="L427" s="1123"/>
      <c r="M427" s="1124"/>
      <c r="N427" s="1125"/>
      <c r="O427" s="1125"/>
      <c r="P427" s="1125"/>
      <c r="Q427" s="822"/>
      <c r="R427" s="822"/>
      <c r="S427" s="1784" t="s">
        <v>4515</v>
      </c>
      <c r="T427" s="1785"/>
      <c r="V427" s="1784" t="s">
        <v>4515</v>
      </c>
      <c r="W427" s="1785"/>
      <c r="Y427" s="1411"/>
      <c r="Z427" s="1411"/>
    </row>
    <row r="428" spans="1:28" ht="15.75">
      <c r="A428" s="1062" t="s">
        <v>4727</v>
      </c>
      <c r="B428" s="1063">
        <f>B425</f>
        <v>6.45</v>
      </c>
      <c r="C428" s="1061"/>
      <c r="F428" s="794">
        <v>2</v>
      </c>
      <c r="G428" s="819" t="s">
        <v>5137</v>
      </c>
      <c r="H428" s="820">
        <f>F428*2*2.1</f>
        <v>8.4</v>
      </c>
      <c r="I428" s="1064"/>
      <c r="K428" s="1123"/>
      <c r="L428" s="1123"/>
      <c r="M428" s="1124"/>
      <c r="N428" s="1125"/>
      <c r="O428" s="1125"/>
      <c r="P428" s="1125"/>
      <c r="Q428" s="822"/>
      <c r="R428" s="1125"/>
      <c r="S428" s="740" t="s">
        <v>4492</v>
      </c>
      <c r="T428" s="740" t="s">
        <v>4516</v>
      </c>
      <c r="V428" s="740" t="s">
        <v>4492</v>
      </c>
      <c r="W428" s="740" t="s">
        <v>4516</v>
      </c>
      <c r="Y428" s="1411"/>
      <c r="Z428" s="1411"/>
    </row>
    <row r="429" spans="1:28" ht="105.75">
      <c r="A429" s="1062" t="s">
        <v>4762</v>
      </c>
      <c r="B429" s="1065">
        <f>SUM(B417:B426)</f>
        <v>551.03</v>
      </c>
      <c r="C429" s="1066"/>
      <c r="E429" s="1466" t="s">
        <v>5138</v>
      </c>
      <c r="F429" s="794">
        <v>4</v>
      </c>
      <c r="G429" s="819" t="s">
        <v>4535</v>
      </c>
      <c r="H429" s="820">
        <f>F429*1*2.1</f>
        <v>8.4</v>
      </c>
      <c r="I429" s="1067"/>
      <c r="K429" s="1126"/>
      <c r="L429" s="1127"/>
      <c r="M429" s="1128"/>
      <c r="N429" s="1129"/>
      <c r="O429" s="1129"/>
      <c r="P429" s="1130"/>
      <c r="Q429" s="1131"/>
      <c r="R429" s="1131"/>
      <c r="S429" s="744" t="s">
        <v>4521</v>
      </c>
      <c r="T429" s="794">
        <f>16*1*1</f>
        <v>16</v>
      </c>
      <c r="V429" s="744" t="s">
        <v>5149</v>
      </c>
      <c r="W429" s="1467">
        <f>1*2.1*16+0.42*2*16*1.62</f>
        <v>55.372799999999998</v>
      </c>
      <c r="Y429" s="1411"/>
      <c r="Z429" s="1411"/>
    </row>
    <row r="430" spans="1:28" ht="120.75">
      <c r="E430" s="1466" t="s">
        <v>5140</v>
      </c>
      <c r="F430" s="794">
        <v>16</v>
      </c>
      <c r="G430" s="819" t="s">
        <v>5141</v>
      </c>
      <c r="H430" s="820">
        <f>F430*0.8*1.8</f>
        <v>23.040000000000003</v>
      </c>
      <c r="I430" s="793"/>
      <c r="S430" s="744" t="s">
        <v>5150</v>
      </c>
      <c r="T430" s="728">
        <f>16*1*0.6</f>
        <v>9.6</v>
      </c>
      <c r="V430" s="744" t="s">
        <v>5148</v>
      </c>
      <c r="W430" s="794">
        <f>1*2.1*8+1*2.1*8</f>
        <v>33.6</v>
      </c>
      <c r="Y430" s="1411"/>
      <c r="Z430" s="1411"/>
    </row>
    <row r="431" spans="1:28" ht="90.75">
      <c r="E431" s="794" t="s">
        <v>5142</v>
      </c>
      <c r="F431" s="794">
        <v>1</v>
      </c>
      <c r="G431" s="836" t="s">
        <v>5143</v>
      </c>
      <c r="H431" s="820">
        <f>1*0.9*2.1</f>
        <v>1.8900000000000001</v>
      </c>
      <c r="I431" s="793"/>
      <c r="R431" s="730"/>
      <c r="S431" s="1472" t="s">
        <v>5155</v>
      </c>
      <c r="T431" s="728">
        <f>0.6*0.8</f>
        <v>0.48</v>
      </c>
      <c r="V431" s="1468" t="s">
        <v>5220</v>
      </c>
      <c r="W431" s="822">
        <f>2*2.1</f>
        <v>4.2</v>
      </c>
      <c r="Y431" s="1411"/>
      <c r="Z431" s="1411"/>
    </row>
    <row r="432" spans="1:28" ht="90.75">
      <c r="E432" s="794" t="s">
        <v>5145</v>
      </c>
      <c r="F432" s="794">
        <v>1</v>
      </c>
      <c r="G432" s="836" t="s">
        <v>5144</v>
      </c>
      <c r="H432" s="820">
        <f>0.9*2.1*F432</f>
        <v>1.8900000000000001</v>
      </c>
      <c r="I432" s="793"/>
      <c r="L432" s="1044" t="s">
        <v>4763</v>
      </c>
      <c r="M432" s="1045"/>
      <c r="R432" s="1115"/>
      <c r="S432" s="1472" t="s">
        <v>5154</v>
      </c>
      <c r="T432" s="728">
        <f>0.6*0.8</f>
        <v>0.48</v>
      </c>
      <c r="V432" s="1468" t="s">
        <v>5152</v>
      </c>
      <c r="W432" s="822">
        <f>2.75*2.1*2</f>
        <v>11.55</v>
      </c>
      <c r="Y432" s="1411"/>
      <c r="Z432" s="1411"/>
    </row>
    <row r="433" spans="1:26" ht="30">
      <c r="E433" s="794" t="s">
        <v>5146</v>
      </c>
      <c r="F433" s="794">
        <v>1</v>
      </c>
      <c r="G433" s="836" t="s">
        <v>4537</v>
      </c>
      <c r="H433" s="820">
        <f>0.8*2.1*F433</f>
        <v>1.6800000000000002</v>
      </c>
      <c r="I433" s="793"/>
      <c r="L433" s="1068">
        <v>2.7</v>
      </c>
      <c r="M433" s="953" t="s">
        <v>1333</v>
      </c>
      <c r="R433" s="1114"/>
      <c r="S433" s="1472" t="s">
        <v>5156</v>
      </c>
      <c r="T433" s="728">
        <f>1.2*1</f>
        <v>1.2</v>
      </c>
      <c r="V433" s="1466"/>
      <c r="W433" s="820"/>
      <c r="Y433" s="1411"/>
      <c r="Z433" s="1411"/>
    </row>
    <row r="434" spans="1:26" ht="42.75" customHeight="1">
      <c r="A434" s="1869" t="s">
        <v>4764</v>
      </c>
      <c r="B434" s="1870"/>
      <c r="C434" s="1870"/>
      <c r="E434" s="838" t="s">
        <v>5147</v>
      </c>
      <c r="F434" s="838">
        <v>1</v>
      </c>
      <c r="G434" s="836" t="s">
        <v>5144</v>
      </c>
      <c r="H434" s="820">
        <f>0.9*2.1*F434</f>
        <v>1.8900000000000001</v>
      </c>
      <c r="I434" s="755"/>
      <c r="R434" s="1434"/>
      <c r="S434" s="1096" t="s">
        <v>5219</v>
      </c>
      <c r="T434" s="728">
        <f>2*0.6*8</f>
        <v>9.6</v>
      </c>
      <c r="V434" s="1471"/>
      <c r="Y434" s="1411"/>
      <c r="Z434" s="1411"/>
    </row>
    <row r="435" spans="1:26" ht="15.75">
      <c r="A435" s="739" t="s">
        <v>4524</v>
      </c>
      <c r="B435" s="739" t="s">
        <v>4626</v>
      </c>
      <c r="C435" s="739" t="s">
        <v>4525</v>
      </c>
      <c r="E435" s="838"/>
      <c r="F435" s="838"/>
      <c r="G435" s="836"/>
      <c r="H435" s="820">
        <f>F435*0.8*2.1</f>
        <v>0</v>
      </c>
      <c r="I435" s="793"/>
      <c r="R435" s="1116"/>
      <c r="S435" s="1117"/>
      <c r="Y435" s="1411"/>
      <c r="Z435" s="1411"/>
    </row>
    <row r="436" spans="1:26" ht="15.75">
      <c r="A436" s="1853" t="s">
        <v>4528</v>
      </c>
      <c r="B436" s="791"/>
      <c r="C436" s="987"/>
      <c r="E436" s="839" t="s">
        <v>518</v>
      </c>
      <c r="F436" s="840"/>
      <c r="G436" s="841"/>
      <c r="H436" s="842"/>
      <c r="I436" s="1073"/>
      <c r="L436" s="1044" t="s">
        <v>4736</v>
      </c>
      <c r="M436" s="1044"/>
      <c r="O436" s="1044" t="s">
        <v>4669</v>
      </c>
      <c r="P436" s="1044"/>
      <c r="R436" s="730"/>
      <c r="S436" s="730"/>
      <c r="Y436" s="1411"/>
      <c r="Z436" s="1411"/>
    </row>
    <row r="437" spans="1:26" ht="15.75">
      <c r="A437" s="1854"/>
      <c r="B437" s="791"/>
      <c r="C437" s="987"/>
      <c r="E437" s="1069" t="s">
        <v>518</v>
      </c>
      <c r="F437" s="1070"/>
      <c r="G437" s="1071"/>
      <c r="H437" s="842">
        <f>SUM(H428:H436)</f>
        <v>47.190000000000005</v>
      </c>
      <c r="L437" s="1074" t="s">
        <v>1752</v>
      </c>
      <c r="M437" s="1075">
        <v>29</v>
      </c>
      <c r="O437" s="994" t="s">
        <v>1333</v>
      </c>
      <c r="P437" s="1076">
        <f>2.75+2.25+2.7</f>
        <v>7.7</v>
      </c>
      <c r="Y437" s="1411"/>
      <c r="Z437" s="1411"/>
    </row>
    <row r="438" spans="1:26">
      <c r="A438" s="1077" t="s">
        <v>518</v>
      </c>
      <c r="B438" s="1077"/>
      <c r="C438" s="991">
        <f>SUM(C436:C437)</f>
        <v>0</v>
      </c>
      <c r="O438" s="913"/>
      <c r="Y438" s="1411"/>
      <c r="Z438" s="1411"/>
    </row>
    <row r="439" spans="1:26" ht="15.75">
      <c r="L439" s="1078"/>
      <c r="M439" s="1078"/>
    </row>
    <row r="440" spans="1:26" ht="15.75" customHeight="1">
      <c r="F440" s="913"/>
      <c r="L440" s="1079"/>
      <c r="M440" s="1079"/>
      <c r="N440" s="1079"/>
      <c r="O440" s="1079"/>
      <c r="P440" s="1079"/>
      <c r="Q440" s="1079"/>
      <c r="R440" s="1079"/>
      <c r="S440" s="1079"/>
    </row>
    <row r="441" spans="1:26" ht="15" customHeight="1">
      <c r="F441" s="913"/>
      <c r="L441" s="1079"/>
      <c r="M441" s="1079"/>
      <c r="N441" s="1079"/>
      <c r="O441" s="1079"/>
      <c r="P441" s="1079"/>
      <c r="Q441" s="1079"/>
      <c r="R441" s="1079"/>
      <c r="S441" s="1079"/>
    </row>
    <row r="442" spans="1:26" ht="15.75">
      <c r="A442" s="785"/>
      <c r="B442" s="785"/>
      <c r="C442" s="785"/>
      <c r="D442" s="785"/>
      <c r="E442" s="785"/>
      <c r="F442" s="785"/>
      <c r="G442" s="785"/>
      <c r="H442" s="955" t="s">
        <v>4765</v>
      </c>
      <c r="I442" s="955"/>
      <c r="J442" s="956"/>
      <c r="L442" s="957"/>
      <c r="M442" s="1079"/>
      <c r="N442" s="1079"/>
      <c r="O442" s="1079"/>
      <c r="P442" s="1079"/>
      <c r="Q442" s="1079"/>
      <c r="R442" s="1079"/>
      <c r="S442" s="1079"/>
    </row>
    <row r="443" spans="1:26" ht="15.75">
      <c r="A443" s="1080"/>
      <c r="B443" s="1080"/>
      <c r="C443" s="1080"/>
      <c r="D443" s="1085"/>
      <c r="E443" s="1085"/>
      <c r="F443" s="1085"/>
      <c r="G443" s="1085"/>
      <c r="H443" s="958" t="s">
        <v>4645</v>
      </c>
      <c r="I443" s="958" t="s">
        <v>4646</v>
      </c>
      <c r="J443" s="959" t="s">
        <v>4647</v>
      </c>
      <c r="K443" s="958" t="s">
        <v>4648</v>
      </c>
      <c r="L443" s="958" t="s">
        <v>4649</v>
      </c>
      <c r="M443" s="985" t="s">
        <v>4274</v>
      </c>
      <c r="N443" s="1079"/>
      <c r="O443" s="1079"/>
      <c r="P443" s="1079"/>
      <c r="Q443" s="1079"/>
      <c r="R443" s="1079"/>
      <c r="S443" s="1079"/>
      <c r="Y443" s="1408"/>
      <c r="Z443" s="1408"/>
    </row>
    <row r="444" spans="1:26" ht="15.75">
      <c r="A444" s="786"/>
      <c r="B444" s="786"/>
      <c r="C444" s="921"/>
      <c r="D444" s="921"/>
      <c r="E444" s="822"/>
      <c r="F444" s="822"/>
      <c r="G444" s="822"/>
      <c r="H444" s="958">
        <f>85*0.4+7.6*2*0.4</f>
        <v>40.08</v>
      </c>
      <c r="I444" s="958">
        <f>85*0.4+65.4*0.4*2+7.6*2*0.4+1.5*0.4*2*5+1.5*0.15*5</f>
        <v>99.525000000000006</v>
      </c>
      <c r="J444" s="958">
        <f>H444+I444</f>
        <v>139.60500000000002</v>
      </c>
      <c r="K444" s="958">
        <f>I444</f>
        <v>99.525000000000006</v>
      </c>
      <c r="L444" s="958">
        <f>H444</f>
        <v>40.08</v>
      </c>
      <c r="M444" s="841">
        <f>2.77*4+3.6*2+64+2*8+1.85*32+1.5*6+1.2*2+0.9*4+0.8*4+1.45*2+0.8+2.95*4+3.9*2+2.4*4*2+1.2*8+1.5*4</f>
        <v>233.78000000000003</v>
      </c>
      <c r="Y444" s="1408"/>
      <c r="Z444" s="1408"/>
    </row>
    <row r="445" spans="1:26" ht="15.75">
      <c r="A445" s="786"/>
      <c r="B445" s="786"/>
      <c r="C445" s="921"/>
      <c r="D445" s="921"/>
      <c r="E445" s="822"/>
      <c r="F445" s="822"/>
      <c r="G445" s="822"/>
      <c r="H445" s="964"/>
      <c r="I445" s="964"/>
      <c r="J445" s="964"/>
      <c r="K445" s="964"/>
      <c r="L445" s="964"/>
      <c r="M445" s="1087">
        <f t="shared" ref="M445" si="62">M444</f>
        <v>233.78000000000003</v>
      </c>
      <c r="Y445" s="1408"/>
      <c r="Z445" s="1408"/>
    </row>
    <row r="446" spans="1:26" ht="15.75">
      <c r="A446" s="786"/>
      <c r="B446" s="786"/>
      <c r="C446" s="921"/>
      <c r="D446" s="921"/>
      <c r="E446" s="822"/>
      <c r="F446" s="822"/>
      <c r="G446" s="730"/>
      <c r="H446" s="955" t="s">
        <v>4766</v>
      </c>
      <c r="I446" s="955"/>
      <c r="J446" s="956"/>
      <c r="O446" s="1044" t="s">
        <v>4767</v>
      </c>
      <c r="P446" s="1045"/>
      <c r="Q446" s="837"/>
      <c r="R446" s="837"/>
      <c r="Y446" s="1408"/>
      <c r="Z446" s="1408"/>
    </row>
    <row r="447" spans="1:26" ht="30">
      <c r="A447" s="1435"/>
      <c r="B447" s="1435"/>
      <c r="C447" s="831"/>
      <c r="D447" s="831"/>
      <c r="E447" s="833"/>
      <c r="F447" s="833"/>
      <c r="G447" s="833"/>
      <c r="H447" s="960" t="s">
        <v>4652</v>
      </c>
      <c r="I447" s="960" t="s">
        <v>4653</v>
      </c>
      <c r="J447" s="970" t="s">
        <v>4647</v>
      </c>
      <c r="K447" s="960" t="s">
        <v>4654</v>
      </c>
      <c r="L447" s="960" t="s">
        <v>4655</v>
      </c>
      <c r="M447" s="985" t="s">
        <v>4274</v>
      </c>
      <c r="O447" s="795" t="s">
        <v>1171</v>
      </c>
      <c r="P447" s="940">
        <f>2.85*2</f>
        <v>5.7</v>
      </c>
      <c r="Y447" s="1408"/>
      <c r="Z447" s="1408"/>
    </row>
    <row r="448" spans="1:26">
      <c r="F448" s="913"/>
      <c r="G448" s="1464"/>
      <c r="H448" s="984">
        <f>635.28*0.35+50.2*0.4</f>
        <v>242.428</v>
      </c>
      <c r="I448" s="987">
        <f>175.2*0.6</f>
        <v>105.11999999999999</v>
      </c>
      <c r="J448" s="987">
        <f>H448+I448</f>
        <v>347.548</v>
      </c>
      <c r="K448" s="987">
        <f>I448</f>
        <v>105.11999999999999</v>
      </c>
      <c r="L448" s="987">
        <f>H448</f>
        <v>242.428</v>
      </c>
      <c r="M448" s="841">
        <f>4+3.2*5.25+6.85*2+6.8*2+6.7*4+3.18*4</f>
        <v>87.62</v>
      </c>
      <c r="O448" s="728" t="s">
        <v>211</v>
      </c>
      <c r="P448" s="728">
        <f>P447*10.76</f>
        <v>61.332000000000001</v>
      </c>
      <c r="Y448" s="1408"/>
      <c r="Z448" s="1408"/>
    </row>
    <row r="449" spans="1:26">
      <c r="F449" s="913"/>
      <c r="G449" s="730"/>
      <c r="H449" s="989">
        <f t="shared" ref="H449:M449" si="63">H448</f>
        <v>242.428</v>
      </c>
      <c r="I449" s="990">
        <f t="shared" si="63"/>
        <v>105.11999999999999</v>
      </c>
      <c r="J449" s="989">
        <f t="shared" si="63"/>
        <v>347.548</v>
      </c>
      <c r="K449" s="991">
        <f t="shared" si="63"/>
        <v>105.11999999999999</v>
      </c>
      <c r="L449" s="991">
        <f t="shared" si="63"/>
        <v>242.428</v>
      </c>
      <c r="M449" s="1087">
        <f t="shared" si="63"/>
        <v>87.62</v>
      </c>
      <c r="Y449" s="1408"/>
      <c r="Z449" s="1408"/>
    </row>
    <row r="450" spans="1:26" ht="15.75" customHeight="1">
      <c r="A450" s="1859" t="s">
        <v>4746</v>
      </c>
      <c r="B450" s="1859"/>
      <c r="C450" s="1859"/>
      <c r="E450" s="1860" t="s">
        <v>4768</v>
      </c>
      <c r="F450" s="1861"/>
      <c r="H450" s="956"/>
      <c r="I450" s="956"/>
      <c r="J450" s="956"/>
      <c r="Y450" s="1408"/>
      <c r="Z450" s="1408"/>
    </row>
    <row r="451" spans="1:26" ht="15.75">
      <c r="A451" s="739" t="s">
        <v>4524</v>
      </c>
      <c r="B451" s="739" t="s">
        <v>4626</v>
      </c>
      <c r="C451" s="739" t="s">
        <v>4525</v>
      </c>
      <c r="E451" s="740" t="s">
        <v>4492</v>
      </c>
      <c r="F451" s="740" t="s">
        <v>4516</v>
      </c>
      <c r="H451" s="955" t="s">
        <v>4769</v>
      </c>
      <c r="I451" s="955"/>
      <c r="J451" s="956"/>
      <c r="Y451" s="1408"/>
      <c r="Z451" s="1408"/>
    </row>
    <row r="452" spans="1:26" ht="30.75">
      <c r="A452" s="1871" t="s">
        <v>4770</v>
      </c>
      <c r="B452" s="791" t="s">
        <v>4749</v>
      </c>
      <c r="C452" s="907">
        <f>2.9*16*2+85.4+0.9*24*1.05</f>
        <v>200.88</v>
      </c>
      <c r="E452" s="744" t="s">
        <v>4521</v>
      </c>
      <c r="F452" s="815"/>
      <c r="H452" s="960" t="s">
        <v>4660</v>
      </c>
      <c r="I452" s="978" t="s">
        <v>515</v>
      </c>
      <c r="J452" s="979" t="s">
        <v>4661</v>
      </c>
      <c r="K452" s="960" t="s">
        <v>4652</v>
      </c>
      <c r="L452" s="960" t="s">
        <v>4653</v>
      </c>
      <c r="M452" s="980" t="s">
        <v>4612</v>
      </c>
      <c r="N452" s="960" t="s">
        <v>4654</v>
      </c>
      <c r="O452" s="960" t="s">
        <v>4655</v>
      </c>
      <c r="Y452" s="1408"/>
      <c r="Z452" s="1408"/>
    </row>
    <row r="453" spans="1:26" ht="15.75">
      <c r="A453" s="1871"/>
      <c r="B453" s="1094" t="s">
        <v>4750</v>
      </c>
      <c r="C453" s="1029">
        <f>3.05*28</f>
        <v>85.399999999999991</v>
      </c>
      <c r="E453" s="755" t="s">
        <v>4522</v>
      </c>
      <c r="F453" s="755"/>
      <c r="H453" s="984"/>
      <c r="I453" s="774"/>
      <c r="J453" s="774">
        <f>24*2.1+4*3.32+2*3.32+4*1.2+2*3.47+6*3.32+4*3.32</f>
        <v>115.26</v>
      </c>
      <c r="K453" s="743">
        <f>20.5*3.05+0.2*1.92*16</f>
        <v>68.668999999999997</v>
      </c>
      <c r="L453" s="926">
        <f>4.2*3.05+3.3*0.4*4*2</f>
        <v>23.37</v>
      </c>
      <c r="M453" s="743">
        <f>K453+L453</f>
        <v>92.039000000000001</v>
      </c>
      <c r="N453" s="789">
        <f>L453</f>
        <v>23.37</v>
      </c>
      <c r="O453" s="743">
        <f>K453</f>
        <v>68.668999999999997</v>
      </c>
      <c r="Y453" s="1408"/>
      <c r="Z453" s="1408"/>
    </row>
    <row r="454" spans="1:26" ht="15.75">
      <c r="A454" s="1871"/>
      <c r="B454" s="791"/>
      <c r="C454" s="1095"/>
      <c r="E454" s="1132" t="s">
        <v>4751</v>
      </c>
      <c r="F454" s="1133">
        <v>7.18</v>
      </c>
      <c r="H454" s="989"/>
      <c r="I454" s="1097"/>
      <c r="J454" s="1090">
        <f t="shared" ref="J454:O454" si="64">J453</f>
        <v>115.26</v>
      </c>
      <c r="K454" s="990">
        <f t="shared" si="64"/>
        <v>68.668999999999997</v>
      </c>
      <c r="L454" s="1042">
        <f t="shared" si="64"/>
        <v>23.37</v>
      </c>
      <c r="M454" s="1042">
        <f t="shared" si="64"/>
        <v>92.039000000000001</v>
      </c>
      <c r="N454" s="1042">
        <f t="shared" si="64"/>
        <v>23.37</v>
      </c>
      <c r="O454" s="990">
        <f t="shared" si="64"/>
        <v>68.668999999999997</v>
      </c>
      <c r="Y454" s="1408"/>
      <c r="Z454" s="1408"/>
    </row>
    <row r="455" spans="1:26" ht="15.75">
      <c r="A455" s="1077" t="s">
        <v>518</v>
      </c>
      <c r="B455" s="1077"/>
      <c r="C455" s="991"/>
      <c r="E455" s="1099"/>
      <c r="F455" s="1100"/>
      <c r="H455" s="968"/>
      <c r="I455" s="968"/>
      <c r="J455" s="968"/>
      <c r="K455" s="913"/>
      <c r="L455" s="831"/>
      <c r="M455" s="730"/>
      <c r="N455" s="730"/>
      <c r="Y455" s="1408"/>
      <c r="Z455" s="1408"/>
    </row>
    <row r="456" spans="1:26">
      <c r="E456" s="1101" t="s">
        <v>4771</v>
      </c>
      <c r="F456" s="1102"/>
      <c r="K456" s="913"/>
      <c r="L456" s="913"/>
      <c r="M456" s="730"/>
      <c r="N456" s="730"/>
      <c r="O456" s="730"/>
      <c r="P456" s="730"/>
      <c r="Y456" s="1408"/>
      <c r="Z456" s="1408"/>
    </row>
    <row r="457" spans="1:26">
      <c r="E457" s="1103" t="s">
        <v>4670</v>
      </c>
      <c r="F457" s="1104">
        <f>M364+M390+M413+L444+K448+N453+N459+K474</f>
        <v>696.49810000000002</v>
      </c>
      <c r="H457" s="1105" t="s">
        <v>4772</v>
      </c>
      <c r="I457" s="1105"/>
      <c r="J457" s="968"/>
      <c r="K457" s="913"/>
      <c r="L457" s="913"/>
      <c r="P457" s="730"/>
      <c r="Y457" s="1408"/>
      <c r="Z457" s="1408"/>
    </row>
    <row r="458" spans="1:26" ht="30">
      <c r="A458" s="1044" t="s">
        <v>4668</v>
      </c>
      <c r="B458" s="1044"/>
      <c r="E458" s="1103" t="s">
        <v>4671</v>
      </c>
      <c r="F458" s="1104">
        <f>N364++N390+N413+K444+L448+O453+O459</f>
        <v>2660.8072999999999</v>
      </c>
      <c r="H458" s="960" t="s">
        <v>4660</v>
      </c>
      <c r="I458" s="978" t="s">
        <v>515</v>
      </c>
      <c r="J458" s="979" t="s">
        <v>4661</v>
      </c>
      <c r="K458" s="983" t="s">
        <v>4664</v>
      </c>
      <c r="L458" s="983" t="s">
        <v>4665</v>
      </c>
      <c r="M458" s="970" t="s">
        <v>4647</v>
      </c>
      <c r="N458" s="960" t="s">
        <v>4654</v>
      </c>
      <c r="O458" s="960" t="s">
        <v>4655</v>
      </c>
      <c r="P458" s="730"/>
      <c r="Y458" s="1408"/>
      <c r="Z458" s="1408"/>
    </row>
    <row r="459" spans="1:26" ht="15.75">
      <c r="A459" s="1044"/>
      <c r="B459" s="1044"/>
      <c r="E459" s="755" t="s">
        <v>4674</v>
      </c>
      <c r="F459" s="1106">
        <f>B427</f>
        <v>496.85</v>
      </c>
      <c r="H459" s="984"/>
      <c r="I459" s="774"/>
      <c r="J459" s="774">
        <f>8*3.47</f>
        <v>27.76</v>
      </c>
      <c r="K459" s="789">
        <f>4.05*8*3.05</f>
        <v>98.82</v>
      </c>
      <c r="L459" s="789">
        <f>5.61*2*3.05</f>
        <v>34.220999999999997</v>
      </c>
      <c r="M459" s="984">
        <f>K459+L459</f>
        <v>133.041</v>
      </c>
      <c r="N459" s="789">
        <f>K459</f>
        <v>98.82</v>
      </c>
      <c r="O459" s="743">
        <f>L459</f>
        <v>34.220999999999997</v>
      </c>
      <c r="P459" s="730"/>
      <c r="Y459" s="1408"/>
      <c r="Z459" s="1408"/>
    </row>
    <row r="460" spans="1:26" ht="15.75">
      <c r="A460" s="755" t="s">
        <v>1752</v>
      </c>
      <c r="B460" s="981">
        <v>57</v>
      </c>
      <c r="E460" s="833" t="s">
        <v>5222</v>
      </c>
      <c r="F460" s="833">
        <f>(T429+T430+T431+T432+T433+T434+W429+W430+W431+W432+F454)*2</f>
        <v>298.5256</v>
      </c>
      <c r="H460" s="989"/>
      <c r="I460" s="1097"/>
      <c r="J460" s="1090">
        <f t="shared" ref="J460:O460" si="65">J459</f>
        <v>27.76</v>
      </c>
      <c r="K460" s="1042">
        <f t="shared" si="65"/>
        <v>98.82</v>
      </c>
      <c r="L460" s="1042">
        <f t="shared" si="65"/>
        <v>34.220999999999997</v>
      </c>
      <c r="M460" s="989">
        <f t="shared" si="65"/>
        <v>133.041</v>
      </c>
      <c r="N460" s="1042">
        <f t="shared" si="65"/>
        <v>98.82</v>
      </c>
      <c r="O460" s="990">
        <f t="shared" si="65"/>
        <v>34.220999999999997</v>
      </c>
      <c r="P460" s="730"/>
      <c r="Y460" s="1408"/>
      <c r="Z460" s="1408"/>
    </row>
    <row r="461" spans="1:26" ht="15.75">
      <c r="H461" s="968"/>
      <c r="I461" s="913"/>
      <c r="J461" s="831"/>
      <c r="K461" s="1108"/>
      <c r="L461" s="1108"/>
      <c r="M461" s="968"/>
      <c r="N461" s="1108"/>
      <c r="O461" s="1109"/>
      <c r="Y461" s="1408"/>
      <c r="Z461" s="1408"/>
    </row>
    <row r="462" spans="1:26" ht="15.75">
      <c r="H462" s="956"/>
      <c r="I462" s="956"/>
      <c r="J462" s="956"/>
      <c r="K462" s="831"/>
      <c r="L462" s="831"/>
      <c r="M462" s="1110"/>
      <c r="N462" s="1110"/>
      <c r="Y462" s="1408"/>
      <c r="Z462" s="1408"/>
    </row>
    <row r="463" spans="1:26" ht="15.75">
      <c r="H463" s="956"/>
      <c r="I463" s="956"/>
      <c r="J463" s="956"/>
      <c r="K463" s="831"/>
      <c r="L463" s="831"/>
      <c r="M463" s="1110"/>
      <c r="N463" s="1110"/>
      <c r="Y463" s="1408"/>
      <c r="Z463" s="1408"/>
    </row>
    <row r="464" spans="1:26" ht="15.75" customHeight="1">
      <c r="E464" s="1823" t="s">
        <v>5408</v>
      </c>
      <c r="F464" s="1824"/>
      <c r="G464" s="1824"/>
      <c r="H464" s="1824"/>
      <c r="I464" s="1824"/>
      <c r="J464" s="1824"/>
      <c r="K464" s="1824"/>
      <c r="L464" s="1824"/>
      <c r="M464" s="1824"/>
      <c r="N464" s="1824"/>
      <c r="O464" s="1824"/>
      <c r="P464" s="1824"/>
      <c r="Q464" s="769"/>
      <c r="Y464" s="1408"/>
      <c r="Z464" s="1408"/>
    </row>
    <row r="465" spans="1:26" ht="47.25">
      <c r="E465" s="1605" t="s">
        <v>5372</v>
      </c>
      <c r="F465" s="1606" t="s">
        <v>515</v>
      </c>
      <c r="G465" s="1605" t="s">
        <v>5382</v>
      </c>
      <c r="H465" s="1607" t="s">
        <v>5373</v>
      </c>
      <c r="I465" s="1607" t="s">
        <v>5383</v>
      </c>
      <c r="J465" s="1607" t="s">
        <v>5384</v>
      </c>
      <c r="K465" s="1608" t="s">
        <v>5374</v>
      </c>
      <c r="L465" s="1607" t="s">
        <v>5375</v>
      </c>
      <c r="M465" s="1609" t="s">
        <v>5376</v>
      </c>
      <c r="N465" s="1609" t="s">
        <v>5385</v>
      </c>
      <c r="O465" s="1609" t="s">
        <v>5377</v>
      </c>
      <c r="P465" s="1609" t="s">
        <v>5378</v>
      </c>
      <c r="Q465" s="1609" t="s">
        <v>5379</v>
      </c>
      <c r="Y465" s="1408"/>
      <c r="Z465" s="1408"/>
    </row>
    <row r="466" spans="1:26" ht="15.75">
      <c r="E466" s="1610" t="s">
        <v>5380</v>
      </c>
      <c r="F466" s="1610">
        <v>8</v>
      </c>
      <c r="G466" s="1611">
        <f>1.37*0.5*2*F466</f>
        <v>10.96</v>
      </c>
      <c r="H466" s="1612">
        <f>1.75*0.5</f>
        <v>0.875</v>
      </c>
      <c r="I466" s="1612">
        <f>G466*2+0.15*1.37*2*F466</f>
        <v>25.208000000000002</v>
      </c>
      <c r="J466" s="1612">
        <f>1.75*0.5*4*F466</f>
        <v>28</v>
      </c>
      <c r="K466" s="1613">
        <f>1.75*4*F466+1.37*2*F466+1.37*2*F466</f>
        <v>99.84</v>
      </c>
      <c r="L466" s="1616">
        <f>I466+J466</f>
        <v>53.207999999999998</v>
      </c>
      <c r="M466" s="1614">
        <f>1.75*2*8</f>
        <v>28</v>
      </c>
      <c r="N466" s="1616">
        <f>J466</f>
        <v>28</v>
      </c>
      <c r="O466" s="1614">
        <f>H466*8*2</f>
        <v>14</v>
      </c>
      <c r="P466" s="1614">
        <f>1.75*F466*2</f>
        <v>28</v>
      </c>
      <c r="Q466" s="1615">
        <f>O466</f>
        <v>14</v>
      </c>
      <c r="Y466" s="1408"/>
      <c r="Z466" s="1408"/>
    </row>
    <row r="467" spans="1:26" ht="15.75">
      <c r="E467" s="1610" t="s">
        <v>5381</v>
      </c>
      <c r="F467" s="1610">
        <v>4</v>
      </c>
      <c r="G467" s="1611">
        <f>1.37*0.5*2*F467</f>
        <v>5.48</v>
      </c>
      <c r="H467" s="1612">
        <f>6.2*0.5</f>
        <v>3.1</v>
      </c>
      <c r="I467" s="1612">
        <f>G467*2+0.15*1.37*2*F467</f>
        <v>12.604000000000001</v>
      </c>
      <c r="J467" s="1612">
        <f>6.2*0.5*4*F467</f>
        <v>49.6</v>
      </c>
      <c r="K467" s="1613">
        <f>6.2*4*F467+1.37*4*F467</f>
        <v>121.12</v>
      </c>
      <c r="L467" s="1616">
        <f>J467+I467</f>
        <v>62.204000000000001</v>
      </c>
      <c r="M467" s="1616">
        <f>6.2*2*4</f>
        <v>49.6</v>
      </c>
      <c r="N467" s="1616">
        <f>J467</f>
        <v>49.6</v>
      </c>
      <c r="O467" s="1616">
        <f>H467*4*2</f>
        <v>24.8</v>
      </c>
      <c r="P467" s="1616">
        <f>6.2*4*2</f>
        <v>49.6</v>
      </c>
      <c r="Q467" s="1620">
        <f>O467</f>
        <v>24.8</v>
      </c>
      <c r="Y467" s="1408"/>
      <c r="Z467" s="1408"/>
    </row>
    <row r="468" spans="1:26" ht="15.75">
      <c r="E468" s="1610"/>
      <c r="F468" s="1610"/>
      <c r="G468" s="1611"/>
      <c r="H468" s="1612"/>
      <c r="I468" s="1612"/>
      <c r="J468" s="1612"/>
      <c r="K468" s="1617"/>
      <c r="L468" s="1614"/>
      <c r="M468" s="1616"/>
      <c r="N468" s="1616"/>
      <c r="O468" s="1614"/>
      <c r="P468" s="1616"/>
      <c r="Q468" s="1615"/>
      <c r="Y468" s="1408"/>
      <c r="Z468" s="1408"/>
    </row>
    <row r="469" spans="1:26" ht="15.75">
      <c r="E469" s="1825" t="s">
        <v>4745</v>
      </c>
      <c r="F469" s="1826"/>
      <c r="G469" s="1618">
        <f t="shared" ref="G469:Q469" si="66">SUM(G466:G468)</f>
        <v>16.440000000000001</v>
      </c>
      <c r="H469" s="1618">
        <f t="shared" si="66"/>
        <v>3.9750000000000001</v>
      </c>
      <c r="I469" s="1618">
        <f t="shared" si="66"/>
        <v>37.812000000000005</v>
      </c>
      <c r="J469" s="1618">
        <f>SUM(J466:J468)+50.2*0.4</f>
        <v>97.679999999999993</v>
      </c>
      <c r="K469" s="1618">
        <f t="shared" si="66"/>
        <v>220.96</v>
      </c>
      <c r="L469" s="1618">
        <f t="shared" si="66"/>
        <v>115.41200000000001</v>
      </c>
      <c r="M469" s="1618">
        <f t="shared" si="66"/>
        <v>77.599999999999994</v>
      </c>
      <c r="N469" s="1618">
        <f>SUM(N466:N468)+50.2*0.4</f>
        <v>97.679999999999993</v>
      </c>
      <c r="O469" s="1618">
        <f t="shared" si="66"/>
        <v>38.799999999999997</v>
      </c>
      <c r="P469" s="1618">
        <f t="shared" si="66"/>
        <v>77.599999999999994</v>
      </c>
      <c r="Q469" s="1618">
        <f t="shared" si="66"/>
        <v>38.799999999999997</v>
      </c>
      <c r="Y469" s="1408"/>
      <c r="Z469" s="1408"/>
    </row>
    <row r="470" spans="1:26" ht="15.75">
      <c r="H470" s="956"/>
      <c r="I470" s="956"/>
      <c r="J470" s="956"/>
      <c r="K470" s="831"/>
      <c r="L470" s="831"/>
      <c r="M470" s="1110"/>
      <c r="N470" s="1110"/>
      <c r="Y470" s="1408"/>
      <c r="Z470" s="1408"/>
    </row>
    <row r="471" spans="1:26" ht="15.75">
      <c r="H471" s="956"/>
      <c r="I471" s="956"/>
      <c r="J471" s="956"/>
      <c r="K471" s="831"/>
      <c r="L471" s="831"/>
      <c r="M471" s="1110"/>
      <c r="N471" s="1110"/>
      <c r="Y471" s="1408"/>
      <c r="Z471" s="1408"/>
    </row>
    <row r="472" spans="1:26" ht="15.75">
      <c r="H472" s="955" t="s">
        <v>4666</v>
      </c>
      <c r="I472" s="955"/>
      <c r="J472" s="956"/>
      <c r="N472" s="1110"/>
      <c r="Y472" s="1408"/>
      <c r="Z472" s="1408"/>
    </row>
    <row r="473" spans="1:26" ht="30">
      <c r="A473" s="1108"/>
      <c r="B473" s="1108"/>
      <c r="C473" s="1108"/>
      <c r="D473" s="1134"/>
      <c r="H473" s="960" t="s">
        <v>4652</v>
      </c>
      <c r="I473" s="960" t="s">
        <v>4653</v>
      </c>
      <c r="J473" s="970" t="s">
        <v>4647</v>
      </c>
      <c r="K473" s="960" t="s">
        <v>4654</v>
      </c>
      <c r="L473" s="960" t="s">
        <v>4655</v>
      </c>
      <c r="M473" s="985" t="s">
        <v>4274</v>
      </c>
      <c r="N473" s="730"/>
      <c r="Y473" s="1408"/>
      <c r="Z473" s="1408"/>
    </row>
    <row r="474" spans="1:26" ht="15.75">
      <c r="A474" s="1108"/>
      <c r="B474" s="1108"/>
      <c r="C474" s="1108"/>
      <c r="D474" s="1134"/>
      <c r="H474" s="984"/>
      <c r="I474" s="986">
        <f>2.4*0.5*2*4+1.2*0.5*2*4+2.4*0.15*4+1.2*0.15*4</f>
        <v>16.559999999999999</v>
      </c>
      <c r="J474" s="987">
        <f>H474+I474</f>
        <v>16.559999999999999</v>
      </c>
      <c r="K474" s="987">
        <f>I474</f>
        <v>16.559999999999999</v>
      </c>
      <c r="L474" s="987">
        <f>H474</f>
        <v>0</v>
      </c>
      <c r="M474" s="1098"/>
      <c r="N474" s="730"/>
      <c r="Y474" s="1408"/>
      <c r="Z474" s="1408"/>
    </row>
    <row r="475" spans="1:26" ht="15.75">
      <c r="A475" s="1108"/>
      <c r="B475" s="1108"/>
      <c r="C475" s="1108"/>
      <c r="D475" s="1134"/>
      <c r="H475" s="989">
        <f t="shared" ref="H475:M475" si="67">H474</f>
        <v>0</v>
      </c>
      <c r="I475" s="990">
        <f t="shared" si="67"/>
        <v>16.559999999999999</v>
      </c>
      <c r="J475" s="989">
        <f t="shared" si="67"/>
        <v>16.559999999999999</v>
      </c>
      <c r="K475" s="991">
        <f t="shared" si="67"/>
        <v>16.559999999999999</v>
      </c>
      <c r="L475" s="991">
        <f t="shared" si="67"/>
        <v>0</v>
      </c>
      <c r="M475" s="1087">
        <f t="shared" si="67"/>
        <v>0</v>
      </c>
      <c r="N475" s="730"/>
      <c r="Y475" s="1408"/>
      <c r="Z475" s="1408"/>
    </row>
    <row r="476" spans="1:26" ht="15.75">
      <c r="A476" s="1108"/>
      <c r="B476" s="1108"/>
      <c r="C476" s="1108"/>
      <c r="D476" s="1134"/>
      <c r="H476" s="968"/>
      <c r="I476" s="968"/>
      <c r="J476" s="968"/>
      <c r="K476" s="913"/>
      <c r="L476" s="831"/>
      <c r="M476" s="730"/>
      <c r="N476" s="730"/>
    </row>
    <row r="477" spans="1:26" ht="15.75">
      <c r="A477" s="1108"/>
      <c r="B477" s="1108"/>
      <c r="C477" s="1108"/>
      <c r="D477" s="1134"/>
      <c r="H477" s="968"/>
      <c r="I477" s="968"/>
      <c r="J477" s="968"/>
      <c r="K477" s="913"/>
      <c r="L477" s="831"/>
      <c r="M477" s="730"/>
      <c r="N477" s="730"/>
    </row>
    <row r="478" spans="1:26" ht="15.75">
      <c r="A478" s="1108"/>
      <c r="B478" s="1108"/>
      <c r="C478" s="1108"/>
      <c r="D478" s="1134"/>
      <c r="H478" s="968"/>
      <c r="I478" s="968"/>
      <c r="J478" s="968"/>
      <c r="K478" s="913"/>
      <c r="L478" s="831"/>
      <c r="M478" s="730"/>
      <c r="N478" s="730"/>
    </row>
    <row r="479" spans="1:26" ht="15.75">
      <c r="A479" s="733"/>
      <c r="B479" s="786"/>
      <c r="C479" s="1135"/>
      <c r="D479" s="733"/>
      <c r="H479" s="968"/>
      <c r="I479" s="968"/>
      <c r="J479" s="968"/>
      <c r="K479" s="913"/>
      <c r="L479" s="831"/>
      <c r="M479" s="730"/>
      <c r="N479" s="730"/>
    </row>
    <row r="480" spans="1:26" ht="15.75">
      <c r="B480" s="786"/>
      <c r="C480" s="797"/>
      <c r="H480" s="968"/>
      <c r="I480" s="968"/>
      <c r="J480" s="968"/>
      <c r="K480" s="913"/>
      <c r="L480" s="831"/>
      <c r="M480" s="730"/>
      <c r="N480" s="730"/>
    </row>
    <row r="481" spans="1:26">
      <c r="A481" s="997"/>
      <c r="B481" s="997"/>
      <c r="C481" s="997"/>
      <c r="D481" s="997"/>
      <c r="E481" s="997"/>
      <c r="F481" s="997"/>
      <c r="G481" s="997"/>
      <c r="H481" s="997"/>
      <c r="I481" s="997"/>
      <c r="J481" s="997"/>
      <c r="K481" s="997"/>
      <c r="L481" s="997"/>
      <c r="M481" s="997"/>
      <c r="N481" s="997"/>
      <c r="O481" s="997"/>
      <c r="P481" s="997"/>
      <c r="Q481" s="997"/>
      <c r="R481" s="997"/>
    </row>
    <row r="482" spans="1:26">
      <c r="A482" s="733"/>
      <c r="B482" s="733"/>
      <c r="C482" s="733"/>
      <c r="D482" s="733"/>
      <c r="E482" s="733"/>
      <c r="F482" s="733"/>
      <c r="G482" s="733"/>
      <c r="H482" s="733"/>
      <c r="I482" s="733"/>
      <c r="J482" s="733"/>
      <c r="K482" s="733"/>
      <c r="L482" s="733"/>
      <c r="M482" s="733"/>
      <c r="N482" s="733"/>
      <c r="O482" s="733"/>
      <c r="P482" s="733"/>
      <c r="Q482" s="733"/>
      <c r="R482" s="733"/>
    </row>
    <row r="483" spans="1:26" ht="20.25">
      <c r="A483" s="733"/>
      <c r="B483" s="733"/>
      <c r="C483" s="733"/>
      <c r="D483" s="733"/>
      <c r="J483" s="733"/>
      <c r="K483" s="733"/>
      <c r="L483" s="733"/>
      <c r="M483" s="733"/>
      <c r="N483" s="733"/>
      <c r="O483" s="733"/>
      <c r="P483" s="733"/>
      <c r="Q483" s="733"/>
      <c r="R483" s="733"/>
      <c r="Y483" s="998" t="s">
        <v>4773</v>
      </c>
      <c r="Z483" s="998"/>
    </row>
    <row r="484" spans="1:26" ht="20.25">
      <c r="B484" s="786"/>
      <c r="C484" s="797"/>
      <c r="E484" s="1872" t="s">
        <v>4774</v>
      </c>
      <c r="F484" s="1872"/>
      <c r="G484" s="1872"/>
      <c r="H484" s="1872"/>
      <c r="I484" s="1872"/>
      <c r="J484" s="968"/>
      <c r="K484" s="913"/>
      <c r="L484" s="831"/>
      <c r="M484" s="730"/>
      <c r="N484" s="730"/>
      <c r="Y484" s="1359" t="s">
        <v>4434</v>
      </c>
      <c r="Z484" s="1355">
        <f>CUANTIAS!H311</f>
        <v>0.3624</v>
      </c>
    </row>
    <row r="485" spans="1:26" ht="15.75">
      <c r="B485" s="786"/>
      <c r="C485" s="797"/>
      <c r="H485" s="968"/>
      <c r="I485" s="968"/>
      <c r="J485" s="968"/>
      <c r="K485" s="913"/>
      <c r="L485" s="831"/>
      <c r="M485" s="730"/>
      <c r="N485" s="730"/>
      <c r="Y485" s="1359" t="s">
        <v>4435</v>
      </c>
      <c r="Z485" s="1355">
        <f>CUANTIAS!H335</f>
        <v>0.48320000000000007</v>
      </c>
    </row>
    <row r="486" spans="1:26" ht="15.75">
      <c r="H486" s="968"/>
      <c r="I486" s="968"/>
      <c r="J486" s="968"/>
      <c r="K486" s="913"/>
      <c r="L486" s="831"/>
      <c r="M486" s="730"/>
      <c r="N486" s="730"/>
      <c r="Y486" s="1359" t="s">
        <v>4436</v>
      </c>
      <c r="Z486" s="1364">
        <f>CUANTIAS!H362</f>
        <v>0.27179999999999999</v>
      </c>
    </row>
    <row r="487" spans="1:26" ht="15.75">
      <c r="A487" s="1827" t="s">
        <v>4775</v>
      </c>
      <c r="B487" s="1828"/>
      <c r="C487" s="1828"/>
      <c r="D487" s="1828"/>
      <c r="E487" s="1828"/>
      <c r="F487" s="1828"/>
      <c r="G487" s="1828"/>
      <c r="H487" s="1828"/>
      <c r="I487" s="1828"/>
      <c r="J487" s="1828"/>
      <c r="K487" s="1828"/>
      <c r="L487" s="1828"/>
      <c r="M487" s="1828"/>
      <c r="N487" s="1828"/>
      <c r="Y487" s="1360" t="s">
        <v>4461</v>
      </c>
      <c r="Z487" s="1361">
        <f>CUANTIAS!H280</f>
        <v>11.913599999999999</v>
      </c>
    </row>
    <row r="488" spans="1:26" ht="31.5">
      <c r="A488" s="814" t="s">
        <v>4469</v>
      </c>
      <c r="B488" s="814" t="s">
        <v>515</v>
      </c>
      <c r="C488" s="814" t="s">
        <v>4544</v>
      </c>
      <c r="D488" s="814" t="s">
        <v>4520</v>
      </c>
      <c r="E488" s="814" t="s">
        <v>4545</v>
      </c>
      <c r="F488" s="814" t="s">
        <v>4546</v>
      </c>
      <c r="G488" s="814" t="s">
        <v>4547</v>
      </c>
      <c r="H488" s="771" t="s">
        <v>4548</v>
      </c>
      <c r="I488" s="771" t="s">
        <v>4549</v>
      </c>
      <c r="J488" s="771" t="s">
        <v>4678</v>
      </c>
      <c r="K488" s="999"/>
      <c r="L488" s="1000" t="s">
        <v>4274</v>
      </c>
      <c r="M488" s="1001" t="s">
        <v>4526</v>
      </c>
      <c r="N488" s="1001" t="s">
        <v>4550</v>
      </c>
    </row>
    <row r="489" spans="1:26" ht="30">
      <c r="A489" s="1002" t="s">
        <v>4584</v>
      </c>
      <c r="B489" s="745">
        <v>4</v>
      </c>
      <c r="C489" s="856">
        <v>6.7</v>
      </c>
      <c r="D489" s="856">
        <v>2.5</v>
      </c>
      <c r="E489" s="746">
        <f>C489*D489*B489</f>
        <v>67</v>
      </c>
      <c r="F489" s="856">
        <v>0</v>
      </c>
      <c r="G489" s="746">
        <f>E489-F489</f>
        <v>67</v>
      </c>
      <c r="H489" s="746">
        <f>G489*2</f>
        <v>134</v>
      </c>
      <c r="I489" s="1829">
        <f>19.65*2.8*2+21.2*3.05-1.2*3.6-0.9*2*2.1-1.5*2.1*2-2.4*4*0.6-1.2*4*0.6+0.3*16*2+0.2*16*0.3</f>
        <v>162.22</v>
      </c>
      <c r="J489" s="1831">
        <f>I489+H504</f>
        <v>671.024</v>
      </c>
      <c r="K489" s="1003"/>
      <c r="L489" s="796"/>
      <c r="M489" s="1833">
        <f>I489</f>
        <v>162.22</v>
      </c>
      <c r="N489" s="1835">
        <f>H504</f>
        <v>508.80400000000003</v>
      </c>
      <c r="O489" s="856">
        <f>1.4*2.4*4+1.5*2.1*2</f>
        <v>19.740000000000002</v>
      </c>
      <c r="Y489" s="1432" t="s">
        <v>4450</v>
      </c>
      <c r="Z489" s="1433">
        <f>16.23*0.15*0.3</f>
        <v>0.73034999999999994</v>
      </c>
    </row>
    <row r="490" spans="1:26" ht="30">
      <c r="A490" s="1002" t="s">
        <v>1333</v>
      </c>
      <c r="B490" s="745">
        <v>4</v>
      </c>
      <c r="C490" s="858">
        <v>3.1</v>
      </c>
      <c r="D490" s="856">
        <v>2.5</v>
      </c>
      <c r="E490" s="746">
        <f t="shared" ref="E490:E501" si="68">C490*D490*B490</f>
        <v>31</v>
      </c>
      <c r="F490" s="856">
        <v>0</v>
      </c>
      <c r="G490" s="746">
        <f t="shared" ref="G490:G502" si="69">E490-F490</f>
        <v>31</v>
      </c>
      <c r="H490" s="746">
        <f t="shared" ref="H490:H502" si="70">G490*2</f>
        <v>62</v>
      </c>
      <c r="I490" s="1830"/>
      <c r="J490" s="1832"/>
      <c r="K490" s="1003"/>
      <c r="L490" s="796"/>
      <c r="M490" s="1834"/>
      <c r="N490" s="1836"/>
      <c r="O490" s="856">
        <f>3.1*0.6*4</f>
        <v>7.4399999999999995</v>
      </c>
      <c r="Y490" s="1370" t="s">
        <v>4449</v>
      </c>
      <c r="Z490" s="1433">
        <f>15.51*0.2*0.3</f>
        <v>0.93060000000000009</v>
      </c>
    </row>
    <row r="491" spans="1:26" ht="30">
      <c r="A491" s="1002" t="s">
        <v>5226</v>
      </c>
      <c r="B491" s="745">
        <v>2</v>
      </c>
      <c r="C491" s="858">
        <v>3</v>
      </c>
      <c r="D491" s="856">
        <v>2.5</v>
      </c>
      <c r="E491" s="746">
        <f t="shared" si="68"/>
        <v>15</v>
      </c>
      <c r="F491" s="753"/>
      <c r="G491" s="746">
        <f t="shared" si="69"/>
        <v>15</v>
      </c>
      <c r="H491" s="746">
        <f t="shared" si="70"/>
        <v>30</v>
      </c>
      <c r="I491" s="1830"/>
      <c r="J491" s="1832"/>
      <c r="K491" s="1003"/>
      <c r="L491" s="796"/>
      <c r="M491" s="1834"/>
      <c r="N491" s="1836"/>
      <c r="O491" s="753"/>
      <c r="Y491" s="775" t="s">
        <v>4450</v>
      </c>
      <c r="Z491" s="765"/>
    </row>
    <row r="492" spans="1:26" ht="15.75">
      <c r="A492" s="1002" t="s">
        <v>4589</v>
      </c>
      <c r="B492" s="745">
        <v>4</v>
      </c>
      <c r="C492" s="858">
        <v>1.42</v>
      </c>
      <c r="D492" s="856">
        <v>1.6</v>
      </c>
      <c r="E492" s="746">
        <f t="shared" si="68"/>
        <v>9.0879999999999992</v>
      </c>
      <c r="F492" s="753"/>
      <c r="G492" s="746">
        <f t="shared" si="69"/>
        <v>9.0879999999999992</v>
      </c>
      <c r="H492" s="746">
        <f t="shared" si="70"/>
        <v>18.175999999999998</v>
      </c>
      <c r="I492" s="1830"/>
      <c r="J492" s="1832"/>
      <c r="K492" s="1003"/>
      <c r="L492" s="796"/>
      <c r="M492" s="1834"/>
      <c r="N492" s="1836"/>
      <c r="O492" s="753"/>
      <c r="Y492" s="1363" t="s">
        <v>4502</v>
      </c>
      <c r="Z492" s="1355">
        <f>23.75*0.2*0.4</f>
        <v>1.9000000000000001</v>
      </c>
    </row>
    <row r="493" spans="1:26" ht="15.75">
      <c r="A493" s="1002" t="s">
        <v>4590</v>
      </c>
      <c r="B493" s="745">
        <v>4</v>
      </c>
      <c r="C493" s="858">
        <v>3.45</v>
      </c>
      <c r="D493" s="856">
        <v>1.6</v>
      </c>
      <c r="E493" s="746">
        <f t="shared" si="68"/>
        <v>22.080000000000002</v>
      </c>
      <c r="F493" s="753"/>
      <c r="G493" s="746">
        <f t="shared" si="69"/>
        <v>22.080000000000002</v>
      </c>
      <c r="H493" s="746">
        <f t="shared" si="70"/>
        <v>44.160000000000004</v>
      </c>
      <c r="I493" s="1830"/>
      <c r="J493" s="1832"/>
      <c r="K493" s="1003"/>
      <c r="L493" s="796"/>
      <c r="M493" s="1834"/>
      <c r="N493" s="1836"/>
      <c r="O493" s="753"/>
      <c r="Y493" s="1363" t="s">
        <v>4504</v>
      </c>
      <c r="Z493" s="1355">
        <f>4.9*0.4*0.15</f>
        <v>0.29400000000000004</v>
      </c>
    </row>
    <row r="494" spans="1:26" ht="15.75">
      <c r="A494" s="1002" t="s">
        <v>4680</v>
      </c>
      <c r="B494" s="745">
        <v>2</v>
      </c>
      <c r="C494" s="858">
        <v>19.8</v>
      </c>
      <c r="D494" s="856">
        <v>1.6</v>
      </c>
      <c r="E494" s="746">
        <f t="shared" si="68"/>
        <v>63.360000000000007</v>
      </c>
      <c r="F494" s="753"/>
      <c r="G494" s="746">
        <f t="shared" si="69"/>
        <v>63.360000000000007</v>
      </c>
      <c r="H494" s="746">
        <f t="shared" si="70"/>
        <v>126.72000000000001</v>
      </c>
      <c r="I494" s="1830"/>
      <c r="J494" s="1832"/>
      <c r="K494" s="1003"/>
      <c r="L494" s="796"/>
      <c r="M494" s="1834"/>
      <c r="N494" s="1836"/>
      <c r="O494" s="753"/>
      <c r="Y494" s="1363" t="s">
        <v>4506</v>
      </c>
      <c r="Z494" s="1355">
        <f>3.6*0.4*0.2</f>
        <v>0.28800000000000003</v>
      </c>
    </row>
    <row r="495" spans="1:26" ht="15.75">
      <c r="A495" s="1002" t="s">
        <v>4681</v>
      </c>
      <c r="B495" s="745">
        <v>2</v>
      </c>
      <c r="C495" s="858">
        <v>20</v>
      </c>
      <c r="D495" s="856">
        <v>1.6</v>
      </c>
      <c r="E495" s="746">
        <f t="shared" si="68"/>
        <v>64</v>
      </c>
      <c r="F495" s="753"/>
      <c r="G495" s="746">
        <f t="shared" si="69"/>
        <v>64</v>
      </c>
      <c r="H495" s="746">
        <f t="shared" si="70"/>
        <v>128</v>
      </c>
      <c r="I495" s="1830"/>
      <c r="J495" s="1832"/>
      <c r="K495" s="1003"/>
      <c r="L495" s="796"/>
      <c r="M495" s="1834"/>
      <c r="N495" s="1836"/>
      <c r="O495" s="753"/>
      <c r="Y495" s="1363" t="s">
        <v>5117</v>
      </c>
      <c r="Z495" s="1355">
        <f>CUANTIAS!D1237</f>
        <v>5.3831999999999995</v>
      </c>
    </row>
    <row r="496" spans="1:26" ht="15.75">
      <c r="A496" s="1002" t="s">
        <v>4682</v>
      </c>
      <c r="B496" s="745">
        <v>2</v>
      </c>
      <c r="C496" s="858">
        <v>4.25</v>
      </c>
      <c r="D496" s="856">
        <v>1.8</v>
      </c>
      <c r="E496" s="746">
        <f t="shared" si="68"/>
        <v>15.3</v>
      </c>
      <c r="F496" s="753"/>
      <c r="G496" s="746">
        <f t="shared" si="69"/>
        <v>15.3</v>
      </c>
      <c r="H496" s="746">
        <f t="shared" si="70"/>
        <v>30.6</v>
      </c>
      <c r="I496" s="1830"/>
      <c r="J496" s="1832"/>
      <c r="K496" s="1003"/>
      <c r="L496" s="796"/>
      <c r="M496" s="1834"/>
      <c r="N496" s="1836"/>
      <c r="O496" s="753"/>
      <c r="Y496" s="1363" t="s">
        <v>5118</v>
      </c>
      <c r="Z496" s="1355">
        <f>CUANTIAS!D1236</f>
        <v>14.6313</v>
      </c>
    </row>
    <row r="497" spans="1:27" ht="15.75">
      <c r="A497" s="1002" t="s">
        <v>4594</v>
      </c>
      <c r="B497" s="745">
        <v>1</v>
      </c>
      <c r="C497" s="858">
        <v>7.33</v>
      </c>
      <c r="D497" s="856">
        <v>2.5</v>
      </c>
      <c r="E497" s="746">
        <f t="shared" si="68"/>
        <v>18.324999999999999</v>
      </c>
      <c r="F497" s="856">
        <v>0</v>
      </c>
      <c r="G497" s="746">
        <f t="shared" si="69"/>
        <v>18.324999999999999</v>
      </c>
      <c r="H497" s="746">
        <f t="shared" si="70"/>
        <v>36.65</v>
      </c>
      <c r="I497" s="1830"/>
      <c r="J497" s="1832"/>
      <c r="K497" s="1003"/>
      <c r="L497" s="796"/>
      <c r="M497" s="1834"/>
      <c r="N497" s="1836"/>
      <c r="O497" s="856">
        <f>3.6*1.2</f>
        <v>4.32</v>
      </c>
      <c r="Y497" s="1363" t="s">
        <v>5407</v>
      </c>
      <c r="Z497" s="1355">
        <f>0.62*2.52*2*8*0.1</f>
        <v>2.4998400000000003</v>
      </c>
      <c r="AA497" s="1628" t="s">
        <v>825</v>
      </c>
    </row>
    <row r="498" spans="1:27" ht="15.75">
      <c r="A498" s="1002" t="s">
        <v>4600</v>
      </c>
      <c r="B498" s="745">
        <v>1</v>
      </c>
      <c r="C498" s="858">
        <v>2.9</v>
      </c>
      <c r="D498" s="856">
        <v>2.5</v>
      </c>
      <c r="E498" s="746">
        <f t="shared" si="68"/>
        <v>7.25</v>
      </c>
      <c r="F498" s="746"/>
      <c r="G498" s="746">
        <f t="shared" si="69"/>
        <v>7.25</v>
      </c>
      <c r="H498" s="746">
        <f t="shared" si="70"/>
        <v>14.5</v>
      </c>
      <c r="I498" s="1830"/>
      <c r="J498" s="1832"/>
      <c r="K498" s="1003"/>
      <c r="L498" s="796"/>
      <c r="M498" s="1834"/>
      <c r="N498" s="1836"/>
      <c r="Y498" s="1363" t="s">
        <v>5402</v>
      </c>
      <c r="Z498" s="1355">
        <f>8.3*2+5.4*2+8.7*2</f>
        <v>44.8</v>
      </c>
    </row>
    <row r="499" spans="1:27" ht="30">
      <c r="A499" s="1002" t="s">
        <v>4690</v>
      </c>
      <c r="B499" s="745">
        <v>1</v>
      </c>
      <c r="C499" s="858">
        <v>3.15</v>
      </c>
      <c r="D499" s="856">
        <v>2.5</v>
      </c>
      <c r="E499" s="746">
        <f t="shared" si="68"/>
        <v>7.875</v>
      </c>
      <c r="F499" s="746"/>
      <c r="G499" s="746">
        <f t="shared" si="69"/>
        <v>7.875</v>
      </c>
      <c r="H499" s="746">
        <f t="shared" si="70"/>
        <v>15.75</v>
      </c>
      <c r="I499" s="1830"/>
      <c r="J499" s="1832"/>
      <c r="K499" s="1003"/>
      <c r="L499" s="796"/>
      <c r="M499" s="1834"/>
      <c r="N499" s="1836"/>
      <c r="Y499" s="1363" t="s">
        <v>5406</v>
      </c>
      <c r="Z499" s="1364">
        <f>2.4*4+1.2*4</f>
        <v>14.399999999999999</v>
      </c>
      <c r="AA499" s="728" t="s">
        <v>4019</v>
      </c>
    </row>
    <row r="500" spans="1:27" ht="15.75">
      <c r="A500" s="1002" t="s">
        <v>4601</v>
      </c>
      <c r="B500" s="745">
        <v>1</v>
      </c>
      <c r="C500" s="858">
        <v>4.0999999999999996</v>
      </c>
      <c r="D500" s="856">
        <v>2.5</v>
      </c>
      <c r="E500" s="746">
        <f t="shared" si="68"/>
        <v>10.25</v>
      </c>
      <c r="F500" s="746"/>
      <c r="G500" s="746">
        <f t="shared" si="69"/>
        <v>10.25</v>
      </c>
      <c r="H500" s="746">
        <f t="shared" si="70"/>
        <v>20.5</v>
      </c>
      <c r="I500" s="1830"/>
      <c r="J500" s="1832"/>
      <c r="K500" s="1003"/>
      <c r="L500" s="796"/>
      <c r="M500" s="1834"/>
      <c r="N500" s="1836"/>
      <c r="Y500" s="1365" t="s">
        <v>4523</v>
      </c>
      <c r="Z500" s="1371">
        <f>I525</f>
        <v>910.28400000000011</v>
      </c>
    </row>
    <row r="501" spans="1:27" ht="15.75">
      <c r="A501" s="1002" t="s">
        <v>4552</v>
      </c>
      <c r="B501" s="745">
        <v>1</v>
      </c>
      <c r="C501" s="858">
        <v>5.2</v>
      </c>
      <c r="D501" s="856">
        <v>2.5</v>
      </c>
      <c r="E501" s="746">
        <f t="shared" si="68"/>
        <v>13</v>
      </c>
      <c r="F501" s="746"/>
      <c r="G501" s="746">
        <f t="shared" si="69"/>
        <v>13</v>
      </c>
      <c r="H501" s="746">
        <f t="shared" si="70"/>
        <v>26</v>
      </c>
      <c r="I501" s="1830"/>
      <c r="J501" s="1832"/>
      <c r="K501" s="1003"/>
      <c r="L501" s="796"/>
      <c r="M501" s="1834"/>
      <c r="N501" s="1836"/>
      <c r="Y501" s="1365" t="s">
        <v>2149</v>
      </c>
      <c r="Z501" s="1355">
        <f>M567+J539+J544+T539+T544+P549</f>
        <v>435.07650000000001</v>
      </c>
    </row>
    <row r="502" spans="1:27" ht="15.75">
      <c r="A502" s="1005"/>
      <c r="B502" s="1006"/>
      <c r="C502" s="1007"/>
      <c r="D502" s="746"/>
      <c r="E502" s="746">
        <f>0.3*16</f>
        <v>4.8</v>
      </c>
      <c r="F502" s="1007"/>
      <c r="G502" s="746">
        <f t="shared" si="69"/>
        <v>4.8</v>
      </c>
      <c r="H502" s="746">
        <f t="shared" si="70"/>
        <v>9.6</v>
      </c>
      <c r="I502" s="1008"/>
      <c r="J502" s="1009"/>
      <c r="K502" s="1003"/>
      <c r="L502" s="796"/>
      <c r="M502" s="1010"/>
      <c r="N502" s="1011"/>
      <c r="Y502" s="1365" t="s">
        <v>4355</v>
      </c>
      <c r="Z502" s="1355">
        <f>I524</f>
        <v>748.06400000000008</v>
      </c>
    </row>
    <row r="503" spans="1:27" ht="15.75">
      <c r="A503" s="1837" t="s">
        <v>4602</v>
      </c>
      <c r="B503" s="1838"/>
      <c r="C503" s="1839"/>
      <c r="D503" s="1840"/>
      <c r="E503" s="1013"/>
      <c r="F503" s="1014"/>
      <c r="G503" s="1014"/>
      <c r="H503" s="1015">
        <f>SUM(H489:H502)</f>
        <v>696.65600000000006</v>
      </c>
      <c r="I503" s="1014"/>
      <c r="J503" s="1014"/>
      <c r="K503" s="1014"/>
      <c r="L503" s="1016"/>
      <c r="M503" s="1017"/>
      <c r="N503" s="1017"/>
      <c r="Y503" s="1365" t="s">
        <v>4356</v>
      </c>
      <c r="Z503" s="1355">
        <f>I523</f>
        <v>162.22</v>
      </c>
    </row>
    <row r="504" spans="1:27" ht="15.75">
      <c r="A504" s="1837" t="s">
        <v>4573</v>
      </c>
      <c r="B504" s="1838"/>
      <c r="C504" s="1018"/>
      <c r="D504" s="1019"/>
      <c r="E504" s="1019"/>
      <c r="F504" s="1019"/>
      <c r="G504" s="1020">
        <f>SUM(G489:G502)-32.2*0.4-G491</f>
        <v>320.44800000000004</v>
      </c>
      <c r="H504" s="1020">
        <f>SUM(H489:H502)-I489-32.04*0.4*2</f>
        <v>508.80400000000003</v>
      </c>
      <c r="I504" s="1013">
        <f>SUM(I489)</f>
        <v>162.22</v>
      </c>
      <c r="J504" s="1020">
        <f>SUM(J489)</f>
        <v>671.024</v>
      </c>
      <c r="K504" s="1021">
        <f>SUM(K489:K501)</f>
        <v>0</v>
      </c>
      <c r="L504" s="1020">
        <f>SUM(L489:L501)</f>
        <v>0</v>
      </c>
      <c r="M504" s="1022">
        <f>M489</f>
        <v>162.22</v>
      </c>
      <c r="N504" s="1022">
        <f>N489</f>
        <v>508.80400000000003</v>
      </c>
      <c r="Y504" s="1365" t="s">
        <v>4357</v>
      </c>
      <c r="Z504" s="1355">
        <f>Z501</f>
        <v>435.07650000000001</v>
      </c>
    </row>
    <row r="505" spans="1:27">
      <c r="Y505" s="1359" t="s">
        <v>5078</v>
      </c>
      <c r="Z505" s="1364">
        <f>+H573</f>
        <v>1032.72</v>
      </c>
    </row>
    <row r="506" spans="1:27">
      <c r="Y506" s="1359" t="s">
        <v>4389</v>
      </c>
      <c r="Z506" s="1364">
        <f>+L573</f>
        <v>65.400000000000006</v>
      </c>
    </row>
    <row r="507" spans="1:27" ht="15.75">
      <c r="A507" s="1827" t="s">
        <v>4776</v>
      </c>
      <c r="B507" s="1828"/>
      <c r="C507" s="1828"/>
      <c r="D507" s="1828"/>
      <c r="E507" s="1828"/>
      <c r="F507" s="1828"/>
      <c r="G507" s="1828"/>
      <c r="H507" s="1828"/>
      <c r="I507" s="1828"/>
      <c r="J507" s="1828"/>
      <c r="K507" s="1828"/>
      <c r="L507" s="1828"/>
      <c r="M507" s="1828"/>
      <c r="N507" s="1828"/>
      <c r="Y507" s="1417" t="s">
        <v>4801</v>
      </c>
      <c r="Z507" s="1361">
        <f>Z508+Z509+Z510</f>
        <v>1823.6186000000002</v>
      </c>
    </row>
    <row r="508" spans="1:27" ht="31.5">
      <c r="A508" s="814" t="s">
        <v>4469</v>
      </c>
      <c r="B508" s="814" t="s">
        <v>515</v>
      </c>
      <c r="C508" s="814" t="s">
        <v>4544</v>
      </c>
      <c r="D508" s="814" t="s">
        <v>4520</v>
      </c>
      <c r="E508" s="814" t="s">
        <v>4545</v>
      </c>
      <c r="F508" s="814" t="s">
        <v>4546</v>
      </c>
      <c r="G508" s="814" t="s">
        <v>4547</v>
      </c>
      <c r="H508" s="771" t="s">
        <v>4548</v>
      </c>
      <c r="I508" s="771" t="s">
        <v>4549</v>
      </c>
      <c r="J508" s="771" t="s">
        <v>4678</v>
      </c>
      <c r="K508" s="999"/>
      <c r="L508" s="1000" t="s">
        <v>4274</v>
      </c>
      <c r="M508" s="1001" t="s">
        <v>4526</v>
      </c>
      <c r="N508" s="1001" t="s">
        <v>4550</v>
      </c>
      <c r="Y508" s="1365" t="s">
        <v>4802</v>
      </c>
      <c r="Z508" s="1355">
        <f>C576</f>
        <v>441.72279999999995</v>
      </c>
    </row>
    <row r="509" spans="1:27" ht="15.75">
      <c r="A509" s="1002" t="s">
        <v>5230</v>
      </c>
      <c r="B509" s="814">
        <v>2</v>
      </c>
      <c r="C509" s="1023">
        <v>2.2000000000000002</v>
      </c>
      <c r="D509" s="856">
        <v>2.5</v>
      </c>
      <c r="E509" s="746">
        <f>C509*D509*B509</f>
        <v>11</v>
      </c>
      <c r="F509" s="856"/>
      <c r="G509" s="746">
        <f>E509-F509</f>
        <v>11</v>
      </c>
      <c r="H509" s="753">
        <f>G509*2</f>
        <v>22</v>
      </c>
      <c r="I509" s="1873"/>
      <c r="J509" s="1873">
        <f>H521</f>
        <v>239.26000000000008</v>
      </c>
      <c r="K509" s="1025"/>
      <c r="L509" s="1000"/>
      <c r="M509" s="1833">
        <f>I521</f>
        <v>0</v>
      </c>
      <c r="N509" s="1877">
        <f>H521</f>
        <v>239.26000000000008</v>
      </c>
      <c r="O509" s="856"/>
      <c r="Y509" s="1365" t="s">
        <v>4562</v>
      </c>
      <c r="Z509" s="1355">
        <f>C577</f>
        <v>912.94580000000019</v>
      </c>
    </row>
    <row r="510" spans="1:27" ht="15.75">
      <c r="A510" s="1002" t="s">
        <v>4588</v>
      </c>
      <c r="B510" s="745">
        <v>4</v>
      </c>
      <c r="C510" s="858">
        <v>1</v>
      </c>
      <c r="D510" s="856">
        <v>2.5</v>
      </c>
      <c r="E510" s="746">
        <f t="shared" ref="E510:E519" si="71">C510*D510*B510</f>
        <v>10</v>
      </c>
      <c r="F510" s="856"/>
      <c r="G510" s="746">
        <f t="shared" ref="G510:G519" si="72">E510-F510</f>
        <v>10</v>
      </c>
      <c r="H510" s="753">
        <f t="shared" ref="H510:H518" si="73">G510*2</f>
        <v>20</v>
      </c>
      <c r="I510" s="1874"/>
      <c r="J510" s="1874"/>
      <c r="K510" s="1003"/>
      <c r="L510" s="796"/>
      <c r="M510" s="1834"/>
      <c r="N510" s="1878"/>
      <c r="O510" s="856"/>
      <c r="Y510" s="1365" t="s">
        <v>4564</v>
      </c>
      <c r="Z510" s="1355">
        <f>C578</f>
        <v>468.95000000000005</v>
      </c>
    </row>
    <row r="511" spans="1:27" ht="15.75">
      <c r="A511" s="1002" t="s">
        <v>4685</v>
      </c>
      <c r="B511" s="745">
        <v>2</v>
      </c>
      <c r="C511" s="858">
        <v>2.4</v>
      </c>
      <c r="D511" s="856">
        <v>2.5</v>
      </c>
      <c r="E511" s="746">
        <f t="shared" si="71"/>
        <v>12</v>
      </c>
      <c r="F511" s="856"/>
      <c r="G511" s="746">
        <f t="shared" si="72"/>
        <v>12</v>
      </c>
      <c r="H511" s="753">
        <f t="shared" si="73"/>
        <v>24</v>
      </c>
      <c r="I511" s="1874"/>
      <c r="J511" s="1874"/>
      <c r="K511" s="1003"/>
      <c r="L511" s="796"/>
      <c r="M511" s="1834"/>
      <c r="N511" s="1878"/>
      <c r="O511" s="856"/>
      <c r="Y511" s="1418" t="s">
        <v>4804</v>
      </c>
    </row>
    <row r="512" spans="1:27" ht="30">
      <c r="A512" s="1002" t="s">
        <v>4686</v>
      </c>
      <c r="B512" s="745">
        <v>1</v>
      </c>
      <c r="C512" s="856">
        <v>3.3</v>
      </c>
      <c r="D512" s="856">
        <v>2.5</v>
      </c>
      <c r="E512" s="746">
        <f t="shared" si="71"/>
        <v>8.25</v>
      </c>
      <c r="F512" s="856">
        <v>0</v>
      </c>
      <c r="G512" s="746">
        <f t="shared" si="72"/>
        <v>8.25</v>
      </c>
      <c r="H512" s="753">
        <f t="shared" si="73"/>
        <v>16.5</v>
      </c>
      <c r="I512" s="1874"/>
      <c r="J512" s="1874"/>
      <c r="K512" s="1003"/>
      <c r="L512" s="796"/>
      <c r="M512" s="1834"/>
      <c r="N512" s="1878"/>
      <c r="O512" s="856">
        <f>1.2*0.6</f>
        <v>0.72</v>
      </c>
      <c r="Y512" s="1431" t="s">
        <v>5069</v>
      </c>
      <c r="Z512" s="1361">
        <f>+G504</f>
        <v>320.44800000000004</v>
      </c>
    </row>
    <row r="513" spans="1:28" ht="30">
      <c r="A513" s="1002" t="s">
        <v>4597</v>
      </c>
      <c r="B513" s="745">
        <v>1</v>
      </c>
      <c r="C513" s="858">
        <v>6.9</v>
      </c>
      <c r="D513" s="856">
        <v>2.5</v>
      </c>
      <c r="E513" s="746">
        <f t="shared" si="71"/>
        <v>17.25</v>
      </c>
      <c r="F513" s="856">
        <v>0</v>
      </c>
      <c r="G513" s="746">
        <f t="shared" si="72"/>
        <v>17.25</v>
      </c>
      <c r="H513" s="753">
        <f t="shared" si="73"/>
        <v>34.5</v>
      </c>
      <c r="I513" s="1874"/>
      <c r="J513" s="1874"/>
      <c r="K513" s="1003"/>
      <c r="L513" s="796"/>
      <c r="M513" s="1834"/>
      <c r="N513" s="1878"/>
      <c r="O513" s="856">
        <f>0.9*2.1+0.9*2.1</f>
        <v>3.7800000000000002</v>
      </c>
      <c r="Y513" s="1363" t="s">
        <v>5071</v>
      </c>
      <c r="Z513" s="1355">
        <f>+G521</f>
        <v>120.18000000000004</v>
      </c>
    </row>
    <row r="514" spans="1:28" ht="15.75">
      <c r="A514" s="1002" t="s">
        <v>4598</v>
      </c>
      <c r="B514" s="745">
        <v>2</v>
      </c>
      <c r="C514" s="858">
        <v>8.3000000000000007</v>
      </c>
      <c r="D514" s="856">
        <v>0.6</v>
      </c>
      <c r="E514" s="746">
        <f t="shared" si="71"/>
        <v>9.9600000000000009</v>
      </c>
      <c r="F514" s="856"/>
      <c r="G514" s="746">
        <f t="shared" si="72"/>
        <v>9.9600000000000009</v>
      </c>
      <c r="H514" s="753">
        <f t="shared" si="73"/>
        <v>19.920000000000002</v>
      </c>
      <c r="I514" s="1874"/>
      <c r="J514" s="1874"/>
      <c r="K514" s="1003"/>
      <c r="L514" s="796"/>
      <c r="M514" s="1834"/>
      <c r="N514" s="1878"/>
      <c r="O514" s="856"/>
      <c r="Y514" s="1359" t="s">
        <v>5075</v>
      </c>
      <c r="Z514" s="1355">
        <f>G533</f>
        <v>24.1248</v>
      </c>
    </row>
    <row r="515" spans="1:28" ht="15.75">
      <c r="A515" s="1002" t="s">
        <v>4599</v>
      </c>
      <c r="B515" s="745">
        <v>1</v>
      </c>
      <c r="C515" s="858">
        <v>6.9</v>
      </c>
      <c r="D515" s="856">
        <v>1.6</v>
      </c>
      <c r="E515" s="746">
        <f t="shared" si="71"/>
        <v>11.040000000000001</v>
      </c>
      <c r="F515" s="856"/>
      <c r="G515" s="746">
        <f t="shared" si="72"/>
        <v>11.040000000000001</v>
      </c>
      <c r="H515" s="753">
        <f t="shared" si="73"/>
        <v>22.080000000000002</v>
      </c>
      <c r="I515" s="1874"/>
      <c r="J515" s="1874"/>
      <c r="K515" s="1003"/>
      <c r="L515" s="796"/>
      <c r="M515" s="1834"/>
      <c r="N515" s="1878"/>
      <c r="O515" s="856"/>
      <c r="Y515" s="1359" t="s">
        <v>5079</v>
      </c>
      <c r="Z515" s="1355">
        <f>+I567</f>
        <v>60.027999999999992</v>
      </c>
    </row>
    <row r="516" spans="1:28" ht="15.75">
      <c r="A516" s="1005" t="s">
        <v>4689</v>
      </c>
      <c r="B516" s="745">
        <v>2</v>
      </c>
      <c r="C516" s="858">
        <v>2.2000000000000002</v>
      </c>
      <c r="D516" s="856">
        <v>1.6</v>
      </c>
      <c r="E516" s="746">
        <f t="shared" si="71"/>
        <v>7.0400000000000009</v>
      </c>
      <c r="F516" s="856"/>
      <c r="G516" s="746">
        <f t="shared" si="72"/>
        <v>7.0400000000000009</v>
      </c>
      <c r="H516" s="753">
        <f t="shared" si="73"/>
        <v>14.080000000000002</v>
      </c>
      <c r="I516" s="1874"/>
      <c r="J516" s="1874"/>
      <c r="K516" s="1003"/>
      <c r="L516" s="796"/>
      <c r="M516" s="1834"/>
      <c r="N516" s="1878"/>
      <c r="O516" s="856"/>
      <c r="Y516" s="1359" t="s">
        <v>5085</v>
      </c>
      <c r="Z516" s="1364">
        <f>+A525</f>
        <v>2.4000000000000004</v>
      </c>
      <c r="AA516" s="728" t="s">
        <v>1333</v>
      </c>
    </row>
    <row r="517" spans="1:28" ht="15.75">
      <c r="A517" s="1005" t="s">
        <v>4698</v>
      </c>
      <c r="B517" s="745">
        <v>4</v>
      </c>
      <c r="C517" s="856">
        <v>1.5</v>
      </c>
      <c r="D517" s="856">
        <v>0.4</v>
      </c>
      <c r="E517" s="746">
        <f t="shared" si="71"/>
        <v>2.4000000000000004</v>
      </c>
      <c r="F517" s="1136"/>
      <c r="G517" s="746">
        <f t="shared" si="72"/>
        <v>2.4000000000000004</v>
      </c>
      <c r="H517" s="753">
        <f t="shared" si="73"/>
        <v>4.8000000000000007</v>
      </c>
      <c r="I517" s="1874"/>
      <c r="J517" s="1874"/>
      <c r="K517" s="1003"/>
      <c r="L517" s="796"/>
      <c r="M517" s="1834"/>
      <c r="N517" s="1878"/>
      <c r="O517" s="1136"/>
      <c r="Y517" s="1363" t="s">
        <v>5232</v>
      </c>
      <c r="Z517" s="1355">
        <f>G491</f>
        <v>15</v>
      </c>
      <c r="AA517" s="728" t="s">
        <v>1333</v>
      </c>
    </row>
    <row r="518" spans="1:28" ht="15.75">
      <c r="A518" s="1005" t="s">
        <v>4777</v>
      </c>
      <c r="B518" s="745">
        <f>16*2</f>
        <v>32</v>
      </c>
      <c r="C518" s="856">
        <f>1.45</f>
        <v>1.45</v>
      </c>
      <c r="D518" s="856">
        <v>0.6</v>
      </c>
      <c r="E518" s="746">
        <f t="shared" si="71"/>
        <v>27.84</v>
      </c>
      <c r="F518" s="1136"/>
      <c r="G518" s="746">
        <f t="shared" si="72"/>
        <v>27.84</v>
      </c>
      <c r="H518" s="753">
        <f t="shared" si="73"/>
        <v>55.68</v>
      </c>
      <c r="I518" s="1874"/>
      <c r="J518" s="1874"/>
      <c r="K518" s="1003"/>
      <c r="L518" s="796"/>
      <c r="M518" s="1834"/>
      <c r="N518" s="1878"/>
      <c r="O518" s="1136"/>
      <c r="Y518" s="1363" t="s">
        <v>5233</v>
      </c>
      <c r="Z518" s="1355">
        <f>G509</f>
        <v>11</v>
      </c>
    </row>
    <row r="519" spans="1:28" ht="15.75">
      <c r="A519" s="1005" t="s">
        <v>4777</v>
      </c>
      <c r="B519" s="745">
        <v>8</v>
      </c>
      <c r="C519" s="856">
        <v>3</v>
      </c>
      <c r="D519" s="856">
        <v>0.6</v>
      </c>
      <c r="E519" s="746">
        <f t="shared" si="71"/>
        <v>14.399999999999999</v>
      </c>
      <c r="F519" s="1136">
        <v>0</v>
      </c>
      <c r="G519" s="746">
        <f t="shared" si="72"/>
        <v>14.399999999999999</v>
      </c>
      <c r="H519" s="753"/>
      <c r="I519" s="1875"/>
      <c r="J519" s="1875"/>
      <c r="K519" s="1003"/>
      <c r="L519" s="796"/>
      <c r="M519" s="1876"/>
      <c r="N519" s="1879"/>
      <c r="O519" s="1136">
        <f>8*2.6*0.4</f>
        <v>8.32</v>
      </c>
      <c r="Y519" s="1359" t="s">
        <v>5080</v>
      </c>
      <c r="Z519" s="1355">
        <f>+N567</f>
        <v>811.63</v>
      </c>
    </row>
    <row r="520" spans="1:28" ht="15.75">
      <c r="A520" s="1837" t="s">
        <v>4571</v>
      </c>
      <c r="B520" s="1838"/>
      <c r="C520" s="1839"/>
      <c r="D520" s="1840"/>
      <c r="E520" s="1013"/>
      <c r="F520" s="1014"/>
      <c r="G520" s="1014"/>
      <c r="H520" s="1015">
        <f>SUM(H509:H517)</f>
        <v>177.88000000000005</v>
      </c>
      <c r="I520" s="1014"/>
      <c r="J520" s="1014"/>
      <c r="K520" s="1014"/>
      <c r="L520" s="1016"/>
      <c r="M520" s="1017"/>
      <c r="N520" s="1017"/>
      <c r="Y520" s="1359" t="s">
        <v>5081</v>
      </c>
      <c r="Z520" s="1355">
        <f>+H567</f>
        <v>727.63</v>
      </c>
    </row>
    <row r="521" spans="1:28" ht="15.75">
      <c r="A521" s="1837" t="s">
        <v>4573</v>
      </c>
      <c r="B521" s="1838"/>
      <c r="C521" s="1018"/>
      <c r="D521" s="1019"/>
      <c r="E521" s="1019"/>
      <c r="F521" s="1019"/>
      <c r="G521" s="1020">
        <f>SUM(G509:G519)-G509</f>
        <v>120.18000000000004</v>
      </c>
      <c r="H521" s="1020">
        <f>SUM(H509:H518)-I511+A525*2+1.5*0.15*4</f>
        <v>239.26000000000008</v>
      </c>
      <c r="I521" s="1013">
        <f>SUM(I511)</f>
        <v>0</v>
      </c>
      <c r="J521" s="1020">
        <f>J509</f>
        <v>239.26000000000008</v>
      </c>
      <c r="K521" s="1021">
        <f>SUM(K511:K516)</f>
        <v>0</v>
      </c>
      <c r="L521" s="1020">
        <f>SUM(L511:L516)</f>
        <v>0</v>
      </c>
      <c r="M521" s="1022">
        <f>M509</f>
        <v>0</v>
      </c>
      <c r="N521" s="1020">
        <f>N509</f>
        <v>239.26000000000008</v>
      </c>
      <c r="Y521" s="1359" t="s">
        <v>1992</v>
      </c>
      <c r="Z521" s="1355">
        <f>+G567</f>
        <v>348.47</v>
      </c>
    </row>
    <row r="522" spans="1:28" ht="15.75">
      <c r="H522" s="968"/>
      <c r="I522" s="968"/>
      <c r="J522" s="968"/>
      <c r="K522" s="913"/>
      <c r="L522" s="831"/>
      <c r="M522" s="730"/>
      <c r="N522" s="730"/>
      <c r="Y522" s="1359" t="s">
        <v>4699</v>
      </c>
      <c r="Z522" s="1355">
        <f>+G533</f>
        <v>24.1248</v>
      </c>
    </row>
    <row r="523" spans="1:28" ht="36" customHeight="1">
      <c r="H523" s="890" t="s">
        <v>4603</v>
      </c>
      <c r="I523" s="891">
        <f>I504+I521</f>
        <v>162.22</v>
      </c>
      <c r="J523" s="892" t="s">
        <v>1333</v>
      </c>
      <c r="K523" s="913"/>
      <c r="L523" s="831"/>
      <c r="M523" s="730"/>
      <c r="N523" s="730"/>
      <c r="Y523" s="1359" t="s">
        <v>5082</v>
      </c>
      <c r="Z523" s="1364">
        <f>+A537</f>
        <v>76.8</v>
      </c>
    </row>
    <row r="524" spans="1:28" ht="36" customHeight="1">
      <c r="A524" s="1389" t="s">
        <v>5107</v>
      </c>
      <c r="H524" s="890" t="s">
        <v>4604</v>
      </c>
      <c r="I524" s="891">
        <f>H504+H521</f>
        <v>748.06400000000008</v>
      </c>
      <c r="J524" s="892" t="s">
        <v>1333</v>
      </c>
      <c r="K524" s="913"/>
      <c r="L524" s="831"/>
      <c r="M524" s="730"/>
      <c r="N524" s="730"/>
      <c r="Y524" s="1359" t="s">
        <v>4359</v>
      </c>
      <c r="Z524" s="1364">
        <f>+C586*2</f>
        <v>21.35</v>
      </c>
    </row>
    <row r="525" spans="1:28" ht="36" customHeight="1">
      <c r="A525" s="728">
        <f>4*1.5*0.4</f>
        <v>2.4000000000000004</v>
      </c>
      <c r="H525" s="890" t="s">
        <v>4605</v>
      </c>
      <c r="I525" s="891">
        <f>J489+J521</f>
        <v>910.28400000000011</v>
      </c>
      <c r="J525" s="892" t="s">
        <v>1333</v>
      </c>
      <c r="K525" s="913"/>
      <c r="L525" s="831"/>
      <c r="M525" s="730"/>
      <c r="N525" s="730"/>
      <c r="Y525" s="1369" t="s">
        <v>5243</v>
      </c>
      <c r="Z525" s="1355">
        <f>A537</f>
        <v>76.8</v>
      </c>
      <c r="AA525" s="728" t="s">
        <v>213</v>
      </c>
      <c r="AB525" s="728">
        <f>34.7*2</f>
        <v>69.400000000000006</v>
      </c>
    </row>
    <row r="526" spans="1:28" ht="15.75">
      <c r="H526" s="968"/>
      <c r="I526" s="968"/>
      <c r="J526" s="968"/>
      <c r="K526" s="913"/>
      <c r="L526" s="831"/>
      <c r="M526" s="730"/>
      <c r="N526" s="730"/>
      <c r="Y526" s="1369" t="s">
        <v>5244</v>
      </c>
      <c r="Z526" s="1355">
        <f>A539</f>
        <v>71.56</v>
      </c>
      <c r="AA526" s="1554" t="s">
        <v>1171</v>
      </c>
    </row>
    <row r="527" spans="1:28" ht="15.75">
      <c r="H527" s="968"/>
      <c r="I527" s="968"/>
      <c r="J527" s="968"/>
      <c r="K527" s="913"/>
      <c r="L527" s="831"/>
      <c r="M527" s="730"/>
      <c r="N527" s="730"/>
    </row>
    <row r="528" spans="1:28" ht="20.25">
      <c r="A528" s="1803" t="s">
        <v>5097</v>
      </c>
      <c r="B528" s="1804"/>
      <c r="C528" s="1804"/>
      <c r="D528" s="1804"/>
      <c r="E528" s="1804"/>
      <c r="F528" s="1804"/>
      <c r="G528" s="1804"/>
      <c r="H528" s="1804"/>
      <c r="I528" s="1804"/>
      <c r="J528" s="1804"/>
      <c r="K528" s="1804"/>
      <c r="L528" s="1804"/>
      <c r="M528" s="1804"/>
      <c r="N528" s="1804"/>
      <c r="Y528" s="1421"/>
      <c r="Z528" s="1083"/>
    </row>
    <row r="529" spans="1:26" ht="30">
      <c r="A529" s="740" t="s">
        <v>4469</v>
      </c>
      <c r="B529" s="740" t="s">
        <v>515</v>
      </c>
      <c r="C529" s="740" t="s">
        <v>4544</v>
      </c>
      <c r="D529" s="741" t="s">
        <v>4520</v>
      </c>
      <c r="E529" s="740" t="s">
        <v>4545</v>
      </c>
      <c r="F529" s="741" t="s">
        <v>4546</v>
      </c>
      <c r="G529" s="740" t="s">
        <v>4547</v>
      </c>
      <c r="H529" s="741" t="s">
        <v>4548</v>
      </c>
      <c r="I529" s="741" t="s">
        <v>4549</v>
      </c>
      <c r="J529" s="741" t="s">
        <v>4261</v>
      </c>
      <c r="K529" s="854" t="s">
        <v>4526</v>
      </c>
      <c r="L529" s="854" t="s">
        <v>4550</v>
      </c>
      <c r="Y529" s="1421"/>
      <c r="Z529" s="1083"/>
    </row>
    <row r="530" spans="1:26" ht="30.75">
      <c r="A530" s="756" t="s">
        <v>4778</v>
      </c>
      <c r="B530" s="745">
        <v>4</v>
      </c>
      <c r="C530" s="858">
        <v>2.4</v>
      </c>
      <c r="D530" s="856">
        <v>1.4</v>
      </c>
      <c r="E530" s="746">
        <f t="shared" ref="E530" si="74">C530*D530*B530</f>
        <v>13.44</v>
      </c>
      <c r="F530" s="746"/>
      <c r="G530" s="746">
        <f t="shared" ref="G530" si="75">E530-F530</f>
        <v>13.44</v>
      </c>
      <c r="H530" s="746">
        <f>G530</f>
        <v>13.44</v>
      </c>
      <c r="I530" s="894">
        <f>G530</f>
        <v>13.44</v>
      </c>
      <c r="J530" s="895">
        <f>H533+I533</f>
        <v>48.249600000000001</v>
      </c>
      <c r="K530" s="896">
        <f>I530</f>
        <v>13.44</v>
      </c>
      <c r="L530" s="897">
        <f>H533</f>
        <v>24.1248</v>
      </c>
      <c r="Y530" s="917"/>
      <c r="Z530" s="1083"/>
    </row>
    <row r="531" spans="1:26" ht="30.75">
      <c r="A531" s="1390" t="s">
        <v>5098</v>
      </c>
      <c r="B531" s="745">
        <v>8</v>
      </c>
      <c r="C531" s="858">
        <v>2.12</v>
      </c>
      <c r="D531" s="856">
        <v>0.63</v>
      </c>
      <c r="E531" s="746">
        <f t="shared" ref="E531" si="76">C531*D531*B531</f>
        <v>10.684800000000001</v>
      </c>
      <c r="F531" s="746"/>
      <c r="G531" s="746">
        <f t="shared" ref="G531" si="77">E531-F531</f>
        <v>10.684800000000001</v>
      </c>
      <c r="H531" s="746">
        <f>G531</f>
        <v>10.684800000000001</v>
      </c>
      <c r="I531" s="894">
        <f>G531</f>
        <v>10.684800000000001</v>
      </c>
      <c r="J531" s="895">
        <f>H534+I534</f>
        <v>0</v>
      </c>
      <c r="K531" s="896">
        <f>I531</f>
        <v>10.684800000000001</v>
      </c>
      <c r="L531" s="897">
        <f>H534</f>
        <v>0</v>
      </c>
      <c r="Y531" s="917"/>
      <c r="Z531" s="1083"/>
    </row>
    <row r="532" spans="1:26">
      <c r="A532" s="1792" t="s">
        <v>4609</v>
      </c>
      <c r="B532" s="1793"/>
      <c r="C532" s="1795"/>
      <c r="D532" s="1796"/>
      <c r="E532" s="863"/>
      <c r="F532" s="864"/>
      <c r="G532" s="867"/>
      <c r="H532" s="867"/>
      <c r="I532" s="867"/>
      <c r="J532" s="867"/>
      <c r="K532" s="841"/>
      <c r="L532" s="898"/>
      <c r="Y532" s="1421"/>
      <c r="Z532" s="1083"/>
    </row>
    <row r="533" spans="1:26">
      <c r="A533" s="1792" t="s">
        <v>4573</v>
      </c>
      <c r="B533" s="1793"/>
      <c r="C533" s="870"/>
      <c r="D533" s="871"/>
      <c r="E533" s="871"/>
      <c r="F533" s="871"/>
      <c r="G533" s="865">
        <f t="shared" ref="G533:L533" si="78">SUM(G530:G531)</f>
        <v>24.1248</v>
      </c>
      <c r="H533" s="865">
        <f t="shared" si="78"/>
        <v>24.1248</v>
      </c>
      <c r="I533" s="865">
        <f t="shared" si="78"/>
        <v>24.1248</v>
      </c>
      <c r="J533" s="865">
        <f t="shared" si="78"/>
        <v>48.249600000000001</v>
      </c>
      <c r="K533" s="865">
        <f t="shared" si="78"/>
        <v>24.1248</v>
      </c>
      <c r="L533" s="865">
        <f t="shared" si="78"/>
        <v>24.1248</v>
      </c>
      <c r="Y533" s="1421"/>
      <c r="Z533" s="1083"/>
    </row>
    <row r="534" spans="1:26" ht="15.75">
      <c r="H534" s="968"/>
      <c r="I534" s="968"/>
      <c r="J534" s="968"/>
      <c r="K534" s="913"/>
      <c r="L534" s="831"/>
      <c r="M534" s="730"/>
      <c r="N534" s="730"/>
      <c r="Y534" s="1422"/>
      <c r="Z534" s="1083"/>
    </row>
    <row r="535" spans="1:26" ht="15.75">
      <c r="H535" s="968"/>
      <c r="I535" s="968"/>
      <c r="J535" s="968"/>
      <c r="K535" s="913"/>
      <c r="L535" s="831"/>
      <c r="M535" s="730"/>
      <c r="N535" s="730"/>
      <c r="Y535" s="1422"/>
      <c r="Z535" s="1083"/>
    </row>
    <row r="536" spans="1:26" ht="15.75">
      <c r="A536" s="892" t="s">
        <v>4779</v>
      </c>
      <c r="B536" s="892"/>
      <c r="H536" s="968"/>
      <c r="I536" s="968"/>
      <c r="J536" s="968"/>
      <c r="K536" s="913"/>
      <c r="L536" s="831"/>
      <c r="M536" s="730"/>
      <c r="N536" s="730"/>
      <c r="Y536" s="1422"/>
      <c r="Z536" s="1083"/>
    </row>
    <row r="537" spans="1:26" ht="15.75">
      <c r="A537" s="892">
        <f>38.4*2</f>
        <v>76.8</v>
      </c>
      <c r="B537" s="892" t="s">
        <v>1333</v>
      </c>
      <c r="H537" s="955" t="s">
        <v>4780</v>
      </c>
      <c r="I537" s="955"/>
      <c r="J537" s="956"/>
      <c r="L537" s="957"/>
      <c r="M537" s="730"/>
      <c r="N537" s="730"/>
      <c r="O537" s="1105" t="s">
        <v>4781</v>
      </c>
      <c r="P537" s="1105"/>
      <c r="Q537" s="968"/>
      <c r="R537" s="913"/>
      <c r="S537" s="913"/>
      <c r="Y537" s="1422"/>
      <c r="Z537" s="1083"/>
    </row>
    <row r="538" spans="1:26" ht="30">
      <c r="A538" s="892" t="s">
        <v>5245</v>
      </c>
      <c r="B538" s="892" t="s">
        <v>1171</v>
      </c>
      <c r="H538" s="958" t="s">
        <v>4645</v>
      </c>
      <c r="I538" s="958" t="s">
        <v>4646</v>
      </c>
      <c r="J538" s="959" t="s">
        <v>4647</v>
      </c>
      <c r="K538" s="958" t="s">
        <v>4648</v>
      </c>
      <c r="L538" s="958" t="s">
        <v>4649</v>
      </c>
      <c r="M538" s="730"/>
      <c r="N538" s="730"/>
      <c r="O538" s="960" t="s">
        <v>4660</v>
      </c>
      <c r="P538" s="978" t="s">
        <v>515</v>
      </c>
      <c r="Q538" s="979" t="s">
        <v>4661</v>
      </c>
      <c r="R538" s="983" t="s">
        <v>4664</v>
      </c>
      <c r="S538" s="983" t="s">
        <v>4665</v>
      </c>
      <c r="T538" s="970" t="s">
        <v>4647</v>
      </c>
      <c r="U538" s="960" t="s">
        <v>4654</v>
      </c>
      <c r="V538" s="960" t="s">
        <v>4655</v>
      </c>
      <c r="Y538" s="1422"/>
      <c r="Z538" s="1423"/>
    </row>
    <row r="539" spans="1:26" ht="15.75">
      <c r="A539" s="728">
        <f>35.78*2</f>
        <v>71.56</v>
      </c>
      <c r="H539" s="958">
        <f>32.2*0.4</f>
        <v>12.880000000000003</v>
      </c>
      <c r="I539" s="958">
        <f>32.2*0.4</f>
        <v>12.880000000000003</v>
      </c>
      <c r="J539" s="958">
        <f>H539+I539</f>
        <v>25.760000000000005</v>
      </c>
      <c r="K539" s="958">
        <f>I539</f>
        <v>12.880000000000003</v>
      </c>
      <c r="L539" s="958">
        <f>H539</f>
        <v>12.880000000000003</v>
      </c>
      <c r="M539" s="730"/>
      <c r="N539" s="730"/>
      <c r="O539" s="984"/>
      <c r="P539" s="774"/>
      <c r="Q539" s="774"/>
      <c r="R539" s="789">
        <f>4.05*8*3.05</f>
        <v>98.82</v>
      </c>
      <c r="S539" s="789">
        <f>5.61*2*3.05</f>
        <v>34.220999999999997</v>
      </c>
      <c r="T539" s="984">
        <f>R539+S539</f>
        <v>133.041</v>
      </c>
      <c r="U539" s="789">
        <f>R539</f>
        <v>98.82</v>
      </c>
      <c r="V539" s="743">
        <f>S539</f>
        <v>34.220999999999997</v>
      </c>
      <c r="Y539" s="1422"/>
      <c r="Z539" s="1423"/>
    </row>
    <row r="540" spans="1:26" ht="15.75">
      <c r="A540" s="730"/>
      <c r="B540" s="730"/>
      <c r="H540" s="964"/>
      <c r="I540" s="964"/>
      <c r="J540" s="964"/>
      <c r="K540" s="964"/>
      <c r="L540" s="964"/>
      <c r="M540" s="730"/>
      <c r="N540" s="730"/>
      <c r="O540" s="989"/>
      <c r="P540" s="1097"/>
      <c r="Q540" s="1090">
        <f t="shared" ref="Q540:V540" si="79">Q539</f>
        <v>0</v>
      </c>
      <c r="R540" s="1042">
        <f t="shared" si="79"/>
        <v>98.82</v>
      </c>
      <c r="S540" s="1042">
        <f t="shared" si="79"/>
        <v>34.220999999999997</v>
      </c>
      <c r="T540" s="989">
        <f t="shared" si="79"/>
        <v>133.041</v>
      </c>
      <c r="U540" s="1042">
        <f t="shared" si="79"/>
        <v>98.82</v>
      </c>
      <c r="V540" s="990">
        <f t="shared" si="79"/>
        <v>34.220999999999997</v>
      </c>
      <c r="Y540" s="1422"/>
      <c r="Z540" s="1423"/>
    </row>
    <row r="541" spans="1:26" ht="15.75">
      <c r="A541" s="730"/>
      <c r="B541" s="730"/>
      <c r="H541" s="968"/>
      <c r="I541" s="968"/>
      <c r="J541" s="968"/>
      <c r="K541" s="913"/>
      <c r="L541" s="831"/>
      <c r="M541" s="730"/>
      <c r="N541" s="730"/>
      <c r="Y541" s="1422"/>
      <c r="Z541" s="1423"/>
    </row>
    <row r="542" spans="1:26" ht="15.75">
      <c r="A542" s="730"/>
      <c r="B542" s="730"/>
      <c r="H542" s="955" t="s">
        <v>4782</v>
      </c>
      <c r="I542" s="955"/>
      <c r="J542" s="956"/>
      <c r="N542" s="730"/>
      <c r="O542" s="955" t="s">
        <v>4783</v>
      </c>
      <c r="P542" s="955"/>
      <c r="Q542" s="956"/>
      <c r="Y542" s="1422"/>
      <c r="Z542" s="1423"/>
    </row>
    <row r="543" spans="1:26" ht="30">
      <c r="A543" s="942"/>
      <c r="B543" s="1398"/>
      <c r="H543" s="960" t="s">
        <v>4652</v>
      </c>
      <c r="I543" s="960" t="s">
        <v>4653</v>
      </c>
      <c r="J543" s="970" t="s">
        <v>4647</v>
      </c>
      <c r="K543" s="960" t="s">
        <v>4654</v>
      </c>
      <c r="L543" s="960" t="s">
        <v>4655</v>
      </c>
      <c r="M543" s="985" t="s">
        <v>4274</v>
      </c>
      <c r="N543" s="730"/>
      <c r="O543" s="960" t="s">
        <v>4660</v>
      </c>
      <c r="P543" s="978" t="s">
        <v>515</v>
      </c>
      <c r="Q543" s="979" t="s">
        <v>4661</v>
      </c>
      <c r="R543" s="960" t="s">
        <v>4652</v>
      </c>
      <c r="S543" s="960" t="s">
        <v>4653</v>
      </c>
      <c r="T543" s="980" t="s">
        <v>4612</v>
      </c>
      <c r="U543" s="960" t="s">
        <v>4654</v>
      </c>
      <c r="V543" s="960" t="s">
        <v>4655</v>
      </c>
      <c r="Y543" s="1422"/>
      <c r="Z543" s="1423"/>
    </row>
    <row r="544" spans="1:26" ht="15.75">
      <c r="A544" s="943"/>
      <c r="B544" s="1109"/>
      <c r="C544" s="797"/>
      <c r="H544" s="984">
        <f>25.22*2*0.4+39*0.3+15.15*2*0.4*2</f>
        <v>56.116</v>
      </c>
      <c r="I544" s="986">
        <f>27.61*0.6*2+23.15*0.45</f>
        <v>43.549499999999995</v>
      </c>
      <c r="J544" s="987">
        <f>H544+I544</f>
        <v>99.665499999999994</v>
      </c>
      <c r="K544" s="987">
        <f>I544</f>
        <v>43.549499999999995</v>
      </c>
      <c r="L544" s="987">
        <f>H544</f>
        <v>56.116</v>
      </c>
      <c r="M544" s="1098"/>
      <c r="N544" s="730"/>
      <c r="O544" s="984"/>
      <c r="P544" s="774"/>
      <c r="Q544" s="774"/>
      <c r="R544" s="743">
        <f>2*3.05</f>
        <v>6.1</v>
      </c>
      <c r="S544" s="926">
        <f>3*3.05</f>
        <v>9.1499999999999986</v>
      </c>
      <c r="T544" s="743">
        <f>R544+S544</f>
        <v>15.249999999999998</v>
      </c>
      <c r="U544" s="789">
        <f>S544</f>
        <v>9.1499999999999986</v>
      </c>
      <c r="V544" s="743">
        <f>R544</f>
        <v>6.1</v>
      </c>
      <c r="Y544" s="730"/>
      <c r="Z544" s="730"/>
    </row>
    <row r="545" spans="1:26" ht="15.75">
      <c r="A545" s="943"/>
      <c r="B545" s="1109"/>
      <c r="H545" s="1137">
        <f t="shared" ref="H545:M545" si="80">H544</f>
        <v>56.116</v>
      </c>
      <c r="I545" s="1138">
        <f t="shared" si="80"/>
        <v>43.549499999999995</v>
      </c>
      <c r="J545" s="1137">
        <f t="shared" si="80"/>
        <v>99.665499999999994</v>
      </c>
      <c r="K545" s="1139">
        <f t="shared" si="80"/>
        <v>43.549499999999995</v>
      </c>
      <c r="L545" s="1139">
        <f t="shared" si="80"/>
        <v>56.116</v>
      </c>
      <c r="M545" s="1140">
        <f t="shared" si="80"/>
        <v>0</v>
      </c>
      <c r="O545" s="1137"/>
      <c r="P545" s="1141"/>
      <c r="Q545" s="1142">
        <f t="shared" ref="Q545:V545" si="81">Q544</f>
        <v>0</v>
      </c>
      <c r="R545" s="1138">
        <f t="shared" si="81"/>
        <v>6.1</v>
      </c>
      <c r="S545" s="1143">
        <f t="shared" si="81"/>
        <v>9.1499999999999986</v>
      </c>
      <c r="T545" s="1143">
        <f t="shared" si="81"/>
        <v>15.249999999999998</v>
      </c>
      <c r="U545" s="1143">
        <f t="shared" si="81"/>
        <v>9.1499999999999986</v>
      </c>
      <c r="V545" s="1138">
        <f t="shared" si="81"/>
        <v>6.1</v>
      </c>
      <c r="Y545" s="730"/>
      <c r="Z545" s="730"/>
    </row>
    <row r="546" spans="1:26" s="730" customFormat="1" ht="15.75">
      <c r="B546" s="1399"/>
      <c r="H546" s="968"/>
      <c r="I546" s="1109"/>
      <c r="J546" s="968"/>
      <c r="K546" s="1085"/>
      <c r="L546" s="1085"/>
      <c r="M546" s="1144"/>
      <c r="O546" s="968"/>
      <c r="P546" s="913"/>
      <c r="Q546" s="831"/>
      <c r="R546" s="1109"/>
      <c r="S546" s="1108"/>
      <c r="T546" s="1108"/>
      <c r="U546" s="1108"/>
      <c r="V546" s="1109"/>
    </row>
    <row r="547" spans="1:26" s="730" customFormat="1" ht="15.75">
      <c r="H547" s="968"/>
      <c r="I547" s="1109"/>
      <c r="J547" s="968"/>
      <c r="K547" s="1085"/>
      <c r="L547" s="1085"/>
      <c r="M547" s="1144"/>
      <c r="O547" s="955" t="s">
        <v>4666</v>
      </c>
      <c r="P547" s="955"/>
      <c r="Q547" s="956"/>
      <c r="R547" s="728"/>
      <c r="S547" s="728"/>
      <c r="T547" s="728"/>
      <c r="U547" s="728"/>
      <c r="V547" s="728"/>
    </row>
    <row r="548" spans="1:26" s="730" customFormat="1" ht="30">
      <c r="H548" s="968"/>
      <c r="I548" s="1109"/>
      <c r="J548" s="968"/>
      <c r="K548" s="1085"/>
      <c r="L548" s="1085"/>
      <c r="M548" s="1144"/>
      <c r="O548" s="960" t="s">
        <v>4652</v>
      </c>
      <c r="P548" s="960" t="s">
        <v>4653</v>
      </c>
      <c r="Q548" s="970" t="s">
        <v>4647</v>
      </c>
      <c r="R548" s="960" t="s">
        <v>4654</v>
      </c>
      <c r="S548" s="960" t="s">
        <v>4655</v>
      </c>
      <c r="T548" s="985" t="s">
        <v>4274</v>
      </c>
      <c r="U548" s="960"/>
      <c r="V548" s="960"/>
    </row>
    <row r="549" spans="1:26" s="730" customFormat="1">
      <c r="H549" s="968"/>
      <c r="I549" s="1109"/>
      <c r="J549" s="968"/>
      <c r="K549" s="1085"/>
      <c r="L549" s="1085"/>
      <c r="M549" s="1144"/>
      <c r="O549" s="984"/>
      <c r="P549" s="986">
        <f>2.4*0.5*2*4+1.2*0.5*2*4+2.4*0.15*4+1.2*0.15*4</f>
        <v>16.559999999999999</v>
      </c>
      <c r="Q549" s="987">
        <f>O549+P549</f>
        <v>16.559999999999999</v>
      </c>
      <c r="R549" s="987">
        <f>P549</f>
        <v>16.559999999999999</v>
      </c>
      <c r="S549" s="987">
        <f>O549</f>
        <v>0</v>
      </c>
      <c r="T549" s="1098"/>
      <c r="U549" s="789"/>
      <c r="V549" s="743"/>
    </row>
    <row r="550" spans="1:26" s="730" customFormat="1">
      <c r="H550" s="968"/>
      <c r="I550" s="1109"/>
      <c r="J550" s="968"/>
      <c r="K550" s="1085"/>
      <c r="L550" s="1085"/>
      <c r="M550" s="1144"/>
      <c r="O550" s="989">
        <f t="shared" ref="O550:T550" si="82">O549</f>
        <v>0</v>
      </c>
      <c r="P550" s="990">
        <f t="shared" si="82"/>
        <v>16.559999999999999</v>
      </c>
      <c r="Q550" s="989">
        <f t="shared" si="82"/>
        <v>16.559999999999999</v>
      </c>
      <c r="R550" s="991">
        <f t="shared" si="82"/>
        <v>16.559999999999999</v>
      </c>
      <c r="S550" s="991">
        <f t="shared" si="82"/>
        <v>0</v>
      </c>
      <c r="T550" s="1087">
        <f t="shared" si="82"/>
        <v>0</v>
      </c>
      <c r="U550" s="1143"/>
      <c r="V550" s="1138"/>
    </row>
    <row r="551" spans="1:26" s="730" customFormat="1" ht="15.75">
      <c r="H551" s="968"/>
      <c r="I551" s="1109"/>
      <c r="J551" s="968"/>
      <c r="K551" s="1085"/>
      <c r="L551" s="1085"/>
      <c r="M551" s="1144"/>
      <c r="O551" s="968"/>
      <c r="P551" s="913"/>
      <c r="Q551" s="831"/>
      <c r="R551" s="1109"/>
      <c r="S551" s="1108"/>
      <c r="T551" s="1108"/>
      <c r="U551" s="1108"/>
      <c r="V551" s="1109"/>
    </row>
    <row r="552" spans="1:26">
      <c r="Y552" s="730"/>
      <c r="Z552" s="730"/>
    </row>
    <row r="553" spans="1:26">
      <c r="A553" s="997"/>
      <c r="B553" s="997"/>
      <c r="C553" s="997"/>
      <c r="D553" s="997"/>
      <c r="E553" s="997"/>
      <c r="F553" s="997"/>
      <c r="G553" s="997"/>
      <c r="H553" s="997"/>
      <c r="I553" s="997"/>
      <c r="J553" s="997"/>
      <c r="K553" s="997"/>
      <c r="L553" s="997"/>
      <c r="M553" s="997"/>
      <c r="N553" s="997"/>
      <c r="O553" s="997"/>
      <c r="P553" s="997"/>
      <c r="Q553" s="997"/>
      <c r="R553" s="997"/>
      <c r="Y553" s="730"/>
      <c r="Z553" s="730"/>
    </row>
    <row r="554" spans="1:26">
      <c r="A554" s="733"/>
      <c r="B554" s="733"/>
      <c r="C554" s="733"/>
      <c r="D554" s="733"/>
      <c r="E554" s="733"/>
      <c r="F554" s="733"/>
      <c r="G554" s="733"/>
      <c r="H554" s="733"/>
      <c r="I554" s="733"/>
      <c r="J554" s="733"/>
      <c r="K554" s="733"/>
      <c r="L554" s="733"/>
      <c r="M554" s="733"/>
      <c r="N554" s="733"/>
      <c r="O554" s="733"/>
      <c r="P554" s="733"/>
      <c r="Q554" s="733"/>
      <c r="R554" s="733"/>
      <c r="Y554" s="730"/>
      <c r="Z554" s="730"/>
    </row>
    <row r="555" spans="1:26">
      <c r="A555" s="733"/>
      <c r="B555" s="733"/>
      <c r="C555" s="733"/>
      <c r="D555" s="733"/>
      <c r="J555" s="733"/>
      <c r="K555" s="733"/>
      <c r="L555" s="733"/>
      <c r="M555" s="733"/>
      <c r="N555" s="733"/>
      <c r="O555" s="733"/>
      <c r="P555" s="733"/>
      <c r="Q555" s="733"/>
      <c r="R555" s="733"/>
      <c r="Y555" s="730"/>
      <c r="Z555" s="730"/>
    </row>
    <row r="556" spans="1:26" ht="20.25">
      <c r="A556" s="733"/>
      <c r="B556" s="733"/>
      <c r="C556" s="733"/>
      <c r="D556" s="733"/>
      <c r="E556" s="1872" t="s">
        <v>4784</v>
      </c>
      <c r="F556" s="1872"/>
      <c r="G556" s="1872"/>
      <c r="H556" s="1872"/>
      <c r="I556" s="1872"/>
      <c r="J556" s="733"/>
      <c r="K556" s="733"/>
      <c r="L556" s="733"/>
      <c r="M556" s="733"/>
      <c r="N556" s="733"/>
      <c r="O556" s="733"/>
      <c r="P556" s="733"/>
      <c r="Q556" s="733"/>
      <c r="R556" s="733"/>
      <c r="Y556" s="1424"/>
      <c r="Z556" s="1424"/>
    </row>
    <row r="557" spans="1:26">
      <c r="A557" s="733"/>
      <c r="E557" s="1046"/>
      <c r="F557" s="733"/>
      <c r="G557" s="733"/>
      <c r="H557" s="733"/>
      <c r="I557" s="733"/>
      <c r="J557" s="733"/>
      <c r="K557" s="733"/>
      <c r="L557" s="733"/>
      <c r="M557" s="733"/>
      <c r="N557" s="733"/>
      <c r="O557" s="733"/>
      <c r="P557" s="733"/>
      <c r="Q557" s="733"/>
      <c r="R557" s="733"/>
      <c r="Y557" s="1425"/>
      <c r="Z557" s="1083"/>
    </row>
    <row r="558" spans="1:26">
      <c r="A558" s="733"/>
      <c r="B558" s="733"/>
      <c r="C558" s="733"/>
      <c r="D558" s="733"/>
      <c r="E558" s="733"/>
      <c r="F558" s="733"/>
      <c r="G558" s="733"/>
      <c r="H558" s="733"/>
      <c r="I558" s="733"/>
      <c r="J558" s="733"/>
      <c r="K558" s="733"/>
      <c r="L558" s="733"/>
      <c r="M558" s="733"/>
      <c r="N558" s="733"/>
      <c r="O558" s="733"/>
      <c r="P558" s="733"/>
      <c r="Q558" s="733"/>
      <c r="R558" s="733"/>
      <c r="Y558" s="1425"/>
      <c r="Z558" s="1083"/>
    </row>
    <row r="559" spans="1:26" ht="15.75">
      <c r="A559" s="1827" t="s">
        <v>4785</v>
      </c>
      <c r="B559" s="1828"/>
      <c r="C559" s="1828"/>
      <c r="D559" s="1828"/>
      <c r="E559" s="1828"/>
      <c r="F559" s="1828"/>
      <c r="G559" s="1828"/>
      <c r="H559" s="1828"/>
      <c r="I559" s="1828"/>
      <c r="J559" s="1828"/>
      <c r="K559" s="1828"/>
      <c r="L559" s="1828"/>
      <c r="M559" s="1828"/>
      <c r="N559" s="733"/>
      <c r="O559" s="733"/>
      <c r="P559" s="733"/>
      <c r="Q559" s="733"/>
      <c r="R559" s="733"/>
      <c r="Y559" s="1425"/>
      <c r="Z559" s="1083"/>
    </row>
    <row r="560" spans="1:26" ht="47.25">
      <c r="A560" s="814" t="s">
        <v>4524</v>
      </c>
      <c r="B560" s="770" t="s">
        <v>4786</v>
      </c>
      <c r="C560" s="771" t="s">
        <v>4787</v>
      </c>
      <c r="D560" s="1000"/>
      <c r="E560" s="771"/>
      <c r="F560" s="771"/>
      <c r="G560" s="771" t="s">
        <v>4279</v>
      </c>
      <c r="H560" s="771" t="s">
        <v>4788</v>
      </c>
      <c r="I560" s="771" t="s">
        <v>4789</v>
      </c>
      <c r="J560" s="771" t="s">
        <v>4612</v>
      </c>
      <c r="K560" s="771" t="s">
        <v>4790</v>
      </c>
      <c r="L560" s="771"/>
      <c r="M560" s="771" t="s">
        <v>4791</v>
      </c>
      <c r="N560" s="771" t="s">
        <v>4792</v>
      </c>
      <c r="O560" s="771" t="s">
        <v>4793</v>
      </c>
      <c r="P560" s="771" t="s">
        <v>4794</v>
      </c>
      <c r="Q560" s="733"/>
      <c r="R560" s="733"/>
      <c r="Y560" s="1425"/>
      <c r="Z560" s="1083"/>
    </row>
    <row r="561" spans="1:26" ht="30.75">
      <c r="A561" s="1145" t="s">
        <v>4795</v>
      </c>
      <c r="B561" s="1146">
        <v>503.72</v>
      </c>
      <c r="C561" s="1146"/>
      <c r="D561" s="1147"/>
      <c r="E561" s="755"/>
      <c r="F561" s="1148"/>
      <c r="G561" s="1149">
        <f>152.85+6.3*2</f>
        <v>165.45</v>
      </c>
      <c r="H561" s="1149">
        <f t="shared" ref="H561:H566" si="83">B561</f>
        <v>503.72</v>
      </c>
      <c r="I561" s="1149"/>
      <c r="J561" s="1150">
        <f>I561*2</f>
        <v>0</v>
      </c>
      <c r="K561" s="1150"/>
      <c r="L561" s="1151"/>
      <c r="M561" s="835"/>
      <c r="N561" s="835">
        <f>H561</f>
        <v>503.72</v>
      </c>
      <c r="O561" s="835">
        <f>K561</f>
        <v>0</v>
      </c>
      <c r="P561" s="835"/>
      <c r="Q561" s="733"/>
      <c r="R561" s="733"/>
      <c r="Y561" s="1425"/>
      <c r="Z561" s="1083"/>
    </row>
    <row r="562" spans="1:26" ht="30.75">
      <c r="A562" s="1058" t="s">
        <v>4796</v>
      </c>
      <c r="B562" s="1146">
        <v>28</v>
      </c>
      <c r="C562" s="1146">
        <f>B562</f>
        <v>28</v>
      </c>
      <c r="D562" s="743"/>
      <c r="E562" s="743"/>
      <c r="F562" s="1152"/>
      <c r="G562" s="1149">
        <f>22.5+22.9*2</f>
        <v>68.3</v>
      </c>
      <c r="H562" s="1149">
        <f t="shared" si="83"/>
        <v>28</v>
      </c>
      <c r="I562" s="1149">
        <f>0.52*7.3*2+4.4*0.52*2</f>
        <v>12.167999999999999</v>
      </c>
      <c r="J562" s="1150">
        <f>K562</f>
        <v>29.016000000000002</v>
      </c>
      <c r="K562" s="1150">
        <f>I562*2+7.3*0.2*2+4.4*0.2*2</f>
        <v>29.016000000000002</v>
      </c>
      <c r="L562" s="1151"/>
      <c r="M562" s="835">
        <f>B562</f>
        <v>28</v>
      </c>
      <c r="N562" s="835">
        <f t="shared" ref="N562:N565" si="84">H562</f>
        <v>28</v>
      </c>
      <c r="O562" s="835">
        <f>K562</f>
        <v>29.016000000000002</v>
      </c>
      <c r="P562" s="835">
        <f>B562</f>
        <v>28</v>
      </c>
      <c r="Q562" s="733"/>
      <c r="R562" s="733"/>
      <c r="Y562" s="1425"/>
      <c r="Z562" s="1083"/>
    </row>
    <row r="563" spans="1:26" ht="30.75">
      <c r="A563" s="1058" t="s">
        <v>4797</v>
      </c>
      <c r="B563" s="1146">
        <f>38.4*2</f>
        <v>76.8</v>
      </c>
      <c r="C563" s="1146">
        <f>B563</f>
        <v>76.8</v>
      </c>
      <c r="D563" s="743"/>
      <c r="E563" s="743"/>
      <c r="F563" s="1153"/>
      <c r="G563" s="1154">
        <v>21.9</v>
      </c>
      <c r="H563" s="1155">
        <f t="shared" si="83"/>
        <v>76.8</v>
      </c>
      <c r="I563" s="1156">
        <f>3.9*4+0.9*8.7*2+8.7*0.5*2</f>
        <v>39.959999999999994</v>
      </c>
      <c r="J563" s="1150">
        <f t="shared" ref="J563:J565" si="85">K563</f>
        <v>11.760000000000002</v>
      </c>
      <c r="K563" s="1157">
        <f>8.7*0.2*4+6*0.2*4</f>
        <v>11.760000000000002</v>
      </c>
      <c r="L563" s="1158"/>
      <c r="M563" s="835">
        <f>B563</f>
        <v>76.8</v>
      </c>
      <c r="N563" s="835">
        <f t="shared" si="84"/>
        <v>76.8</v>
      </c>
      <c r="O563" s="835">
        <f t="shared" ref="O563:O565" si="86">K563</f>
        <v>11.760000000000002</v>
      </c>
      <c r="P563" s="835">
        <f>B563</f>
        <v>76.8</v>
      </c>
      <c r="Q563" s="733"/>
      <c r="R563" s="733"/>
      <c r="Y563" s="1426"/>
      <c r="Z563" s="1423"/>
    </row>
    <row r="564" spans="1:26" ht="15.75">
      <c r="A564" s="1058" t="s">
        <v>4798</v>
      </c>
      <c r="B564" s="1146">
        <f>5*8</f>
        <v>40</v>
      </c>
      <c r="C564" s="1146">
        <f>B564</f>
        <v>40</v>
      </c>
      <c r="D564" s="743"/>
      <c r="E564" s="743"/>
      <c r="F564" s="1153"/>
      <c r="G564" s="1154">
        <f>9.2+9.2*2</f>
        <v>27.599999999999998</v>
      </c>
      <c r="H564" s="1155">
        <f t="shared" si="83"/>
        <v>40</v>
      </c>
      <c r="I564" s="1156"/>
      <c r="J564" s="1150">
        <f t="shared" si="85"/>
        <v>0</v>
      </c>
      <c r="K564" s="1157"/>
      <c r="L564" s="1160"/>
      <c r="M564" s="835">
        <f>B564</f>
        <v>40</v>
      </c>
      <c r="N564" s="835">
        <f t="shared" si="84"/>
        <v>40</v>
      </c>
      <c r="O564" s="835">
        <f t="shared" si="86"/>
        <v>0</v>
      </c>
      <c r="P564" s="835">
        <f>B564</f>
        <v>40</v>
      </c>
      <c r="Q564" s="733"/>
      <c r="R564" s="733"/>
      <c r="Y564" s="917"/>
      <c r="Z564" s="1423"/>
    </row>
    <row r="565" spans="1:26" ht="15.75">
      <c r="A565" s="1058" t="s">
        <v>4799</v>
      </c>
      <c r="B565" s="1146">
        <v>25.27</v>
      </c>
      <c r="C565" s="1050"/>
      <c r="D565" s="743"/>
      <c r="E565" s="743"/>
      <c r="F565" s="1153"/>
      <c r="G565" s="1154">
        <v>20.420000000000002</v>
      </c>
      <c r="H565" s="1155">
        <f t="shared" si="83"/>
        <v>25.27</v>
      </c>
      <c r="I565" s="1156">
        <f>0.4*C498+0.4*C499+0.4*C500+0.4*C501+0.4*C516*2</f>
        <v>7.9</v>
      </c>
      <c r="J565" s="1150">
        <f t="shared" si="85"/>
        <v>18.762499999999999</v>
      </c>
      <c r="K565" s="1157">
        <f>19.75*0.15+I565*2</f>
        <v>18.762499999999999</v>
      </c>
      <c r="L565" s="1160"/>
      <c r="M565" s="835"/>
      <c r="N565" s="835">
        <f t="shared" si="84"/>
        <v>25.27</v>
      </c>
      <c r="O565" s="835">
        <f t="shared" si="86"/>
        <v>18.762499999999999</v>
      </c>
      <c r="P565" s="835">
        <f>B565</f>
        <v>25.27</v>
      </c>
      <c r="Q565" s="733"/>
      <c r="R565" s="733"/>
      <c r="Y565" s="917"/>
      <c r="Z565" s="1423"/>
    </row>
    <row r="566" spans="1:26" ht="15.75">
      <c r="A566" s="1629" t="s">
        <v>5403</v>
      </c>
      <c r="B566" s="1630">
        <f>8.3*0.5*2+5.4*0.5*2+8.7*0.5*2</f>
        <v>22.4</v>
      </c>
      <c r="C566" s="1146">
        <f>B566*2+8.3*0.1*2+5.4*0.1*2+8.7*0.1*2</f>
        <v>49.279999999999994</v>
      </c>
      <c r="D566" s="1631"/>
      <c r="E566" s="1631"/>
      <c r="F566" s="1153"/>
      <c r="G566" s="1632">
        <f>8.3*2+5.4*2+8.7*2</f>
        <v>44.8</v>
      </c>
      <c r="H566" s="1633">
        <f t="shared" si="83"/>
        <v>22.4</v>
      </c>
      <c r="I566" s="1156"/>
      <c r="J566" s="1634"/>
      <c r="K566" s="1157"/>
      <c r="L566" s="1635"/>
      <c r="M566" s="1636"/>
      <c r="N566" s="1636">
        <f>H566+1.2*0.5*4+2.4*0.5*4</f>
        <v>29.599999999999998</v>
      </c>
      <c r="O566" s="1636"/>
      <c r="P566" s="1636">
        <f>C566</f>
        <v>49.279999999999994</v>
      </c>
      <c r="Q566" s="733"/>
      <c r="R566" s="733"/>
      <c r="Y566" s="917"/>
      <c r="Z566" s="1423"/>
    </row>
    <row r="567" spans="1:26" ht="15.75">
      <c r="A567" s="1161" t="s">
        <v>518</v>
      </c>
      <c r="B567" s="1162">
        <f>SUM(B561:B566)</f>
        <v>696.18999999999994</v>
      </c>
      <c r="C567" s="1162">
        <f>SUM(C561:C566)</f>
        <v>194.08</v>
      </c>
      <c r="D567" s="1162">
        <f t="shared" ref="D567:L567" si="87">SUM(D561:D565)</f>
        <v>0</v>
      </c>
      <c r="E567" s="1162">
        <f t="shared" si="87"/>
        <v>0</v>
      </c>
      <c r="F567" s="1162">
        <f t="shared" si="87"/>
        <v>0</v>
      </c>
      <c r="G567" s="1162">
        <f>SUM(G561:G566)</f>
        <v>348.47</v>
      </c>
      <c r="H567" s="1162">
        <f>SUM(H561:H566)+J587</f>
        <v>727.63</v>
      </c>
      <c r="I567" s="1162">
        <f>SUM(I561:I566)</f>
        <v>60.027999999999992</v>
      </c>
      <c r="J567" s="1162">
        <f>SUM(J561:J566)</f>
        <v>59.538499999999999</v>
      </c>
      <c r="K567" s="1162">
        <f>SUM(K561:K566)</f>
        <v>59.538499999999999</v>
      </c>
      <c r="L567" s="1162">
        <f t="shared" si="87"/>
        <v>0</v>
      </c>
      <c r="M567" s="1162">
        <f>SUM(M561:M566)</f>
        <v>144.80000000000001</v>
      </c>
      <c r="N567" s="1162">
        <f>SUM(N561:N566)+I587+A537</f>
        <v>811.63</v>
      </c>
      <c r="O567" s="1162">
        <f>SUM(O561:O566)</f>
        <v>59.538499999999999</v>
      </c>
      <c r="P567" s="1162">
        <f>SUM(P561:P566)</f>
        <v>219.35000000000002</v>
      </c>
      <c r="Q567" s="733"/>
      <c r="R567" s="733"/>
      <c r="Y567" s="1419"/>
      <c r="Z567" s="1083"/>
    </row>
    <row r="568" spans="1:26" ht="15.75">
      <c r="A568" s="1163"/>
      <c r="B568" s="1163"/>
      <c r="C568" s="1163"/>
      <c r="D568" s="1163"/>
      <c r="E568" s="1163"/>
      <c r="F568" s="1163"/>
      <c r="G568" s="1163"/>
      <c r="H568" s="1163"/>
      <c r="I568" s="1163"/>
      <c r="J568" s="1163"/>
      <c r="K568" s="1163"/>
      <c r="L568" s="1163"/>
      <c r="M568" s="1163"/>
      <c r="N568" s="733"/>
      <c r="O568" s="733"/>
      <c r="P568" s="733"/>
      <c r="Q568" s="733"/>
      <c r="R568" s="733"/>
      <c r="Y568" s="1419"/>
      <c r="Z568" s="1423"/>
    </row>
    <row r="569" spans="1:26" ht="15.75">
      <c r="A569" s="733"/>
      <c r="B569" s="733"/>
      <c r="C569" s="733"/>
      <c r="D569" s="733"/>
      <c r="E569" s="733"/>
      <c r="F569" s="1035"/>
      <c r="G569" s="1035"/>
      <c r="H569" s="1035"/>
      <c r="I569" s="1035"/>
      <c r="J569" s="1035"/>
      <c r="K569" s="733"/>
      <c r="L569" s="733"/>
      <c r="M569" s="733"/>
      <c r="N569" s="733"/>
      <c r="O569" s="733"/>
      <c r="P569" s="733"/>
      <c r="Q569" s="733"/>
      <c r="R569" s="733"/>
      <c r="Y569" s="1419"/>
      <c r="Z569" s="1423"/>
    </row>
    <row r="570" spans="1:26" ht="15.75">
      <c r="A570" s="733"/>
      <c r="B570" s="733"/>
      <c r="C570" s="733"/>
      <c r="D570" s="733"/>
      <c r="E570" s="733"/>
      <c r="F570" s="1035"/>
      <c r="G570" s="1035"/>
      <c r="H570" s="1035"/>
      <c r="I570" s="1035"/>
      <c r="J570" s="1035"/>
      <c r="K570" s="733"/>
      <c r="L570" s="733"/>
      <c r="M570" s="733"/>
      <c r="N570" s="733"/>
      <c r="O570" s="733"/>
      <c r="P570" s="733"/>
      <c r="Q570" s="733"/>
      <c r="R570" s="733"/>
      <c r="Y570" s="1419"/>
      <c r="Z570" s="730"/>
    </row>
    <row r="571" spans="1:26" ht="15.75">
      <c r="A571" s="733"/>
      <c r="B571" s="733"/>
      <c r="C571" s="733"/>
      <c r="D571" s="733"/>
      <c r="E571" s="733"/>
      <c r="F571" s="1035"/>
      <c r="G571" s="1786" t="s">
        <v>4274</v>
      </c>
      <c r="H571" s="1786"/>
      <c r="I571" s="1786"/>
      <c r="J571" s="829"/>
      <c r="K571" s="1786" t="s">
        <v>4390</v>
      </c>
      <c r="L571" s="1786"/>
      <c r="M571" s="1786"/>
      <c r="N571" s="733"/>
      <c r="O571" s="733"/>
      <c r="P571" s="733"/>
      <c r="Q571" s="733"/>
      <c r="R571" s="733"/>
      <c r="Y571" s="1419"/>
      <c r="Z571" s="1420"/>
    </row>
    <row r="572" spans="1:26" ht="15.75">
      <c r="A572" s="733"/>
      <c r="B572" s="733"/>
      <c r="C572" s="733"/>
      <c r="D572" s="733"/>
      <c r="E572" s="733"/>
      <c r="F572" s="1035"/>
      <c r="G572" s="739" t="s">
        <v>4217</v>
      </c>
      <c r="H572" s="739" t="s">
        <v>4627</v>
      </c>
      <c r="I572" s="739" t="s">
        <v>1752</v>
      </c>
      <c r="J572" s="1114"/>
      <c r="K572" s="739" t="s">
        <v>4217</v>
      </c>
      <c r="L572" s="739" t="s">
        <v>4627</v>
      </c>
      <c r="M572" s="739" t="s">
        <v>1752</v>
      </c>
      <c r="N572" s="733"/>
      <c r="O572" s="733"/>
      <c r="P572" s="733"/>
      <c r="Q572" s="733"/>
      <c r="R572" s="733"/>
      <c r="Y572" s="1419"/>
      <c r="Z572" s="1420"/>
    </row>
    <row r="573" spans="1:26" ht="15.75">
      <c r="A573" s="733"/>
      <c r="B573" s="1165"/>
      <c r="C573" s="1165"/>
      <c r="D573" s="1165"/>
      <c r="E573" s="1165"/>
      <c r="F573" s="1035"/>
      <c r="G573" s="924" t="s">
        <v>4630</v>
      </c>
      <c r="H573" s="1427">
        <f>50.45*4+9.3*8+3.8*4+8*0.4*2+2.6*8*4+3.3*16+8*1+22.4*2+4.16*2+4.4*4+7.3*4+4*0.5+4*0.5+8.7*8+5.6*4+5.6*4+0.9*4+0.5*4+2.8*4+2.8*4+1.6*4+1.5*4+1.2*4*4+2.4*8+0.6*8+3.6*4+1.2*4+2.1*2+1.2*8+3.6*4+8+2.2*4+8.3*4+5.4*4+8.7*4+2.65*4*8+2.4*4*4+0.15*2*4+1.2*2*4+0.15*2*4</f>
        <v>1032.72</v>
      </c>
      <c r="I573" s="908"/>
      <c r="J573" s="1114"/>
      <c r="K573" s="924" t="s">
        <v>4632</v>
      </c>
      <c r="L573" s="1427">
        <f>1.5+1.2*8+2.4*4+0.6*8+3.6*2+1.2*2+1.5+16*1.8</f>
        <v>65.400000000000006</v>
      </c>
      <c r="M573" s="908"/>
      <c r="N573" s="733"/>
      <c r="O573" s="733"/>
      <c r="P573" s="733"/>
      <c r="Q573" s="733"/>
      <c r="R573" s="733"/>
      <c r="Y573" s="1421"/>
      <c r="Z573" s="1083"/>
    </row>
    <row r="574" spans="1:26" ht="15.75">
      <c r="A574" s="733"/>
      <c r="B574" s="1165"/>
      <c r="C574" s="1165"/>
      <c r="D574" s="1165"/>
      <c r="E574" s="1165"/>
      <c r="F574" s="1035"/>
      <c r="G574" s="927" t="s">
        <v>518</v>
      </c>
      <c r="H574" s="927"/>
      <c r="I574" s="928">
        <f>I573+I601+I605+F610+F616</f>
        <v>0</v>
      </c>
      <c r="J574" s="1114"/>
      <c r="K574" s="924" t="s">
        <v>4631</v>
      </c>
      <c r="L574" s="840"/>
      <c r="M574" s="926"/>
      <c r="N574" s="733"/>
      <c r="O574" s="733"/>
      <c r="P574" s="733"/>
      <c r="Q574" s="733"/>
      <c r="R574" s="733"/>
      <c r="Y574" s="730"/>
      <c r="Z574" s="730"/>
    </row>
    <row r="575" spans="1:26" ht="15.75">
      <c r="A575" s="733"/>
      <c r="B575" s="1101" t="s">
        <v>4800</v>
      </c>
      <c r="C575" s="1102"/>
      <c r="D575" s="1079"/>
      <c r="E575" s="1079"/>
      <c r="F575" s="1035"/>
      <c r="G575" s="1088"/>
      <c r="H575" s="1089"/>
      <c r="I575" s="918"/>
      <c r="J575" s="1114"/>
      <c r="K575" s="927" t="s">
        <v>518</v>
      </c>
      <c r="L575" s="927"/>
      <c r="M575" s="928"/>
      <c r="N575" s="733"/>
      <c r="O575" s="733"/>
      <c r="P575" s="733"/>
      <c r="Q575" s="733"/>
      <c r="R575" s="733"/>
      <c r="Y575" s="730"/>
      <c r="Z575" s="730"/>
    </row>
    <row r="576" spans="1:26" ht="15" customHeight="1">
      <c r="A576" s="733"/>
      <c r="B576" s="1103" t="s">
        <v>4670</v>
      </c>
      <c r="C576" s="1166">
        <f>M504+M521+K533+L539+K544+U539+U544+O567+L587</f>
        <v>441.72279999999995</v>
      </c>
      <c r="D576" s="1080"/>
      <c r="E576" s="916"/>
      <c r="F576" s="1035"/>
      <c r="G576" s="1035"/>
      <c r="H576" s="1035"/>
      <c r="I576" s="1035"/>
      <c r="J576" s="1035"/>
      <c r="K576" s="733"/>
      <c r="L576" s="733"/>
      <c r="M576" s="733"/>
      <c r="N576" s="733"/>
      <c r="O576" s="733"/>
      <c r="P576" s="733"/>
      <c r="Q576" s="733"/>
      <c r="R576" s="733"/>
      <c r="Y576" s="730"/>
      <c r="Z576" s="730"/>
    </row>
    <row r="577" spans="1:26" ht="31.5">
      <c r="A577" s="733"/>
      <c r="B577" s="1103" t="s">
        <v>4671</v>
      </c>
      <c r="C577" s="1166">
        <f>N504+N521+L533+K539+L544+V539+V544+K587</f>
        <v>912.94580000000019</v>
      </c>
      <c r="D577" s="1081"/>
      <c r="E577" s="1082"/>
      <c r="F577" s="1035"/>
      <c r="G577" s="1115" t="s">
        <v>4803</v>
      </c>
      <c r="H577" s="1035">
        <v>4.3</v>
      </c>
      <c r="I577" s="1035" t="s">
        <v>213</v>
      </c>
      <c r="J577" s="1035"/>
      <c r="K577" s="733"/>
      <c r="L577" s="733"/>
      <c r="M577" s="733"/>
      <c r="N577" s="733"/>
      <c r="O577" s="733"/>
      <c r="P577" s="733"/>
      <c r="Q577" s="733"/>
      <c r="R577" s="733"/>
      <c r="Y577" s="730"/>
      <c r="Z577" s="730"/>
    </row>
    <row r="578" spans="1:26" ht="15.75">
      <c r="A578" s="733"/>
      <c r="B578" s="789" t="s">
        <v>4674</v>
      </c>
      <c r="C578" s="1166">
        <f>P567+M567+B562+B563</f>
        <v>468.95000000000005</v>
      </c>
      <c r="D578" s="831"/>
      <c r="E578" s="832"/>
      <c r="F578" s="1035"/>
      <c r="G578" s="1115"/>
      <c r="H578" s="1035"/>
      <c r="I578" s="1035"/>
      <c r="J578" s="1035"/>
      <c r="K578" s="1786" t="s">
        <v>5223</v>
      </c>
      <c r="L578" s="1786"/>
      <c r="M578" s="1786"/>
      <c r="N578" s="733"/>
      <c r="O578" s="733"/>
      <c r="P578" s="733"/>
      <c r="Q578" s="733"/>
      <c r="R578" s="733"/>
      <c r="Y578" s="730"/>
      <c r="Z578" s="730"/>
    </row>
    <row r="579" spans="1:26" ht="15.75">
      <c r="A579" s="733"/>
      <c r="B579" s="1165"/>
      <c r="C579" s="1165"/>
      <c r="D579" s="1165"/>
      <c r="E579" s="1165"/>
      <c r="F579" s="1035"/>
      <c r="G579" s="1035"/>
      <c r="H579" s="1035"/>
      <c r="I579" s="1035"/>
      <c r="J579" s="1035"/>
      <c r="K579" s="739"/>
      <c r="L579" s="739">
        <f>6.7*4+3.1*4+16*3.02</f>
        <v>87.52000000000001</v>
      </c>
      <c r="M579" s="739" t="s">
        <v>1752</v>
      </c>
      <c r="N579" s="733"/>
      <c r="O579" s="733"/>
      <c r="P579" s="733"/>
      <c r="Q579" s="733"/>
      <c r="R579" s="733"/>
      <c r="Y579" s="730"/>
      <c r="Z579" s="730"/>
    </row>
    <row r="580" spans="1:26" ht="15.75">
      <c r="A580" s="733"/>
      <c r="B580" s="1165"/>
      <c r="C580" s="1165"/>
      <c r="D580" s="1165"/>
      <c r="E580" s="1165"/>
      <c r="F580" s="1035"/>
      <c r="G580" s="1035"/>
      <c r="H580" s="1035"/>
      <c r="I580" s="1035"/>
      <c r="J580" s="1035"/>
      <c r="K580" s="733"/>
      <c r="L580" s="733"/>
      <c r="M580" s="733"/>
      <c r="N580" s="733"/>
      <c r="O580" s="733"/>
      <c r="P580" s="733"/>
      <c r="Q580" s="733"/>
      <c r="R580" s="733"/>
      <c r="Y580" s="730"/>
      <c r="Z580" s="730"/>
    </row>
    <row r="581" spans="1:26" ht="15.75">
      <c r="A581" s="733"/>
      <c r="B581" s="1047" t="s">
        <v>4805</v>
      </c>
      <c r="C581" s="1047"/>
      <c r="D581" s="1047"/>
      <c r="E581" s="1113"/>
      <c r="F581" s="1035"/>
      <c r="G581" s="1035"/>
      <c r="H581" s="1035"/>
      <c r="I581" s="1035"/>
      <c r="J581" s="1035"/>
      <c r="K581" s="733"/>
      <c r="L581" s="733"/>
      <c r="M581" s="733"/>
      <c r="N581" s="733"/>
      <c r="O581" s="733"/>
      <c r="P581" s="733"/>
      <c r="Q581" s="733"/>
      <c r="R581" s="733"/>
      <c r="Y581" s="730"/>
      <c r="Z581" s="730"/>
    </row>
    <row r="582" spans="1:26" ht="15.75" customHeight="1">
      <c r="A582" s="733"/>
      <c r="B582" s="790" t="s">
        <v>4492</v>
      </c>
      <c r="C582" s="790" t="s">
        <v>4516</v>
      </c>
      <c r="D582" s="790"/>
      <c r="E582" s="829"/>
      <c r="F582" s="1035"/>
      <c r="G582" s="1035"/>
      <c r="H582" s="1035"/>
      <c r="I582" s="1035"/>
      <c r="J582" s="1035"/>
      <c r="K582" s="733"/>
      <c r="L582" s="733"/>
      <c r="M582" s="733"/>
      <c r="N582" s="733"/>
      <c r="O582" s="733"/>
      <c r="P582" s="733"/>
      <c r="Q582" s="733"/>
      <c r="R582" s="733"/>
      <c r="Y582" s="730"/>
      <c r="Z582" s="730"/>
    </row>
    <row r="583" spans="1:26" ht="47.25" customHeight="1">
      <c r="A583" s="733"/>
      <c r="B583" s="1427" t="s">
        <v>5104</v>
      </c>
      <c r="C583" s="746">
        <f>4*2.4*0.6</f>
        <v>5.76</v>
      </c>
      <c r="D583" s="793"/>
      <c r="E583" s="1167"/>
      <c r="F583" s="1035"/>
      <c r="G583" s="1035"/>
      <c r="H583" s="1035"/>
      <c r="I583" s="1035"/>
      <c r="J583" s="1035"/>
      <c r="K583" s="733"/>
      <c r="L583" s="733"/>
      <c r="M583" s="733"/>
      <c r="N583" s="733"/>
      <c r="O583" s="733"/>
      <c r="P583" s="733"/>
      <c r="Q583" s="733"/>
      <c r="R583" s="733"/>
      <c r="Y583" s="730"/>
      <c r="Z583" s="730"/>
    </row>
    <row r="584" spans="1:26" ht="43.5">
      <c r="A584" s="733"/>
      <c r="B584" s="1427" t="s">
        <v>5105</v>
      </c>
      <c r="C584" s="953">
        <f>4*1.2*0.6</f>
        <v>2.88</v>
      </c>
      <c r="D584" s="1168"/>
      <c r="E584" s="1167"/>
      <c r="G584" s="733"/>
      <c r="H584" s="733"/>
      <c r="I584" s="733"/>
      <c r="J584" s="733"/>
      <c r="K584" s="733"/>
      <c r="L584" s="733"/>
      <c r="M584" s="733"/>
      <c r="N584" s="733"/>
      <c r="O584" s="733"/>
      <c r="P584" s="733"/>
      <c r="Q584" s="733"/>
      <c r="R584" s="733"/>
      <c r="Y584" s="730"/>
      <c r="Z584" s="730"/>
    </row>
    <row r="585" spans="1:26" ht="29.25">
      <c r="B585" s="1427" t="s">
        <v>4806</v>
      </c>
      <c r="C585" s="746">
        <f>1.85*1.1</f>
        <v>2.0350000000000001</v>
      </c>
      <c r="D585" s="793"/>
      <c r="E585" s="1167"/>
      <c r="F585" s="1400" t="s">
        <v>5404</v>
      </c>
      <c r="G585" s="1030"/>
      <c r="H585" s="1030"/>
      <c r="I585" s="1079"/>
      <c r="J585" s="733"/>
      <c r="Y585" s="730"/>
      <c r="Z585" s="730"/>
    </row>
    <row r="586" spans="1:26" ht="15.75">
      <c r="B586" s="1169" t="s">
        <v>4721</v>
      </c>
      <c r="C586" s="1170">
        <f>SUM(C583:C585)</f>
        <v>10.675000000000001</v>
      </c>
      <c r="D586" s="1171">
        <f>SUM(D583:D585)</f>
        <v>0</v>
      </c>
      <c r="E586" s="1167"/>
      <c r="F586" s="1172" t="s">
        <v>4516</v>
      </c>
      <c r="G586" s="1172" t="s">
        <v>4613</v>
      </c>
      <c r="H586" s="1172" t="s">
        <v>4612</v>
      </c>
      <c r="I586" s="1172" t="s">
        <v>5405</v>
      </c>
      <c r="J586" s="1172" t="s">
        <v>5094</v>
      </c>
      <c r="K586" s="739" t="s">
        <v>4550</v>
      </c>
      <c r="L586" s="1172" t="s">
        <v>4526</v>
      </c>
      <c r="Y586" s="730"/>
      <c r="Z586" s="730"/>
    </row>
    <row r="587" spans="1:26" ht="15.75">
      <c r="B587" s="910"/>
      <c r="C587" s="802"/>
      <c r="D587" s="803"/>
      <c r="E587" s="1167"/>
      <c r="F587" s="1059">
        <f>2.62*0.75*2*8</f>
        <v>31.44</v>
      </c>
      <c r="G587" s="1059">
        <f>F587*2</f>
        <v>62.88</v>
      </c>
      <c r="H587" s="1059">
        <f>G587</f>
        <v>62.88</v>
      </c>
      <c r="I587" s="1059">
        <f>F587</f>
        <v>31.44</v>
      </c>
      <c r="J587" s="1059">
        <f>I587</f>
        <v>31.44</v>
      </c>
      <c r="K587" s="1637">
        <f>F587</f>
        <v>31.44</v>
      </c>
      <c r="L587" s="1164">
        <f>K587</f>
        <v>31.44</v>
      </c>
      <c r="Y587" s="730"/>
      <c r="Z587" s="730"/>
    </row>
    <row r="588" spans="1:26" ht="15.75">
      <c r="E588" s="832"/>
      <c r="F588" s="1043"/>
      <c r="G588" s="1043"/>
      <c r="H588" s="1043"/>
      <c r="I588" s="1043"/>
      <c r="J588" s="1043"/>
      <c r="K588" s="1043"/>
      <c r="L588" s="1071"/>
      <c r="Y588" s="730"/>
      <c r="Z588" s="730"/>
    </row>
    <row r="589" spans="1:26">
      <c r="Y589" s="730"/>
      <c r="Z589" s="730"/>
    </row>
    <row r="590" spans="1:26">
      <c r="Y590" s="730"/>
      <c r="Z590" s="730"/>
    </row>
    <row r="591" spans="1:26">
      <c r="C591" s="801"/>
      <c r="D591" s="807"/>
      <c r="E591" s="807"/>
      <c r="F591" s="807"/>
      <c r="Y591" s="730"/>
      <c r="Z591" s="730"/>
    </row>
    <row r="592" spans="1:26" ht="15.75">
      <c r="B592" s="1055" t="s">
        <v>4807</v>
      </c>
      <c r="C592" s="1056"/>
      <c r="D592" s="1056"/>
      <c r="E592" s="1056"/>
      <c r="F592" s="1113"/>
      <c r="Y592" s="730"/>
      <c r="Z592" s="730"/>
    </row>
    <row r="593" spans="2:26" ht="15.75">
      <c r="B593" s="814" t="s">
        <v>4492</v>
      </c>
      <c r="C593" s="815" t="s">
        <v>515</v>
      </c>
      <c r="D593" s="814" t="s">
        <v>4527</v>
      </c>
      <c r="E593" s="814" t="s">
        <v>4516</v>
      </c>
      <c r="F593" s="818"/>
      <c r="Y593" s="730"/>
      <c r="Z593" s="730"/>
    </row>
    <row r="594" spans="2:26" ht="15.75">
      <c r="B594" s="1428" t="s">
        <v>5100</v>
      </c>
      <c r="C594" s="794">
        <v>2</v>
      </c>
      <c r="D594" s="745" t="s">
        <v>5099</v>
      </c>
      <c r="E594" s="953">
        <f>C594*2*1.8</f>
        <v>7.2</v>
      </c>
      <c r="F594" s="1173"/>
      <c r="Y594" s="730"/>
      <c r="Z594" s="730"/>
    </row>
    <row r="595" spans="2:26" ht="30">
      <c r="B595" s="1429" t="s">
        <v>5103</v>
      </c>
      <c r="C595" s="994">
        <v>2</v>
      </c>
      <c r="D595" s="745" t="s">
        <v>5102</v>
      </c>
      <c r="E595" s="994">
        <f>C595*1.6*2.1</f>
        <v>6.7200000000000006</v>
      </c>
      <c r="F595" s="1125"/>
      <c r="Y595" s="730"/>
      <c r="Z595" s="730"/>
    </row>
    <row r="596" spans="2:26" ht="15.75">
      <c r="B596" s="1430" t="s">
        <v>5101</v>
      </c>
      <c r="C596" s="1393">
        <v>1</v>
      </c>
      <c r="D596" s="745" t="s">
        <v>4734</v>
      </c>
      <c r="E596" s="1393">
        <f>C596*1*2.1</f>
        <v>2.1</v>
      </c>
      <c r="F596" s="1125"/>
      <c r="Y596" s="730"/>
      <c r="Z596" s="730"/>
    </row>
    <row r="597" spans="2:26" ht="15.75">
      <c r="B597" s="1069" t="s">
        <v>518</v>
      </c>
      <c r="C597" s="1070"/>
      <c r="D597" s="1071"/>
      <c r="E597" s="1072">
        <f>SUM(E594:E596)</f>
        <v>16.020000000000003</v>
      </c>
      <c r="F597" s="847"/>
      <c r="Y597" s="730"/>
      <c r="Z597" s="730"/>
    </row>
    <row r="598" spans="2:26" ht="15.75">
      <c r="B598" s="812"/>
      <c r="C598" s="812"/>
      <c r="D598" s="1174"/>
      <c r="E598" s="1175"/>
      <c r="F598" s="1125"/>
      <c r="Y598" s="730"/>
      <c r="Z598" s="730"/>
    </row>
    <row r="599" spans="2:26" ht="15.75">
      <c r="B599" s="812"/>
      <c r="C599" s="812"/>
      <c r="D599" s="1174"/>
      <c r="E599" s="1175"/>
      <c r="F599" s="1125"/>
      <c r="Y599" s="730"/>
      <c r="Z599" s="730"/>
    </row>
    <row r="600" spans="2:26">
      <c r="B600" s="807"/>
      <c r="C600" s="807"/>
      <c r="D600" s="807"/>
      <c r="E600" s="807"/>
      <c r="F600" s="730"/>
      <c r="Y600" s="730"/>
      <c r="Z600" s="730"/>
    </row>
    <row r="601" spans="2:26" ht="15.75">
      <c r="B601" s="812"/>
      <c r="C601" s="812"/>
      <c r="D601" s="1174"/>
      <c r="E601" s="1175"/>
      <c r="F601" s="1125"/>
      <c r="Y601" s="730"/>
      <c r="Z601" s="730"/>
    </row>
    <row r="602" spans="2:26">
      <c r="Y602" s="730"/>
      <c r="Z602" s="730"/>
    </row>
    <row r="603" spans="2:26">
      <c r="Y603" s="730"/>
      <c r="Z603" s="730"/>
    </row>
    <row r="604" spans="2:26">
      <c r="Y604" s="730"/>
      <c r="Z604" s="730"/>
    </row>
    <row r="605" spans="2:26">
      <c r="Y605" s="730"/>
      <c r="Z605" s="730"/>
    </row>
    <row r="606" spans="2:26">
      <c r="Y606" s="730"/>
      <c r="Z606" s="730"/>
    </row>
    <row r="607" spans="2:26">
      <c r="Y607" s="730"/>
      <c r="Z607" s="730"/>
    </row>
    <row r="608" spans="2:26">
      <c r="Y608" s="730"/>
      <c r="Z608" s="730"/>
    </row>
    <row r="609" spans="25:26">
      <c r="Y609" s="730"/>
      <c r="Z609" s="730"/>
    </row>
    <row r="610" spans="25:26">
      <c r="Y610" s="730"/>
      <c r="Z610" s="730"/>
    </row>
    <row r="611" spans="25:26">
      <c r="Y611" s="807"/>
      <c r="Z611" s="807"/>
    </row>
    <row r="612" spans="25:26">
      <c r="Y612" s="807"/>
      <c r="Z612" s="807"/>
    </row>
    <row r="613" spans="25:26">
      <c r="Y613" s="807"/>
      <c r="Z613" s="807"/>
    </row>
    <row r="614" spans="25:26">
      <c r="Y614" s="807"/>
      <c r="Z614" s="807"/>
    </row>
    <row r="615" spans="25:26">
      <c r="Y615" s="807"/>
      <c r="Z615" s="807"/>
    </row>
    <row r="616" spans="25:26">
      <c r="Y616" s="807"/>
      <c r="Z616" s="807"/>
    </row>
    <row r="617" spans="25:26">
      <c r="Y617" s="807"/>
      <c r="Z617" s="807"/>
    </row>
    <row r="618" spans="25:26">
      <c r="Y618" s="807"/>
      <c r="Z618" s="807"/>
    </row>
    <row r="619" spans="25:26">
      <c r="Y619" s="807"/>
      <c r="Z619" s="807"/>
    </row>
    <row r="620" spans="25:26">
      <c r="Y620" s="807"/>
      <c r="Z620" s="807"/>
    </row>
    <row r="621" spans="25:26">
      <c r="Y621" s="807"/>
      <c r="Z621" s="807"/>
    </row>
    <row r="622" spans="25:26">
      <c r="Y622" s="807"/>
      <c r="Z622" s="807"/>
    </row>
    <row r="623" spans="25:26">
      <c r="Y623" s="807"/>
      <c r="Z623" s="807"/>
    </row>
    <row r="624" spans="25:26">
      <c r="Y624" s="807"/>
      <c r="Z624" s="807"/>
    </row>
    <row r="625" spans="25:26">
      <c r="Y625" s="807"/>
      <c r="Z625" s="807"/>
    </row>
    <row r="626" spans="25:26">
      <c r="Y626" s="807"/>
      <c r="Z626" s="807"/>
    </row>
    <row r="627" spans="25:26">
      <c r="Y627" s="807"/>
      <c r="Z627" s="807"/>
    </row>
    <row r="628" spans="25:26">
      <c r="Y628" s="807"/>
      <c r="Z628" s="807"/>
    </row>
    <row r="629" spans="25:26">
      <c r="Y629" s="807"/>
      <c r="Z629" s="807"/>
    </row>
    <row r="630" spans="25:26">
      <c r="Y630" s="807"/>
      <c r="Z630" s="807"/>
    </row>
    <row r="631" spans="25:26">
      <c r="Y631" s="807"/>
      <c r="Z631" s="807"/>
    </row>
    <row r="632" spans="25:26">
      <c r="Y632" s="807"/>
      <c r="Z632" s="807"/>
    </row>
    <row r="633" spans="25:26">
      <c r="Y633" s="807"/>
      <c r="Z633" s="807"/>
    </row>
    <row r="634" spans="25:26">
      <c r="Y634" s="807"/>
      <c r="Z634" s="807"/>
    </row>
    <row r="635" spans="25:26">
      <c r="Y635" s="807"/>
      <c r="Z635" s="807"/>
    </row>
    <row r="636" spans="25:26">
      <c r="Y636" s="807"/>
      <c r="Z636" s="807"/>
    </row>
    <row r="637" spans="25:26">
      <c r="Y637" s="807"/>
      <c r="Z637" s="807"/>
    </row>
    <row r="638" spans="25:26">
      <c r="Y638" s="807"/>
      <c r="Z638" s="807"/>
    </row>
    <row r="639" spans="25:26">
      <c r="Y639" s="807"/>
      <c r="Z639" s="807"/>
    </row>
    <row r="640" spans="25:26">
      <c r="Y640" s="807"/>
      <c r="Z640" s="807"/>
    </row>
    <row r="641" spans="25:26">
      <c r="Y641" s="807"/>
      <c r="Z641" s="807"/>
    </row>
    <row r="642" spans="25:26">
      <c r="Y642" s="807"/>
      <c r="Z642" s="807"/>
    </row>
    <row r="643" spans="25:26">
      <c r="Y643" s="807"/>
      <c r="Z643" s="807"/>
    </row>
    <row r="644" spans="25:26">
      <c r="Y644" s="807"/>
      <c r="Z644" s="807"/>
    </row>
    <row r="645" spans="25:26">
      <c r="Y645" s="807"/>
      <c r="Z645" s="807"/>
    </row>
    <row r="646" spans="25:26">
      <c r="Y646" s="807"/>
      <c r="Z646" s="807"/>
    </row>
    <row r="647" spans="25:26">
      <c r="Y647" s="807"/>
      <c r="Z647" s="807"/>
    </row>
    <row r="648" spans="25:26">
      <c r="Y648" s="807"/>
      <c r="Z648" s="807"/>
    </row>
    <row r="649" spans="25:26">
      <c r="Y649" s="807"/>
      <c r="Z649" s="807"/>
    </row>
    <row r="650" spans="25:26">
      <c r="Y650" s="807"/>
      <c r="Z650" s="807"/>
    </row>
    <row r="651" spans="25:26">
      <c r="Y651" s="807"/>
      <c r="Z651" s="807"/>
    </row>
    <row r="652" spans="25:26">
      <c r="Y652" s="807"/>
      <c r="Z652" s="807"/>
    </row>
    <row r="653" spans="25:26">
      <c r="Y653" s="807"/>
      <c r="Z653" s="807"/>
    </row>
    <row r="654" spans="25:26">
      <c r="Y654" s="807"/>
      <c r="Z654" s="807"/>
    </row>
    <row r="655" spans="25:26">
      <c r="Y655" s="807"/>
      <c r="Z655" s="807"/>
    </row>
    <row r="656" spans="25:26">
      <c r="Y656" s="807"/>
      <c r="Z656" s="807"/>
    </row>
    <row r="657" spans="25:26">
      <c r="Y657" s="807"/>
      <c r="Z657" s="807"/>
    </row>
    <row r="658" spans="25:26">
      <c r="Y658" s="807"/>
      <c r="Z658" s="807"/>
    </row>
    <row r="659" spans="25:26">
      <c r="Y659" s="807"/>
      <c r="Z659" s="807"/>
    </row>
    <row r="660" spans="25:26">
      <c r="Y660" s="807"/>
      <c r="Z660" s="807"/>
    </row>
    <row r="661" spans="25:26">
      <c r="Y661" s="807"/>
      <c r="Z661" s="807"/>
    </row>
  </sheetData>
  <mergeCells count="150">
    <mergeCell ref="A533:B533"/>
    <mergeCell ref="E556:I556"/>
    <mergeCell ref="A559:M559"/>
    <mergeCell ref="G571:I571"/>
    <mergeCell ref="K571:M571"/>
    <mergeCell ref="A20:D20"/>
    <mergeCell ref="A21:D21"/>
    <mergeCell ref="A131:I131"/>
    <mergeCell ref="A75:L75"/>
    <mergeCell ref="A520:B520"/>
    <mergeCell ref="C520:D520"/>
    <mergeCell ref="A521:B521"/>
    <mergeCell ref="A528:N528"/>
    <mergeCell ref="A532:B532"/>
    <mergeCell ref="C532:D532"/>
    <mergeCell ref="A503:B503"/>
    <mergeCell ref="C503:D503"/>
    <mergeCell ref="A504:B504"/>
    <mergeCell ref="A507:N507"/>
    <mergeCell ref="I509:I519"/>
    <mergeCell ref="J509:J519"/>
    <mergeCell ref="M509:M519"/>
    <mergeCell ref="N509:N519"/>
    <mergeCell ref="A452:A454"/>
    <mergeCell ref="E484:I484"/>
    <mergeCell ref="A487:N487"/>
    <mergeCell ref="I489:I501"/>
    <mergeCell ref="J489:J501"/>
    <mergeCell ref="M489:M501"/>
    <mergeCell ref="N489:N501"/>
    <mergeCell ref="A434:C434"/>
    <mergeCell ref="A436:A437"/>
    <mergeCell ref="A450:C450"/>
    <mergeCell ref="E450:F450"/>
    <mergeCell ref="E464:P464"/>
    <mergeCell ref="E469:F469"/>
    <mergeCell ref="A412:B412"/>
    <mergeCell ref="C412:D412"/>
    <mergeCell ref="A413:B413"/>
    <mergeCell ref="A415:C415"/>
    <mergeCell ref="K416:M416"/>
    <mergeCell ref="O416:Q416"/>
    <mergeCell ref="A389:B389"/>
    <mergeCell ref="C389:D389"/>
    <mergeCell ref="A390:B390"/>
    <mergeCell ref="O394:P394"/>
    <mergeCell ref="K399:L399"/>
    <mergeCell ref="A405:N405"/>
    <mergeCell ref="A363:B363"/>
    <mergeCell ref="C363:D363"/>
    <mergeCell ref="A364:B364"/>
    <mergeCell ref="A367:N367"/>
    <mergeCell ref="I370:I386"/>
    <mergeCell ref="J370:J386"/>
    <mergeCell ref="M370:M386"/>
    <mergeCell ref="N370:N386"/>
    <mergeCell ref="A321:A323"/>
    <mergeCell ref="F340:J340"/>
    <mergeCell ref="A342:N342"/>
    <mergeCell ref="I344:I360"/>
    <mergeCell ref="J344:J360"/>
    <mergeCell ref="M344:M360"/>
    <mergeCell ref="N344:N360"/>
    <mergeCell ref="A305:A306"/>
    <mergeCell ref="A311:F311"/>
    <mergeCell ref="U311:W311"/>
    <mergeCell ref="A316:B316"/>
    <mergeCell ref="Y317:AA317"/>
    <mergeCell ref="A319:C319"/>
    <mergeCell ref="E319:F319"/>
    <mergeCell ref="A271:B271"/>
    <mergeCell ref="K273:L273"/>
    <mergeCell ref="A283:C283"/>
    <mergeCell ref="R301:S301"/>
    <mergeCell ref="A303:C303"/>
    <mergeCell ref="K287:L287"/>
    <mergeCell ref="N287:O287"/>
    <mergeCell ref="K288:L288"/>
    <mergeCell ref="N288:O288"/>
    <mergeCell ref="F278:Q278"/>
    <mergeCell ref="F283:G283"/>
    <mergeCell ref="A254:B254"/>
    <mergeCell ref="C254:D254"/>
    <mergeCell ref="A255:B255"/>
    <mergeCell ref="A263:N263"/>
    <mergeCell ref="A270:B270"/>
    <mergeCell ref="C270:D270"/>
    <mergeCell ref="A229:B229"/>
    <mergeCell ref="A232:N232"/>
    <mergeCell ref="I235:I251"/>
    <mergeCell ref="J235:J251"/>
    <mergeCell ref="M235:M251"/>
    <mergeCell ref="N235:N251"/>
    <mergeCell ref="C137:D137"/>
    <mergeCell ref="A207:N207"/>
    <mergeCell ref="I209:I225"/>
    <mergeCell ref="J209:J225"/>
    <mergeCell ref="M209:M225"/>
    <mergeCell ref="N209:N225"/>
    <mergeCell ref="A228:B228"/>
    <mergeCell ref="C228:D228"/>
    <mergeCell ref="C158:C160"/>
    <mergeCell ref="J162:Q162"/>
    <mergeCell ref="A164:D164"/>
    <mergeCell ref="I168:K168"/>
    <mergeCell ref="A195:B195"/>
    <mergeCell ref="E205:I205"/>
    <mergeCell ref="A1:J1"/>
    <mergeCell ref="C3:G3"/>
    <mergeCell ref="A6:D6"/>
    <mergeCell ref="A92:B92"/>
    <mergeCell ref="C92:D92"/>
    <mergeCell ref="A93:B93"/>
    <mergeCell ref="A99:N99"/>
    <mergeCell ref="I101:I120"/>
    <mergeCell ref="J101:J120"/>
    <mergeCell ref="K101:K119"/>
    <mergeCell ref="L101:L119"/>
    <mergeCell ref="A61:E61"/>
    <mergeCell ref="E73:I73"/>
    <mergeCell ref="I77:I91"/>
    <mergeCell ref="J77:J91"/>
    <mergeCell ref="K77:K91"/>
    <mergeCell ref="L77:L91"/>
    <mergeCell ref="A42:L42"/>
    <mergeCell ref="A47:B47"/>
    <mergeCell ref="S426:T426"/>
    <mergeCell ref="V426:W426"/>
    <mergeCell ref="S427:T427"/>
    <mergeCell ref="V427:W427"/>
    <mergeCell ref="K578:M578"/>
    <mergeCell ref="Y6:Z6"/>
    <mergeCell ref="A17:D17"/>
    <mergeCell ref="A18:D18"/>
    <mergeCell ref="A19:D19"/>
    <mergeCell ref="A22:L22"/>
    <mergeCell ref="A37:J37"/>
    <mergeCell ref="A51:D51"/>
    <mergeCell ref="F51:G51"/>
    <mergeCell ref="I51:J51"/>
    <mergeCell ref="F50:G50"/>
    <mergeCell ref="I50:J50"/>
    <mergeCell ref="A138:B138"/>
    <mergeCell ref="A142:C142"/>
    <mergeCell ref="I152:K152"/>
    <mergeCell ref="M152:O152"/>
    <mergeCell ref="A121:B121"/>
    <mergeCell ref="C121:D121"/>
    <mergeCell ref="A122:B122"/>
    <mergeCell ref="A137:B137"/>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422"/>
  <sheetViews>
    <sheetView topLeftCell="A1319" zoomScaleNormal="100" workbookViewId="0">
      <selection activeCell="G1331" sqref="G1331"/>
    </sheetView>
  </sheetViews>
  <sheetFormatPr baseColWidth="10" defaultColWidth="11.42578125" defaultRowHeight="15"/>
  <cols>
    <col min="1" max="1" width="11.42578125" style="728"/>
    <col min="2" max="2" width="21.7109375" style="728" customWidth="1"/>
    <col min="3" max="3" width="22.42578125" style="728" customWidth="1"/>
    <col min="4" max="4" width="13.28515625" style="728" customWidth="1"/>
    <col min="5" max="5" width="14.85546875" style="728" customWidth="1"/>
    <col min="6" max="6" width="22.85546875" style="728" customWidth="1"/>
    <col min="7" max="7" width="24.7109375" style="728" customWidth="1"/>
    <col min="8" max="8" width="16.7109375" style="728" customWidth="1"/>
    <col min="9" max="9" width="16.42578125" style="728" customWidth="1"/>
    <col min="10" max="10" width="15.42578125" style="728" customWidth="1"/>
    <col min="11" max="11" width="14.140625" style="728" bestFit="1" customWidth="1"/>
    <col min="12" max="18" width="11.42578125" style="728"/>
    <col min="19" max="19" width="30.5703125" style="728" customWidth="1"/>
    <col min="20" max="20" width="13" style="728" customWidth="1"/>
    <col min="21" max="16384" width="11.42578125" style="728"/>
  </cols>
  <sheetData>
    <row r="1" spans="1:17">
      <c r="A1" s="1908" t="s">
        <v>4808</v>
      </c>
      <c r="B1" s="1908"/>
      <c r="C1" s="1908"/>
      <c r="D1" s="1908"/>
      <c r="E1" s="1908"/>
      <c r="F1" s="1908"/>
      <c r="G1" s="1908"/>
      <c r="H1" s="1908"/>
      <c r="I1" s="1908"/>
      <c r="J1" s="1908"/>
      <c r="K1" s="1908"/>
      <c r="L1" s="1908"/>
      <c r="M1" s="1908"/>
      <c r="N1" s="1908"/>
      <c r="O1" s="1908"/>
      <c r="P1" s="1908"/>
      <c r="Q1" s="1908"/>
    </row>
    <row r="2" spans="1:17" ht="51">
      <c r="A2" s="1176" t="s">
        <v>4809</v>
      </c>
      <c r="B2" s="1176" t="s">
        <v>4810</v>
      </c>
      <c r="C2" s="1176" t="s">
        <v>4811</v>
      </c>
      <c r="D2" s="1176" t="s">
        <v>4544</v>
      </c>
      <c r="E2" s="1176" t="s">
        <v>4812</v>
      </c>
      <c r="F2" s="1176" t="s">
        <v>4813</v>
      </c>
      <c r="G2" s="1176" t="s">
        <v>4814</v>
      </c>
      <c r="H2" s="1177" t="s">
        <v>4815</v>
      </c>
      <c r="I2" s="1176" t="s">
        <v>4816</v>
      </c>
      <c r="J2" s="1176" t="s">
        <v>4817</v>
      </c>
      <c r="K2" s="1176" t="s">
        <v>4818</v>
      </c>
      <c r="L2" s="1176" t="s">
        <v>4819</v>
      </c>
      <c r="M2" s="1177" t="s">
        <v>4820</v>
      </c>
      <c r="N2" s="1176" t="s">
        <v>4821</v>
      </c>
      <c r="O2" s="1176" t="s">
        <v>4822</v>
      </c>
      <c r="P2" s="1177" t="s">
        <v>4815</v>
      </c>
      <c r="Q2" s="1177" t="s">
        <v>4816</v>
      </c>
    </row>
    <row r="3" spans="1:17">
      <c r="A3" s="1178" t="s">
        <v>4657</v>
      </c>
      <c r="B3" s="1179">
        <v>1</v>
      </c>
      <c r="C3" s="1180">
        <v>0.2</v>
      </c>
      <c r="D3" s="1181">
        <f>1/(C3*E3)</f>
        <v>24.999999999999996</v>
      </c>
      <c r="E3" s="1182">
        <v>0.2</v>
      </c>
      <c r="F3" s="1183">
        <v>4</v>
      </c>
      <c r="G3" s="1182">
        <f>D3-0.05+2*0.2+0.15</f>
        <v>25.499999999999993</v>
      </c>
      <c r="H3" s="1184">
        <f>ROUND(PI()*(((3/8)*0.0254)^2)/4*7.85*2204.6,2)</f>
        <v>1.23</v>
      </c>
      <c r="I3" s="1182">
        <f>((B3*H3*G3*F3)/100)*1.07</f>
        <v>1.3424219999999998</v>
      </c>
      <c r="J3" s="1182">
        <f>E3*D3*C3</f>
        <v>1</v>
      </c>
      <c r="K3" s="1185">
        <v>0.375</v>
      </c>
      <c r="L3" s="1186" t="s">
        <v>4823</v>
      </c>
      <c r="M3" s="1187">
        <v>0.2</v>
      </c>
      <c r="N3" s="1188">
        <f>ROUNDUP((D3/M3)+1,0)</f>
        <v>126</v>
      </c>
      <c r="O3" s="1189">
        <f>ROUND((2*(12*(3/8*0.0254)+0.2-0.025-0.025+0.2-0.025-0.025)),2)</f>
        <v>0.83</v>
      </c>
      <c r="P3" s="1184">
        <f>ROUND(PI()*(((3/8)*0.0254)^2)/4*7.85*2204.6,2)</f>
        <v>1.23</v>
      </c>
      <c r="Q3" s="1182">
        <f>((P3*O3*N3)/100)*1.07</f>
        <v>1.3763773799999999</v>
      </c>
    </row>
    <row r="4" spans="1:17">
      <c r="A4" s="1909"/>
      <c r="B4" s="1909"/>
      <c r="C4" s="1909"/>
      <c r="D4" s="1909"/>
      <c r="E4" s="1190"/>
      <c r="F4" s="1190"/>
      <c r="G4" s="1190"/>
      <c r="H4" s="1191"/>
      <c r="I4" s="1192">
        <f>I3</f>
        <v>1.3424219999999998</v>
      </c>
      <c r="J4" s="1192"/>
      <c r="K4" s="1190"/>
      <c r="L4" s="1193"/>
      <c r="M4" s="1191"/>
      <c r="N4" s="1193"/>
      <c r="O4" s="1193"/>
      <c r="P4" s="1191"/>
      <c r="Q4" s="1194">
        <f>Q3</f>
        <v>1.3763773799999999</v>
      </c>
    </row>
    <row r="6" spans="1:17" ht="15.75">
      <c r="D6" s="1909" t="s">
        <v>4824</v>
      </c>
      <c r="E6" s="1909"/>
      <c r="F6" s="1909"/>
      <c r="G6" s="1909"/>
      <c r="H6" s="1195">
        <f>I4+Q4</f>
        <v>2.7187993799999997</v>
      </c>
    </row>
    <row r="7" spans="1:17" ht="45">
      <c r="F7" s="1096" t="s">
        <v>4825</v>
      </c>
      <c r="G7" s="783">
        <f>VOLUMETRIA!Z42</f>
        <v>12.438800000000002</v>
      </c>
    </row>
    <row r="8" spans="1:17">
      <c r="F8" s="1096"/>
      <c r="G8" s="783"/>
    </row>
    <row r="9" spans="1:17">
      <c r="F9" s="1096"/>
      <c r="G9" s="783"/>
    </row>
    <row r="10" spans="1:17">
      <c r="F10" s="1096"/>
      <c r="G10" s="783"/>
    </row>
    <row r="11" spans="1:17">
      <c r="A11" s="1908" t="s">
        <v>5129</v>
      </c>
      <c r="B11" s="1908"/>
      <c r="C11" s="1908"/>
      <c r="D11" s="1908"/>
      <c r="E11" s="1908"/>
      <c r="F11" s="1908"/>
      <c r="G11" s="1908"/>
      <c r="H11" s="1908"/>
      <c r="I11" s="1908"/>
      <c r="J11" s="1908"/>
      <c r="K11" s="1908"/>
      <c r="L11" s="1908"/>
      <c r="M11" s="1908"/>
      <c r="N11" s="1908"/>
      <c r="O11" s="1908"/>
      <c r="P11" s="1908"/>
      <c r="Q11" s="1908"/>
    </row>
    <row r="12" spans="1:17" ht="51">
      <c r="A12" s="1176" t="s">
        <v>4809</v>
      </c>
      <c r="B12" s="1176" t="s">
        <v>4810</v>
      </c>
      <c r="C12" s="1176" t="s">
        <v>4811</v>
      </c>
      <c r="D12" s="1176" t="s">
        <v>4544</v>
      </c>
      <c r="E12" s="1176" t="s">
        <v>4812</v>
      </c>
      <c r="F12" s="1176" t="s">
        <v>4813</v>
      </c>
      <c r="G12" s="1176" t="s">
        <v>4814</v>
      </c>
      <c r="H12" s="1177" t="s">
        <v>4815</v>
      </c>
      <c r="I12" s="1176" t="s">
        <v>4816</v>
      </c>
      <c r="J12" s="1176" t="s">
        <v>4817</v>
      </c>
      <c r="K12" s="1176" t="s">
        <v>4818</v>
      </c>
      <c r="L12" s="1176" t="s">
        <v>4819</v>
      </c>
      <c r="M12" s="1177" t="s">
        <v>4820</v>
      </c>
      <c r="N12" s="1176" t="s">
        <v>4821</v>
      </c>
      <c r="O12" s="1176" t="s">
        <v>4822</v>
      </c>
      <c r="P12" s="1177" t="s">
        <v>4815</v>
      </c>
      <c r="Q12" s="1177" t="s">
        <v>4816</v>
      </c>
    </row>
    <row r="13" spans="1:17">
      <c r="A13" s="1178" t="s">
        <v>4657</v>
      </c>
      <c r="B13" s="1179">
        <v>1</v>
      </c>
      <c r="C13" s="1180">
        <v>0.15</v>
      </c>
      <c r="D13" s="1181">
        <f>1/(C13*E13)</f>
        <v>33.333333333333336</v>
      </c>
      <c r="E13" s="1182">
        <v>0.2</v>
      </c>
      <c r="F13" s="1183">
        <v>4</v>
      </c>
      <c r="G13" s="1182">
        <f>D13-0.05+2*0.2+0.15</f>
        <v>33.833333333333336</v>
      </c>
      <c r="H13" s="1184">
        <f>ROUND(PI()*(((3/8)*0.0254)^2)/4*7.85*2204.6,2)</f>
        <v>1.23</v>
      </c>
      <c r="I13" s="1182">
        <f>((B13*H13*G13*F13)/100)*1.07</f>
        <v>1.7811220000000001</v>
      </c>
      <c r="J13" s="1182">
        <f>E13*D13*C13</f>
        <v>1.0000000000000002</v>
      </c>
      <c r="K13" s="1185">
        <v>0.375</v>
      </c>
      <c r="L13" s="1186" t="s">
        <v>4823</v>
      </c>
      <c r="M13" s="1187">
        <v>0.2</v>
      </c>
      <c r="N13" s="1188">
        <f>ROUNDUP((D13/M13)+1,0)</f>
        <v>168</v>
      </c>
      <c r="O13" s="1189">
        <f>ROUND((2*(12*(3/8*0.0254)+0.2-0.025-0.025+0.2-0.025-0.025)),2)</f>
        <v>0.83</v>
      </c>
      <c r="P13" s="1184">
        <f>ROUND(PI()*(((3/8)*0.0254)^2)/4*7.85*2204.6,2)</f>
        <v>1.23</v>
      </c>
      <c r="Q13" s="1182">
        <f>((P13*O13*N13)/100)*1.07</f>
        <v>1.8351698399999998</v>
      </c>
    </row>
    <row r="14" spans="1:17">
      <c r="A14" s="1909"/>
      <c r="B14" s="1909"/>
      <c r="C14" s="1909"/>
      <c r="D14" s="1909"/>
      <c r="E14" s="1190"/>
      <c r="F14" s="1190"/>
      <c r="G14" s="1190"/>
      <c r="H14" s="1191"/>
      <c r="I14" s="1192">
        <f>I13</f>
        <v>1.7811220000000001</v>
      </c>
      <c r="J14" s="1192"/>
      <c r="K14" s="1190"/>
      <c r="L14" s="1193"/>
      <c r="M14" s="1191"/>
      <c r="N14" s="1193"/>
      <c r="O14" s="1193"/>
      <c r="P14" s="1191"/>
      <c r="Q14" s="1194">
        <f>Q13</f>
        <v>1.8351698399999998</v>
      </c>
    </row>
    <row r="16" spans="1:17" ht="15.75">
      <c r="D16" s="1909" t="s">
        <v>4824</v>
      </c>
      <c r="E16" s="1909"/>
      <c r="F16" s="1909"/>
      <c r="G16" s="1909"/>
      <c r="H16" s="1195">
        <f>I14+Q14</f>
        <v>3.6162918399999997</v>
      </c>
    </row>
    <row r="17" spans="1:17" ht="45">
      <c r="F17" s="1454" t="s">
        <v>5130</v>
      </c>
      <c r="G17" s="783">
        <f>VOLUMETRIA!Z43</f>
        <v>0.88140000000000007</v>
      </c>
    </row>
    <row r="18" spans="1:17">
      <c r="F18" s="1096"/>
      <c r="G18" s="783"/>
    </row>
    <row r="19" spans="1:17">
      <c r="F19" s="1096"/>
      <c r="G19" s="783"/>
    </row>
    <row r="20" spans="1:17">
      <c r="F20" s="1096"/>
      <c r="G20" s="783"/>
    </row>
    <row r="21" spans="1:17">
      <c r="F21" s="1096"/>
      <c r="G21" s="783"/>
    </row>
    <row r="22" spans="1:17">
      <c r="F22" s="1096"/>
      <c r="G22" s="783"/>
    </row>
    <row r="24" spans="1:17">
      <c r="A24" s="1908" t="s">
        <v>4826</v>
      </c>
      <c r="B24" s="1908"/>
      <c r="C24" s="1908"/>
      <c r="D24" s="1908"/>
      <c r="E24" s="1908"/>
      <c r="F24" s="1908"/>
      <c r="G24" s="1908"/>
      <c r="H24" s="1908"/>
      <c r="I24" s="1908"/>
      <c r="J24" s="1908"/>
      <c r="K24" s="1908"/>
      <c r="L24" s="1908"/>
      <c r="M24" s="1908"/>
      <c r="N24" s="1908"/>
      <c r="O24" s="1908"/>
      <c r="P24" s="1908"/>
      <c r="Q24" s="1908"/>
    </row>
    <row r="25" spans="1:17" ht="51">
      <c r="A25" s="1176" t="s">
        <v>4809</v>
      </c>
      <c r="B25" s="1176" t="s">
        <v>4810</v>
      </c>
      <c r="C25" s="1176" t="s">
        <v>4811</v>
      </c>
      <c r="D25" s="1176" t="s">
        <v>4544</v>
      </c>
      <c r="E25" s="1176" t="s">
        <v>4812</v>
      </c>
      <c r="F25" s="1176" t="s">
        <v>4813</v>
      </c>
      <c r="G25" s="1176" t="s">
        <v>4814</v>
      </c>
      <c r="H25" s="1177" t="s">
        <v>4815</v>
      </c>
      <c r="I25" s="1176" t="s">
        <v>4827</v>
      </c>
      <c r="J25" s="1176" t="s">
        <v>4817</v>
      </c>
      <c r="K25" s="1176" t="s">
        <v>4818</v>
      </c>
      <c r="L25" s="1176" t="s">
        <v>4819</v>
      </c>
      <c r="M25" s="1177" t="s">
        <v>4820</v>
      </c>
      <c r="N25" s="1176" t="s">
        <v>4821</v>
      </c>
      <c r="O25" s="1176" t="s">
        <v>4822</v>
      </c>
      <c r="P25" s="1177" t="s">
        <v>4815</v>
      </c>
      <c r="Q25" s="1177" t="s">
        <v>4816</v>
      </c>
    </row>
    <row r="26" spans="1:17">
      <c r="A26" s="1178" t="s">
        <v>4828</v>
      </c>
      <c r="B26" s="1179">
        <v>1</v>
      </c>
      <c r="C26" s="1180">
        <v>0.7</v>
      </c>
      <c r="D26" s="1181">
        <f>1/(C26*E26)</f>
        <v>4.0816326530612255</v>
      </c>
      <c r="E26" s="1182">
        <v>0.35</v>
      </c>
      <c r="F26" s="1183">
        <v>8</v>
      </c>
      <c r="G26" s="1182">
        <f>D26-0.05+2*0.25+1*L186</f>
        <v>5.0078826530612259</v>
      </c>
      <c r="H26" s="1184">
        <f>ROUND(PI()*(((1/2)*0.0254)^2)/4*7.85*2204.6,2)</f>
        <v>2.19</v>
      </c>
      <c r="I26" s="1182">
        <f>((B26*H26*G26*F26)/100)*1.07</f>
        <v>0.93879771367346965</v>
      </c>
      <c r="J26" s="1182">
        <f>E26*D26*C26</f>
        <v>1.0000000000000002</v>
      </c>
      <c r="K26" s="1185">
        <v>0.375</v>
      </c>
      <c r="L26" s="1186" t="s">
        <v>4823</v>
      </c>
      <c r="M26" s="1187">
        <v>0.15</v>
      </c>
      <c r="N26" s="1188">
        <f>(ROUNDUP((D26/M26)+1,0))*2</f>
        <v>58</v>
      </c>
      <c r="O26" s="1189">
        <f>ROUND((2*(12*(3/8*0.0254)+0.7-0.025-0.025+0.35-0.025-0.025)),2)</f>
        <v>2.13</v>
      </c>
      <c r="P26" s="1184">
        <f>ROUND(PI()*(((3/8)*0.0254)^2)/4*7.85*2204.6,2)</f>
        <v>1.23</v>
      </c>
      <c r="Q26" s="1182">
        <f>((P26*O26*N26)/100)*1.07</f>
        <v>1.6259099400000001</v>
      </c>
    </row>
    <row r="27" spans="1:17">
      <c r="A27" s="1909"/>
      <c r="B27" s="1909"/>
      <c r="C27" s="1909"/>
      <c r="D27" s="1909"/>
      <c r="E27" s="1190"/>
      <c r="F27" s="1190"/>
      <c r="G27" s="1190"/>
      <c r="H27" s="1191"/>
      <c r="I27" s="1192">
        <f>I26</f>
        <v>0.93879771367346965</v>
      </c>
      <c r="J27" s="1192"/>
      <c r="K27" s="1190"/>
      <c r="L27" s="1193"/>
      <c r="M27" s="1191"/>
      <c r="N27" s="1193"/>
      <c r="O27" s="1193"/>
      <c r="P27" s="1191"/>
      <c r="Q27" s="1194">
        <f>Q26</f>
        <v>1.6259099400000001</v>
      </c>
    </row>
    <row r="29" spans="1:17" ht="15.75">
      <c r="D29" s="1909" t="s">
        <v>4824</v>
      </c>
      <c r="E29" s="1909"/>
      <c r="F29" s="1909"/>
      <c r="G29" s="1909"/>
      <c r="H29" s="1195">
        <f>I27+Q27</f>
        <v>2.5647076536734699</v>
      </c>
    </row>
    <row r="30" spans="1:17" ht="30">
      <c r="F30" s="1096" t="s">
        <v>4829</v>
      </c>
      <c r="G30" s="783">
        <f>H30*0.7*0.35</f>
        <v>70.599199999999996</v>
      </c>
      <c r="H30" s="728">
        <f>293.35-5.19</f>
        <v>288.16000000000003</v>
      </c>
    </row>
    <row r="32" spans="1:17">
      <c r="A32" s="1908" t="s">
        <v>4830</v>
      </c>
      <c r="B32" s="1908"/>
      <c r="C32" s="1908"/>
      <c r="D32" s="1908"/>
      <c r="E32" s="1908"/>
      <c r="F32" s="1908"/>
      <c r="G32" s="1908"/>
      <c r="H32" s="1908"/>
      <c r="I32" s="1908"/>
      <c r="J32" s="1908"/>
      <c r="K32" s="1908"/>
      <c r="L32" s="1908"/>
      <c r="M32" s="1908"/>
      <c r="N32" s="1908"/>
      <c r="O32" s="1908"/>
      <c r="P32" s="1908"/>
      <c r="Q32" s="1908"/>
    </row>
    <row r="33" spans="1:17" ht="51">
      <c r="A33" s="1176" t="s">
        <v>4809</v>
      </c>
      <c r="B33" s="1176" t="s">
        <v>4810</v>
      </c>
      <c r="C33" s="1176" t="s">
        <v>4811</v>
      </c>
      <c r="D33" s="1176" t="s">
        <v>4544</v>
      </c>
      <c r="E33" s="1176" t="s">
        <v>4812</v>
      </c>
      <c r="F33" s="1176" t="s">
        <v>4813</v>
      </c>
      <c r="G33" s="1176" t="s">
        <v>4814</v>
      </c>
      <c r="H33" s="1177" t="s">
        <v>4815</v>
      </c>
      <c r="I33" s="1176" t="s">
        <v>4816</v>
      </c>
      <c r="J33" s="1176" t="s">
        <v>4817</v>
      </c>
      <c r="K33" s="1176" t="s">
        <v>4818</v>
      </c>
      <c r="L33" s="1176" t="s">
        <v>4819</v>
      </c>
      <c r="M33" s="1177" t="s">
        <v>4820</v>
      </c>
      <c r="N33" s="1176" t="s">
        <v>4821</v>
      </c>
      <c r="O33" s="1176" t="s">
        <v>4822</v>
      </c>
      <c r="P33" s="1177" t="s">
        <v>4815</v>
      </c>
      <c r="Q33" s="1177" t="s">
        <v>4816</v>
      </c>
    </row>
    <row r="34" spans="1:17">
      <c r="A34" s="1178" t="s">
        <v>4828</v>
      </c>
      <c r="B34" s="1179">
        <v>1</v>
      </c>
      <c r="C34" s="1180">
        <v>0.45</v>
      </c>
      <c r="D34" s="1181">
        <f>1/(C34*E34)</f>
        <v>8.8888888888888893</v>
      </c>
      <c r="E34" s="1182">
        <v>0.25</v>
      </c>
      <c r="F34" s="1183">
        <v>3</v>
      </c>
      <c r="G34" s="1182">
        <f>D34-0.05+2*0.2+1*D146</f>
        <v>9.7151388888888892</v>
      </c>
      <c r="H34" s="1184">
        <f>ROUND(PI()*(((3/8)*0.0254)^2)/4*7.85*2204.6,2)</f>
        <v>1.23</v>
      </c>
      <c r="I34" s="1182">
        <f>((B34*H34*G34*F34)/100)*1.07</f>
        <v>0.38358282875000005</v>
      </c>
      <c r="J34" s="1182">
        <f>E34*D34*C34</f>
        <v>1</v>
      </c>
      <c r="K34" s="1185">
        <v>0.375</v>
      </c>
      <c r="L34" s="1186" t="s">
        <v>4823</v>
      </c>
      <c r="M34" s="1187">
        <v>0.15</v>
      </c>
      <c r="N34" s="1188">
        <f>ROUNDUP((D34/M34)+1,0)</f>
        <v>61</v>
      </c>
      <c r="O34" s="1189">
        <f>ROUND((2*(12*(3/8*0.0254)+0.45-0.025-0.025+0.25-0.025-0.025)),2)</f>
        <v>1.43</v>
      </c>
      <c r="P34" s="1184">
        <f>ROUND(PI()*(((3/8)*0.0254)^2)/4*7.85*2204.6,2)</f>
        <v>1.23</v>
      </c>
      <c r="Q34" s="1182">
        <f>((P34*O34*N34)/100)*1.07</f>
        <v>1.1480340299999998</v>
      </c>
    </row>
    <row r="35" spans="1:17">
      <c r="A35" s="1909"/>
      <c r="B35" s="1909"/>
      <c r="C35" s="1909"/>
      <c r="D35" s="1909"/>
      <c r="E35" s="1190"/>
      <c r="F35" s="1190"/>
      <c r="G35" s="1190"/>
      <c r="H35" s="1191"/>
      <c r="I35" s="1192">
        <f>I34</f>
        <v>0.38358282875000005</v>
      </c>
      <c r="J35" s="1192"/>
      <c r="K35" s="1190"/>
      <c r="L35" s="1193"/>
      <c r="M35" s="1191"/>
      <c r="N35" s="1193"/>
      <c r="O35" s="1193"/>
      <c r="P35" s="1191"/>
      <c r="Q35" s="1194">
        <f>Q34</f>
        <v>1.1480340299999998</v>
      </c>
    </row>
    <row r="37" spans="1:17" ht="15.75">
      <c r="D37" s="1909" t="s">
        <v>4824</v>
      </c>
      <c r="E37" s="1909"/>
      <c r="F37" s="1909"/>
      <c r="G37" s="1909"/>
      <c r="H37" s="1195">
        <f>I35+Q35</f>
        <v>1.5316168587499999</v>
      </c>
    </row>
    <row r="38" spans="1:17" ht="30">
      <c r="F38" s="1096" t="s">
        <v>4831</v>
      </c>
      <c r="G38" s="783">
        <f>0.45*0.25*5.2</f>
        <v>0.58500000000000008</v>
      </c>
    </row>
    <row r="40" spans="1:17">
      <c r="A40" s="1908" t="s">
        <v>4832</v>
      </c>
      <c r="B40" s="1908"/>
      <c r="C40" s="1908"/>
      <c r="D40" s="1908"/>
      <c r="E40" s="1908"/>
      <c r="F40" s="1908"/>
      <c r="G40" s="1908"/>
      <c r="H40" s="1908"/>
      <c r="I40" s="1908"/>
      <c r="J40" s="1908"/>
      <c r="K40" s="1908"/>
      <c r="L40" s="1908"/>
      <c r="M40" s="1908"/>
      <c r="N40" s="1908"/>
      <c r="O40" s="1908"/>
      <c r="P40" s="1908"/>
      <c r="Q40" s="1908"/>
    </row>
    <row r="41" spans="1:17" ht="51">
      <c r="A41" s="1176" t="s">
        <v>4809</v>
      </c>
      <c r="B41" s="1176" t="s">
        <v>4810</v>
      </c>
      <c r="C41" s="1176" t="s">
        <v>4811</v>
      </c>
      <c r="D41" s="1176" t="s">
        <v>4544</v>
      </c>
      <c r="E41" s="1176" t="s">
        <v>4812</v>
      </c>
      <c r="F41" s="1176" t="s">
        <v>4813</v>
      </c>
      <c r="G41" s="1176" t="s">
        <v>4814</v>
      </c>
      <c r="H41" s="1177" t="s">
        <v>4815</v>
      </c>
      <c r="I41" s="1176" t="s">
        <v>4816</v>
      </c>
      <c r="J41" s="1176" t="s">
        <v>4817</v>
      </c>
      <c r="K41" s="1176" t="s">
        <v>4818</v>
      </c>
      <c r="L41" s="1176" t="s">
        <v>4819</v>
      </c>
      <c r="M41" s="1177" t="s">
        <v>4820</v>
      </c>
      <c r="N41" s="1176" t="s">
        <v>4821</v>
      </c>
      <c r="O41" s="1176" t="s">
        <v>4822</v>
      </c>
      <c r="P41" s="1177" t="s">
        <v>4815</v>
      </c>
      <c r="Q41" s="1177" t="s">
        <v>4816</v>
      </c>
    </row>
    <row r="42" spans="1:17">
      <c r="A42" s="1178" t="s">
        <v>4828</v>
      </c>
      <c r="B42" s="1179">
        <v>1</v>
      </c>
      <c r="C42" s="1180"/>
      <c r="D42" s="1181">
        <v>48</v>
      </c>
      <c r="E42" s="1182"/>
      <c r="F42" s="1183">
        <v>3</v>
      </c>
      <c r="G42" s="1182">
        <f>D42-0.05+2*0.2</f>
        <v>48.35</v>
      </c>
      <c r="H42" s="1184">
        <f>ROUND(PI()*(((3/8)*0.0254)^2)/4*7.85*2204.6,2)</f>
        <v>1.23</v>
      </c>
      <c r="I42" s="1182">
        <f>((B42*H42*G42*F42)/100)*1.07</f>
        <v>1.9090030499999999</v>
      </c>
      <c r="J42" s="1182">
        <f>(2.2*16+3.2*4)*0.45*0.17+D42*K46*2</f>
        <v>5.0592000000000006</v>
      </c>
      <c r="K42" s="1185">
        <v>0.375</v>
      </c>
      <c r="L42" s="1186" t="s">
        <v>4823</v>
      </c>
      <c r="M42" s="1187">
        <v>0.15</v>
      </c>
      <c r="N42" s="1188">
        <f>ROUNDUP((D42/M42)+2,0)</f>
        <v>322</v>
      </c>
      <c r="O42" s="1189">
        <f>0.45-0.025*2+0.2*2+0.25*2</f>
        <v>1.3</v>
      </c>
      <c r="P42" s="1184">
        <f>ROUND(PI()*(((3/8)*0.0254)^2)/4*7.85*2204.6,2)</f>
        <v>1.23</v>
      </c>
      <c r="Q42" s="1182">
        <f>((P42*O42*N42)/100)*1.07</f>
        <v>5.5091946000000007</v>
      </c>
    </row>
    <row r="43" spans="1:17">
      <c r="A43" s="1909"/>
      <c r="B43" s="1909"/>
      <c r="C43" s="1909"/>
      <c r="D43" s="1909"/>
      <c r="E43" s="1190"/>
      <c r="F43" s="1190"/>
      <c r="G43" s="1190"/>
      <c r="H43" s="1191"/>
      <c r="I43" s="1192">
        <f>I42</f>
        <v>1.9090030499999999</v>
      </c>
      <c r="J43" s="1192"/>
      <c r="K43" s="1190"/>
      <c r="L43" s="1193"/>
      <c r="M43" s="1191"/>
      <c r="N43" s="1193"/>
      <c r="O43" s="1193"/>
      <c r="P43" s="1191"/>
      <c r="Q43" s="1194">
        <f>Q42</f>
        <v>5.5091946000000007</v>
      </c>
    </row>
    <row r="45" spans="1:17" ht="15.75">
      <c r="D45" s="1909" t="s">
        <v>4824</v>
      </c>
      <c r="E45" s="1909"/>
      <c r="F45" s="1909"/>
      <c r="G45" s="1909"/>
      <c r="H45" s="1195">
        <f>I43+Q43</f>
        <v>7.4181976500000006</v>
      </c>
      <c r="I45" s="892" t="s">
        <v>4833</v>
      </c>
      <c r="K45" s="1196" t="s">
        <v>4834</v>
      </c>
    </row>
    <row r="46" spans="1:17" ht="30">
      <c r="F46" s="1096" t="s">
        <v>4835</v>
      </c>
      <c r="G46" s="728">
        <f>(1.2*32+4*3.2)*0.17*0.45+K46*G48</f>
        <v>4.6566400000000003</v>
      </c>
      <c r="H46" s="892">
        <f>H45/J42</f>
        <v>1.4662787891366222</v>
      </c>
      <c r="I46" s="892" t="s">
        <v>4836</v>
      </c>
      <c r="K46" s="1196">
        <f>(0.17*0.17)/2</f>
        <v>1.4450000000000003E-2</v>
      </c>
      <c r="L46" s="892" t="s">
        <v>213</v>
      </c>
    </row>
    <row r="47" spans="1:17">
      <c r="G47" s="728">
        <f>(1.2*32+4*3.2)*0.17*0.45+K46*G48</f>
        <v>4.6566400000000003</v>
      </c>
    </row>
    <row r="48" spans="1:17">
      <c r="G48" s="728">
        <f>1.2*32+4*3.2</f>
        <v>51.2</v>
      </c>
      <c r="H48" s="728" t="s">
        <v>1171</v>
      </c>
    </row>
    <row r="51" spans="1:17">
      <c r="G51" s="728">
        <f>2.59*16+3.2*4</f>
        <v>54.239999999999995</v>
      </c>
    </row>
    <row r="55" spans="1:17">
      <c r="A55" s="1908" t="s">
        <v>5063</v>
      </c>
      <c r="B55" s="1908"/>
      <c r="C55" s="1908"/>
      <c r="D55" s="1908"/>
      <c r="E55" s="1908"/>
      <c r="F55" s="1908"/>
      <c r="G55" s="1908"/>
      <c r="H55" s="1908"/>
      <c r="I55" s="1908"/>
      <c r="J55" s="1908"/>
      <c r="K55" s="1908"/>
      <c r="L55" s="1908"/>
      <c r="M55" s="1908"/>
      <c r="N55" s="1908"/>
      <c r="O55" s="1908"/>
      <c r="P55" s="1908"/>
      <c r="Q55" s="1908"/>
    </row>
    <row r="56" spans="1:17" ht="51">
      <c r="A56" s="1176" t="s">
        <v>4809</v>
      </c>
      <c r="B56" s="1176" t="s">
        <v>4810</v>
      </c>
      <c r="C56" s="1176" t="s">
        <v>4811</v>
      </c>
      <c r="D56" s="1176" t="s">
        <v>4544</v>
      </c>
      <c r="E56" s="1176" t="s">
        <v>4812</v>
      </c>
      <c r="F56" s="1176" t="s">
        <v>4813</v>
      </c>
      <c r="G56" s="1176" t="s">
        <v>4814</v>
      </c>
      <c r="H56" s="1177" t="s">
        <v>4815</v>
      </c>
      <c r="I56" s="1176" t="s">
        <v>4827</v>
      </c>
      <c r="J56" s="1176" t="s">
        <v>4817</v>
      </c>
      <c r="K56" s="1176" t="s">
        <v>4818</v>
      </c>
      <c r="L56" s="1176" t="s">
        <v>4819</v>
      </c>
      <c r="M56" s="1177" t="s">
        <v>4820</v>
      </c>
      <c r="N56" s="1176" t="s">
        <v>4821</v>
      </c>
      <c r="O56" s="1176" t="s">
        <v>4822</v>
      </c>
      <c r="P56" s="1177" t="s">
        <v>4815</v>
      </c>
      <c r="Q56" s="1177" t="s">
        <v>4816</v>
      </c>
    </row>
    <row r="57" spans="1:17">
      <c r="A57" s="1178" t="s">
        <v>4657</v>
      </c>
      <c r="B57" s="1179">
        <v>1</v>
      </c>
      <c r="C57" s="1180">
        <v>0.15</v>
      </c>
      <c r="D57" s="1181">
        <f>1/(C57*E57)</f>
        <v>22.222222222222221</v>
      </c>
      <c r="E57" s="1182">
        <v>0.3</v>
      </c>
      <c r="F57" s="1183">
        <v>4</v>
      </c>
      <c r="G57" s="1182">
        <f>D57-0.05+2*0.25+0.479</f>
        <v>23.15122222222222</v>
      </c>
      <c r="H57" s="1184">
        <f>ROUND(PI()*(((1/2)*0.0254)^2)/4*7.85*2204.6,2)</f>
        <v>2.19</v>
      </c>
      <c r="I57" s="1182">
        <f>((B57*H57*G57*F57)/100)*1.07</f>
        <v>2.170010361333333</v>
      </c>
      <c r="J57" s="1182">
        <f>E57*D57*C57</f>
        <v>0.99999999999999989</v>
      </c>
      <c r="K57" s="1185">
        <v>0.375</v>
      </c>
      <c r="L57" s="1186" t="s">
        <v>4823</v>
      </c>
      <c r="M57" s="1187">
        <v>0.2</v>
      </c>
      <c r="N57" s="1188">
        <f>ROUNDUP((D57/M57)+1,0)</f>
        <v>113</v>
      </c>
      <c r="O57" s="1189">
        <f>ROUND((2*(12*(3/8*0.0254)+0.15-0.025-0.025+0.45-0.025-0.025)),2)</f>
        <v>1.23</v>
      </c>
      <c r="P57" s="1184">
        <f>ROUND(PI()*(((3/8)*0.0254)^2)/4*7.85*2204.6,2)</f>
        <v>1.23</v>
      </c>
      <c r="Q57" s="1182">
        <f>((P57*O57*N57)/100)*1.07</f>
        <v>1.8292473899999999</v>
      </c>
    </row>
    <row r="58" spans="1:17">
      <c r="A58" s="1909"/>
      <c r="B58" s="1909"/>
      <c r="C58" s="1909"/>
      <c r="D58" s="1909"/>
      <c r="E58" s="1190"/>
      <c r="F58" s="1190"/>
      <c r="G58" s="1190"/>
      <c r="H58" s="1191"/>
      <c r="I58" s="1192">
        <f>I57</f>
        <v>2.170010361333333</v>
      </c>
      <c r="J58" s="1192"/>
      <c r="K58" s="1190"/>
      <c r="L58" s="1193"/>
      <c r="M58" s="1191"/>
      <c r="N58" s="1193"/>
      <c r="O58" s="1193"/>
      <c r="P58" s="1191"/>
      <c r="Q58" s="1194">
        <f>Q57</f>
        <v>1.8292473899999999</v>
      </c>
    </row>
    <row r="60" spans="1:17" ht="15.75">
      <c r="D60" s="1909" t="s">
        <v>4824</v>
      </c>
      <c r="E60" s="1909"/>
      <c r="F60" s="1909"/>
      <c r="G60" s="1909"/>
      <c r="H60" s="1195">
        <f>I58+Q58</f>
        <v>3.9992577513333329</v>
      </c>
    </row>
    <row r="61" spans="1:17" ht="30">
      <c r="F61" s="1096" t="s">
        <v>4837</v>
      </c>
      <c r="G61" s="728">
        <f>30.1*0.15*0.3</f>
        <v>1.3544999999999998</v>
      </c>
      <c r="H61" s="728" t="s">
        <v>1806</v>
      </c>
      <c r="I61" s="1465" t="s">
        <v>5135</v>
      </c>
    </row>
    <row r="62" spans="1:17">
      <c r="G62" s="728">
        <f>33.92*0.3*0.15</f>
        <v>1.5264</v>
      </c>
      <c r="I62" s="1465" t="s">
        <v>5136</v>
      </c>
    </row>
    <row r="64" spans="1:17">
      <c r="A64" s="1908" t="s">
        <v>5064</v>
      </c>
      <c r="B64" s="1908"/>
      <c r="C64" s="1908"/>
      <c r="D64" s="1908"/>
      <c r="E64" s="1908"/>
      <c r="F64" s="1908"/>
      <c r="G64" s="1908"/>
      <c r="H64" s="1908"/>
      <c r="I64" s="1908"/>
      <c r="J64" s="1908"/>
      <c r="K64" s="1908"/>
      <c r="L64" s="1908"/>
      <c r="M64" s="1908"/>
      <c r="N64" s="1908"/>
      <c r="O64" s="1908"/>
      <c r="P64" s="1908"/>
      <c r="Q64" s="1908"/>
    </row>
    <row r="65" spans="1:17" ht="51">
      <c r="A65" s="1176" t="s">
        <v>4809</v>
      </c>
      <c r="B65" s="1176" t="s">
        <v>4810</v>
      </c>
      <c r="C65" s="1176" t="s">
        <v>4811</v>
      </c>
      <c r="D65" s="1176" t="s">
        <v>4544</v>
      </c>
      <c r="E65" s="1176" t="s">
        <v>4812</v>
      </c>
      <c r="F65" s="1176" t="s">
        <v>4813</v>
      </c>
      <c r="G65" s="1176" t="s">
        <v>4814</v>
      </c>
      <c r="H65" s="1177" t="s">
        <v>4815</v>
      </c>
      <c r="I65" s="1176" t="s">
        <v>4838</v>
      </c>
      <c r="J65" s="1176" t="s">
        <v>4817</v>
      </c>
      <c r="K65" s="1176" t="s">
        <v>4818</v>
      </c>
      <c r="L65" s="1176" t="s">
        <v>4819</v>
      </c>
      <c r="M65" s="1177" t="s">
        <v>4820</v>
      </c>
      <c r="N65" s="1176" t="s">
        <v>4821</v>
      </c>
      <c r="O65" s="1176" t="s">
        <v>4822</v>
      </c>
      <c r="P65" s="1177" t="s">
        <v>4815</v>
      </c>
      <c r="Q65" s="1177" t="s">
        <v>4816</v>
      </c>
    </row>
    <row r="66" spans="1:17">
      <c r="A66" s="1178" t="s">
        <v>4657</v>
      </c>
      <c r="B66" s="1179">
        <v>1</v>
      </c>
      <c r="C66" s="1180">
        <v>0.2</v>
      </c>
      <c r="D66" s="1181">
        <f>1/(C66*E66)</f>
        <v>16.666666666666668</v>
      </c>
      <c r="E66" s="1182">
        <v>0.3</v>
      </c>
      <c r="F66" s="1183">
        <v>4</v>
      </c>
      <c r="G66" s="1182">
        <f>D66-0.05+2*0.25+0.479</f>
        <v>17.595666666666666</v>
      </c>
      <c r="H66" s="1184">
        <f>ROUND(PI()*(((1/2)*0.0254)^2)/4*7.85*2204.6,2)</f>
        <v>2.19</v>
      </c>
      <c r="I66" s="1182">
        <f>((B66*H66*G66*F66)/100)*1.07</f>
        <v>1.649277028</v>
      </c>
      <c r="J66" s="1182">
        <f>E66*D66*C66</f>
        <v>1</v>
      </c>
      <c r="K66" s="1185">
        <v>0.375</v>
      </c>
      <c r="L66" s="1186" t="s">
        <v>4823</v>
      </c>
      <c r="M66" s="1187">
        <v>0.2</v>
      </c>
      <c r="N66" s="1188">
        <f>ROUNDUP((D66/M66)+1,0)</f>
        <v>85</v>
      </c>
      <c r="O66" s="1189">
        <f>ROUND((2*(12*(3/8*0.0254)+0.2-0.025-0.025+0.45-0.025-0.025)),2)</f>
        <v>1.33</v>
      </c>
      <c r="P66" s="1184">
        <f>ROUND(PI()*(((3/8)*0.0254)^2)/4*7.85*2204.6,2)</f>
        <v>1.23</v>
      </c>
      <c r="Q66" s="1182">
        <f>((P66*O66*N66)/100)*1.07</f>
        <v>1.48785105</v>
      </c>
    </row>
    <row r="67" spans="1:17">
      <c r="A67" s="1909"/>
      <c r="B67" s="1909"/>
      <c r="C67" s="1909"/>
      <c r="D67" s="1909"/>
      <c r="E67" s="1190"/>
      <c r="F67" s="1190"/>
      <c r="G67" s="1190"/>
      <c r="H67" s="1191"/>
      <c r="I67" s="1192">
        <f>I66</f>
        <v>1.649277028</v>
      </c>
      <c r="J67" s="1192"/>
      <c r="K67" s="1190"/>
      <c r="L67" s="1193"/>
      <c r="M67" s="1191"/>
      <c r="N67" s="1193"/>
      <c r="O67" s="1193"/>
      <c r="P67" s="1191"/>
      <c r="Q67" s="1194">
        <f>Q66</f>
        <v>1.48785105</v>
      </c>
    </row>
    <row r="69" spans="1:17" ht="15.75">
      <c r="D69" s="1909" t="s">
        <v>4824</v>
      </c>
      <c r="E69" s="1909"/>
      <c r="F69" s="1909"/>
      <c r="G69" s="1909"/>
      <c r="H69" s="1195">
        <f>I67+Q67</f>
        <v>3.1371280779999999</v>
      </c>
    </row>
    <row r="70" spans="1:17" ht="30">
      <c r="F70" s="1096" t="s">
        <v>4839</v>
      </c>
      <c r="G70" s="728">
        <f>258.19*0.2*0.3+15.81*0.2*0.45</f>
        <v>16.914300000000001</v>
      </c>
      <c r="H70" s="728" t="s">
        <v>1806</v>
      </c>
      <c r="I70" s="1465" t="s">
        <v>5135</v>
      </c>
    </row>
    <row r="71" spans="1:17">
      <c r="G71" s="728">
        <f>285.82*0.2*0.3+15.81*0.2*0.45</f>
        <v>18.572099999999999</v>
      </c>
      <c r="I71" s="1465" t="s">
        <v>5136</v>
      </c>
    </row>
    <row r="73" spans="1:17">
      <c r="A73" s="1908" t="s">
        <v>4840</v>
      </c>
      <c r="B73" s="1908"/>
      <c r="C73" s="1908"/>
      <c r="D73" s="1908"/>
      <c r="E73" s="1908"/>
      <c r="F73" s="1908"/>
      <c r="G73" s="1908"/>
      <c r="H73" s="1908"/>
      <c r="I73" s="1908"/>
      <c r="J73" s="1908"/>
      <c r="K73" s="1908"/>
      <c r="L73" s="1908"/>
      <c r="M73" s="1908"/>
      <c r="N73" s="1908"/>
      <c r="O73" s="1908"/>
      <c r="P73" s="1908"/>
      <c r="Q73" s="1908"/>
    </row>
    <row r="74" spans="1:17" ht="51">
      <c r="A74" s="1176" t="s">
        <v>4809</v>
      </c>
      <c r="B74" s="1176" t="s">
        <v>4810</v>
      </c>
      <c r="C74" s="1176" t="s">
        <v>4811</v>
      </c>
      <c r="D74" s="1176" t="s">
        <v>4544</v>
      </c>
      <c r="E74" s="1176" t="s">
        <v>4812</v>
      </c>
      <c r="F74" s="1176" t="s">
        <v>4813</v>
      </c>
      <c r="G74" s="1176" t="s">
        <v>4814</v>
      </c>
      <c r="H74" s="1177" t="s">
        <v>4815</v>
      </c>
      <c r="I74" s="1176" t="s">
        <v>4841</v>
      </c>
      <c r="J74" s="1176" t="s">
        <v>4817</v>
      </c>
      <c r="K74" s="1176" t="s">
        <v>4818</v>
      </c>
      <c r="L74" s="1176" t="s">
        <v>4819</v>
      </c>
      <c r="M74" s="1177" t="s">
        <v>4820</v>
      </c>
      <c r="N74" s="1176" t="s">
        <v>4821</v>
      </c>
      <c r="O74" s="1176" t="s">
        <v>4822</v>
      </c>
      <c r="P74" s="1177" t="s">
        <v>4815</v>
      </c>
      <c r="Q74" s="1177" t="s">
        <v>4816</v>
      </c>
    </row>
    <row r="75" spans="1:17">
      <c r="A75" s="1178" t="s">
        <v>4657</v>
      </c>
      <c r="B75" s="1179">
        <v>1</v>
      </c>
      <c r="C75" s="1180">
        <v>0.15</v>
      </c>
      <c r="D75" s="1181">
        <f>1/(C75*E75)</f>
        <v>16.666666666666668</v>
      </c>
      <c r="E75" s="1182">
        <v>0.4</v>
      </c>
      <c r="F75" s="1183">
        <v>3</v>
      </c>
      <c r="G75" s="1182">
        <f>D75-0.05+2*0.25+0.479</f>
        <v>17.595666666666666</v>
      </c>
      <c r="H75" s="1184">
        <f>ROUND(PI()*(((1/2)*0.0254)^2)/4*7.85*2204.6,2)</f>
        <v>2.19</v>
      </c>
      <c r="I75" s="1182">
        <f>((B75*H75*G75*F75)/100)*1.07</f>
        <v>1.2369577709999999</v>
      </c>
      <c r="J75" s="1182">
        <f>E75*D75*C75</f>
        <v>1.0000000000000002</v>
      </c>
      <c r="K75" s="1185">
        <v>0.375</v>
      </c>
      <c r="L75" s="1186" t="s">
        <v>4823</v>
      </c>
      <c r="M75" s="1187">
        <v>0.2</v>
      </c>
      <c r="N75" s="1188">
        <f>ROUNDUP((D75/M75)+1,0)</f>
        <v>85</v>
      </c>
      <c r="O75" s="1189">
        <f>ROUND((2*(12*(3/8*0.0254)+0.15-0.025-0.025+0.4-0.025-0.025)),2)</f>
        <v>1.1299999999999999</v>
      </c>
      <c r="P75" s="1184">
        <f>ROUND(PI()*(((3/8)*0.0254)^2)/4*7.85*2204.6,2)</f>
        <v>1.23</v>
      </c>
      <c r="Q75" s="1182">
        <f>((P75*O75*N75)/100)*1.07</f>
        <v>1.2641140499999999</v>
      </c>
    </row>
    <row r="76" spans="1:17">
      <c r="A76" s="1178"/>
      <c r="B76" s="1179"/>
      <c r="C76" s="1180"/>
      <c r="D76" s="1181"/>
      <c r="E76" s="1182"/>
      <c r="F76" s="1183">
        <v>3</v>
      </c>
      <c r="G76" s="1182">
        <f>D75-0.05+2*0.25+0.479</f>
        <v>17.595666666666666</v>
      </c>
      <c r="H76" s="1184">
        <f>ROUND(PI()*(((3/8)*0.0254)^2)/4*7.85*2204.6,2)</f>
        <v>1.23</v>
      </c>
      <c r="I76" s="1182">
        <f>((B75*H76*G76*F76)/100)*1.07</f>
        <v>0.69472970700000003</v>
      </c>
      <c r="J76" s="1182"/>
      <c r="K76" s="1185"/>
      <c r="L76" s="1186"/>
      <c r="M76" s="1187"/>
      <c r="N76" s="1188"/>
      <c r="O76" s="1189"/>
      <c r="P76" s="1184"/>
      <c r="Q76" s="1182"/>
    </row>
    <row r="77" spans="1:17">
      <c r="A77" s="1909"/>
      <c r="B77" s="1909"/>
      <c r="C77" s="1909"/>
      <c r="D77" s="1909"/>
      <c r="E77" s="1190"/>
      <c r="F77" s="1190"/>
      <c r="G77" s="1190"/>
      <c r="H77" s="1191"/>
      <c r="I77" s="1192">
        <f>I75+I76</f>
        <v>1.931687478</v>
      </c>
      <c r="J77" s="1192"/>
      <c r="K77" s="1190"/>
      <c r="L77" s="1193"/>
      <c r="M77" s="1191"/>
      <c r="N77" s="1193"/>
      <c r="O77" s="1193"/>
      <c r="P77" s="1191"/>
      <c r="Q77" s="1194">
        <f>Q75</f>
        <v>1.2641140499999999</v>
      </c>
    </row>
    <row r="79" spans="1:17" ht="15.75">
      <c r="D79" s="1909" t="s">
        <v>4824</v>
      </c>
      <c r="E79" s="1909"/>
      <c r="F79" s="1909"/>
      <c r="G79" s="1909"/>
      <c r="H79" s="1195">
        <f>I77+Q77</f>
        <v>3.1958015279999996</v>
      </c>
    </row>
    <row r="80" spans="1:17" ht="54.75" customHeight="1">
      <c r="F80" s="1096" t="s">
        <v>4842</v>
      </c>
      <c r="G80" s="728">
        <f>8*0.4*0.15+1.5*0.4*0.15*5</f>
        <v>0.93</v>
      </c>
      <c r="H80" s="728" t="s">
        <v>1806</v>
      </c>
    </row>
    <row r="82" spans="1:17">
      <c r="A82" s="1908" t="s">
        <v>4843</v>
      </c>
      <c r="B82" s="1908"/>
      <c r="C82" s="1908"/>
      <c r="D82" s="1908"/>
      <c r="E82" s="1908"/>
      <c r="F82" s="1908"/>
      <c r="G82" s="1908"/>
      <c r="H82" s="1908"/>
      <c r="I82" s="1908"/>
      <c r="J82" s="1908"/>
      <c r="K82" s="1908"/>
      <c r="L82" s="1908"/>
      <c r="M82" s="1908"/>
      <c r="N82" s="1908"/>
      <c r="O82" s="1908"/>
      <c r="P82" s="1908"/>
      <c r="Q82" s="1908"/>
    </row>
    <row r="83" spans="1:17" ht="51">
      <c r="A83" s="1176" t="s">
        <v>4809</v>
      </c>
      <c r="B83" s="1176" t="s">
        <v>4810</v>
      </c>
      <c r="C83" s="1176" t="s">
        <v>4811</v>
      </c>
      <c r="D83" s="1176" t="s">
        <v>4544</v>
      </c>
      <c r="E83" s="1176" t="s">
        <v>4812</v>
      </c>
      <c r="F83" s="1176" t="s">
        <v>4813</v>
      </c>
      <c r="G83" s="1176" t="s">
        <v>4814</v>
      </c>
      <c r="H83" s="1177" t="s">
        <v>4815</v>
      </c>
      <c r="I83" s="1176" t="s">
        <v>4841</v>
      </c>
      <c r="J83" s="1176" t="s">
        <v>4817</v>
      </c>
      <c r="K83" s="1176" t="s">
        <v>4818</v>
      </c>
      <c r="L83" s="1176" t="s">
        <v>4819</v>
      </c>
      <c r="M83" s="1177" t="s">
        <v>4820</v>
      </c>
      <c r="N83" s="1176" t="s">
        <v>4821</v>
      </c>
      <c r="O83" s="1176" t="s">
        <v>4822</v>
      </c>
      <c r="P83" s="1177" t="s">
        <v>4815</v>
      </c>
      <c r="Q83" s="1177" t="s">
        <v>4816</v>
      </c>
    </row>
    <row r="84" spans="1:17">
      <c r="A84" s="1178" t="s">
        <v>4657</v>
      </c>
      <c r="B84" s="1179">
        <v>1</v>
      </c>
      <c r="C84" s="1180">
        <v>0.2</v>
      </c>
      <c r="D84" s="1181">
        <f>1/(C84*E84)</f>
        <v>12.499999999999998</v>
      </c>
      <c r="E84" s="1182">
        <v>0.4</v>
      </c>
      <c r="F84" s="1183">
        <v>3</v>
      </c>
      <c r="G84" s="1182">
        <f>D84-0.05+2*0.25+0.479</f>
        <v>13.428999999999997</v>
      </c>
      <c r="H84" s="1184">
        <f>ROUND(PI()*(((1/2)*0.0254)^2)/4*7.85*2204.6,2)</f>
        <v>2.19</v>
      </c>
      <c r="I84" s="1182">
        <f>((B84*H84*G84*F84)/100)*1.07</f>
        <v>0.94404527099999991</v>
      </c>
      <c r="J84" s="1182">
        <f>E84*D84*C84</f>
        <v>1</v>
      </c>
      <c r="K84" s="1185">
        <v>0.375</v>
      </c>
      <c r="L84" s="1186" t="s">
        <v>4823</v>
      </c>
      <c r="M84" s="1187">
        <v>0.2</v>
      </c>
      <c r="N84" s="1188">
        <f>ROUNDUP((D84/M84)+1,0)</f>
        <v>64</v>
      </c>
      <c r="O84" s="1189">
        <f>ROUND((2*(12*(3/8*0.0254)+0.15-0.025-0.025+0.4-0.025-0.025)),2)</f>
        <v>1.1299999999999999</v>
      </c>
      <c r="P84" s="1184">
        <f>ROUND(PI()*(((3/8)*0.0254)^2)/4*7.85*2204.6,2)</f>
        <v>1.23</v>
      </c>
      <c r="Q84" s="1182">
        <f>((P84*O84*N84)/100)*1.07</f>
        <v>0.95180352000000001</v>
      </c>
    </row>
    <row r="85" spans="1:17">
      <c r="A85" s="1178"/>
      <c r="B85" s="1179"/>
      <c r="C85" s="1180"/>
      <c r="D85" s="1181"/>
      <c r="E85" s="1182"/>
      <c r="F85" s="1183">
        <v>3</v>
      </c>
      <c r="G85" s="1182">
        <f>D84-0.05+2*0.25+0.479</f>
        <v>13.428999999999997</v>
      </c>
      <c r="H85" s="1184">
        <f>ROUND(PI()*(((3/8)*0.0254)^2)/4*7.85*2204.6,2)</f>
        <v>1.23</v>
      </c>
      <c r="I85" s="1182">
        <f>((B84*H85*G85*F85)/100)*1.07</f>
        <v>0.53021720699999986</v>
      </c>
      <c r="J85" s="1182"/>
      <c r="K85" s="1185"/>
      <c r="L85" s="1186"/>
      <c r="M85" s="1187"/>
      <c r="N85" s="1188"/>
      <c r="O85" s="1189"/>
      <c r="P85" s="1184"/>
      <c r="Q85" s="1182"/>
    </row>
    <row r="86" spans="1:17">
      <c r="A86" s="1909"/>
      <c r="B86" s="1909"/>
      <c r="C86" s="1909"/>
      <c r="D86" s="1909"/>
      <c r="E86" s="1190"/>
      <c r="F86" s="1190"/>
      <c r="G86" s="1190"/>
      <c r="H86" s="1191"/>
      <c r="I86" s="1192">
        <f>I84+I85</f>
        <v>1.4742624779999998</v>
      </c>
      <c r="J86" s="1192"/>
      <c r="K86" s="1190"/>
      <c r="L86" s="1193"/>
      <c r="M86" s="1191"/>
      <c r="N86" s="1193"/>
      <c r="O86" s="1193"/>
      <c r="P86" s="1191"/>
      <c r="Q86" s="1194">
        <f>Q84</f>
        <v>0.95180352000000001</v>
      </c>
    </row>
    <row r="88" spans="1:17" ht="15.75">
      <c r="D88" s="1909" t="s">
        <v>4824</v>
      </c>
      <c r="E88" s="1909"/>
      <c r="F88" s="1909"/>
      <c r="G88" s="1909"/>
      <c r="H88" s="1195">
        <f>I86+Q86</f>
        <v>2.4260659979999999</v>
      </c>
    </row>
    <row r="89" spans="1:17" ht="54.75" customHeight="1">
      <c r="F89" s="1096" t="s">
        <v>4842</v>
      </c>
      <c r="G89" s="728">
        <f>114.35*0.2*0.4</f>
        <v>9.1480000000000015</v>
      </c>
      <c r="H89" s="728" t="s">
        <v>1806</v>
      </c>
    </row>
    <row r="91" spans="1:17">
      <c r="A91" s="1908" t="s">
        <v>4844</v>
      </c>
      <c r="B91" s="1908"/>
      <c r="C91" s="1908"/>
      <c r="D91" s="1908"/>
      <c r="E91" s="1908"/>
      <c r="F91" s="1908"/>
      <c r="G91" s="1908"/>
      <c r="H91" s="1908"/>
      <c r="I91" s="1908"/>
      <c r="J91" s="1908"/>
      <c r="K91" s="1908"/>
      <c r="L91" s="1908"/>
      <c r="M91" s="1908"/>
      <c r="N91" s="1908"/>
      <c r="O91" s="1908"/>
      <c r="P91" s="1908"/>
      <c r="Q91" s="1908"/>
    </row>
    <row r="92" spans="1:17" ht="51">
      <c r="A92" s="1176" t="s">
        <v>4809</v>
      </c>
      <c r="B92" s="1176" t="s">
        <v>4810</v>
      </c>
      <c r="C92" s="1176" t="s">
        <v>4811</v>
      </c>
      <c r="D92" s="1176" t="s">
        <v>4544</v>
      </c>
      <c r="E92" s="1176" t="s">
        <v>4812</v>
      </c>
      <c r="F92" s="1176" t="s">
        <v>4813</v>
      </c>
      <c r="G92" s="1176" t="s">
        <v>4814</v>
      </c>
      <c r="H92" s="1177" t="s">
        <v>4815</v>
      </c>
      <c r="I92" s="1176" t="s">
        <v>4827</v>
      </c>
      <c r="J92" s="1176" t="s">
        <v>4817</v>
      </c>
      <c r="K92" s="1176" t="s">
        <v>4818</v>
      </c>
      <c r="L92" s="1176" t="s">
        <v>4819</v>
      </c>
      <c r="M92" s="1177" t="s">
        <v>4820</v>
      </c>
      <c r="N92" s="1176" t="s">
        <v>4821</v>
      </c>
      <c r="O92" s="1176" t="s">
        <v>4822</v>
      </c>
      <c r="P92" s="1177" t="s">
        <v>4815</v>
      </c>
      <c r="Q92" s="1177" t="s">
        <v>4816</v>
      </c>
    </row>
    <row r="93" spans="1:17">
      <c r="A93" s="1178" t="s">
        <v>4657</v>
      </c>
      <c r="B93" s="1179">
        <v>1</v>
      </c>
      <c r="C93" s="1180">
        <v>0.15</v>
      </c>
      <c r="D93" s="1181">
        <f>1/(C93*E93)</f>
        <v>16.666666666666668</v>
      </c>
      <c r="E93" s="1182">
        <v>0.4</v>
      </c>
      <c r="F93" s="1183">
        <v>3</v>
      </c>
      <c r="G93" s="1182">
        <f>D93-0.05+2*0.25+0.479</f>
        <v>17.595666666666666</v>
      </c>
      <c r="H93" s="1184">
        <f>ROUND(PI()*(((1/2)*0.0254)^2)/4*7.85*2204.6,2)</f>
        <v>2.19</v>
      </c>
      <c r="I93" s="1182">
        <f>((B93*H93*G93*F93)/100)*1.07</f>
        <v>1.2369577709999999</v>
      </c>
      <c r="J93" s="1182">
        <f>E93*D93*C93</f>
        <v>1.0000000000000002</v>
      </c>
      <c r="K93" s="1185">
        <v>0.375</v>
      </c>
      <c r="L93" s="1186" t="s">
        <v>4823</v>
      </c>
      <c r="M93" s="1187">
        <v>0.15</v>
      </c>
      <c r="N93" s="1188">
        <f>ROUNDUP((D93/M93)+1,0)</f>
        <v>113</v>
      </c>
      <c r="O93" s="1189">
        <f>ROUND((2*(12*(3/8*0.0254)+0.15-0.025-0.025+0.4-0.025-0.025)),2)</f>
        <v>1.1299999999999999</v>
      </c>
      <c r="P93" s="1184">
        <f>ROUND(PI()*(((3/8)*0.0254)^2)/4*7.85*2204.6,2)</f>
        <v>1.23</v>
      </c>
      <c r="Q93" s="1182">
        <f>((P93*O93*N93)/100)*1.07</f>
        <v>1.6805280900000001</v>
      </c>
    </row>
    <row r="94" spans="1:17">
      <c r="A94" s="1178"/>
      <c r="B94" s="1179"/>
      <c r="C94" s="1180"/>
      <c r="D94" s="1181"/>
      <c r="E94" s="1182"/>
      <c r="F94" s="1183">
        <v>3</v>
      </c>
      <c r="G94" s="1182">
        <f>D93-0.05+2*0.25+0.479</f>
        <v>17.595666666666666</v>
      </c>
      <c r="H94" s="1184">
        <f>ROUND(PI()*(((1/2)*0.0254)^2)/4*7.85*2204.6,2)</f>
        <v>2.19</v>
      </c>
      <c r="I94" s="1182">
        <f>((B93*H94*G94*F94)/100)*1.07</f>
        <v>1.2369577709999999</v>
      </c>
      <c r="J94" s="1182"/>
      <c r="K94" s="1185"/>
      <c r="L94" s="1186"/>
      <c r="M94" s="1187"/>
      <c r="N94" s="1188"/>
      <c r="O94" s="1189"/>
      <c r="P94" s="1184"/>
      <c r="Q94" s="1182"/>
    </row>
    <row r="95" spans="1:17">
      <c r="A95" s="1909"/>
      <c r="B95" s="1909"/>
      <c r="C95" s="1909"/>
      <c r="D95" s="1909"/>
      <c r="E95" s="1190"/>
      <c r="F95" s="1190"/>
      <c r="G95" s="1190"/>
      <c r="H95" s="1191"/>
      <c r="I95" s="1192">
        <f>I93+I94</f>
        <v>2.4739155419999999</v>
      </c>
      <c r="J95" s="1192"/>
      <c r="K95" s="1190"/>
      <c r="L95" s="1193"/>
      <c r="M95" s="1191"/>
      <c r="N95" s="1193"/>
      <c r="O95" s="1193"/>
      <c r="P95" s="1191"/>
      <c r="Q95" s="1194">
        <f>Q93</f>
        <v>1.6805280900000001</v>
      </c>
    </row>
    <row r="97" spans="1:17" ht="15.75">
      <c r="D97" s="1909" t="s">
        <v>4824</v>
      </c>
      <c r="E97" s="1909"/>
      <c r="F97" s="1909"/>
      <c r="G97" s="1909"/>
      <c r="H97" s="1195">
        <f>I95+Q95</f>
        <v>4.1544436319999996</v>
      </c>
    </row>
    <row r="98" spans="1:17" ht="54.75" customHeight="1">
      <c r="F98" s="1096" t="s">
        <v>4842</v>
      </c>
      <c r="G98" s="728">
        <f>13.1*0.15*0.4</f>
        <v>0.78600000000000003</v>
      </c>
      <c r="H98" s="728" t="s">
        <v>1806</v>
      </c>
    </row>
    <row r="101" spans="1:17">
      <c r="A101" s="1908" t="s">
        <v>4845</v>
      </c>
      <c r="B101" s="1908"/>
      <c r="C101" s="1908"/>
      <c r="D101" s="1908"/>
      <c r="E101" s="1908"/>
      <c r="F101" s="1908"/>
      <c r="G101" s="1908"/>
      <c r="H101" s="1908"/>
      <c r="I101" s="1908"/>
      <c r="J101" s="1908"/>
      <c r="K101" s="1908"/>
      <c r="L101" s="1908"/>
      <c r="M101" s="1908"/>
      <c r="N101" s="1908"/>
      <c r="O101" s="1908"/>
      <c r="P101" s="1908"/>
      <c r="Q101" s="1908"/>
    </row>
    <row r="102" spans="1:17" ht="51">
      <c r="A102" s="1176" t="s">
        <v>4809</v>
      </c>
      <c r="B102" s="1176" t="s">
        <v>4810</v>
      </c>
      <c r="C102" s="1176" t="s">
        <v>4811</v>
      </c>
      <c r="D102" s="1176" t="s">
        <v>4544</v>
      </c>
      <c r="E102" s="1176" t="s">
        <v>4812</v>
      </c>
      <c r="F102" s="1176" t="s">
        <v>4813</v>
      </c>
      <c r="G102" s="1176" t="s">
        <v>4814</v>
      </c>
      <c r="H102" s="1177" t="s">
        <v>4815</v>
      </c>
      <c r="I102" s="1176" t="s">
        <v>5126</v>
      </c>
      <c r="J102" s="1176" t="s">
        <v>4817</v>
      </c>
      <c r="K102" s="1176" t="s">
        <v>4818</v>
      </c>
      <c r="L102" s="1176" t="s">
        <v>4819</v>
      </c>
      <c r="M102" s="1177" t="s">
        <v>4820</v>
      </c>
      <c r="N102" s="1176" t="s">
        <v>4821</v>
      </c>
      <c r="O102" s="1176" t="s">
        <v>4822</v>
      </c>
      <c r="P102" s="1177" t="s">
        <v>4815</v>
      </c>
      <c r="Q102" s="1177" t="s">
        <v>4816</v>
      </c>
    </row>
    <row r="103" spans="1:17">
      <c r="A103" s="1178" t="s">
        <v>4657</v>
      </c>
      <c r="B103" s="1179">
        <v>1</v>
      </c>
      <c r="C103" s="1180">
        <v>0.2</v>
      </c>
      <c r="D103" s="1181">
        <f>1/(C103*E103)</f>
        <v>12.499999999999998</v>
      </c>
      <c r="E103" s="1182">
        <v>0.4</v>
      </c>
      <c r="F103" s="1183">
        <v>3</v>
      </c>
      <c r="G103" s="1182">
        <f>D103-0.05+2*0.25+0.479</f>
        <v>13.428999999999997</v>
      </c>
      <c r="H103" s="1184">
        <f>ROUND(PI()*(((1/2)*0.0254)^2)/4*7.85*2204.6,2)</f>
        <v>2.19</v>
      </c>
      <c r="I103" s="1182">
        <f>((B103*H103*G103*F103)/100)*1.07</f>
        <v>0.94404527099999991</v>
      </c>
      <c r="J103" s="1182">
        <f>E103*D103*C103</f>
        <v>1</v>
      </c>
      <c r="K103" s="1185">
        <v>0.375</v>
      </c>
      <c r="L103" s="1186" t="s">
        <v>4823</v>
      </c>
      <c r="M103" s="1187">
        <v>0.15</v>
      </c>
      <c r="N103" s="1188">
        <f>ROUNDUP((D103/M103)+1,0)</f>
        <v>85</v>
      </c>
      <c r="O103" s="1189">
        <f>ROUND((2*(12*(3/8*0.0254)+0.15-0.025-0.025+0.4-0.025-0.025)),2)</f>
        <v>1.1299999999999999</v>
      </c>
      <c r="P103" s="1184">
        <f>ROUND(PI()*(((3/8)*0.0254)^2)/4*7.85*2204.6,2)</f>
        <v>1.23</v>
      </c>
      <c r="Q103" s="1182">
        <f>((P103*O103*N103)/100)*1.07</f>
        <v>1.2641140499999999</v>
      </c>
    </row>
    <row r="104" spans="1:17">
      <c r="A104" s="1178"/>
      <c r="B104" s="1179"/>
      <c r="C104" s="1180"/>
      <c r="D104" s="1181"/>
      <c r="E104" s="1182"/>
      <c r="F104" s="1183">
        <v>3</v>
      </c>
      <c r="G104" s="1182">
        <f>D103-0.05+2*0.25+0.479</f>
        <v>13.428999999999997</v>
      </c>
      <c r="H104" s="1184">
        <f>ROUND(PI()*(((1/2)*0.0254)^2)/4*7.85*2204.6,2)</f>
        <v>2.19</v>
      </c>
      <c r="I104" s="1182">
        <f>((B103*H104*G104*F104)/100)*1.07</f>
        <v>0.94404527099999991</v>
      </c>
      <c r="J104" s="1182"/>
      <c r="K104" s="1185"/>
      <c r="L104" s="1186"/>
      <c r="M104" s="1187"/>
      <c r="N104" s="1188"/>
      <c r="O104" s="1189"/>
      <c r="P104" s="1184"/>
      <c r="Q104" s="1182"/>
    </row>
    <row r="105" spans="1:17">
      <c r="A105" s="1909"/>
      <c r="B105" s="1909"/>
      <c r="C105" s="1909"/>
      <c r="D105" s="1909"/>
      <c r="E105" s="1190"/>
      <c r="F105" s="1190"/>
      <c r="G105" s="1190"/>
      <c r="H105" s="1191"/>
      <c r="I105" s="1192">
        <f>I103+I104</f>
        <v>1.8880905419999998</v>
      </c>
      <c r="J105" s="1192"/>
      <c r="K105" s="1190"/>
      <c r="L105" s="1193"/>
      <c r="M105" s="1191"/>
      <c r="N105" s="1193"/>
      <c r="O105" s="1193"/>
      <c r="P105" s="1191"/>
      <c r="Q105" s="1194">
        <f>Q103</f>
        <v>1.2641140499999999</v>
      </c>
    </row>
    <row r="107" spans="1:17" ht="15.75">
      <c r="D107" s="1909" t="s">
        <v>4824</v>
      </c>
      <c r="E107" s="1909"/>
      <c r="F107" s="1909"/>
      <c r="G107" s="1909"/>
      <c r="H107" s="1195">
        <f>I105+Q105</f>
        <v>3.1522045919999995</v>
      </c>
    </row>
    <row r="108" spans="1:17" ht="54.75" customHeight="1">
      <c r="F108" s="1096" t="s">
        <v>4842</v>
      </c>
      <c r="G108" s="728">
        <f>12.7*0.2*0.4</f>
        <v>1.016</v>
      </c>
      <c r="H108" s="728" t="s">
        <v>1806</v>
      </c>
    </row>
    <row r="111" spans="1:17">
      <c r="A111" s="1908" t="s">
        <v>4846</v>
      </c>
      <c r="B111" s="1908"/>
      <c r="C111" s="1908"/>
      <c r="D111" s="1908"/>
      <c r="E111" s="1908"/>
      <c r="F111" s="1908"/>
      <c r="G111" s="1908"/>
      <c r="H111" s="1908"/>
      <c r="I111" s="1908"/>
      <c r="J111" s="1908"/>
      <c r="K111" s="1908"/>
      <c r="L111" s="1908"/>
      <c r="M111" s="1908"/>
      <c r="N111" s="1908"/>
      <c r="O111" s="1908"/>
      <c r="P111" s="1908"/>
      <c r="Q111" s="1908"/>
    </row>
    <row r="112" spans="1:17" ht="51">
      <c r="A112" s="1176" t="s">
        <v>4809</v>
      </c>
      <c r="B112" s="1176" t="s">
        <v>4810</v>
      </c>
      <c r="C112" s="1176" t="s">
        <v>4811</v>
      </c>
      <c r="D112" s="1176" t="s">
        <v>4544</v>
      </c>
      <c r="E112" s="1176" t="s">
        <v>4812</v>
      </c>
      <c r="F112" s="1176" t="s">
        <v>4813</v>
      </c>
      <c r="G112" s="1176" t="s">
        <v>4814</v>
      </c>
      <c r="H112" s="1177" t="s">
        <v>4815</v>
      </c>
      <c r="I112" s="1176" t="s">
        <v>4827</v>
      </c>
      <c r="J112" s="1176" t="s">
        <v>4817</v>
      </c>
      <c r="K112" s="1176" t="s">
        <v>4818</v>
      </c>
      <c r="L112" s="1176" t="s">
        <v>4819</v>
      </c>
      <c r="M112" s="1177" t="s">
        <v>4820</v>
      </c>
      <c r="N112" s="1176" t="s">
        <v>4821</v>
      </c>
      <c r="O112" s="1176" t="s">
        <v>4822</v>
      </c>
      <c r="P112" s="1177" t="s">
        <v>4815</v>
      </c>
      <c r="Q112" s="1177" t="s">
        <v>4816</v>
      </c>
    </row>
    <row r="113" spans="1:17">
      <c r="A113" s="1178" t="s">
        <v>4657</v>
      </c>
      <c r="B113" s="1179">
        <v>1</v>
      </c>
      <c r="C113" s="1180">
        <v>0.2</v>
      </c>
      <c r="D113" s="1181">
        <f>1/(C113*E113)</f>
        <v>14.285714285714286</v>
      </c>
      <c r="E113" s="1182">
        <v>0.35</v>
      </c>
      <c r="F113" s="1183">
        <v>5</v>
      </c>
      <c r="G113" s="1182">
        <f>D113-0.05+2*0.25</f>
        <v>14.735714285714286</v>
      </c>
      <c r="H113" s="1184">
        <f>ROUND(PI()*(((1/2)*0.0254)^2)/4*7.85*2204.6,2)</f>
        <v>2.19</v>
      </c>
      <c r="I113" s="1182">
        <f>((B113*H113*G113*F113)/100)*1.07</f>
        <v>1.7265099642857142</v>
      </c>
      <c r="J113" s="1182">
        <f>E113*D113*C113</f>
        <v>1</v>
      </c>
      <c r="K113" s="1185">
        <v>0.375</v>
      </c>
      <c r="L113" s="1186" t="s">
        <v>4823</v>
      </c>
      <c r="M113" s="1187">
        <v>0.2</v>
      </c>
      <c r="N113" s="1188">
        <f>ROUNDUP((D113/M113)+1,0)</f>
        <v>73</v>
      </c>
      <c r="O113" s="1189">
        <f>ROUND((2*(12*(3/8*0.0254)+0.2-0.025-0.025+0.35-0.025-0.025)),2)</f>
        <v>1.1299999999999999</v>
      </c>
      <c r="P113" s="1184">
        <f>ROUND(PI()*(((3/8)*0.0254)^2)/4*7.85*2204.6,2)</f>
        <v>1.23</v>
      </c>
      <c r="Q113" s="1182">
        <f>((P113*O113*N113)/100)*1.07</f>
        <v>1.0856508899999999</v>
      </c>
    </row>
    <row r="114" spans="1:17">
      <c r="B114" s="1179"/>
      <c r="C114" s="1180"/>
      <c r="D114" s="1181"/>
      <c r="E114" s="1182"/>
      <c r="F114" s="1183"/>
      <c r="G114" s="1182"/>
      <c r="H114" s="1184"/>
      <c r="I114" s="1182"/>
      <c r="J114" s="1182"/>
    </row>
    <row r="115" spans="1:17">
      <c r="A115" s="1909"/>
      <c r="B115" s="1909"/>
      <c r="C115" s="1909"/>
      <c r="D115" s="1909"/>
      <c r="E115" s="1190"/>
      <c r="F115" s="1190"/>
      <c r="G115" s="1190"/>
      <c r="H115" s="1191"/>
      <c r="I115" s="1192">
        <f>I113+I114</f>
        <v>1.7265099642857142</v>
      </c>
      <c r="J115" s="1192"/>
      <c r="K115" s="1190"/>
      <c r="L115" s="1193"/>
      <c r="M115" s="1191"/>
      <c r="N115" s="1193"/>
      <c r="O115" s="1193"/>
      <c r="P115" s="1191"/>
      <c r="Q115" s="1194">
        <f>Q113</f>
        <v>1.0856508899999999</v>
      </c>
    </row>
    <row r="116" spans="1:17" ht="15.75">
      <c r="D116" s="1909" t="s">
        <v>4824</v>
      </c>
      <c r="E116" s="1909"/>
      <c r="F116" s="1909"/>
      <c r="G116" s="1909"/>
      <c r="H116" s="1195">
        <f>I115+Q115</f>
        <v>2.8121608542857142</v>
      </c>
    </row>
    <row r="117" spans="1:17">
      <c r="F117" s="728" t="s">
        <v>4847</v>
      </c>
      <c r="G117" s="783">
        <f>6.6*0.35*0.2</f>
        <v>0.46199999999999997</v>
      </c>
    </row>
    <row r="119" spans="1:17" ht="15.75">
      <c r="A119" s="956"/>
      <c r="B119" s="806"/>
      <c r="C119" s="806"/>
      <c r="D119" s="806"/>
      <c r="E119" s="806"/>
      <c r="F119" s="1197"/>
      <c r="G119" s="806"/>
      <c r="H119" s="806"/>
      <c r="I119" s="1198"/>
      <c r="J119" s="1198"/>
    </row>
    <row r="120" spans="1:17">
      <c r="A120" s="1908" t="s">
        <v>5238</v>
      </c>
      <c r="B120" s="1908"/>
      <c r="C120" s="1908"/>
      <c r="D120" s="1908"/>
      <c r="E120" s="1908"/>
      <c r="F120" s="1908"/>
      <c r="G120" s="1908"/>
      <c r="H120" s="1908"/>
      <c r="I120" s="1908"/>
      <c r="J120" s="1908"/>
      <c r="K120" s="1908"/>
      <c r="L120" s="1908"/>
      <c r="M120" s="1908"/>
      <c r="N120" s="1908"/>
      <c r="O120" s="1908"/>
      <c r="P120" s="1908"/>
      <c r="Q120" s="1908"/>
    </row>
    <row r="121" spans="1:17" ht="51">
      <c r="A121" s="1176" t="s">
        <v>4809</v>
      </c>
      <c r="B121" s="1176" t="s">
        <v>4810</v>
      </c>
      <c r="C121" s="1176" t="s">
        <v>4811</v>
      </c>
      <c r="D121" s="1176" t="s">
        <v>4544</v>
      </c>
      <c r="E121" s="1176" t="s">
        <v>4812</v>
      </c>
      <c r="F121" s="1176" t="s">
        <v>4813</v>
      </c>
      <c r="G121" s="1176" t="s">
        <v>4814</v>
      </c>
      <c r="H121" s="1177" t="s">
        <v>4815</v>
      </c>
      <c r="I121" s="1176" t="s">
        <v>4816</v>
      </c>
      <c r="J121" s="1176" t="s">
        <v>4817</v>
      </c>
      <c r="K121" s="1176" t="s">
        <v>4818</v>
      </c>
      <c r="L121" s="1176" t="s">
        <v>4819</v>
      </c>
      <c r="M121" s="1177" t="s">
        <v>4820</v>
      </c>
      <c r="N121" s="1176" t="s">
        <v>4821</v>
      </c>
      <c r="O121" s="1176" t="s">
        <v>4822</v>
      </c>
      <c r="P121" s="1177" t="s">
        <v>4815</v>
      </c>
      <c r="Q121" s="1177" t="s">
        <v>4816</v>
      </c>
    </row>
    <row r="122" spans="1:17">
      <c r="A122" s="1178" t="s">
        <v>4657</v>
      </c>
      <c r="B122" s="1179">
        <v>1</v>
      </c>
      <c r="C122" s="1180">
        <v>0.45</v>
      </c>
      <c r="D122" s="1181">
        <f>1/(C122*E122)</f>
        <v>8.8888888888888893</v>
      </c>
      <c r="E122" s="1182">
        <v>0.25</v>
      </c>
      <c r="F122" s="1183">
        <v>4</v>
      </c>
      <c r="G122" s="1182">
        <f>D122-0.05+2*0.2</f>
        <v>9.2388888888888889</v>
      </c>
      <c r="H122" s="1184">
        <f>ROUND(PI()*(((3/8)*0.0254)^2)/4*7.85*2204.6,2)</f>
        <v>1.23</v>
      </c>
      <c r="I122" s="1182">
        <f>((B122*H122*G122*F122)/100)*1.07</f>
        <v>0.48637206666666671</v>
      </c>
      <c r="J122" s="1182">
        <f>E122*D122*C122</f>
        <v>1</v>
      </c>
      <c r="K122" s="1185">
        <v>0.375</v>
      </c>
      <c r="L122" s="1186" t="s">
        <v>4823</v>
      </c>
      <c r="M122" s="1187">
        <v>0.15</v>
      </c>
      <c r="N122" s="1188">
        <f>ROUNDUP((D122/M122)+1,0)</f>
        <v>61</v>
      </c>
      <c r="O122" s="1189">
        <f>ROUND((2*(12*(3/8*0.0254)+0.45-0.025-0.025+0.25-0.025-0.025)),2)</f>
        <v>1.43</v>
      </c>
      <c r="P122" s="1184">
        <f>ROUND(PI()*(((3/8)*0.0254)^2)/4*7.85*2204.6,2)</f>
        <v>1.23</v>
      </c>
      <c r="Q122" s="1182">
        <f>((P122*O122*N122)/100)*1.07</f>
        <v>1.1480340299999998</v>
      </c>
    </row>
    <row r="123" spans="1:17">
      <c r="B123" s="1179"/>
      <c r="C123" s="1180"/>
      <c r="D123" s="1181"/>
      <c r="E123" s="1182"/>
      <c r="F123" s="1183"/>
      <c r="G123" s="1182"/>
      <c r="H123" s="1184"/>
      <c r="I123" s="1182"/>
      <c r="J123" s="1182"/>
    </row>
    <row r="124" spans="1:17">
      <c r="A124" s="1909"/>
      <c r="B124" s="1909"/>
      <c r="C124" s="1909"/>
      <c r="D124" s="1909"/>
      <c r="E124" s="1190"/>
      <c r="F124" s="1190"/>
      <c r="G124" s="1190"/>
      <c r="H124" s="1191"/>
      <c r="I124" s="1192">
        <f>I122+I123</f>
        <v>0.48637206666666671</v>
      </c>
      <c r="J124" s="1192"/>
      <c r="K124" s="1190"/>
      <c r="L124" s="1193"/>
      <c r="M124" s="1191"/>
      <c r="N124" s="1193"/>
      <c r="O124" s="1193"/>
      <c r="P124" s="1191"/>
      <c r="Q124" s="1194">
        <f>Q122</f>
        <v>1.1480340299999998</v>
      </c>
    </row>
    <row r="125" spans="1:17" ht="15.75">
      <c r="D125" s="1909" t="s">
        <v>4824</v>
      </c>
      <c r="E125" s="1909"/>
      <c r="F125" s="1909"/>
      <c r="G125" s="1909"/>
      <c r="H125" s="1195">
        <f>I124+Q124</f>
        <v>1.6344060966666665</v>
      </c>
    </row>
    <row r="126" spans="1:17">
      <c r="F126" s="728" t="s">
        <v>4847</v>
      </c>
      <c r="G126" s="783">
        <f>6.6*0.35*0.2</f>
        <v>0.46199999999999997</v>
      </c>
    </row>
    <row r="127" spans="1:17" ht="15.75">
      <c r="A127" s="956"/>
      <c r="B127" s="806"/>
      <c r="C127" s="806"/>
      <c r="D127" s="806"/>
      <c r="E127" s="806"/>
      <c r="F127" s="1197"/>
      <c r="G127" s="806"/>
      <c r="H127" s="806"/>
      <c r="I127" s="1198"/>
      <c r="J127" s="1198"/>
    </row>
    <row r="128" spans="1:17" ht="15.75">
      <c r="A128" s="956"/>
      <c r="B128" s="806"/>
      <c r="C128" s="806"/>
      <c r="D128" s="806"/>
      <c r="E128" s="806"/>
      <c r="F128" s="1197"/>
      <c r="G128" s="806"/>
      <c r="H128" s="806"/>
      <c r="I128" s="1198"/>
      <c r="J128" s="1198"/>
    </row>
    <row r="129" spans="1:10" ht="15.75">
      <c r="A129" s="956"/>
      <c r="B129" s="806"/>
      <c r="C129" s="806"/>
      <c r="D129" s="806"/>
      <c r="E129" s="806"/>
      <c r="F129" s="1197"/>
      <c r="G129" s="806"/>
      <c r="H129" s="806"/>
      <c r="I129" s="1198"/>
      <c r="J129" s="1198"/>
    </row>
    <row r="130" spans="1:10" ht="15.75">
      <c r="A130" s="956"/>
      <c r="B130" s="806"/>
      <c r="C130" s="806"/>
      <c r="D130" s="806"/>
      <c r="E130" s="806"/>
      <c r="F130" s="1197"/>
      <c r="G130" s="806"/>
      <c r="H130" s="806"/>
      <c r="I130" s="1198"/>
      <c r="J130" s="1198"/>
    </row>
    <row r="131" spans="1:10" ht="15.75">
      <c r="A131" s="956"/>
      <c r="B131" s="806"/>
      <c r="C131" s="806"/>
      <c r="D131" s="806"/>
      <c r="E131" s="806"/>
      <c r="F131" s="1197"/>
      <c r="G131" s="806"/>
      <c r="H131" s="806"/>
      <c r="I131" s="1198"/>
      <c r="J131" s="1198"/>
    </row>
    <row r="132" spans="1:10" ht="15.75">
      <c r="A132" s="956"/>
      <c r="B132" s="806"/>
      <c r="C132" s="806"/>
      <c r="D132" s="806"/>
      <c r="E132" s="806"/>
      <c r="F132" s="1197"/>
      <c r="G132" s="806"/>
      <c r="H132" s="806"/>
      <c r="I132" s="1198"/>
      <c r="J132" s="1198"/>
    </row>
    <row r="133" spans="1:10" ht="15.75">
      <c r="A133" s="956"/>
      <c r="B133" s="806"/>
      <c r="C133" s="806"/>
      <c r="D133" s="806"/>
      <c r="E133" s="806"/>
      <c r="F133" s="1197"/>
      <c r="G133" s="806"/>
      <c r="H133" s="806"/>
      <c r="I133" s="1198"/>
      <c r="J133" s="1198"/>
    </row>
    <row r="134" spans="1:10" ht="15.75">
      <c r="A134" s="956"/>
      <c r="B134" s="806"/>
      <c r="C134" s="806"/>
      <c r="D134" s="806"/>
      <c r="E134" s="806"/>
      <c r="F134" s="1197"/>
      <c r="G134" s="806"/>
      <c r="H134" s="806"/>
      <c r="I134" s="1198"/>
      <c r="J134" s="1198"/>
    </row>
    <row r="135" spans="1:10" ht="15.75">
      <c r="A135" s="956"/>
      <c r="B135" s="806"/>
      <c r="C135" s="806"/>
      <c r="D135" s="806"/>
      <c r="E135" s="806"/>
      <c r="F135" s="1197"/>
      <c r="G135" s="806"/>
      <c r="H135" s="806"/>
      <c r="I135" s="1198"/>
      <c r="J135" s="1198"/>
    </row>
    <row r="136" spans="1:10" ht="15.75">
      <c r="A136" s="956"/>
      <c r="B136" s="806"/>
      <c r="C136" s="806"/>
      <c r="D136" s="806"/>
      <c r="E136" s="806"/>
      <c r="F136" s="1197"/>
      <c r="G136" s="806"/>
      <c r="H136" s="806"/>
      <c r="I136" s="1198"/>
      <c r="J136" s="1198"/>
    </row>
    <row r="140" spans="1:10">
      <c r="C140" s="1895" t="s">
        <v>4864</v>
      </c>
      <c r="D140" s="1895"/>
      <c r="E140" s="1895"/>
      <c r="F140" s="1895"/>
    </row>
    <row r="141" spans="1:10">
      <c r="C141" s="994">
        <v>5</v>
      </c>
      <c r="D141" s="1897" t="s">
        <v>4865</v>
      </c>
      <c r="E141" s="1897"/>
      <c r="F141" s="1897"/>
    </row>
    <row r="142" spans="1:10">
      <c r="C142" s="994">
        <f>C141-1</f>
        <v>4</v>
      </c>
      <c r="D142" s="1897" t="s">
        <v>4866</v>
      </c>
      <c r="E142" s="1897"/>
      <c r="F142" s="1897"/>
    </row>
    <row r="143" spans="1:10">
      <c r="E143" s="807"/>
    </row>
    <row r="144" spans="1:10">
      <c r="C144" s="892" t="s">
        <v>4867</v>
      </c>
      <c r="D144" s="892"/>
    </row>
    <row r="145" spans="1:17">
      <c r="C145" s="1208" t="s">
        <v>4850</v>
      </c>
      <c r="D145" s="1209" t="s">
        <v>4868</v>
      </c>
      <c r="E145" s="1209" t="s">
        <v>4869</v>
      </c>
    </row>
    <row r="146" spans="1:17">
      <c r="C146" s="1210">
        <v>0.375</v>
      </c>
      <c r="D146" s="1211">
        <f>(3/8)*0.0254*50</f>
        <v>0.47624999999999995</v>
      </c>
      <c r="E146" s="1212">
        <f>(3/8)*0.0254</f>
        <v>9.5249999999999987E-3</v>
      </c>
    </row>
    <row r="147" spans="1:17">
      <c r="C147" s="1210">
        <v>0.5</v>
      </c>
      <c r="D147" s="1211">
        <f>1/2*0.0254*50</f>
        <v>0.63500000000000001</v>
      </c>
      <c r="E147" s="1212">
        <f>(1/2)*0.0254</f>
        <v>1.2699999999999999E-2</v>
      </c>
    </row>
    <row r="148" spans="1:17">
      <c r="C148" s="1210">
        <v>0.75</v>
      </c>
      <c r="D148" s="1211">
        <f>3/4*0.0254*50</f>
        <v>0.9524999999999999</v>
      </c>
      <c r="E148" s="1212">
        <f>(3/4)*0.0254</f>
        <v>1.9049999999999997E-2</v>
      </c>
    </row>
    <row r="149" spans="1:17">
      <c r="C149" s="994" t="s">
        <v>4870</v>
      </c>
      <c r="D149" s="1211">
        <f>1*0.0254*50</f>
        <v>1.27</v>
      </c>
      <c r="E149" s="1212">
        <f>1*0.0254</f>
        <v>2.5399999999999999E-2</v>
      </c>
    </row>
    <row r="152" spans="1:17">
      <c r="A152" s="1908"/>
      <c r="B152" s="1908"/>
      <c r="C152" s="1908"/>
      <c r="D152" s="1908"/>
      <c r="E152" s="1908"/>
      <c r="F152" s="1908"/>
      <c r="G152" s="1908"/>
      <c r="H152" s="1908"/>
      <c r="I152" s="1908"/>
      <c r="J152" s="1908"/>
      <c r="K152" s="1908"/>
      <c r="L152" s="1908"/>
      <c r="M152" s="1908"/>
      <c r="N152" s="1908"/>
      <c r="O152" s="1908"/>
      <c r="P152" s="1908"/>
      <c r="Q152" s="1908"/>
    </row>
    <row r="153" spans="1:17" ht="51">
      <c r="A153" s="1176"/>
      <c r="B153" s="1176"/>
      <c r="C153" s="1176"/>
      <c r="D153" s="1176"/>
      <c r="E153" s="1176"/>
      <c r="F153" s="1176"/>
      <c r="G153" s="1176"/>
      <c r="H153" s="1177"/>
      <c r="I153" s="1176"/>
      <c r="J153" s="1176"/>
      <c r="K153" s="1176"/>
      <c r="L153" s="1176" t="s">
        <v>4819</v>
      </c>
      <c r="M153" s="1177" t="s">
        <v>4820</v>
      </c>
      <c r="N153" s="1176" t="s">
        <v>4821</v>
      </c>
      <c r="O153" s="1176" t="s">
        <v>4822</v>
      </c>
      <c r="P153" s="1177" t="s">
        <v>4815</v>
      </c>
      <c r="Q153" s="1177" t="s">
        <v>4816</v>
      </c>
    </row>
    <row r="154" spans="1:17">
      <c r="A154" s="1178"/>
      <c r="B154" s="1179"/>
      <c r="C154" s="1180"/>
      <c r="D154" s="1181"/>
      <c r="E154" s="1182"/>
      <c r="F154" s="1183"/>
      <c r="G154" s="1182"/>
      <c r="H154" s="1184"/>
      <c r="I154" s="1182"/>
      <c r="J154" s="1182"/>
      <c r="K154" s="1185"/>
      <c r="L154" s="1186" t="s">
        <v>4823</v>
      </c>
      <c r="M154" s="1187">
        <v>0.2</v>
      </c>
      <c r="N154" s="1188">
        <f>ROUNDUP((D154/M154)+1,0)</f>
        <v>1</v>
      </c>
      <c r="O154" s="1189">
        <f>ROUND((2*(12*(3/8*0.0254)+0.15-0.025-0.025+0.5-0.025-0.025)),2)</f>
        <v>1.33</v>
      </c>
      <c r="P154" s="1184">
        <f>ROUND(PI()*(((3/8)*0.0254)^2)/4*7.85*2204.6,2)</f>
        <v>1.23</v>
      </c>
      <c r="Q154" s="1182">
        <f>((P154*O154*N154)/100)*1.07</f>
        <v>1.7504130000000003E-2</v>
      </c>
    </row>
    <row r="155" spans="1:17">
      <c r="A155" s="1909"/>
      <c r="B155" s="1909"/>
      <c r="C155" s="1909"/>
      <c r="D155" s="1909"/>
      <c r="E155" s="1190"/>
      <c r="F155" s="1190" t="s">
        <v>5429</v>
      </c>
      <c r="G155" s="1190"/>
      <c r="H155" s="1191"/>
      <c r="I155" s="1192"/>
      <c r="J155" s="1192"/>
      <c r="K155" s="1190"/>
      <c r="L155" s="1193"/>
      <c r="M155" s="1191"/>
      <c r="N155" s="1193"/>
      <c r="O155" s="1193"/>
      <c r="P155" s="1191"/>
      <c r="Q155" s="1194">
        <f>Q154</f>
        <v>1.7504130000000003E-2</v>
      </c>
    </row>
    <row r="157" spans="1:17" ht="15.75">
      <c r="D157" s="1909" t="s">
        <v>4824</v>
      </c>
      <c r="E157" s="1909"/>
      <c r="F157" s="1909"/>
      <c r="G157" s="1909"/>
      <c r="H157" s="1195">
        <f>I155+Q155</f>
        <v>1.7504130000000003E-2</v>
      </c>
    </row>
    <row r="158" spans="1:17">
      <c r="J158" s="728">
        <f>0.5+0.6+0.5</f>
        <v>1.6</v>
      </c>
      <c r="K158" s="728">
        <f>J158-0.25</f>
        <v>1.35</v>
      </c>
    </row>
    <row r="160" spans="1:17" ht="15.75">
      <c r="E160" s="1213" t="s">
        <v>4871</v>
      </c>
      <c r="F160" s="1213">
        <v>7.0000000000000007E-2</v>
      </c>
    </row>
    <row r="162" spans="1:14">
      <c r="A162" s="1914" t="s">
        <v>5430</v>
      </c>
      <c r="B162" s="1914"/>
      <c r="C162" s="1914"/>
      <c r="D162" s="1914"/>
      <c r="E162" s="1914"/>
      <c r="F162" s="1914"/>
      <c r="G162" s="1914"/>
      <c r="H162" s="1914"/>
      <c r="I162" s="1914"/>
    </row>
    <row r="163" spans="1:14">
      <c r="A163" s="1214" t="s">
        <v>4056</v>
      </c>
      <c r="B163" s="1215">
        <v>0.7</v>
      </c>
      <c r="C163" s="1216">
        <v>0.7</v>
      </c>
      <c r="D163" s="1217">
        <v>0.35</v>
      </c>
      <c r="E163" s="1214"/>
      <c r="F163" s="1218">
        <f>G163-D163</f>
        <v>0.65</v>
      </c>
      <c r="G163" s="1219">
        <v>1</v>
      </c>
      <c r="H163" s="1220">
        <v>3</v>
      </c>
      <c r="I163" s="1221"/>
      <c r="K163" s="892" t="s">
        <v>4867</v>
      </c>
      <c r="L163" s="892"/>
    </row>
    <row r="164" spans="1:14">
      <c r="A164" s="1222" t="s">
        <v>4873</v>
      </c>
      <c r="B164" s="1222" t="s">
        <v>4851</v>
      </c>
      <c r="C164" s="1222" t="s">
        <v>4874</v>
      </c>
      <c r="D164" s="1222" t="s">
        <v>4852</v>
      </c>
      <c r="E164" s="1222" t="s">
        <v>4875</v>
      </c>
      <c r="F164" s="1222" t="s">
        <v>4860</v>
      </c>
      <c r="G164" s="1222" t="s">
        <v>4876</v>
      </c>
      <c r="H164" s="1222" t="s">
        <v>4</v>
      </c>
      <c r="I164" s="1222" t="s">
        <v>4861</v>
      </c>
      <c r="K164" s="1208" t="s">
        <v>4850</v>
      </c>
      <c r="L164" s="1209" t="s">
        <v>4868</v>
      </c>
      <c r="M164" s="1209" t="s">
        <v>4869</v>
      </c>
    </row>
    <row r="165" spans="1:14">
      <c r="A165" s="1210">
        <v>0.5</v>
      </c>
      <c r="B165" s="1223"/>
      <c r="C165" s="1224"/>
      <c r="D165" s="1224"/>
      <c r="E165" s="1225"/>
      <c r="F165" s="1225"/>
      <c r="G165" s="1224"/>
      <c r="H165" s="1224"/>
      <c r="I165" s="1915">
        <f>SUM(H165:H168)/(I169)</f>
        <v>2.3173392419825083</v>
      </c>
      <c r="K165" s="1210">
        <v>0.375</v>
      </c>
      <c r="L165" s="1211">
        <f>(3/8)*0.0254*50</f>
        <v>0.47624999999999995</v>
      </c>
      <c r="M165" s="1212">
        <f>(3/8)*0.0254</f>
        <v>9.5249999999999987E-3</v>
      </c>
    </row>
    <row r="166" spans="1:14">
      <c r="A166" s="1210">
        <v>0.5</v>
      </c>
      <c r="B166" s="1223"/>
      <c r="C166" s="1224"/>
      <c r="D166" s="1224"/>
      <c r="E166" s="1225"/>
      <c r="F166" s="1225"/>
      <c r="G166" s="1224"/>
      <c r="H166" s="1224"/>
      <c r="I166" s="1916"/>
      <c r="K166" s="1210">
        <v>0.5</v>
      </c>
      <c r="L166" s="1211">
        <f>1/2*0.0254*50</f>
        <v>0.63500000000000001</v>
      </c>
      <c r="M166" s="1212">
        <f>(1/2)*0.0254</f>
        <v>1.2699999999999999E-2</v>
      </c>
    </row>
    <row r="167" spans="1:14">
      <c r="A167" s="1210">
        <v>0.5</v>
      </c>
      <c r="B167" s="1223" t="s">
        <v>4879</v>
      </c>
      <c r="C167" s="1224"/>
      <c r="D167" s="1224"/>
      <c r="E167" s="1225">
        <v>8</v>
      </c>
      <c r="F167" s="1225">
        <f>+ROUND((PI()*(A167*0.0254)^2)/4*7.85*1000*2.2046,2)</f>
        <v>2.19</v>
      </c>
      <c r="G167" s="1224">
        <f>B163+2*0.25-(2*$F$181)</f>
        <v>1.06</v>
      </c>
      <c r="H167" s="1224">
        <f>+((E167*F167*G167)/100)*1.07</f>
        <v>0.19871184000000003</v>
      </c>
      <c r="I167" s="1916"/>
      <c r="K167" s="1210">
        <v>0.75</v>
      </c>
      <c r="L167" s="1211">
        <f>3/4*0.0254*50</f>
        <v>0.9524999999999999</v>
      </c>
      <c r="M167" s="1212">
        <f>(3/4)*0.0254</f>
        <v>1.9049999999999997E-2</v>
      </c>
    </row>
    <row r="168" spans="1:14">
      <c r="A168" s="1210">
        <v>0.5</v>
      </c>
      <c r="B168" s="1223"/>
      <c r="C168" s="1224"/>
      <c r="D168" s="1224"/>
      <c r="E168" s="1225">
        <v>8</v>
      </c>
      <c r="F168" s="1225">
        <f>+ROUND((PI()*(A168*0.0254)^2)/4*7.85*1000*2.2046,2)</f>
        <v>2.19</v>
      </c>
      <c r="G168" s="1224">
        <f>C163+2*0.25-(2*$F$181)</f>
        <v>1.06</v>
      </c>
      <c r="H168" s="1224">
        <f>+((E168*F168*G168)/100)*1.07</f>
        <v>0.19871184000000003</v>
      </c>
      <c r="I168" s="1916"/>
      <c r="K168" s="1638" t="s">
        <v>4870</v>
      </c>
      <c r="L168" s="1211">
        <f>1*0.0254*50</f>
        <v>1.27</v>
      </c>
      <c r="M168" s="1212">
        <f>1*0.0254</f>
        <v>2.5399999999999999E-2</v>
      </c>
    </row>
    <row r="169" spans="1:14">
      <c r="A169" s="1917" t="s">
        <v>4881</v>
      </c>
      <c r="B169" s="1917"/>
      <c r="C169" s="1917"/>
      <c r="D169" s="1917"/>
      <c r="E169" s="1917"/>
      <c r="F169" s="1917"/>
      <c r="G169" s="1917"/>
      <c r="H169" s="1917"/>
      <c r="I169" s="1226">
        <f>B163*D163*C163</f>
        <v>0.17149999999999996</v>
      </c>
      <c r="M169" s="807"/>
    </row>
    <row r="170" spans="1:14">
      <c r="E170" s="1918" t="s">
        <v>4882</v>
      </c>
      <c r="F170" s="1918"/>
      <c r="G170" s="1918"/>
      <c r="H170" s="891">
        <f>I169*H163</f>
        <v>0.51449999999999985</v>
      </c>
      <c r="M170" s="807"/>
    </row>
    <row r="171" spans="1:14">
      <c r="H171" s="783"/>
      <c r="K171" s="1895" t="s">
        <v>4864</v>
      </c>
      <c r="L171" s="1895"/>
      <c r="M171" s="1895"/>
      <c r="N171" s="1895"/>
    </row>
    <row r="172" spans="1:14" ht="18.75">
      <c r="A172" s="1227" t="s">
        <v>4883</v>
      </c>
      <c r="B172" s="1227"/>
      <c r="C172" s="1227"/>
      <c r="D172" s="1227"/>
      <c r="E172" s="1227"/>
      <c r="F172" s="1227"/>
      <c r="G172" s="1227"/>
      <c r="H172" s="1227"/>
      <c r="I172" s="1227"/>
      <c r="K172" s="1638">
        <v>2</v>
      </c>
      <c r="L172" s="1897" t="s">
        <v>4865</v>
      </c>
      <c r="M172" s="1897"/>
      <c r="N172" s="1897"/>
    </row>
    <row r="173" spans="1:14">
      <c r="B173" s="1910" t="s">
        <v>4884</v>
      </c>
      <c r="C173" s="1910"/>
      <c r="E173" s="1228"/>
      <c r="F173" s="1911" t="s">
        <v>4885</v>
      </c>
      <c r="G173" s="1912"/>
      <c r="H173" s="1913"/>
      <c r="K173" s="1638">
        <v>1</v>
      </c>
      <c r="L173" s="1897" t="s">
        <v>4866</v>
      </c>
      <c r="M173" s="1897"/>
      <c r="N173" s="1897"/>
    </row>
    <row r="181" spans="1:14" ht="15.75">
      <c r="E181" s="1213" t="s">
        <v>4871</v>
      </c>
      <c r="F181" s="1213">
        <v>7.0000000000000007E-2</v>
      </c>
    </row>
    <row r="183" spans="1:14">
      <c r="A183" s="1914" t="s">
        <v>4872</v>
      </c>
      <c r="B183" s="1914"/>
      <c r="C183" s="1914"/>
      <c r="D183" s="1914"/>
      <c r="E183" s="1914"/>
      <c r="F183" s="1914"/>
      <c r="G183" s="1914"/>
      <c r="H183" s="1914"/>
      <c r="I183" s="1914"/>
    </row>
    <row r="184" spans="1:14">
      <c r="A184" s="1214" t="s">
        <v>4056</v>
      </c>
      <c r="B184" s="1215">
        <v>2.4</v>
      </c>
      <c r="C184" s="1216">
        <v>2.4</v>
      </c>
      <c r="D184" s="1217">
        <v>0.5</v>
      </c>
      <c r="E184" s="1214"/>
      <c r="F184" s="1218">
        <f>G184-D184</f>
        <v>1.1000000000000001</v>
      </c>
      <c r="G184" s="1219">
        <v>1.6</v>
      </c>
      <c r="H184" s="1220">
        <v>4</v>
      </c>
      <c r="I184" s="1221"/>
      <c r="K184" s="892" t="s">
        <v>4867</v>
      </c>
      <c r="L184" s="892"/>
    </row>
    <row r="185" spans="1:14">
      <c r="A185" s="1222" t="s">
        <v>4873</v>
      </c>
      <c r="B185" s="1222" t="s">
        <v>4851</v>
      </c>
      <c r="C185" s="1222" t="s">
        <v>4874</v>
      </c>
      <c r="D185" s="1222" t="s">
        <v>4852</v>
      </c>
      <c r="E185" s="1222" t="s">
        <v>4875</v>
      </c>
      <c r="F185" s="1222" t="s">
        <v>4860</v>
      </c>
      <c r="G185" s="1222" t="s">
        <v>4876</v>
      </c>
      <c r="H185" s="1222" t="s">
        <v>4</v>
      </c>
      <c r="I185" s="1222" t="s">
        <v>4861</v>
      </c>
      <c r="K185" s="1208" t="s">
        <v>4850</v>
      </c>
      <c r="L185" s="1209" t="s">
        <v>4868</v>
      </c>
      <c r="M185" s="1209" t="s">
        <v>4869</v>
      </c>
    </row>
    <row r="186" spans="1:14">
      <c r="A186" s="1210">
        <v>0.5</v>
      </c>
      <c r="B186" s="1223" t="s">
        <v>4877</v>
      </c>
      <c r="C186" s="1224">
        <f>C184</f>
        <v>2.4</v>
      </c>
      <c r="D186" s="1224">
        <v>0.15</v>
      </c>
      <c r="E186" s="1225">
        <f>(ROUNDUP((C186/D186),0))+1</f>
        <v>17</v>
      </c>
      <c r="F186" s="1225">
        <f>+ROUND((PI()*(A186*0.0254)^2)/4*7.85*1000*2.2046,2)</f>
        <v>2.19</v>
      </c>
      <c r="G186" s="1224">
        <f>B184+2*0.25-(2*$F$181)</f>
        <v>2.76</v>
      </c>
      <c r="H186" s="1224">
        <f>+((E186*F186*G186)/100)*1.07</f>
        <v>1.0994763599999999</v>
      </c>
      <c r="I186" s="1915">
        <f>SUM(H186:H189)/(I190)</f>
        <v>2.6068796388888891</v>
      </c>
      <c r="K186" s="1210">
        <v>0.375</v>
      </c>
      <c r="L186" s="1211">
        <f>(3/8)*0.0254*50</f>
        <v>0.47624999999999995</v>
      </c>
      <c r="M186" s="1212">
        <f>(3/8)*0.0254</f>
        <v>9.5249999999999987E-3</v>
      </c>
    </row>
    <row r="187" spans="1:14">
      <c r="A187" s="1210">
        <v>0.5</v>
      </c>
      <c r="B187" s="1223" t="s">
        <v>4878</v>
      </c>
      <c r="C187" s="1224">
        <f>B184</f>
        <v>2.4</v>
      </c>
      <c r="D187" s="1224">
        <v>0.15</v>
      </c>
      <c r="E187" s="1225">
        <f>(ROUNDUP((C187/D187),0))+1</f>
        <v>17</v>
      </c>
      <c r="F187" s="1225">
        <f>+ROUND((PI()*(A187*0.0254)^2)/4*7.85*1000*2.2046,2)</f>
        <v>2.19</v>
      </c>
      <c r="G187" s="1224">
        <f>C184+2*0.25-(2*$F$181)</f>
        <v>2.76</v>
      </c>
      <c r="H187" s="1224">
        <f>+((E187*F187*G187)/100)*1.07</f>
        <v>1.0994763599999999</v>
      </c>
      <c r="I187" s="1916"/>
      <c r="K187" s="1210">
        <v>0.5</v>
      </c>
      <c r="L187" s="1211">
        <f>1/2*0.0254*50</f>
        <v>0.63500000000000001</v>
      </c>
      <c r="M187" s="1212">
        <f>(1/2)*0.0254</f>
        <v>1.2699999999999999E-2</v>
      </c>
    </row>
    <row r="188" spans="1:14">
      <c r="A188" s="1210">
        <v>0.75</v>
      </c>
      <c r="B188" s="1223" t="s">
        <v>4879</v>
      </c>
      <c r="C188" s="1224">
        <f>C184</f>
        <v>2.4</v>
      </c>
      <c r="D188" s="1224">
        <v>0.15</v>
      </c>
      <c r="E188" s="1225">
        <f>(ROUNDUP((C188/D188),0))+1</f>
        <v>17</v>
      </c>
      <c r="F188" s="1225">
        <f>+ROUND((PI()*(A188*0.0254)^2)/4*7.85*1000*2.2046,2)</f>
        <v>4.93</v>
      </c>
      <c r="G188" s="1224">
        <f>B184+2*0.35-(2*$F$181)</f>
        <v>2.9599999999999995</v>
      </c>
      <c r="H188" s="1224">
        <f>+((E188*F188*G188)/100)*1.07</f>
        <v>2.6544303199999999</v>
      </c>
      <c r="I188" s="1916"/>
      <c r="K188" s="1210">
        <v>0.75</v>
      </c>
      <c r="L188" s="1211">
        <f>3/4*0.0254*50</f>
        <v>0.9524999999999999</v>
      </c>
      <c r="M188" s="1212">
        <f>(3/4)*0.0254</f>
        <v>1.9049999999999997E-2</v>
      </c>
    </row>
    <row r="189" spans="1:14">
      <c r="A189" s="1210">
        <v>0.75</v>
      </c>
      <c r="B189" s="1223" t="s">
        <v>4880</v>
      </c>
      <c r="C189" s="1224">
        <f>B184</f>
        <v>2.4</v>
      </c>
      <c r="D189" s="1224">
        <v>0.15</v>
      </c>
      <c r="E189" s="1225">
        <f>(ROUNDUP((C189/D189),0))+1</f>
        <v>17</v>
      </c>
      <c r="F189" s="1225">
        <f>+ROUND((PI()*(A189*0.0254)^2)/4*7.85*1000*2.2046,2)</f>
        <v>4.93</v>
      </c>
      <c r="G189" s="1224">
        <f>C184+2*0.35-(2*$F$181)</f>
        <v>2.9599999999999995</v>
      </c>
      <c r="H189" s="1224">
        <f>+((E189*F189*G189)/100)*1.07</f>
        <v>2.6544303199999999</v>
      </c>
      <c r="I189" s="1916"/>
      <c r="K189" s="994" t="s">
        <v>4870</v>
      </c>
      <c r="L189" s="1211">
        <f>1*0.0254*50</f>
        <v>1.27</v>
      </c>
      <c r="M189" s="1212">
        <f>1*0.0254</f>
        <v>2.5399999999999999E-2</v>
      </c>
    </row>
    <row r="190" spans="1:14">
      <c r="A190" s="1917" t="s">
        <v>4881</v>
      </c>
      <c r="B190" s="1917"/>
      <c r="C190" s="1917"/>
      <c r="D190" s="1917"/>
      <c r="E190" s="1917"/>
      <c r="F190" s="1917"/>
      <c r="G190" s="1917"/>
      <c r="H190" s="1917"/>
      <c r="I190" s="1226">
        <f>B184*D184*C184</f>
        <v>2.88</v>
      </c>
      <c r="M190" s="807"/>
    </row>
    <row r="191" spans="1:14">
      <c r="E191" s="1918" t="s">
        <v>4882</v>
      </c>
      <c r="F191" s="1918"/>
      <c r="G191" s="1918"/>
      <c r="H191" s="891">
        <f>I190*H184</f>
        <v>11.52</v>
      </c>
      <c r="M191" s="807"/>
    </row>
    <row r="192" spans="1:14">
      <c r="H192" s="783"/>
      <c r="K192" s="1895" t="s">
        <v>4864</v>
      </c>
      <c r="L192" s="1895"/>
      <c r="M192" s="1895"/>
      <c r="N192" s="1895"/>
    </row>
    <row r="193" spans="1:14" ht="18.75">
      <c r="A193" s="1227" t="s">
        <v>4883</v>
      </c>
      <c r="B193" s="1227"/>
      <c r="C193" s="1227"/>
      <c r="D193" s="1227"/>
      <c r="E193" s="1227"/>
      <c r="F193" s="1227"/>
      <c r="G193" s="1227"/>
      <c r="H193" s="1227"/>
      <c r="I193" s="1227"/>
      <c r="K193" s="994">
        <v>2</v>
      </c>
      <c r="L193" s="1897" t="s">
        <v>4865</v>
      </c>
      <c r="M193" s="1897"/>
      <c r="N193" s="1897"/>
    </row>
    <row r="194" spans="1:14">
      <c r="B194" s="1910" t="s">
        <v>4884</v>
      </c>
      <c r="C194" s="1910"/>
      <c r="E194" s="1228"/>
      <c r="F194" s="1911" t="s">
        <v>4885</v>
      </c>
      <c r="G194" s="1912"/>
      <c r="H194" s="1913"/>
      <c r="K194" s="994">
        <v>1</v>
      </c>
      <c r="L194" s="1897" t="s">
        <v>4866</v>
      </c>
      <c r="M194" s="1897"/>
      <c r="N194" s="1897"/>
    </row>
    <row r="198" spans="1:14">
      <c r="A198" s="1914" t="s">
        <v>4886</v>
      </c>
      <c r="B198" s="1914"/>
      <c r="C198" s="1914"/>
      <c r="D198" s="1914"/>
      <c r="E198" s="1914"/>
      <c r="F198" s="1914"/>
      <c r="G198" s="1914"/>
      <c r="H198" s="1914"/>
      <c r="I198" s="1914"/>
    </row>
    <row r="199" spans="1:14">
      <c r="A199" s="1214" t="s">
        <v>4056</v>
      </c>
      <c r="B199" s="1215"/>
      <c r="C199" s="1216"/>
      <c r="D199" s="1217">
        <v>0.5</v>
      </c>
      <c r="E199" s="1214"/>
      <c r="F199" s="1218">
        <f>G199-D199</f>
        <v>1.1000000000000001</v>
      </c>
      <c r="G199" s="1219">
        <v>1.6</v>
      </c>
      <c r="H199" s="1220">
        <v>8</v>
      </c>
      <c r="I199" s="1221"/>
    </row>
    <row r="200" spans="1:14">
      <c r="A200" s="1222" t="s">
        <v>4873</v>
      </c>
      <c r="B200" s="1222" t="s">
        <v>4851</v>
      </c>
      <c r="C200" s="1222" t="s">
        <v>4874</v>
      </c>
      <c r="D200" s="1222" t="s">
        <v>4852</v>
      </c>
      <c r="E200" s="1222" t="s">
        <v>4875</v>
      </c>
      <c r="F200" s="1222" t="s">
        <v>4860</v>
      </c>
      <c r="G200" s="1222" t="s">
        <v>4876</v>
      </c>
      <c r="H200" s="1222" t="s">
        <v>4</v>
      </c>
      <c r="I200" s="1222" t="s">
        <v>4861</v>
      </c>
    </row>
    <row r="201" spans="1:14" ht="26.25">
      <c r="A201" s="1210">
        <v>0.75</v>
      </c>
      <c r="B201" s="1229" t="s">
        <v>4887</v>
      </c>
      <c r="C201" s="1230">
        <f>1.4</f>
        <v>1.4</v>
      </c>
      <c r="D201" s="1230">
        <v>0.2</v>
      </c>
      <c r="E201" s="1230">
        <f>(C201/D201)+1</f>
        <v>7.9999999999999991</v>
      </c>
      <c r="F201" s="1225">
        <f t="shared" ref="F201:F208" si="0">+ROUND((PI()*(A201*0.0254)^2)/4*7.85*1000*2.2046,2)</f>
        <v>4.93</v>
      </c>
      <c r="G201" s="1224">
        <f>2.6+2*0.35-(2*$F$181)</f>
        <v>3.1599999999999997</v>
      </c>
      <c r="H201" s="1224">
        <f t="shared" ref="H201:H208" si="1">+((E201*F201*G201)/100)*1.07</f>
        <v>1.3335452799999994</v>
      </c>
      <c r="I201" s="1915">
        <f>SUM(H201:H208)/(I209)</f>
        <v>3.625143909774434</v>
      </c>
    </row>
    <row r="202" spans="1:14" ht="26.25">
      <c r="A202" s="1210">
        <v>0.75</v>
      </c>
      <c r="B202" s="1229" t="s">
        <v>4888</v>
      </c>
      <c r="C202" s="1230">
        <v>1.4</v>
      </c>
      <c r="D202" s="1230">
        <v>0.2</v>
      </c>
      <c r="E202" s="1230">
        <f>(C202/D202)+1</f>
        <v>7.9999999999999991</v>
      </c>
      <c r="F202" s="1225">
        <f t="shared" si="0"/>
        <v>4.93</v>
      </c>
      <c r="G202" s="1224">
        <f>2.6+2*0.35-(2*$F$181)</f>
        <v>3.1599999999999997</v>
      </c>
      <c r="H202" s="1224">
        <f t="shared" si="1"/>
        <v>1.3335452799999994</v>
      </c>
      <c r="I202" s="1916"/>
    </row>
    <row r="203" spans="1:14" ht="26.25">
      <c r="A203" s="1210">
        <v>0.75</v>
      </c>
      <c r="B203" s="1229" t="s">
        <v>4889</v>
      </c>
      <c r="C203" s="1230">
        <v>1.2</v>
      </c>
      <c r="D203" s="1230">
        <v>0.2</v>
      </c>
      <c r="E203" s="1230">
        <f>(C203/D203)+1</f>
        <v>6.9999999999999991</v>
      </c>
      <c r="F203" s="1225">
        <f t="shared" si="0"/>
        <v>4.93</v>
      </c>
      <c r="G203" s="1224">
        <f>1.4+2*0.35-(2*$F$181)</f>
        <v>1.9599999999999995</v>
      </c>
      <c r="H203" s="1224">
        <f t="shared" si="1"/>
        <v>0.72374371999999954</v>
      </c>
      <c r="I203" s="1916"/>
    </row>
    <row r="204" spans="1:14" ht="26.25">
      <c r="A204" s="1210">
        <v>0.75</v>
      </c>
      <c r="B204" s="1229" t="s">
        <v>4890</v>
      </c>
      <c r="C204" s="1230">
        <v>1.2</v>
      </c>
      <c r="D204" s="1230">
        <v>0.2</v>
      </c>
      <c r="E204" s="1230">
        <f>(C204/D204)+1</f>
        <v>6.9999999999999991</v>
      </c>
      <c r="F204" s="1225">
        <f t="shared" si="0"/>
        <v>4.93</v>
      </c>
      <c r="G204" s="1224">
        <f>1.4+2*0.35-(2*$F$181)</f>
        <v>1.9599999999999995</v>
      </c>
      <c r="H204" s="1224">
        <f t="shared" si="1"/>
        <v>0.72374371999999954</v>
      </c>
      <c r="I204" s="1916"/>
    </row>
    <row r="205" spans="1:14" ht="26.25">
      <c r="A205" s="1210">
        <v>0.75</v>
      </c>
      <c r="B205" s="1229" t="s">
        <v>4891</v>
      </c>
      <c r="C205" s="1224">
        <v>1.4</v>
      </c>
      <c r="D205" s="1224">
        <v>0.15</v>
      </c>
      <c r="E205" s="1225">
        <f>(ROUNDUP((C205/D205),0))+1</f>
        <v>11</v>
      </c>
      <c r="F205" s="1225">
        <f t="shared" si="0"/>
        <v>4.93</v>
      </c>
      <c r="G205" s="1224">
        <f>2.6+2*0.35-(2*$F$181)</f>
        <v>3.1599999999999997</v>
      </c>
      <c r="H205" s="1224">
        <f t="shared" si="1"/>
        <v>1.8336247599999997</v>
      </c>
      <c r="I205" s="1916"/>
    </row>
    <row r="206" spans="1:14" ht="26.25">
      <c r="A206" s="1210">
        <v>0.75</v>
      </c>
      <c r="B206" s="1229" t="s">
        <v>4892</v>
      </c>
      <c r="C206" s="1224">
        <v>1.4</v>
      </c>
      <c r="D206" s="1224">
        <v>0.15</v>
      </c>
      <c r="E206" s="1225">
        <f>(ROUNDUP((C206/D206),0))+1</f>
        <v>11</v>
      </c>
      <c r="F206" s="1225">
        <f t="shared" si="0"/>
        <v>4.93</v>
      </c>
      <c r="G206" s="1224">
        <f>2.6+2*0.35-(2*$F$181)</f>
        <v>3.1599999999999997</v>
      </c>
      <c r="H206" s="1224">
        <f t="shared" si="1"/>
        <v>1.8336247599999997</v>
      </c>
      <c r="I206" s="1916"/>
    </row>
    <row r="207" spans="1:14" ht="26.25">
      <c r="A207" s="1210">
        <v>0.75</v>
      </c>
      <c r="B207" s="1229" t="s">
        <v>4893</v>
      </c>
      <c r="C207" s="1224">
        <v>1.2</v>
      </c>
      <c r="D207" s="1224">
        <v>0.15</v>
      </c>
      <c r="E207" s="1225">
        <f>(ROUNDUP((C207/D207),0))+1</f>
        <v>9</v>
      </c>
      <c r="F207" s="1225">
        <f t="shared" si="0"/>
        <v>4.93</v>
      </c>
      <c r="G207" s="1224">
        <f>1.4+2*0.35-(2*$F$181)</f>
        <v>1.9599999999999995</v>
      </c>
      <c r="H207" s="1224">
        <f t="shared" si="1"/>
        <v>0.93052763999999966</v>
      </c>
      <c r="I207" s="1916"/>
    </row>
    <row r="208" spans="1:14" ht="26.25">
      <c r="A208" s="1210">
        <v>0.75</v>
      </c>
      <c r="B208" s="1229" t="s">
        <v>4894</v>
      </c>
      <c r="C208" s="1224">
        <v>1.2</v>
      </c>
      <c r="D208" s="1224">
        <v>0.15</v>
      </c>
      <c r="E208" s="1225">
        <f>(ROUNDUP((C208/D208),0))+1</f>
        <v>9</v>
      </c>
      <c r="F208" s="1225">
        <f t="shared" si="0"/>
        <v>4.93</v>
      </c>
      <c r="G208" s="1224">
        <f>1.4+2*0.35-(2*$F$181)</f>
        <v>1.9599999999999995</v>
      </c>
      <c r="H208" s="1224">
        <f t="shared" si="1"/>
        <v>0.93052763999999966</v>
      </c>
      <c r="I208" s="1916"/>
    </row>
    <row r="209" spans="1:10">
      <c r="A209" s="1917" t="s">
        <v>4881</v>
      </c>
      <c r="B209" s="1917"/>
      <c r="C209" s="1917"/>
      <c r="D209" s="1917"/>
      <c r="E209" s="1917"/>
      <c r="F209" s="1917"/>
      <c r="G209" s="1917"/>
      <c r="H209" s="1917"/>
      <c r="I209" s="1226">
        <f>5.32*D199</f>
        <v>2.66</v>
      </c>
      <c r="J209" s="728">
        <f>(2.6*2.6*0.5)-(1.2*1.2*0.5)</f>
        <v>2.66</v>
      </c>
    </row>
    <row r="210" spans="1:10">
      <c r="E210" s="728" t="s">
        <v>4882</v>
      </c>
      <c r="H210" s="891">
        <f>H199*I209</f>
        <v>21.28</v>
      </c>
    </row>
    <row r="213" spans="1:10">
      <c r="A213" s="1914" t="s">
        <v>4895</v>
      </c>
      <c r="B213" s="1914"/>
      <c r="C213" s="1914"/>
      <c r="D213" s="1914"/>
      <c r="E213" s="1914"/>
      <c r="F213" s="1914"/>
      <c r="G213" s="1914"/>
      <c r="H213" s="1914"/>
      <c r="I213" s="1914"/>
    </row>
    <row r="214" spans="1:10">
      <c r="A214" s="1214" t="s">
        <v>4056</v>
      </c>
      <c r="B214" s="1215"/>
      <c r="C214" s="1216"/>
      <c r="D214" s="1217">
        <v>0.5</v>
      </c>
      <c r="E214" s="1214"/>
      <c r="F214" s="1218">
        <f>G214-D214</f>
        <v>1.1000000000000001</v>
      </c>
      <c r="G214" s="1219">
        <v>1.6</v>
      </c>
      <c r="H214" s="1220">
        <v>1</v>
      </c>
      <c r="I214" s="1221"/>
    </row>
    <row r="215" spans="1:10">
      <c r="A215" s="1222" t="s">
        <v>4873</v>
      </c>
      <c r="B215" s="1222" t="s">
        <v>4851</v>
      </c>
      <c r="C215" s="1222" t="s">
        <v>4874</v>
      </c>
      <c r="D215" s="1222" t="s">
        <v>4852</v>
      </c>
      <c r="E215" s="1222" t="s">
        <v>4875</v>
      </c>
      <c r="F215" s="1222" t="s">
        <v>4860</v>
      </c>
      <c r="G215" s="1222" t="s">
        <v>4876</v>
      </c>
      <c r="H215" s="1222" t="s">
        <v>4</v>
      </c>
      <c r="I215" s="1222" t="s">
        <v>4861</v>
      </c>
    </row>
    <row r="216" spans="1:10" ht="26.25">
      <c r="A216" s="1210">
        <v>0.75</v>
      </c>
      <c r="B216" s="1229" t="s">
        <v>4896</v>
      </c>
      <c r="C216" s="1230">
        <v>5.0999999999999996</v>
      </c>
      <c r="D216" s="1230"/>
      <c r="E216" s="1230">
        <v>6</v>
      </c>
      <c r="F216" s="1225">
        <f>+ROUND((PI()*(A216*0.0254)^2)/4*7.85*1000*2.2046,2)</f>
        <v>4.93</v>
      </c>
      <c r="G216" s="1224">
        <f>C216+2*0.35-(2*$F$181)</f>
        <v>5.66</v>
      </c>
      <c r="H216" s="1224">
        <f>+((E216*F216*G216)/100)*1.07</f>
        <v>1.7914239600000001</v>
      </c>
      <c r="I216" s="1915">
        <f>SUM(H216:H239)/(I240)</f>
        <v>7.1317180537564768</v>
      </c>
    </row>
    <row r="217" spans="1:10" ht="26.25">
      <c r="A217" s="1210">
        <v>0.75</v>
      </c>
      <c r="B217" s="1229" t="s">
        <v>4897</v>
      </c>
      <c r="C217" s="1230">
        <v>5.0999999999999996</v>
      </c>
      <c r="D217" s="1230"/>
      <c r="E217" s="1230">
        <v>6</v>
      </c>
      <c r="F217" s="1225">
        <f>+ROUND((PI()*(A217*0.0254)^2)/4*7.85*1000*2.2046,2)</f>
        <v>4.93</v>
      </c>
      <c r="G217" s="1224">
        <f>C217+2*0.35-(2*$F$181)</f>
        <v>5.66</v>
      </c>
      <c r="H217" s="1224">
        <f>+((E217*F217*G217)/100)*1.07</f>
        <v>1.7914239600000001</v>
      </c>
      <c r="I217" s="1916"/>
    </row>
    <row r="218" spans="1:10">
      <c r="A218" s="1210">
        <v>0.75</v>
      </c>
      <c r="B218" s="1229" t="s">
        <v>4898</v>
      </c>
      <c r="C218" s="1230">
        <f>C217/4</f>
        <v>1.2749999999999999</v>
      </c>
      <c r="D218" s="1230"/>
      <c r="E218" s="1230">
        <v>4</v>
      </c>
      <c r="F218" s="1225">
        <f t="shared" ref="F218:F221" si="2">+ROUND((PI()*(A218*0.0254)^2)/4*7.85*1000*2.2046,2)</f>
        <v>4.93</v>
      </c>
      <c r="G218" s="1224">
        <f>C218+2*0.35-(1*$F$181)</f>
        <v>1.9049999999999998</v>
      </c>
      <c r="H218" s="1224">
        <f t="shared" ref="H218:H221" si="3">+((E218*F218*G218)/100)*1.07</f>
        <v>0.40196261999999994</v>
      </c>
      <c r="I218" s="1916"/>
    </row>
    <row r="219" spans="1:10">
      <c r="A219" s="1210">
        <v>0.75</v>
      </c>
      <c r="B219" s="1229" t="s">
        <v>4899</v>
      </c>
      <c r="C219" s="1230">
        <f>C217/3</f>
        <v>1.7</v>
      </c>
      <c r="D219" s="1230"/>
      <c r="E219" s="1230">
        <v>4</v>
      </c>
      <c r="F219" s="1225">
        <f t="shared" si="2"/>
        <v>4.93</v>
      </c>
      <c r="G219" s="1224">
        <f>C219+2*0.35-(1*$F$181)</f>
        <v>2.33</v>
      </c>
      <c r="H219" s="1224">
        <f t="shared" si="3"/>
        <v>0.49163932000000005</v>
      </c>
      <c r="I219" s="1916"/>
    </row>
    <row r="220" spans="1:10" ht="26.25">
      <c r="A220" s="1210">
        <v>0.375</v>
      </c>
      <c r="B220" s="1229" t="s">
        <v>4900</v>
      </c>
      <c r="C220" s="1230">
        <f>J220</f>
        <v>2.125</v>
      </c>
      <c r="D220" s="1230">
        <v>0.2</v>
      </c>
      <c r="E220" s="1225">
        <f>(ROUNDUP((C220/D220),0))+1</f>
        <v>12</v>
      </c>
      <c r="F220" s="1225">
        <f t="shared" si="2"/>
        <v>1.23</v>
      </c>
      <c r="G220" s="1189">
        <f>ROUND((2*(12*(3/8*0.0254)+0.5-0.025-0.025+0.3-0.025-0.025)),2)</f>
        <v>1.63</v>
      </c>
      <c r="H220" s="1224">
        <f t="shared" si="3"/>
        <v>0.25742915999999999</v>
      </c>
      <c r="I220" s="1916"/>
      <c r="J220" s="783">
        <f>C217-C218-C219</f>
        <v>2.125</v>
      </c>
    </row>
    <row r="221" spans="1:10" ht="26.25">
      <c r="A221" s="1210">
        <v>0.375</v>
      </c>
      <c r="B221" s="1229" t="s">
        <v>4901</v>
      </c>
      <c r="C221" s="1230">
        <f>C218+C219</f>
        <v>2.9749999999999996</v>
      </c>
      <c r="D221" s="1230">
        <v>0.1</v>
      </c>
      <c r="E221" s="1225">
        <f>(ROUNDUP((C221/D221),0))+1</f>
        <v>31</v>
      </c>
      <c r="F221" s="1225">
        <f t="shared" si="2"/>
        <v>1.23</v>
      </c>
      <c r="G221" s="1189">
        <f>ROUND((2*(12*(3/8*0.0254)+0.5-0.025-0.025+0.3-0.025-0.025)),2)</f>
        <v>1.63</v>
      </c>
      <c r="H221" s="1224">
        <f t="shared" si="3"/>
        <v>0.66502532999999997</v>
      </c>
      <c r="I221" s="1916"/>
    </row>
    <row r="222" spans="1:10" ht="26.25">
      <c r="A222" s="1210">
        <v>0.75</v>
      </c>
      <c r="B222" s="1229" t="s">
        <v>4902</v>
      </c>
      <c r="C222" s="1230">
        <v>5.0999999999999996</v>
      </c>
      <c r="D222" s="1230"/>
      <c r="E222" s="1230">
        <v>6</v>
      </c>
      <c r="F222" s="1225">
        <f>+ROUND((PI()*(A222*0.0254)^2)/4*7.85*1000*2.2046,2)</f>
        <v>4.93</v>
      </c>
      <c r="G222" s="1224">
        <f>C222+2*0.35-(2*$F$181)</f>
        <v>5.66</v>
      </c>
      <c r="H222" s="1224">
        <f>+((E222*F222*G222)/100)*1.07</f>
        <v>1.7914239600000001</v>
      </c>
      <c r="I222" s="1916"/>
    </row>
    <row r="223" spans="1:10" ht="26.25">
      <c r="A223" s="1210">
        <v>0.75</v>
      </c>
      <c r="B223" s="1229" t="s">
        <v>4903</v>
      </c>
      <c r="C223" s="1230">
        <v>5.0999999999999996</v>
      </c>
      <c r="D223" s="1230"/>
      <c r="E223" s="1230">
        <v>6</v>
      </c>
      <c r="F223" s="1225">
        <f>+ROUND((PI()*(A223*0.0254)^2)/4*7.85*1000*2.2046,2)</f>
        <v>4.93</v>
      </c>
      <c r="G223" s="1224">
        <f>C223+2*0.35-(2*$F$181)</f>
        <v>5.66</v>
      </c>
      <c r="H223" s="1224">
        <f>+((E223*F223*G223)/100)*1.07</f>
        <v>1.7914239600000001</v>
      </c>
      <c r="I223" s="1916"/>
    </row>
    <row r="224" spans="1:10">
      <c r="A224" s="1210">
        <v>0.75</v>
      </c>
      <c r="B224" s="1229" t="s">
        <v>4898</v>
      </c>
      <c r="C224" s="1230">
        <f>C223/4</f>
        <v>1.2749999999999999</v>
      </c>
      <c r="D224" s="1230"/>
      <c r="E224" s="1230">
        <v>4</v>
      </c>
      <c r="F224" s="1225">
        <f t="shared" ref="F224:F227" si="4">+ROUND((PI()*(A224*0.0254)^2)/4*7.85*1000*2.2046,2)</f>
        <v>4.93</v>
      </c>
      <c r="G224" s="1224">
        <f>C224+2*0.35-(1*$F$181)</f>
        <v>1.9049999999999998</v>
      </c>
      <c r="H224" s="1224">
        <f t="shared" ref="H224:H227" si="5">+((E224*F224*G224)/100)*1.07</f>
        <v>0.40196261999999994</v>
      </c>
      <c r="I224" s="1916"/>
    </row>
    <row r="225" spans="1:10">
      <c r="A225" s="1210">
        <v>0.75</v>
      </c>
      <c r="B225" s="1229" t="s">
        <v>4899</v>
      </c>
      <c r="C225" s="1230">
        <f>C223/3</f>
        <v>1.7</v>
      </c>
      <c r="D225" s="1230"/>
      <c r="E225" s="1230">
        <v>4</v>
      </c>
      <c r="F225" s="1225">
        <f t="shared" si="4"/>
        <v>4.93</v>
      </c>
      <c r="G225" s="1224">
        <f>C225+2*0.35-(1*$F$181)</f>
        <v>2.33</v>
      </c>
      <c r="H225" s="1224">
        <f t="shared" si="5"/>
        <v>0.49163932000000005</v>
      </c>
      <c r="I225" s="1916"/>
    </row>
    <row r="226" spans="1:10" ht="26.25">
      <c r="A226" s="1210">
        <v>0.375</v>
      </c>
      <c r="B226" s="1229" t="s">
        <v>4904</v>
      </c>
      <c r="C226" s="1230">
        <f>J220</f>
        <v>2.125</v>
      </c>
      <c r="D226" s="1230">
        <v>0.2</v>
      </c>
      <c r="E226" s="1225">
        <f>((ROUNDUP((C226/D226),0))+1)*2</f>
        <v>24</v>
      </c>
      <c r="F226" s="1225">
        <f t="shared" si="4"/>
        <v>1.23</v>
      </c>
      <c r="G226" s="1189">
        <f>ROUND((2*(12*(3/8*0.0254)+0.5-0.025-0.025+0.3-0.025-0.025)),2)</f>
        <v>1.63</v>
      </c>
      <c r="H226" s="1224">
        <f t="shared" si="5"/>
        <v>0.51485831999999998</v>
      </c>
      <c r="I226" s="1916"/>
    </row>
    <row r="227" spans="1:10" ht="26.25">
      <c r="A227" s="1210">
        <v>0.375</v>
      </c>
      <c r="B227" s="1229" t="s">
        <v>4905</v>
      </c>
      <c r="C227" s="1230">
        <f>C224+C225</f>
        <v>2.9749999999999996</v>
      </c>
      <c r="D227" s="1230">
        <v>0.1</v>
      </c>
      <c r="E227" s="1225">
        <f>((ROUNDUP((C227/D227),0))+1)*2</f>
        <v>62</v>
      </c>
      <c r="F227" s="1225">
        <f t="shared" si="4"/>
        <v>1.23</v>
      </c>
      <c r="G227" s="1189">
        <f>ROUND((2*(12*(3/8*0.0254)+0.5-0.025-0.025+0.3-0.025-0.025)),2)</f>
        <v>1.63</v>
      </c>
      <c r="H227" s="1224">
        <f t="shared" si="5"/>
        <v>1.3300506599999999</v>
      </c>
      <c r="I227" s="1916"/>
    </row>
    <row r="228" spans="1:10" ht="26.25">
      <c r="A228" s="1210">
        <v>0.75</v>
      </c>
      <c r="B228" s="1229" t="s">
        <v>4906</v>
      </c>
      <c r="C228" s="1231">
        <v>8.6999999999999993</v>
      </c>
      <c r="D228" s="1230"/>
      <c r="E228" s="1230">
        <v>6</v>
      </c>
      <c r="F228" s="1225">
        <f>+ROUND((PI()*(A228*0.0254)^2)/4*7.85*1000*2.2046,2)</f>
        <v>4.93</v>
      </c>
      <c r="G228" s="1224">
        <f>C228+2*0.35-(2*$F$181)+1*L188</f>
        <v>10.212499999999999</v>
      </c>
      <c r="H228" s="1224">
        <f>+((E228*F228*G228)/100)*1.07</f>
        <v>3.2323175249999996</v>
      </c>
      <c r="I228" s="1916"/>
    </row>
    <row r="229" spans="1:10" ht="26.25">
      <c r="A229" s="1210">
        <v>0.75</v>
      </c>
      <c r="B229" s="1229" t="s">
        <v>4907</v>
      </c>
      <c r="C229" s="1231">
        <v>8.6999999999999993</v>
      </c>
      <c r="D229" s="1230"/>
      <c r="E229" s="1230">
        <v>6</v>
      </c>
      <c r="F229" s="1225">
        <f>+ROUND((PI()*(A229*0.0254)^2)/4*7.85*1000*2.2046,2)</f>
        <v>4.93</v>
      </c>
      <c r="G229" s="1224">
        <f>C229+2*0.35-(2*$F$181)+1*L188</f>
        <v>10.212499999999999</v>
      </c>
      <c r="H229" s="1224">
        <f>+((E229*F229*G229)/100)*1.07</f>
        <v>3.2323175249999996</v>
      </c>
      <c r="I229" s="1916"/>
      <c r="J229" s="783">
        <f>C228-C230-C231</f>
        <v>3.6249999999999996</v>
      </c>
    </row>
    <row r="230" spans="1:10">
      <c r="A230" s="1210">
        <v>0.75</v>
      </c>
      <c r="B230" s="1229" t="s">
        <v>4898</v>
      </c>
      <c r="C230" s="1231">
        <f>C229/4</f>
        <v>2.1749999999999998</v>
      </c>
      <c r="D230" s="1230"/>
      <c r="E230" s="1230">
        <v>4</v>
      </c>
      <c r="F230" s="1225">
        <f t="shared" ref="F230:F233" si="6">+ROUND((PI()*(A230*0.0254)^2)/4*7.85*1000*2.2046,2)</f>
        <v>4.93</v>
      </c>
      <c r="G230" s="1224">
        <f>C230+2*0.35-(1*$F$181)</f>
        <v>2.8050000000000002</v>
      </c>
      <c r="H230" s="1224">
        <f t="shared" ref="H230:H233" si="7">+((E230*F230*G230)/100)*1.07</f>
        <v>0.59186622000000011</v>
      </c>
      <c r="I230" s="1916"/>
    </row>
    <row r="231" spans="1:10">
      <c r="A231" s="1210">
        <v>0.75</v>
      </c>
      <c r="B231" s="1229" t="s">
        <v>4899</v>
      </c>
      <c r="C231" s="1231">
        <f>C229/3</f>
        <v>2.9</v>
      </c>
      <c r="D231" s="1230"/>
      <c r="E231" s="1230">
        <v>4</v>
      </c>
      <c r="F231" s="1225">
        <f t="shared" si="6"/>
        <v>4.93</v>
      </c>
      <c r="G231" s="1224">
        <f>C231+2*0.35-(1*$F$181)</f>
        <v>3.53</v>
      </c>
      <c r="H231" s="1224">
        <f t="shared" si="7"/>
        <v>0.74484412</v>
      </c>
      <c r="I231" s="1916"/>
    </row>
    <row r="232" spans="1:10" ht="26.25">
      <c r="A232" s="1210">
        <v>0.375</v>
      </c>
      <c r="B232" s="1229" t="s">
        <v>4908</v>
      </c>
      <c r="C232" s="1231">
        <f>J229</f>
        <v>3.6249999999999996</v>
      </c>
      <c r="D232" s="1230">
        <v>0.2</v>
      </c>
      <c r="E232" s="1225">
        <f>((ROUNDUP((C232/D232),0))+1)*2</f>
        <v>40</v>
      </c>
      <c r="F232" s="1225">
        <f t="shared" si="6"/>
        <v>1.23</v>
      </c>
      <c r="G232" s="1189">
        <f>ROUND((2*(12*(3/8*0.0254)+0.5-0.025-0.025+0.3-0.025-0.025)),2)</f>
        <v>1.63</v>
      </c>
      <c r="H232" s="1224">
        <f t="shared" si="7"/>
        <v>0.8580972</v>
      </c>
      <c r="I232" s="1916"/>
    </row>
    <row r="233" spans="1:10" ht="26.25">
      <c r="A233" s="1210">
        <v>0.375</v>
      </c>
      <c r="B233" s="1229" t="s">
        <v>4909</v>
      </c>
      <c r="C233" s="1231">
        <f>C230+C231</f>
        <v>5.0749999999999993</v>
      </c>
      <c r="D233" s="1230">
        <v>0.1</v>
      </c>
      <c r="E233" s="1225">
        <f>((ROUNDUP((C233/D233),0))+1)*2</f>
        <v>104</v>
      </c>
      <c r="F233" s="1225">
        <f t="shared" si="6"/>
        <v>1.23</v>
      </c>
      <c r="G233" s="1189">
        <f>ROUND((2*(12*(3/8*0.0254)+0.5-0.025-0.025+0.3-0.025-0.025)),2)</f>
        <v>1.63</v>
      </c>
      <c r="H233" s="1224">
        <f t="shared" si="7"/>
        <v>2.2310527199999997</v>
      </c>
      <c r="I233" s="1916"/>
    </row>
    <row r="234" spans="1:10" ht="26.25">
      <c r="A234" s="1210">
        <v>0.75</v>
      </c>
      <c r="B234" s="1229" t="s">
        <v>4910</v>
      </c>
      <c r="C234" s="1231">
        <v>8.6999999999999993</v>
      </c>
      <c r="D234" s="1230"/>
      <c r="E234" s="1230">
        <v>8</v>
      </c>
      <c r="F234" s="1225">
        <f>+ROUND((PI()*(A234*0.0254)^2)/4*7.85*1000*2.2046,2)</f>
        <v>4.93</v>
      </c>
      <c r="G234" s="1224">
        <f>C234+2*0.35-(2*$F$181)+1*L188</f>
        <v>10.212499999999999</v>
      </c>
      <c r="H234" s="1224">
        <f>+((E234*F234*G234)/100)*1.07</f>
        <v>4.3097567000000003</v>
      </c>
      <c r="I234" s="1916"/>
    </row>
    <row r="235" spans="1:10" ht="26.25">
      <c r="A235" s="1210">
        <v>0.75</v>
      </c>
      <c r="B235" s="1229" t="s">
        <v>4911</v>
      </c>
      <c r="C235" s="1231">
        <v>8.6999999999999993</v>
      </c>
      <c r="D235" s="1230"/>
      <c r="E235" s="1230">
        <v>6</v>
      </c>
      <c r="F235" s="1225">
        <f>+ROUND((PI()*(A235*0.0254)^2)/4*7.85*1000*2.2046,2)</f>
        <v>4.93</v>
      </c>
      <c r="G235" s="1224">
        <f>C235+2*0.35-(2*$F$181)+1*L188</f>
        <v>10.212499999999999</v>
      </c>
      <c r="H235" s="1224">
        <f>+((E235*F235*G235)/100)*1.07</f>
        <v>3.2323175249999996</v>
      </c>
      <c r="I235" s="1916"/>
    </row>
    <row r="236" spans="1:10">
      <c r="A236" s="1210">
        <v>0.75</v>
      </c>
      <c r="B236" s="1229" t="s">
        <v>4898</v>
      </c>
      <c r="C236" s="1231">
        <f>C235/4</f>
        <v>2.1749999999999998</v>
      </c>
      <c r="D236" s="1230"/>
      <c r="E236" s="1230">
        <v>4</v>
      </c>
      <c r="F236" s="1225">
        <f t="shared" ref="F236:F239" si="8">+ROUND((PI()*(A236*0.0254)^2)/4*7.85*1000*2.2046,2)</f>
        <v>4.93</v>
      </c>
      <c r="G236" s="1224">
        <f>C236+2*0.35-(1*$F$181)</f>
        <v>2.8050000000000002</v>
      </c>
      <c r="H236" s="1224">
        <f t="shared" ref="H236:H239" si="9">+((E236*F236*G236)/100)*1.07</f>
        <v>0.59186622000000011</v>
      </c>
      <c r="I236" s="1916"/>
    </row>
    <row r="237" spans="1:10">
      <c r="A237" s="1210">
        <v>0.75</v>
      </c>
      <c r="B237" s="1229" t="s">
        <v>4899</v>
      </c>
      <c r="C237" s="1231">
        <f>C235/3</f>
        <v>2.9</v>
      </c>
      <c r="D237" s="1230"/>
      <c r="E237" s="1230">
        <v>4</v>
      </c>
      <c r="F237" s="1225">
        <f t="shared" si="8"/>
        <v>4.93</v>
      </c>
      <c r="G237" s="1224">
        <f>C237+2*0.35-(1*$F$181)</f>
        <v>3.53</v>
      </c>
      <c r="H237" s="1224">
        <f t="shared" si="9"/>
        <v>0.74484412</v>
      </c>
      <c r="I237" s="1916"/>
    </row>
    <row r="238" spans="1:10" ht="26.25">
      <c r="A238" s="1210">
        <v>0.375</v>
      </c>
      <c r="B238" s="1229" t="s">
        <v>4912</v>
      </c>
      <c r="C238" s="1231">
        <f>J229</f>
        <v>3.6249999999999996</v>
      </c>
      <c r="D238" s="1230">
        <v>0.2</v>
      </c>
      <c r="E238" s="1225">
        <f>(ROUNDUP((C238/D238),0))+1</f>
        <v>20</v>
      </c>
      <c r="F238" s="1225">
        <f t="shared" si="8"/>
        <v>1.23</v>
      </c>
      <c r="G238" s="1189">
        <f>ROUND((2*(12*(3/8*0.0254)+0.5-0.025-0.025+0.3-0.025-0.025)),2)</f>
        <v>1.63</v>
      </c>
      <c r="H238" s="1224">
        <f t="shared" si="9"/>
        <v>0.4290486</v>
      </c>
      <c r="I238" s="1916"/>
    </row>
    <row r="239" spans="1:10" ht="26.25">
      <c r="A239" s="1210">
        <v>0.375</v>
      </c>
      <c r="B239" s="1229" t="s">
        <v>4913</v>
      </c>
      <c r="C239" s="1231">
        <f>C236+C237</f>
        <v>5.0749999999999993</v>
      </c>
      <c r="D239" s="1230">
        <v>0.1</v>
      </c>
      <c r="E239" s="1225">
        <f>(ROUNDUP((C239/D239),0))+1</f>
        <v>52</v>
      </c>
      <c r="F239" s="1225">
        <f t="shared" si="8"/>
        <v>1.23</v>
      </c>
      <c r="G239" s="1189">
        <f>ROUND((2*(12*(3/8*0.0254)+0.5-0.025-0.025+0.3-0.025-0.025)),2)</f>
        <v>1.63</v>
      </c>
      <c r="H239" s="1224">
        <f t="shared" si="9"/>
        <v>1.1155263599999998</v>
      </c>
      <c r="I239" s="1916"/>
    </row>
    <row r="240" spans="1:10">
      <c r="A240" s="1917" t="s">
        <v>4881</v>
      </c>
      <c r="B240" s="1917"/>
      <c r="C240" s="1917"/>
      <c r="D240" s="1917"/>
      <c r="E240" s="1917"/>
      <c r="F240" s="1917"/>
      <c r="G240" s="1917"/>
      <c r="H240" s="1917"/>
      <c r="I240" s="1226">
        <f>H241</f>
        <v>4.6319999999999997</v>
      </c>
    </row>
    <row r="241" spans="1:14">
      <c r="E241" s="728" t="s">
        <v>4882</v>
      </c>
      <c r="H241" s="733">
        <f>11.25*2*0.5*0.3+8.38*2*0.25*0.3</f>
        <v>4.6319999999999997</v>
      </c>
    </row>
    <row r="242" spans="1:14">
      <c r="H242" s="733"/>
    </row>
    <row r="243" spans="1:14">
      <c r="H243" s="728">
        <f>8.35*2*0.25*0.3+11.25*2*0.5*0.3</f>
        <v>4.6274999999999995</v>
      </c>
    </row>
    <row r="248" spans="1:14" ht="15.75">
      <c r="E248" s="1232" t="s">
        <v>4914</v>
      </c>
      <c r="F248" s="1232">
        <v>7.0000000000000007E-2</v>
      </c>
      <c r="H248" s="1233" t="s">
        <v>4915</v>
      </c>
      <c r="I248" s="1233">
        <v>2.5000000000000001E-2</v>
      </c>
    </row>
    <row r="250" spans="1:14">
      <c r="F250" s="1234" t="s">
        <v>4916</v>
      </c>
      <c r="G250" s="728">
        <f>4.42/3</f>
        <v>1.4733333333333334</v>
      </c>
    </row>
    <row r="251" spans="1:14">
      <c r="A251" s="1914" t="s">
        <v>4917</v>
      </c>
      <c r="B251" s="1914"/>
      <c r="C251" s="1914"/>
      <c r="D251" s="1914"/>
      <c r="E251" s="1914"/>
      <c r="F251" s="1914"/>
      <c r="G251" s="1914"/>
      <c r="H251" s="1914"/>
      <c r="I251" s="1914"/>
      <c r="L251" s="892" t="s">
        <v>4867</v>
      </c>
      <c r="M251" s="892"/>
    </row>
    <row r="252" spans="1:14">
      <c r="A252" s="1214" t="s">
        <v>4918</v>
      </c>
      <c r="B252" s="1235">
        <v>0.3</v>
      </c>
      <c r="C252" s="1236">
        <v>1</v>
      </c>
      <c r="D252" s="1214"/>
      <c r="E252" s="1235">
        <v>0</v>
      </c>
      <c r="F252" s="1237">
        <v>0</v>
      </c>
      <c r="G252" s="1220">
        <v>8</v>
      </c>
      <c r="H252" s="1238">
        <f>3.32+0.15+1.6-0.07</f>
        <v>5</v>
      </c>
      <c r="I252" s="1220">
        <v>0</v>
      </c>
      <c r="L252" s="1208" t="s">
        <v>4850</v>
      </c>
      <c r="M252" s="1209" t="s">
        <v>4868</v>
      </c>
      <c r="N252" s="1209" t="s">
        <v>4869</v>
      </c>
    </row>
    <row r="253" spans="1:14">
      <c r="A253" s="1222" t="s">
        <v>4850</v>
      </c>
      <c r="B253" s="1222" t="s">
        <v>4851</v>
      </c>
      <c r="C253" s="1222" t="s">
        <v>4874</v>
      </c>
      <c r="D253" s="1222" t="s">
        <v>4852</v>
      </c>
      <c r="E253" s="1222" t="s">
        <v>4875</v>
      </c>
      <c r="F253" s="1222" t="s">
        <v>4860</v>
      </c>
      <c r="G253" s="1222" t="s">
        <v>4876</v>
      </c>
      <c r="H253" s="1222" t="s">
        <v>4</v>
      </c>
      <c r="I253" s="1222" t="s">
        <v>4861</v>
      </c>
      <c r="L253" s="1210">
        <v>0.375</v>
      </c>
      <c r="M253" s="1211">
        <f>(3/8)*0.0254*50</f>
        <v>0.47624999999999995</v>
      </c>
      <c r="N253" s="1212">
        <f>(3/8)*0.0254</f>
        <v>9.5249999999999987E-3</v>
      </c>
    </row>
    <row r="254" spans="1:14">
      <c r="A254" s="1210">
        <v>0.375</v>
      </c>
      <c r="B254" s="1223" t="s">
        <v>4919</v>
      </c>
      <c r="C254" s="1224">
        <f>+G250+0.5</f>
        <v>1.9733333333333334</v>
      </c>
      <c r="D254" s="1224">
        <v>0.2</v>
      </c>
      <c r="E254" s="1225">
        <f>((ROUND((C254/D254),0))+1)*3</f>
        <v>33</v>
      </c>
      <c r="F254" s="1225">
        <f t="shared" ref="F254:F261" si="10">+ROUND((PI()*(A254*0.0254)^2)/4*7.85*1000*2.2046,2)</f>
        <v>1.23</v>
      </c>
      <c r="G254" s="1239">
        <f>ROUND((2*(12*($A254*0.0254)+B252-0.025-0.025+B252-0.025-0.025)),2)</f>
        <v>1.23</v>
      </c>
      <c r="H254" s="1224">
        <f t="shared" ref="H254:H261" si="11">+((E254*F254*G254)/100)*1.07</f>
        <v>0.53420498999999988</v>
      </c>
      <c r="I254" s="1919">
        <f>SUM(H254:H261)/I263</f>
        <v>6.1530370354111801</v>
      </c>
      <c r="L254" s="1210">
        <v>0.5</v>
      </c>
      <c r="M254" s="1211">
        <f>1/2*0.0254*50</f>
        <v>0.63500000000000001</v>
      </c>
      <c r="N254" s="1212">
        <f>(1/2)*0.0254</f>
        <v>1.2699999999999999E-2</v>
      </c>
    </row>
    <row r="255" spans="1:14">
      <c r="A255" s="1210">
        <v>0.375</v>
      </c>
      <c r="B255" s="1223" t="s">
        <v>4920</v>
      </c>
      <c r="C255" s="1224">
        <f>1.47*2</f>
        <v>2.94</v>
      </c>
      <c r="D255" s="1224">
        <v>0.1</v>
      </c>
      <c r="E255" s="1225">
        <f>((ROUND((C255/D255),0))+1)*3</f>
        <v>90</v>
      </c>
      <c r="F255" s="1225">
        <f t="shared" si="10"/>
        <v>1.23</v>
      </c>
      <c r="G255" s="1239">
        <f>ROUND((2*(12*($A255*0.0254)+0.212-0.025-0.025+0.212-0.025-0.025)),2)</f>
        <v>0.88</v>
      </c>
      <c r="H255" s="1224">
        <f t="shared" si="11"/>
        <v>1.0423511999999999</v>
      </c>
      <c r="I255" s="1920"/>
      <c r="L255" s="1210">
        <v>0.75</v>
      </c>
      <c r="M255" s="1211">
        <f>3/4*0.0254*50</f>
        <v>0.9524999999999999</v>
      </c>
      <c r="N255" s="1212">
        <f>(3/4)*0.0254</f>
        <v>1.9049999999999997E-2</v>
      </c>
    </row>
    <row r="256" spans="1:14">
      <c r="A256" s="1210">
        <v>0.375</v>
      </c>
      <c r="B256" s="1223" t="s">
        <v>4921</v>
      </c>
      <c r="C256" s="1224">
        <f>1.47*2</f>
        <v>2.94</v>
      </c>
      <c r="D256" s="1224">
        <v>0.1</v>
      </c>
      <c r="E256" s="1225">
        <f>((ROUND((C256/D256),0))+1)*3</f>
        <v>90</v>
      </c>
      <c r="F256" s="1225">
        <f t="shared" si="10"/>
        <v>1.23</v>
      </c>
      <c r="G256" s="1239">
        <f>ROUND((2*(12*($A256*0.0254)+B252-0.025-0.025+B252-0.025-0.025)),2)</f>
        <v>1.23</v>
      </c>
      <c r="H256" s="1224">
        <f t="shared" si="11"/>
        <v>1.4569227</v>
      </c>
      <c r="I256" s="1920"/>
      <c r="L256" s="1210"/>
      <c r="M256" s="1211"/>
      <c r="N256" s="1212"/>
    </row>
    <row r="257" spans="1:15">
      <c r="A257" s="1210">
        <v>0.375</v>
      </c>
      <c r="B257" s="1223" t="s">
        <v>4922</v>
      </c>
      <c r="C257" s="1224">
        <f>C254</f>
        <v>1.9733333333333334</v>
      </c>
      <c r="D257" s="1224">
        <v>0.2</v>
      </c>
      <c r="E257" s="1225">
        <f>((ROUND((C257/D257),0))+1)*3</f>
        <v>33</v>
      </c>
      <c r="F257" s="1225">
        <f t="shared" si="10"/>
        <v>1.23</v>
      </c>
      <c r="G257" s="1239">
        <f>ROUND((2*(12*($A257*0.0254)+0.212-0.025-0.025+0.212-0.025-0.025)),2)</f>
        <v>0.88</v>
      </c>
      <c r="H257" s="1224">
        <f t="shared" si="11"/>
        <v>0.38219544</v>
      </c>
      <c r="I257" s="1920"/>
      <c r="L257" s="1210"/>
      <c r="M257" s="1211"/>
      <c r="N257" s="1212"/>
    </row>
    <row r="258" spans="1:15" ht="29.25">
      <c r="A258" s="1210">
        <v>0.75</v>
      </c>
      <c r="B258" s="1240" t="s">
        <v>4923</v>
      </c>
      <c r="C258" s="1224">
        <v>5</v>
      </c>
      <c r="D258" s="1094"/>
      <c r="E258" s="1225">
        <v>12</v>
      </c>
      <c r="F258" s="1225">
        <f t="shared" si="10"/>
        <v>4.93</v>
      </c>
      <c r="G258" s="1239">
        <f>H252+1*0.35</f>
        <v>5.35</v>
      </c>
      <c r="H258" s="1224">
        <f t="shared" si="11"/>
        <v>3.3866141999999999</v>
      </c>
      <c r="I258" s="1920"/>
      <c r="L258" s="994" t="s">
        <v>4870</v>
      </c>
      <c r="M258" s="1211">
        <f>1*0.0254*50</f>
        <v>1.27</v>
      </c>
      <c r="N258" s="1212">
        <f>1*0.0254</f>
        <v>2.5399999999999999E-2</v>
      </c>
    </row>
    <row r="259" spans="1:15" ht="29.25">
      <c r="A259" s="1210">
        <v>0.5</v>
      </c>
      <c r="B259" s="1241" t="s">
        <v>4923</v>
      </c>
      <c r="C259" s="1224">
        <f>H252</f>
        <v>5</v>
      </c>
      <c r="D259" s="1224"/>
      <c r="E259" s="1225">
        <v>12</v>
      </c>
      <c r="F259" s="1225">
        <f t="shared" si="10"/>
        <v>2.19</v>
      </c>
      <c r="G259" s="1224">
        <f>+C259+1*0.35</f>
        <v>5.35</v>
      </c>
      <c r="H259" s="1224">
        <f t="shared" si="11"/>
        <v>1.5043985999999998</v>
      </c>
      <c r="I259" s="1920"/>
      <c r="N259" s="807"/>
    </row>
    <row r="260" spans="1:15">
      <c r="A260" s="1242">
        <v>0.375</v>
      </c>
      <c r="B260" s="1241" t="s">
        <v>4924</v>
      </c>
      <c r="C260" s="1224">
        <f>+C259</f>
        <v>5</v>
      </c>
      <c r="D260" s="1243">
        <v>0.2</v>
      </c>
      <c r="E260" s="1225">
        <f>((ROUND((C260/D260),0))+1)*4</f>
        <v>104</v>
      </c>
      <c r="F260" s="1244">
        <f t="shared" si="10"/>
        <v>1.23</v>
      </c>
      <c r="G260" s="1224">
        <f>1-0.025*2+2*0.2</f>
        <v>1.35</v>
      </c>
      <c r="H260" s="1224">
        <f t="shared" si="11"/>
        <v>1.8478044</v>
      </c>
      <c r="I260" s="1920"/>
      <c r="N260" s="807"/>
    </row>
    <row r="261" spans="1:15" ht="19.5" customHeight="1">
      <c r="A261" s="1242">
        <v>0.5</v>
      </c>
      <c r="B261" s="1241" t="s">
        <v>4925</v>
      </c>
      <c r="C261" s="1224">
        <v>1.4</v>
      </c>
      <c r="D261" s="1243">
        <v>0.15</v>
      </c>
      <c r="E261" s="1225">
        <f>((ROUND((C261/D261),0))+1)*2</f>
        <v>20</v>
      </c>
      <c r="F261" s="1244">
        <f t="shared" si="10"/>
        <v>2.19</v>
      </c>
      <c r="G261" s="1224">
        <f>H252+1*0.25</f>
        <v>5.25</v>
      </c>
      <c r="H261" s="1224">
        <f t="shared" si="11"/>
        <v>2.4604650000000001</v>
      </c>
      <c r="I261" s="1920"/>
      <c r="L261" s="1921" t="s">
        <v>4864</v>
      </c>
      <c r="M261" s="1922"/>
      <c r="N261" s="1922"/>
      <c r="O261" s="1923"/>
    </row>
    <row r="262" spans="1:15">
      <c r="A262" s="1245"/>
      <c r="B262" s="1246"/>
      <c r="C262" s="1246"/>
      <c r="D262" s="1246"/>
      <c r="E262" s="1246"/>
      <c r="F262" s="1246"/>
      <c r="G262" s="1246"/>
      <c r="H262" s="1247">
        <f>SUM(H254:H261)</f>
        <v>12.614956529999997</v>
      </c>
      <c r="I262" s="1931"/>
      <c r="J262" s="728">
        <f>3.32+1.1-0.4</f>
        <v>4.0199999999999996</v>
      </c>
      <c r="L262" s="994">
        <v>2</v>
      </c>
      <c r="M262" s="1897" t="s">
        <v>4865</v>
      </c>
      <c r="N262" s="1897"/>
      <c r="O262" s="1897"/>
    </row>
    <row r="263" spans="1:15" ht="15.75" customHeight="1">
      <c r="I263" s="1248">
        <f>B252*C252*4.02+0.7*0.3*4.02</f>
        <v>2.0501999999999994</v>
      </c>
      <c r="L263" s="994">
        <v>1</v>
      </c>
      <c r="M263" s="1897" t="s">
        <v>4866</v>
      </c>
      <c r="N263" s="1897"/>
      <c r="O263" s="1897"/>
    </row>
    <row r="264" spans="1:15" ht="15.75">
      <c r="G264" s="1249" t="s">
        <v>4926</v>
      </c>
      <c r="H264" s="1250">
        <f>I263*G252</f>
        <v>16.401599999999995</v>
      </c>
      <c r="I264" s="1251"/>
    </row>
    <row r="265" spans="1:15">
      <c r="I265" s="807"/>
    </row>
    <row r="266" spans="1:15">
      <c r="F266" s="1234" t="s">
        <v>4916</v>
      </c>
      <c r="G266" s="728">
        <f>3.32/3</f>
        <v>1.1066666666666667</v>
      </c>
    </row>
    <row r="267" spans="1:15">
      <c r="A267" s="1914" t="s">
        <v>4927</v>
      </c>
      <c r="B267" s="1914"/>
      <c r="C267" s="1914"/>
      <c r="D267" s="1914"/>
      <c r="E267" s="1914"/>
      <c r="F267" s="1914"/>
      <c r="G267" s="1914"/>
      <c r="H267" s="1914"/>
      <c r="I267" s="1914"/>
      <c r="L267" s="892" t="s">
        <v>4867</v>
      </c>
      <c r="M267" s="892"/>
    </row>
    <row r="268" spans="1:15">
      <c r="A268" s="1214" t="s">
        <v>4918</v>
      </c>
      <c r="B268" s="1235">
        <v>0.3</v>
      </c>
      <c r="C268" s="1236">
        <v>1</v>
      </c>
      <c r="D268" s="1214"/>
      <c r="E268" s="1235">
        <v>0</v>
      </c>
      <c r="F268" s="1237">
        <v>0</v>
      </c>
      <c r="G268" s="1220">
        <v>8</v>
      </c>
      <c r="H268" s="1238">
        <f>3.32+0.15</f>
        <v>3.4699999999999998</v>
      </c>
      <c r="I268" s="1220">
        <v>0</v>
      </c>
      <c r="L268" s="1208" t="s">
        <v>4850</v>
      </c>
      <c r="M268" s="1209" t="s">
        <v>4868</v>
      </c>
      <c r="N268" s="1209" t="s">
        <v>4869</v>
      </c>
    </row>
    <row r="269" spans="1:15">
      <c r="A269" s="1222" t="s">
        <v>4850</v>
      </c>
      <c r="B269" s="1222" t="s">
        <v>4851</v>
      </c>
      <c r="C269" s="1222" t="s">
        <v>4874</v>
      </c>
      <c r="D269" s="1222" t="s">
        <v>4852</v>
      </c>
      <c r="E269" s="1222" t="s">
        <v>4875</v>
      </c>
      <c r="F269" s="1222" t="s">
        <v>4860</v>
      </c>
      <c r="G269" s="1222" t="s">
        <v>4876</v>
      </c>
      <c r="H269" s="1222" t="s">
        <v>4</v>
      </c>
      <c r="I269" s="1222" t="s">
        <v>4861</v>
      </c>
      <c r="L269" s="1210">
        <v>0.375</v>
      </c>
      <c r="M269" s="1211">
        <f>(3/8)*0.0254*50</f>
        <v>0.47624999999999995</v>
      </c>
      <c r="N269" s="1212">
        <f>(3/8)*0.0254</f>
        <v>9.5249999999999987E-3</v>
      </c>
    </row>
    <row r="270" spans="1:15" ht="15" customHeight="1">
      <c r="A270" s="1210">
        <v>0.375</v>
      </c>
      <c r="B270" s="1223" t="s">
        <v>4919</v>
      </c>
      <c r="C270" s="1224">
        <f>1.11+0.15</f>
        <v>1.26</v>
      </c>
      <c r="D270" s="1224">
        <v>0.2</v>
      </c>
      <c r="E270" s="1225">
        <f>((ROUND((C270/D270),0))+1)*3</f>
        <v>21</v>
      </c>
      <c r="F270" s="1225">
        <f t="shared" ref="F270:F277" si="12">+ROUND((PI()*(A270*0.0254)^2)/4*7.85*1000*2.2046,2)</f>
        <v>1.23</v>
      </c>
      <c r="G270" s="1239">
        <f>ROUND((2*(12*($A270*0.0254)+B268-0.025-0.025+B268-0.025-0.025)),2)</f>
        <v>1.23</v>
      </c>
      <c r="H270" s="1224">
        <f t="shared" ref="H270:H277" si="13">+((E270*F270*G270)/100)*1.07</f>
        <v>0.33994862999999997</v>
      </c>
      <c r="I270" s="1919">
        <f>SUM(H270:H277)/I279</f>
        <v>6.4841374899274786</v>
      </c>
      <c r="L270" s="1210">
        <v>0.5</v>
      </c>
      <c r="M270" s="1211">
        <f>1/2*0.0254*50</f>
        <v>0.63500000000000001</v>
      </c>
      <c r="N270" s="1212">
        <f>(1/2)*0.0254</f>
        <v>1.2699999999999999E-2</v>
      </c>
    </row>
    <row r="271" spans="1:15" ht="15" customHeight="1">
      <c r="A271" s="1210">
        <v>0.375</v>
      </c>
      <c r="B271" s="1223" t="s">
        <v>4920</v>
      </c>
      <c r="C271" s="1224">
        <f>1.11*2</f>
        <v>2.2200000000000002</v>
      </c>
      <c r="D271" s="1224">
        <v>0.1</v>
      </c>
      <c r="E271" s="1225">
        <f>((ROUND((C271/D271),0))+1)*3</f>
        <v>69</v>
      </c>
      <c r="F271" s="1225">
        <f t="shared" si="12"/>
        <v>1.23</v>
      </c>
      <c r="G271" s="1239">
        <f>ROUND((2*(12*($A271*0.0254)+0.212-0.025-0.025+0.212-0.025-0.025)),2)</f>
        <v>0.88</v>
      </c>
      <c r="H271" s="1224">
        <f t="shared" si="13"/>
        <v>0.79913592000000011</v>
      </c>
      <c r="I271" s="1920"/>
      <c r="L271" s="1210">
        <v>0.75</v>
      </c>
      <c r="M271" s="1211">
        <f>3/4*0.0254*50</f>
        <v>0.9524999999999999</v>
      </c>
      <c r="N271" s="1212">
        <f>(3/4)*0.0254</f>
        <v>1.9049999999999997E-2</v>
      </c>
    </row>
    <row r="272" spans="1:15" ht="15" customHeight="1">
      <c r="A272" s="1210">
        <v>0.375</v>
      </c>
      <c r="B272" s="1223" t="s">
        <v>4921</v>
      </c>
      <c r="C272" s="1224">
        <f>C271</f>
        <v>2.2200000000000002</v>
      </c>
      <c r="D272" s="1224">
        <v>0.1</v>
      </c>
      <c r="E272" s="1225">
        <f>((ROUND((C272/D272),0))+1)*3</f>
        <v>69</v>
      </c>
      <c r="F272" s="1225">
        <f t="shared" si="12"/>
        <v>1.23</v>
      </c>
      <c r="G272" s="1239">
        <f>ROUND((2*(12*($A272*0.0254)+B268-0.025-0.025+B268-0.025-0.025)),2)</f>
        <v>1.23</v>
      </c>
      <c r="H272" s="1224">
        <f t="shared" si="13"/>
        <v>1.1169740699999999</v>
      </c>
      <c r="I272" s="1920"/>
      <c r="L272" s="994" t="s">
        <v>4870</v>
      </c>
      <c r="M272" s="1211">
        <f>1*0.0254*50</f>
        <v>1.27</v>
      </c>
      <c r="N272" s="1212">
        <f>1*0.0254</f>
        <v>2.5399999999999999E-2</v>
      </c>
    </row>
    <row r="273" spans="1:15" ht="15" customHeight="1">
      <c r="A273" s="1210">
        <v>0.375</v>
      </c>
      <c r="B273" s="1223" t="s">
        <v>4922</v>
      </c>
      <c r="C273" s="1224">
        <f>C270</f>
        <v>1.26</v>
      </c>
      <c r="D273" s="1224">
        <v>0.2</v>
      </c>
      <c r="E273" s="1225">
        <f>((ROUND((C273/D273),0))+1)*3</f>
        <v>21</v>
      </c>
      <c r="F273" s="1225">
        <f t="shared" si="12"/>
        <v>1.23</v>
      </c>
      <c r="G273" s="1239">
        <f>ROUND((2*(12*($A273*0.0254)+0.212-0.025-0.025+0.212-0.025-0.025)),2)</f>
        <v>0.88</v>
      </c>
      <c r="H273" s="1224">
        <f t="shared" si="13"/>
        <v>0.24321528000000003</v>
      </c>
      <c r="I273" s="1920"/>
      <c r="N273" s="807"/>
    </row>
    <row r="274" spans="1:15" ht="15" customHeight="1">
      <c r="A274" s="1210">
        <v>0.75</v>
      </c>
      <c r="B274" s="1240" t="s">
        <v>4923</v>
      </c>
      <c r="C274" s="1224">
        <f>H268</f>
        <v>3.4699999999999998</v>
      </c>
      <c r="D274" s="1094"/>
      <c r="E274" s="1225">
        <v>12</v>
      </c>
      <c r="F274" s="1225">
        <f t="shared" si="12"/>
        <v>4.93</v>
      </c>
      <c r="G274" s="1239">
        <f>H268+1*M271</f>
        <v>4.4224999999999994</v>
      </c>
      <c r="H274" s="1224">
        <f t="shared" si="13"/>
        <v>2.7994955699999999</v>
      </c>
      <c r="I274" s="1920"/>
      <c r="N274" s="807"/>
    </row>
    <row r="275" spans="1:15" ht="15" customHeight="1">
      <c r="A275" s="1210">
        <v>0.5</v>
      </c>
      <c r="B275" s="1241" t="s">
        <v>4923</v>
      </c>
      <c r="C275" s="1224">
        <f>H268</f>
        <v>3.4699999999999998</v>
      </c>
      <c r="D275" s="1224"/>
      <c r="E275" s="1225">
        <v>12</v>
      </c>
      <c r="F275" s="1225">
        <f t="shared" si="12"/>
        <v>2.19</v>
      </c>
      <c r="G275" s="1224">
        <f>+C275+1*M270</f>
        <v>4.1049999999999995</v>
      </c>
      <c r="H275" s="1224">
        <f t="shared" si="13"/>
        <v>1.1543095799999998</v>
      </c>
      <c r="I275" s="1920"/>
      <c r="N275" s="807"/>
    </row>
    <row r="276" spans="1:15" ht="15" customHeight="1">
      <c r="A276" s="1242">
        <v>0.375</v>
      </c>
      <c r="B276" s="1241" t="s">
        <v>4924</v>
      </c>
      <c r="C276" s="1224">
        <f>3.32+0.15</f>
        <v>3.4699999999999998</v>
      </c>
      <c r="D276" s="1243">
        <v>0.2</v>
      </c>
      <c r="E276" s="1225">
        <f>((ROUND((C276/D276),0))+1)*4</f>
        <v>72</v>
      </c>
      <c r="F276" s="1244">
        <f t="shared" si="12"/>
        <v>1.23</v>
      </c>
      <c r="G276" s="1224">
        <f>1-0.025*2+2*0.2</f>
        <v>1.35</v>
      </c>
      <c r="H276" s="1224">
        <f t="shared" si="13"/>
        <v>1.2792492000000002</v>
      </c>
      <c r="I276" s="1920"/>
      <c r="N276" s="807"/>
    </row>
    <row r="277" spans="1:15" ht="15" customHeight="1">
      <c r="A277" s="1242">
        <v>0.5</v>
      </c>
      <c r="B277" s="1241" t="s">
        <v>4925</v>
      </c>
      <c r="C277" s="1224">
        <v>1.4</v>
      </c>
      <c r="D277" s="1243">
        <v>0.15</v>
      </c>
      <c r="E277" s="1225">
        <f>((ROUND((C277/D277),0))+1)*2</f>
        <v>20</v>
      </c>
      <c r="F277" s="1244">
        <f t="shared" si="12"/>
        <v>2.19</v>
      </c>
      <c r="G277" s="1224">
        <f>H268+1*M270</f>
        <v>4.1049999999999995</v>
      </c>
      <c r="H277" s="1224">
        <f t="shared" si="13"/>
        <v>1.9238492999999999</v>
      </c>
      <c r="I277" s="1920"/>
      <c r="N277" s="807"/>
    </row>
    <row r="278" spans="1:15" ht="15" customHeight="1">
      <c r="A278" s="1245"/>
      <c r="B278" s="1246"/>
      <c r="C278" s="1246"/>
      <c r="D278" s="1246"/>
      <c r="E278" s="1246"/>
      <c r="F278" s="1246"/>
      <c r="G278" s="1246"/>
      <c r="H278" s="1247">
        <f>SUM(H270:H277)</f>
        <v>9.6561775500000007</v>
      </c>
      <c r="I278" s="1920"/>
      <c r="N278" s="807"/>
    </row>
    <row r="279" spans="1:15" ht="15" customHeight="1">
      <c r="A279" s="807"/>
      <c r="B279" s="807"/>
      <c r="C279" s="807"/>
      <c r="D279" s="807"/>
      <c r="E279" s="807"/>
      <c r="F279" s="807"/>
      <c r="G279" s="807"/>
      <c r="H279" s="807"/>
      <c r="I279" s="1248">
        <f>B268*C268*2.92+0.7*0.3*2.92</f>
        <v>1.4891999999999999</v>
      </c>
      <c r="J279" s="728">
        <f>3.32-0.4</f>
        <v>2.92</v>
      </c>
    </row>
    <row r="280" spans="1:15" ht="15" customHeight="1">
      <c r="A280" s="1252"/>
      <c r="B280" s="1252"/>
      <c r="C280" s="1252"/>
      <c r="D280" s="1252"/>
      <c r="E280" s="1252"/>
      <c r="F280" s="1252"/>
      <c r="G280" s="1249" t="s">
        <v>4926</v>
      </c>
      <c r="H280" s="1250">
        <f>I279*G268</f>
        <v>11.913599999999999</v>
      </c>
    </row>
    <row r="281" spans="1:15" ht="15.75">
      <c r="I281" s="1251"/>
      <c r="L281" s="1921" t="s">
        <v>4864</v>
      </c>
      <c r="M281" s="1922"/>
      <c r="N281" s="1922"/>
      <c r="O281" s="1923"/>
    </row>
    <row r="282" spans="1:15">
      <c r="G282" s="728">
        <f>3.32+1</f>
        <v>4.32</v>
      </c>
      <c r="I282" s="807"/>
      <c r="L282" s="994">
        <v>3</v>
      </c>
      <c r="M282" s="1924" t="s">
        <v>4865</v>
      </c>
      <c r="N282" s="1925"/>
      <c r="O282" s="1926"/>
    </row>
    <row r="283" spans="1:15">
      <c r="F283" s="1234" t="s">
        <v>4916</v>
      </c>
      <c r="G283" s="728">
        <f>4.32/3</f>
        <v>1.4400000000000002</v>
      </c>
      <c r="L283" s="994">
        <v>1</v>
      </c>
      <c r="M283" s="994" t="s">
        <v>4866</v>
      </c>
      <c r="N283" s="994"/>
      <c r="O283" s="994"/>
    </row>
    <row r="284" spans="1:15">
      <c r="A284" s="1914" t="s">
        <v>4928</v>
      </c>
      <c r="B284" s="1914"/>
      <c r="C284" s="1914"/>
      <c r="D284" s="1914"/>
      <c r="E284" s="1914"/>
      <c r="F284" s="1914"/>
      <c r="G284" s="1914"/>
      <c r="H284" s="1914"/>
      <c r="I284" s="1914"/>
    </row>
    <row r="285" spans="1:15">
      <c r="A285" s="1214" t="s">
        <v>4918</v>
      </c>
      <c r="B285" s="1235">
        <v>0.2</v>
      </c>
      <c r="C285" s="1236">
        <v>0.3</v>
      </c>
      <c r="D285" s="1237">
        <v>0</v>
      </c>
      <c r="E285" s="1235">
        <v>0</v>
      </c>
      <c r="F285" s="1237">
        <v>0</v>
      </c>
      <c r="G285" s="1220">
        <v>14</v>
      </c>
      <c r="H285" s="1238">
        <f>0.15+3.32+0.3+1-0.07</f>
        <v>4.6999999999999993</v>
      </c>
      <c r="I285" s="1253">
        <v>1</v>
      </c>
    </row>
    <row r="286" spans="1:15">
      <c r="A286" s="1222" t="s">
        <v>4850</v>
      </c>
      <c r="B286" s="1222" t="s">
        <v>4851</v>
      </c>
      <c r="C286" s="1222" t="s">
        <v>4874</v>
      </c>
      <c r="D286" s="1222" t="s">
        <v>4852</v>
      </c>
      <c r="E286" s="1222" t="s">
        <v>4875</v>
      </c>
      <c r="F286" s="1222" t="s">
        <v>4860</v>
      </c>
      <c r="G286" s="1222" t="s">
        <v>4876</v>
      </c>
      <c r="H286" s="1222" t="s">
        <v>4</v>
      </c>
      <c r="I286" s="1222" t="s">
        <v>4861</v>
      </c>
    </row>
    <row r="287" spans="1:15">
      <c r="A287" s="1210">
        <v>0.375</v>
      </c>
      <c r="B287" s="1223" t="s">
        <v>4929</v>
      </c>
      <c r="C287" s="1224">
        <f>1.423+1.423+0.35</f>
        <v>3.1960000000000002</v>
      </c>
      <c r="D287" s="1224">
        <v>0.1</v>
      </c>
      <c r="E287" s="1225">
        <f t="shared" ref="E287:E291" si="14">(ROUND((C287/D287),0))+1</f>
        <v>33</v>
      </c>
      <c r="F287" s="1225">
        <f t="shared" ref="F287:F293" si="15">+ROUND((PI()*(A287*0.0254)^2)/4*7.85*1000*2.2046,2)</f>
        <v>1.23</v>
      </c>
      <c r="G287" s="1254">
        <f>ROUND((2*(12*($A287*0.0254)+0.23+0.13)),2)</f>
        <v>0.95</v>
      </c>
      <c r="H287" s="1224">
        <f>+((E287*F287*G287)/100)*1.07</f>
        <v>0.41259734999999997</v>
      </c>
      <c r="I287" s="1927">
        <f>SUM(H287:H293)/(I294)</f>
        <v>6.3667021410579343</v>
      </c>
    </row>
    <row r="288" spans="1:15">
      <c r="A288" s="1210">
        <v>0.375</v>
      </c>
      <c r="B288" s="1223" t="s">
        <v>4930</v>
      </c>
      <c r="C288" s="1224">
        <f>C287</f>
        <v>3.1960000000000002</v>
      </c>
      <c r="D288" s="1224">
        <v>0.1</v>
      </c>
      <c r="E288" s="1225">
        <f t="shared" si="14"/>
        <v>33</v>
      </c>
      <c r="F288" s="1225">
        <f t="shared" si="15"/>
        <v>1.23</v>
      </c>
      <c r="G288" s="1255">
        <f>ROUND((2*(12*($A288*0.0254)+0.13)),1)</f>
        <v>0.5</v>
      </c>
      <c r="H288" s="1224">
        <f t="shared" ref="H288:H293" si="16">+((E288*F288*G288)/100)*1.07</f>
        <v>0.2171565</v>
      </c>
      <c r="I288" s="1927"/>
    </row>
    <row r="289" spans="1:10">
      <c r="A289" s="1210"/>
      <c r="B289" s="1223"/>
      <c r="C289" s="1224"/>
      <c r="D289" s="1224"/>
      <c r="E289" s="1225"/>
      <c r="F289" s="1225"/>
      <c r="G289" s="1254"/>
      <c r="H289" s="1224"/>
      <c r="I289" s="1927"/>
    </row>
    <row r="290" spans="1:10">
      <c r="A290" s="1210">
        <v>0.375</v>
      </c>
      <c r="B290" s="1223" t="s">
        <v>4931</v>
      </c>
      <c r="C290" s="1224">
        <v>1.423</v>
      </c>
      <c r="D290" s="1224">
        <v>0.15</v>
      </c>
      <c r="E290" s="1225">
        <f t="shared" si="14"/>
        <v>10</v>
      </c>
      <c r="F290" s="1225">
        <f t="shared" si="15"/>
        <v>1.23</v>
      </c>
      <c r="G290" s="1254">
        <f>G287</f>
        <v>0.95</v>
      </c>
      <c r="H290" s="1224">
        <f t="shared" si="16"/>
        <v>0.12502950000000002</v>
      </c>
      <c r="I290" s="1927"/>
    </row>
    <row r="291" spans="1:10">
      <c r="A291" s="1210">
        <v>0.375</v>
      </c>
      <c r="B291" s="1223" t="s">
        <v>4932</v>
      </c>
      <c r="C291" s="1224">
        <f>C290</f>
        <v>1.423</v>
      </c>
      <c r="D291" s="1224">
        <v>0.15</v>
      </c>
      <c r="E291" s="1225">
        <f t="shared" si="14"/>
        <v>10</v>
      </c>
      <c r="F291" s="1225">
        <f t="shared" si="15"/>
        <v>1.23</v>
      </c>
      <c r="G291" s="1254">
        <f>G288</f>
        <v>0.5</v>
      </c>
      <c r="H291" s="1224">
        <f t="shared" si="16"/>
        <v>6.5805000000000016E-2</v>
      </c>
      <c r="I291" s="1927"/>
    </row>
    <row r="292" spans="1:10">
      <c r="A292" s="1210"/>
      <c r="B292" s="1223"/>
      <c r="C292" s="1224"/>
      <c r="D292" s="1224"/>
      <c r="E292" s="1225"/>
      <c r="F292" s="1225"/>
      <c r="G292" s="1254"/>
      <c r="H292" s="1224"/>
      <c r="I292" s="1927"/>
    </row>
    <row r="293" spans="1:10">
      <c r="A293" s="1210">
        <v>0.5</v>
      </c>
      <c r="B293" s="1256" t="s">
        <v>4933</v>
      </c>
      <c r="C293" s="1224">
        <f>+H285</f>
        <v>4.6999999999999993</v>
      </c>
      <c r="D293" s="1224"/>
      <c r="E293" s="1225">
        <v>6</v>
      </c>
      <c r="F293" s="1225">
        <f t="shared" si="15"/>
        <v>2.19</v>
      </c>
      <c r="G293" s="1224">
        <f>+C293+1*0.25</f>
        <v>4.9499999999999993</v>
      </c>
      <c r="H293" s="1224">
        <f t="shared" si="16"/>
        <v>0.69596009999999997</v>
      </c>
      <c r="I293" s="1927"/>
    </row>
    <row r="294" spans="1:10">
      <c r="A294" s="1928" t="s">
        <v>4934</v>
      </c>
      <c r="B294" s="1929"/>
      <c r="C294" s="1929"/>
      <c r="D294" s="1929"/>
      <c r="E294" s="1929"/>
      <c r="F294" s="1929"/>
      <c r="G294" s="1929"/>
      <c r="H294" s="1930"/>
      <c r="I294" s="1257">
        <f>B285*C285*(3.97)</f>
        <v>0.2382</v>
      </c>
      <c r="J294" s="728">
        <f>3.32+1</f>
        <v>4.32</v>
      </c>
    </row>
    <row r="295" spans="1:10">
      <c r="H295" s="783">
        <f>SUM(H287:H293)</f>
        <v>1.5165484499999999</v>
      </c>
    </row>
    <row r="296" spans="1:10">
      <c r="F296" s="728" t="s">
        <v>4935</v>
      </c>
      <c r="H296" s="891">
        <f>I294*G285</f>
        <v>3.3348</v>
      </c>
    </row>
    <row r="297" spans="1:10">
      <c r="I297" s="892"/>
    </row>
    <row r="298" spans="1:10">
      <c r="F298" s="1234" t="s">
        <v>4916</v>
      </c>
      <c r="G298" s="728">
        <f>3.32/3</f>
        <v>1.1066666666666667</v>
      </c>
      <c r="I298" s="892"/>
    </row>
    <row r="299" spans="1:10">
      <c r="A299" s="1914" t="s">
        <v>4936</v>
      </c>
      <c r="B299" s="1914"/>
      <c r="C299" s="1914"/>
      <c r="D299" s="1914"/>
      <c r="E299" s="1914"/>
      <c r="F299" s="1914"/>
      <c r="G299" s="1914"/>
      <c r="H299" s="1914"/>
      <c r="I299" s="1914"/>
    </row>
    <row r="300" spans="1:10">
      <c r="A300" s="1214" t="s">
        <v>4918</v>
      </c>
      <c r="B300" s="1235">
        <v>0.2</v>
      </c>
      <c r="C300" s="1236">
        <v>0.3</v>
      </c>
      <c r="D300" s="1237">
        <v>0</v>
      </c>
      <c r="E300" s="1235">
        <v>0</v>
      </c>
      <c r="F300" s="1237">
        <v>0</v>
      </c>
      <c r="G300" s="1220">
        <v>13</v>
      </c>
      <c r="H300" s="1238">
        <f>0.15+3.32</f>
        <v>3.4699999999999998</v>
      </c>
      <c r="I300" s="1253">
        <v>1</v>
      </c>
    </row>
    <row r="301" spans="1:10">
      <c r="A301" s="1222" t="s">
        <v>4850</v>
      </c>
      <c r="B301" s="1222" t="s">
        <v>4851</v>
      </c>
      <c r="C301" s="1222" t="s">
        <v>4874</v>
      </c>
      <c r="D301" s="1222" t="s">
        <v>4852</v>
      </c>
      <c r="E301" s="1222" t="s">
        <v>4875</v>
      </c>
      <c r="F301" s="1222" t="s">
        <v>4860</v>
      </c>
      <c r="G301" s="1222" t="s">
        <v>4876</v>
      </c>
      <c r="H301" s="1222" t="s">
        <v>4</v>
      </c>
      <c r="I301" s="1222" t="s">
        <v>4861</v>
      </c>
    </row>
    <row r="302" spans="1:10">
      <c r="A302" s="1210">
        <v>0.375</v>
      </c>
      <c r="B302" s="1223" t="s">
        <v>4929</v>
      </c>
      <c r="C302" s="1224">
        <f>1.11+1.11</f>
        <v>2.2200000000000002</v>
      </c>
      <c r="D302" s="1224">
        <v>0.1</v>
      </c>
      <c r="E302" s="1225">
        <f t="shared" ref="E302:E305" si="17">(ROUND((C302/D302),0))+1</f>
        <v>23</v>
      </c>
      <c r="F302" s="1225">
        <f t="shared" ref="F302:F306" si="18">+ROUND((PI()*(A302*0.0254)^2)/4*7.85*1000*2.2046,2)</f>
        <v>1.23</v>
      </c>
      <c r="G302" s="1254">
        <f>ROUND((2*(12*($A302*0.0254)+0.23+0.13)),2)</f>
        <v>0.95</v>
      </c>
      <c r="H302" s="1224">
        <f>+((E302*F302*G302)/100)*1.07</f>
        <v>0.28756784999999996</v>
      </c>
      <c r="I302" s="1927">
        <f>SUM(H302:H306)/(I307)</f>
        <v>6.450009602649005</v>
      </c>
    </row>
    <row r="303" spans="1:10">
      <c r="A303" s="1210">
        <v>0.375</v>
      </c>
      <c r="B303" s="1223" t="s">
        <v>4930</v>
      </c>
      <c r="C303" s="1224">
        <f>C302</f>
        <v>2.2200000000000002</v>
      </c>
      <c r="D303" s="1224">
        <v>0.1</v>
      </c>
      <c r="E303" s="1225">
        <f t="shared" si="17"/>
        <v>23</v>
      </c>
      <c r="F303" s="1225">
        <f t="shared" si="18"/>
        <v>1.23</v>
      </c>
      <c r="G303" s="1255">
        <f>ROUND((2*(12*($A303*0.0254)+0.13)),1)</f>
        <v>0.5</v>
      </c>
      <c r="H303" s="1224">
        <f t="shared" ref="H303:H306" si="19">+((E303*F303*G303)/100)*1.07</f>
        <v>0.1513515</v>
      </c>
      <c r="I303" s="1927"/>
    </row>
    <row r="304" spans="1:10">
      <c r="A304" s="1210">
        <v>0.375</v>
      </c>
      <c r="B304" s="1223" t="s">
        <v>4931</v>
      </c>
      <c r="C304" s="1224">
        <v>1.1100000000000001</v>
      </c>
      <c r="D304" s="1224">
        <v>0.15</v>
      </c>
      <c r="E304" s="1225">
        <f t="shared" si="17"/>
        <v>8</v>
      </c>
      <c r="F304" s="1225">
        <f t="shared" si="18"/>
        <v>1.23</v>
      </c>
      <c r="G304" s="1254">
        <f>G302</f>
        <v>0.95</v>
      </c>
      <c r="H304" s="1224">
        <f t="shared" si="19"/>
        <v>0.1000236</v>
      </c>
      <c r="I304" s="1927"/>
    </row>
    <row r="305" spans="1:9">
      <c r="A305" s="1210">
        <v>0.375</v>
      </c>
      <c r="B305" s="1223" t="s">
        <v>4932</v>
      </c>
      <c r="C305" s="1224">
        <v>1.1100000000000001</v>
      </c>
      <c r="D305" s="1224">
        <v>0.15</v>
      </c>
      <c r="E305" s="1225">
        <f t="shared" si="17"/>
        <v>8</v>
      </c>
      <c r="F305" s="1225">
        <f t="shared" si="18"/>
        <v>1.23</v>
      </c>
      <c r="G305" s="1254">
        <f>G303</f>
        <v>0.5</v>
      </c>
      <c r="H305" s="1224">
        <f t="shared" si="19"/>
        <v>5.2644000000000003E-2</v>
      </c>
      <c r="I305" s="1927"/>
    </row>
    <row r="306" spans="1:9">
      <c r="A306" s="1210">
        <v>0.5</v>
      </c>
      <c r="B306" s="1256" t="s">
        <v>4933</v>
      </c>
      <c r="C306" s="1224">
        <f>+H300</f>
        <v>3.4699999999999998</v>
      </c>
      <c r="D306" s="1224"/>
      <c r="E306" s="1225">
        <v>6</v>
      </c>
      <c r="F306" s="1225">
        <f t="shared" si="18"/>
        <v>2.19</v>
      </c>
      <c r="G306" s="1224">
        <f>+C306+1*M270</f>
        <v>4.1049999999999995</v>
      </c>
      <c r="H306" s="1224">
        <f t="shared" si="19"/>
        <v>0.57715478999999992</v>
      </c>
      <c r="I306" s="1927"/>
    </row>
    <row r="307" spans="1:9">
      <c r="A307" s="1928" t="s">
        <v>4934</v>
      </c>
      <c r="B307" s="1929"/>
      <c r="C307" s="1929"/>
      <c r="D307" s="1929"/>
      <c r="E307" s="1929"/>
      <c r="F307" s="1929"/>
      <c r="G307" s="1929"/>
      <c r="H307" s="1930"/>
      <c r="I307" s="1257">
        <f>B300*C300*(3.02)</f>
        <v>0.1812</v>
      </c>
    </row>
    <row r="308" spans="1:9">
      <c r="H308" s="783">
        <f>SUM(H302:H306)</f>
        <v>1.1687417399999998</v>
      </c>
    </row>
    <row r="309" spans="1:9">
      <c r="F309" s="1258" t="s">
        <v>4937</v>
      </c>
      <c r="G309" s="1259"/>
      <c r="H309" s="891">
        <f>I307*G300</f>
        <v>2.3555999999999999</v>
      </c>
    </row>
    <row r="310" spans="1:9">
      <c r="F310" s="1258" t="s">
        <v>4938</v>
      </c>
      <c r="G310" s="1259"/>
      <c r="H310" s="891">
        <f>I307*12</f>
        <v>2.1743999999999999</v>
      </c>
    </row>
    <row r="311" spans="1:9">
      <c r="F311" s="1258" t="s">
        <v>4939</v>
      </c>
      <c r="G311" s="1259"/>
      <c r="H311" s="891">
        <f>I307*2</f>
        <v>0.3624</v>
      </c>
    </row>
    <row r="312" spans="1:9">
      <c r="I312" s="892"/>
    </row>
    <row r="313" spans="1:9">
      <c r="I313" s="892"/>
    </row>
    <row r="314" spans="1:9">
      <c r="A314" s="1914" t="s">
        <v>4940</v>
      </c>
      <c r="B314" s="1914"/>
      <c r="C314" s="1914"/>
      <c r="D314" s="1914"/>
      <c r="E314" s="1914"/>
      <c r="F314" s="1914"/>
      <c r="G314" s="1914"/>
      <c r="H314" s="1914"/>
      <c r="I314" s="1914"/>
    </row>
    <row r="315" spans="1:9">
      <c r="A315" s="1214" t="s">
        <v>4918</v>
      </c>
      <c r="B315" s="1235">
        <v>0.2</v>
      </c>
      <c r="C315" s="1236">
        <v>0.2</v>
      </c>
      <c r="D315" s="1237">
        <v>0</v>
      </c>
      <c r="E315" s="1235">
        <v>0</v>
      </c>
      <c r="F315" s="1237">
        <v>0</v>
      </c>
      <c r="G315" s="1220">
        <v>22</v>
      </c>
      <c r="H315" s="1238">
        <f>0.15+3.32+1+0.3-0.07</f>
        <v>4.6999999999999993</v>
      </c>
      <c r="I315" s="1253">
        <v>1</v>
      </c>
    </row>
    <row r="316" spans="1:9">
      <c r="A316" s="1222" t="s">
        <v>4850</v>
      </c>
      <c r="B316" s="1222" t="s">
        <v>4851</v>
      </c>
      <c r="C316" s="1222" t="s">
        <v>4874</v>
      </c>
      <c r="D316" s="1222" t="s">
        <v>4852</v>
      </c>
      <c r="E316" s="1222" t="s">
        <v>4875</v>
      </c>
      <c r="F316" s="1222" t="s">
        <v>4860</v>
      </c>
      <c r="G316" s="1222" t="s">
        <v>4876</v>
      </c>
      <c r="H316" s="1222" t="s">
        <v>4</v>
      </c>
      <c r="I316" s="1222" t="s">
        <v>4861</v>
      </c>
    </row>
    <row r="317" spans="1:9">
      <c r="A317" s="1210">
        <v>0.375</v>
      </c>
      <c r="B317" s="1223" t="s">
        <v>4929</v>
      </c>
      <c r="C317" s="1224">
        <f>1.423+1.423+0.35</f>
        <v>3.1960000000000002</v>
      </c>
      <c r="D317" s="1224">
        <v>0.1</v>
      </c>
      <c r="E317" s="1225">
        <f t="shared" ref="E317:E318" si="20">(ROUND((C317/D317),0))+1</f>
        <v>33</v>
      </c>
      <c r="F317" s="1225">
        <f t="shared" ref="F317:F319" si="21">+ROUND((PI()*(A317*0.0254)^2)/4*7.85*1000*2.2046,2)</f>
        <v>1.23</v>
      </c>
      <c r="G317" s="1254">
        <f>ROUND((2*(12*($A317*0.0254)+0.13+0.13)),2)</f>
        <v>0.75</v>
      </c>
      <c r="H317" s="1224">
        <f t="shared" ref="H317:H319" si="22">+((E317*F317*G317)/100)*1.07</f>
        <v>0.32573474999999996</v>
      </c>
      <c r="I317" s="1927">
        <f>SUM(H317:H319)/(I320)</f>
        <v>5.5945569899244312</v>
      </c>
    </row>
    <row r="318" spans="1:9">
      <c r="A318" s="1210">
        <v>0.375</v>
      </c>
      <c r="B318" s="1223" t="s">
        <v>4931</v>
      </c>
      <c r="C318" s="1224">
        <v>1.423</v>
      </c>
      <c r="D318" s="1224">
        <v>0.15</v>
      </c>
      <c r="E318" s="1225">
        <f t="shared" si="20"/>
        <v>10</v>
      </c>
      <c r="F318" s="1225">
        <f t="shared" si="21"/>
        <v>1.23</v>
      </c>
      <c r="G318" s="1254">
        <f>G317</f>
        <v>0.75</v>
      </c>
      <c r="H318" s="1224">
        <f t="shared" si="22"/>
        <v>9.8707500000000017E-2</v>
      </c>
      <c r="I318" s="1927"/>
    </row>
    <row r="319" spans="1:9">
      <c r="A319" s="1210">
        <v>0.5</v>
      </c>
      <c r="B319" s="1256" t="s">
        <v>4933</v>
      </c>
      <c r="C319" s="1224">
        <f>+H315</f>
        <v>4.6999999999999993</v>
      </c>
      <c r="D319" s="1224"/>
      <c r="E319" s="1225">
        <v>4</v>
      </c>
      <c r="F319" s="1225">
        <f t="shared" si="21"/>
        <v>2.19</v>
      </c>
      <c r="G319" s="1224">
        <f>+C319+1*0.25</f>
        <v>4.9499999999999993</v>
      </c>
      <c r="H319" s="1224">
        <f t="shared" si="22"/>
        <v>0.46397339999999998</v>
      </c>
      <c r="I319" s="1927"/>
    </row>
    <row r="320" spans="1:9">
      <c r="A320" s="1928" t="s">
        <v>1085</v>
      </c>
      <c r="B320" s="1929"/>
      <c r="C320" s="1929"/>
      <c r="D320" s="1929"/>
      <c r="E320" s="1929"/>
      <c r="F320" s="1929"/>
      <c r="G320" s="1929"/>
      <c r="H320" s="1930"/>
      <c r="I320" s="1257">
        <f>B315*C315*(3.97)</f>
        <v>0.15880000000000005</v>
      </c>
    </row>
    <row r="321" spans="1:10">
      <c r="H321" s="783">
        <f>SUM(H317:H319)</f>
        <v>0.88841565</v>
      </c>
    </row>
    <row r="322" spans="1:10">
      <c r="F322" s="1259" t="s">
        <v>4941</v>
      </c>
      <c r="G322" s="1259"/>
      <c r="H322" s="892">
        <f>I320*G315</f>
        <v>3.4936000000000011</v>
      </c>
    </row>
    <row r="323" spans="1:10">
      <c r="I323" s="892"/>
    </row>
    <row r="324" spans="1:10">
      <c r="A324" s="1914" t="s">
        <v>4942</v>
      </c>
      <c r="B324" s="1914"/>
      <c r="C324" s="1914"/>
      <c r="D324" s="1914"/>
      <c r="E324" s="1914"/>
      <c r="F324" s="1914"/>
      <c r="G324" s="1914"/>
      <c r="H324" s="1914"/>
      <c r="I324" s="1914"/>
      <c r="J324" s="728" t="s">
        <v>4943</v>
      </c>
    </row>
    <row r="325" spans="1:10">
      <c r="A325" s="1214" t="s">
        <v>4918</v>
      </c>
      <c r="B325" s="1235">
        <v>0.2</v>
      </c>
      <c r="C325" s="1236">
        <v>0.2</v>
      </c>
      <c r="D325" s="1237">
        <v>0</v>
      </c>
      <c r="E325" s="1235">
        <v>0</v>
      </c>
      <c r="F325" s="1237">
        <v>0</v>
      </c>
      <c r="G325" s="1220">
        <v>24</v>
      </c>
      <c r="H325" s="1238">
        <f>0.15+3.32</f>
        <v>3.4699999999999998</v>
      </c>
      <c r="I325" s="1253">
        <v>1</v>
      </c>
    </row>
    <row r="326" spans="1:10">
      <c r="A326" s="1222" t="s">
        <v>4850</v>
      </c>
      <c r="B326" s="1222" t="s">
        <v>4851</v>
      </c>
      <c r="C326" s="1222" t="s">
        <v>4874</v>
      </c>
      <c r="D326" s="1222" t="s">
        <v>4852</v>
      </c>
      <c r="E326" s="1222" t="s">
        <v>4875</v>
      </c>
      <c r="F326" s="1222" t="s">
        <v>4860</v>
      </c>
      <c r="G326" s="1222" t="s">
        <v>4876</v>
      </c>
      <c r="H326" s="1222" t="s">
        <v>4</v>
      </c>
      <c r="I326" s="1222" t="s">
        <v>4861</v>
      </c>
    </row>
    <row r="327" spans="1:10">
      <c r="A327" s="1210">
        <v>0.375</v>
      </c>
      <c r="B327" s="1223" t="s">
        <v>4929</v>
      </c>
      <c r="C327" s="1224">
        <f>1.11+1.11</f>
        <v>2.2200000000000002</v>
      </c>
      <c r="D327" s="1224">
        <v>0.1</v>
      </c>
      <c r="E327" s="1225">
        <f t="shared" ref="E327:E328" si="23">(ROUND((C327/D327),0))+1</f>
        <v>23</v>
      </c>
      <c r="F327" s="1225">
        <f t="shared" ref="F327:F329" si="24">+ROUND((PI()*(A327*0.0254)^2)/4*7.85*1000*2.2046,2)</f>
        <v>1.23</v>
      </c>
      <c r="G327" s="1254">
        <f>ROUND((2*(12*($A327*0.0254)+0.13+0.13)),2)</f>
        <v>0.75</v>
      </c>
      <c r="H327" s="1224">
        <f t="shared" ref="H327:H329" si="25">+((E327*F327*G327)/100)*1.07</f>
        <v>0.22702725000000001</v>
      </c>
      <c r="I327" s="1927">
        <f>SUM(H327:H330)/(I331)</f>
        <v>5.7182376655629126</v>
      </c>
    </row>
    <row r="328" spans="1:10">
      <c r="A328" s="1210">
        <v>0.375</v>
      </c>
      <c r="B328" s="1223" t="s">
        <v>4931</v>
      </c>
      <c r="C328" s="1224">
        <v>1.1100000000000001</v>
      </c>
      <c r="D328" s="1224">
        <v>0.15</v>
      </c>
      <c r="E328" s="1225">
        <f t="shared" si="23"/>
        <v>8</v>
      </c>
      <c r="F328" s="1225">
        <f t="shared" si="24"/>
        <v>1.23</v>
      </c>
      <c r="G328" s="1254">
        <f>G327</f>
        <v>0.75</v>
      </c>
      <c r="H328" s="1224">
        <f t="shared" si="25"/>
        <v>7.8966000000000008E-2</v>
      </c>
      <c r="I328" s="1927"/>
    </row>
    <row r="329" spans="1:10">
      <c r="A329" s="1210">
        <v>0.5</v>
      </c>
      <c r="B329" s="1256" t="s">
        <v>4933</v>
      </c>
      <c r="C329" s="1224">
        <f>+H325</f>
        <v>3.4699999999999998</v>
      </c>
      <c r="D329" s="1224"/>
      <c r="E329" s="1225">
        <v>4</v>
      </c>
      <c r="F329" s="1225">
        <f t="shared" si="24"/>
        <v>2.19</v>
      </c>
      <c r="G329" s="1224">
        <f>+C329+1*M270</f>
        <v>4.1049999999999995</v>
      </c>
      <c r="H329" s="1224">
        <f t="shared" si="25"/>
        <v>0.38476985999999991</v>
      </c>
      <c r="I329" s="1927"/>
    </row>
    <row r="330" spans="1:10">
      <c r="A330" s="1210"/>
      <c r="B330" s="1256"/>
      <c r="C330" s="1224"/>
      <c r="D330" s="1224"/>
      <c r="E330" s="1225"/>
      <c r="F330" s="1225"/>
      <c r="G330" s="1224"/>
      <c r="H330" s="1224"/>
      <c r="I330" s="1927"/>
    </row>
    <row r="331" spans="1:10">
      <c r="A331" s="1928" t="s">
        <v>4934</v>
      </c>
      <c r="B331" s="1929"/>
      <c r="C331" s="1929"/>
      <c r="D331" s="1929"/>
      <c r="E331" s="1929"/>
      <c r="F331" s="1929"/>
      <c r="G331" s="1929"/>
      <c r="H331" s="1930"/>
      <c r="I331" s="1257">
        <f>B325*C325*(3.02)</f>
        <v>0.12080000000000002</v>
      </c>
    </row>
    <row r="332" spans="1:10">
      <c r="H332" s="783">
        <f>SUM(H327:H330)</f>
        <v>0.6907631099999999</v>
      </c>
      <c r="I332" s="892"/>
    </row>
    <row r="333" spans="1:10">
      <c r="F333" s="1258" t="s">
        <v>4937</v>
      </c>
      <c r="G333" s="1259"/>
      <c r="H333" s="728">
        <f>G325*I331</f>
        <v>2.8992000000000004</v>
      </c>
      <c r="I333" s="891"/>
    </row>
    <row r="334" spans="1:10">
      <c r="F334" s="1258" t="s">
        <v>4938</v>
      </c>
      <c r="G334" s="1259"/>
      <c r="H334" s="783">
        <f>G325*I331</f>
        <v>2.8992000000000004</v>
      </c>
      <c r="I334" s="891"/>
    </row>
    <row r="335" spans="1:10">
      <c r="F335" s="1258" t="s">
        <v>4939</v>
      </c>
      <c r="G335" s="1259"/>
      <c r="H335" s="783">
        <f>4*I331</f>
        <v>0.48320000000000007</v>
      </c>
      <c r="I335" s="891"/>
    </row>
    <row r="336" spans="1:10">
      <c r="F336" s="1259"/>
      <c r="G336" s="1259"/>
      <c r="H336" s="783"/>
      <c r="I336" s="891"/>
    </row>
    <row r="337" spans="1:10">
      <c r="A337" s="1914" t="s">
        <v>4944</v>
      </c>
      <c r="B337" s="1914"/>
      <c r="C337" s="1914"/>
      <c r="D337" s="1914"/>
      <c r="E337" s="1914"/>
      <c r="F337" s="1914"/>
      <c r="G337" s="1914"/>
      <c r="H337" s="1914"/>
      <c r="I337" s="1914"/>
    </row>
    <row r="338" spans="1:10" ht="15" customHeight="1">
      <c r="A338" s="1214" t="s">
        <v>4918</v>
      </c>
      <c r="B338" s="1235">
        <v>0.3</v>
      </c>
      <c r="C338" s="1236">
        <v>0.15</v>
      </c>
      <c r="D338" s="1237">
        <v>0</v>
      </c>
      <c r="E338" s="1235">
        <v>0</v>
      </c>
      <c r="F338" s="1237">
        <v>0</v>
      </c>
      <c r="G338" s="1220">
        <v>4</v>
      </c>
      <c r="H338" s="1238">
        <f>0.15+3.32+1+0.3-0.07</f>
        <v>4.6999999999999993</v>
      </c>
      <c r="I338" s="1253">
        <v>1</v>
      </c>
    </row>
    <row r="339" spans="1:10" ht="15" customHeight="1">
      <c r="A339" s="1222" t="s">
        <v>4850</v>
      </c>
      <c r="B339" s="1222" t="s">
        <v>4851</v>
      </c>
      <c r="C339" s="1222" t="s">
        <v>4874</v>
      </c>
      <c r="D339" s="1222" t="s">
        <v>4852</v>
      </c>
      <c r="E339" s="1222" t="s">
        <v>4875</v>
      </c>
      <c r="F339" s="1222" t="s">
        <v>4860</v>
      </c>
      <c r="G339" s="1222" t="s">
        <v>4876</v>
      </c>
      <c r="H339" s="1222" t="s">
        <v>4</v>
      </c>
      <c r="I339" s="1222" t="s">
        <v>4861</v>
      </c>
    </row>
    <row r="340" spans="1:10" ht="15" customHeight="1">
      <c r="A340" s="1210">
        <v>0.375</v>
      </c>
      <c r="B340" s="1223" t="s">
        <v>4929</v>
      </c>
      <c r="C340" s="1224">
        <f>1.423+1.423+0.35</f>
        <v>3.1960000000000002</v>
      </c>
      <c r="D340" s="1224">
        <v>0.1</v>
      </c>
      <c r="E340" s="1225">
        <f t="shared" ref="E340:E343" si="26">(ROUND((C340/D340),0))+1</f>
        <v>33</v>
      </c>
      <c r="F340" s="1225">
        <f t="shared" ref="F340:F344" si="27">+ROUND((PI()*(A340*0.0254)^2)/4*7.85*1000*2.2046,2)</f>
        <v>1.23</v>
      </c>
      <c r="G340" s="1254">
        <f>ROUND((2*(12*($A340*0.0254)+0.23+0.08)),2)</f>
        <v>0.85</v>
      </c>
      <c r="H340" s="1224">
        <f t="shared" ref="H340:H344" si="28">+((E340*F340*G340)/100)*1.07</f>
        <v>0.36916604999999991</v>
      </c>
      <c r="I340" s="1927">
        <f>SUM(H340:H344)/(I346)</f>
        <v>7.8553811922753978</v>
      </c>
    </row>
    <row r="341" spans="1:10" ht="15" customHeight="1">
      <c r="A341" s="1210">
        <v>0.375</v>
      </c>
      <c r="B341" s="1223" t="s">
        <v>4930</v>
      </c>
      <c r="C341" s="1224">
        <f>C340</f>
        <v>3.1960000000000002</v>
      </c>
      <c r="D341" s="1224">
        <v>0.1</v>
      </c>
      <c r="E341" s="1225">
        <f t="shared" si="26"/>
        <v>33</v>
      </c>
      <c r="F341" s="1225">
        <f t="shared" si="27"/>
        <v>1.23</v>
      </c>
      <c r="G341" s="1255">
        <f>ROUND((2*(12*($A341*0.0254)+0.15-0.025-0.025)),1)</f>
        <v>0.4</v>
      </c>
      <c r="H341" s="1224">
        <f t="shared" si="28"/>
        <v>0.17372520000000002</v>
      </c>
      <c r="I341" s="1927"/>
    </row>
    <row r="342" spans="1:10" ht="15" customHeight="1">
      <c r="A342" s="1210">
        <v>0.375</v>
      </c>
      <c r="B342" s="1223" t="s">
        <v>4931</v>
      </c>
      <c r="C342" s="1224">
        <v>1.423</v>
      </c>
      <c r="D342" s="1224">
        <v>0.15</v>
      </c>
      <c r="E342" s="1225">
        <f t="shared" si="26"/>
        <v>10</v>
      </c>
      <c r="F342" s="1225">
        <f t="shared" si="27"/>
        <v>1.23</v>
      </c>
      <c r="G342" s="1254">
        <f>G340</f>
        <v>0.85</v>
      </c>
      <c r="H342" s="1224">
        <f t="shared" si="28"/>
        <v>0.11186850000000001</v>
      </c>
      <c r="I342" s="1927"/>
    </row>
    <row r="343" spans="1:10" ht="15" customHeight="1">
      <c r="A343" s="1210">
        <v>0.375</v>
      </c>
      <c r="B343" s="1223" t="s">
        <v>4932</v>
      </c>
      <c r="C343" s="1224">
        <v>1.423</v>
      </c>
      <c r="D343" s="1224">
        <v>0.15</v>
      </c>
      <c r="E343" s="1225">
        <f t="shared" si="26"/>
        <v>10</v>
      </c>
      <c r="F343" s="1225">
        <f t="shared" si="27"/>
        <v>1.23</v>
      </c>
      <c r="G343" s="1254">
        <f>G341</f>
        <v>0.4</v>
      </c>
      <c r="H343" s="1224">
        <f t="shared" si="28"/>
        <v>5.264400000000001E-2</v>
      </c>
      <c r="I343" s="1927"/>
    </row>
    <row r="344" spans="1:10" ht="15" customHeight="1">
      <c r="A344" s="1210">
        <v>0.5</v>
      </c>
      <c r="B344" s="1256" t="s">
        <v>4933</v>
      </c>
      <c r="C344" s="1224">
        <f>+H338</f>
        <v>4.6999999999999993</v>
      </c>
      <c r="D344" s="1224"/>
      <c r="E344" s="1225">
        <v>6</v>
      </c>
      <c r="F344" s="1225">
        <f t="shared" si="27"/>
        <v>2.19</v>
      </c>
      <c r="G344" s="1224">
        <f>+C344+1*0.25</f>
        <v>4.9499999999999993</v>
      </c>
      <c r="H344" s="1224">
        <f t="shared" si="28"/>
        <v>0.69596009999999997</v>
      </c>
      <c r="I344" s="1927"/>
    </row>
    <row r="345" spans="1:10" ht="15" customHeight="1">
      <c r="A345" s="1210"/>
      <c r="B345" s="1256"/>
      <c r="C345" s="1224"/>
      <c r="D345" s="1224"/>
      <c r="E345" s="1225"/>
      <c r="F345" s="1225"/>
      <c r="G345" s="1224"/>
      <c r="H345" s="1224"/>
      <c r="I345" s="1927"/>
    </row>
    <row r="346" spans="1:10" ht="15" customHeight="1">
      <c r="A346" s="1928" t="s">
        <v>1085</v>
      </c>
      <c r="B346" s="1929"/>
      <c r="C346" s="1929"/>
      <c r="D346" s="1929"/>
      <c r="E346" s="1929"/>
      <c r="F346" s="1929"/>
      <c r="G346" s="1929"/>
      <c r="H346" s="1930"/>
      <c r="I346" s="1257">
        <f>B338*C338*(3.97)</f>
        <v>0.17865</v>
      </c>
    </row>
    <row r="347" spans="1:10" ht="15" customHeight="1">
      <c r="H347" s="783">
        <f>SUM(H340:H345)</f>
        <v>1.4033638499999999</v>
      </c>
    </row>
    <row r="348" spans="1:10" ht="15" customHeight="1">
      <c r="F348" s="1258" t="s">
        <v>4941</v>
      </c>
      <c r="G348" s="1259"/>
      <c r="H348" s="892">
        <f>I346*G338</f>
        <v>0.71460000000000001</v>
      </c>
    </row>
    <row r="349" spans="1:10" ht="15" customHeight="1">
      <c r="I349" s="892"/>
    </row>
    <row r="350" spans="1:10" ht="15" customHeight="1">
      <c r="I350" s="892"/>
    </row>
    <row r="351" spans="1:10" ht="15" customHeight="1">
      <c r="A351" s="1914" t="s">
        <v>4945</v>
      </c>
      <c r="B351" s="1914"/>
      <c r="C351" s="1914"/>
      <c r="D351" s="1914"/>
      <c r="E351" s="1914"/>
      <c r="F351" s="1914"/>
      <c r="G351" s="1914"/>
      <c r="H351" s="1914"/>
      <c r="I351" s="1914"/>
      <c r="J351" s="728" t="s">
        <v>4946</v>
      </c>
    </row>
    <row r="352" spans="1:10" ht="15" customHeight="1">
      <c r="A352" s="1214" t="s">
        <v>4918</v>
      </c>
      <c r="B352" s="1235">
        <v>0.3</v>
      </c>
      <c r="C352" s="1236">
        <v>0.15</v>
      </c>
      <c r="D352" s="1237">
        <v>0</v>
      </c>
      <c r="E352" s="1235">
        <v>0</v>
      </c>
      <c r="F352" s="1237">
        <v>0</v>
      </c>
      <c r="G352" s="1220">
        <v>4</v>
      </c>
      <c r="H352" s="1238">
        <f>0.15+3.32</f>
        <v>3.4699999999999998</v>
      </c>
      <c r="I352" s="1253">
        <v>1</v>
      </c>
    </row>
    <row r="353" spans="1:9" ht="15" customHeight="1">
      <c r="A353" s="1222" t="s">
        <v>4850</v>
      </c>
      <c r="B353" s="1222" t="s">
        <v>4851</v>
      </c>
      <c r="C353" s="1222" t="s">
        <v>4874</v>
      </c>
      <c r="D353" s="1222" t="s">
        <v>4852</v>
      </c>
      <c r="E353" s="1222" t="s">
        <v>4875</v>
      </c>
      <c r="F353" s="1222" t="s">
        <v>4860</v>
      </c>
      <c r="G353" s="1222" t="s">
        <v>4876</v>
      </c>
      <c r="H353" s="1222" t="s">
        <v>4</v>
      </c>
      <c r="I353" s="1222" t="s">
        <v>4861</v>
      </c>
    </row>
    <row r="354" spans="1:9" ht="15" customHeight="1">
      <c r="A354" s="1210">
        <v>0.375</v>
      </c>
      <c r="B354" s="1223" t="s">
        <v>4929</v>
      </c>
      <c r="C354" s="1224">
        <f>1.11+1.11</f>
        <v>2.2200000000000002</v>
      </c>
      <c r="D354" s="1224">
        <v>0.1</v>
      </c>
      <c r="E354" s="1225">
        <f t="shared" ref="E354:E357" si="29">(ROUND((C354/D354),0))+1</f>
        <v>23</v>
      </c>
      <c r="F354" s="1225">
        <f t="shared" ref="F354:F358" si="30">+ROUND((PI()*(A354*0.0254)^2)/4*7.85*1000*2.2046,2)</f>
        <v>1.23</v>
      </c>
      <c r="G354" s="1254">
        <f>ROUND((2*(12*($A354*0.0254)+0.23+0.08)),2)</f>
        <v>0.85</v>
      </c>
      <c r="H354" s="1224">
        <f t="shared" ref="H354:H358" si="31">+((E354*F354*G354)/100)*1.07</f>
        <v>0.25729754999999999</v>
      </c>
      <c r="I354" s="1927">
        <f>SUM(H354:H358)/(I359)</f>
        <v>7.9995845474613692</v>
      </c>
    </row>
    <row r="355" spans="1:9" ht="15" customHeight="1">
      <c r="A355" s="1210">
        <v>0.375</v>
      </c>
      <c r="B355" s="1223" t="s">
        <v>4930</v>
      </c>
      <c r="C355" s="1224">
        <f>C354</f>
        <v>2.2200000000000002</v>
      </c>
      <c r="D355" s="1224">
        <v>0.1</v>
      </c>
      <c r="E355" s="1225">
        <f t="shared" si="29"/>
        <v>23</v>
      </c>
      <c r="F355" s="1225">
        <f t="shared" si="30"/>
        <v>1.23</v>
      </c>
      <c r="G355" s="1255">
        <f>ROUND((2*(12*($A355*0.0254)+0.15-0.025-0.025)),1)</f>
        <v>0.4</v>
      </c>
      <c r="H355" s="1224">
        <f t="shared" si="31"/>
        <v>0.12108120000000001</v>
      </c>
      <c r="I355" s="1927"/>
    </row>
    <row r="356" spans="1:9" ht="15" customHeight="1">
      <c r="A356" s="1210">
        <v>0.375</v>
      </c>
      <c r="B356" s="1223" t="s">
        <v>4931</v>
      </c>
      <c r="C356" s="1224">
        <v>1.1100000000000001</v>
      </c>
      <c r="D356" s="1224">
        <v>0.15</v>
      </c>
      <c r="E356" s="1225">
        <f t="shared" si="29"/>
        <v>8</v>
      </c>
      <c r="F356" s="1225">
        <f t="shared" si="30"/>
        <v>1.23</v>
      </c>
      <c r="G356" s="1254">
        <f>G354</f>
        <v>0.85</v>
      </c>
      <c r="H356" s="1224">
        <f t="shared" si="31"/>
        <v>8.9494799999999999E-2</v>
      </c>
      <c r="I356" s="1927"/>
    </row>
    <row r="357" spans="1:9" ht="15" customHeight="1">
      <c r="A357" s="1210">
        <v>0.375</v>
      </c>
      <c r="B357" s="1223" t="s">
        <v>4932</v>
      </c>
      <c r="C357" s="1224">
        <v>1.1100000000000001</v>
      </c>
      <c r="D357" s="1224">
        <v>0.15</v>
      </c>
      <c r="E357" s="1225">
        <f t="shared" si="29"/>
        <v>8</v>
      </c>
      <c r="F357" s="1225">
        <f t="shared" si="30"/>
        <v>1.23</v>
      </c>
      <c r="G357" s="1254">
        <f>G355</f>
        <v>0.4</v>
      </c>
      <c r="H357" s="1224">
        <f t="shared" si="31"/>
        <v>4.2115199999999998E-2</v>
      </c>
      <c r="I357" s="1927"/>
    </row>
    <row r="358" spans="1:9" ht="15" customHeight="1">
      <c r="A358" s="1210">
        <v>0.5</v>
      </c>
      <c r="B358" s="1256" t="s">
        <v>4933</v>
      </c>
      <c r="C358" s="1224">
        <f>+H352</f>
        <v>3.4699999999999998</v>
      </c>
      <c r="D358" s="1224"/>
      <c r="E358" s="1225">
        <v>6</v>
      </c>
      <c r="F358" s="1225">
        <f t="shared" si="30"/>
        <v>2.19</v>
      </c>
      <c r="G358" s="1224">
        <f>+C358+1*M270</f>
        <v>4.1049999999999995</v>
      </c>
      <c r="H358" s="1224">
        <f t="shared" si="31"/>
        <v>0.57715478999999992</v>
      </c>
      <c r="I358" s="1927"/>
    </row>
    <row r="359" spans="1:9" ht="15" customHeight="1">
      <c r="A359" s="1928" t="s">
        <v>4934</v>
      </c>
      <c r="B359" s="1929"/>
      <c r="C359" s="1929"/>
      <c r="D359" s="1929"/>
      <c r="E359" s="1929"/>
      <c r="F359" s="1929"/>
      <c r="G359" s="1929"/>
      <c r="H359" s="1930"/>
      <c r="I359" s="1257">
        <f>B352*C352*(3.02)</f>
        <v>0.13589999999999999</v>
      </c>
    </row>
    <row r="360" spans="1:9" ht="15" customHeight="1">
      <c r="H360" s="783">
        <f>SUM(H354:H358)</f>
        <v>1.08714354</v>
      </c>
      <c r="I360" s="892"/>
    </row>
    <row r="361" spans="1:9" ht="15" customHeight="1">
      <c r="F361" s="1258" t="s">
        <v>4947</v>
      </c>
      <c r="G361" s="1259"/>
      <c r="H361" s="728">
        <f>G352*I359</f>
        <v>0.54359999999999997</v>
      </c>
      <c r="I361" s="891"/>
    </row>
    <row r="362" spans="1:9" ht="15" customHeight="1">
      <c r="A362" s="1260"/>
      <c r="B362" s="1260"/>
      <c r="C362" s="1260"/>
      <c r="D362" s="1260"/>
      <c r="E362" s="1260"/>
      <c r="F362" s="1258" t="s">
        <v>4948</v>
      </c>
      <c r="G362" s="1260"/>
      <c r="H362" s="728">
        <f>2*I359</f>
        <v>0.27179999999999999</v>
      </c>
      <c r="I362" s="1261"/>
    </row>
    <row r="363" spans="1:9" ht="15" customHeight="1">
      <c r="A363" s="1260"/>
      <c r="B363" s="1260"/>
      <c r="C363" s="1260"/>
      <c r="D363" s="1260"/>
      <c r="E363" s="1260"/>
      <c r="F363" s="1258"/>
      <c r="G363" s="1260"/>
      <c r="H363" s="1260"/>
      <c r="I363" s="1261"/>
    </row>
    <row r="364" spans="1:9" ht="15" customHeight="1">
      <c r="A364" s="1914" t="s">
        <v>4949</v>
      </c>
      <c r="B364" s="1914"/>
      <c r="C364" s="1914"/>
      <c r="D364" s="1914"/>
      <c r="E364" s="1914"/>
      <c r="F364" s="1914"/>
      <c r="G364" s="1914"/>
      <c r="H364" s="1914"/>
      <c r="I364" s="1914"/>
    </row>
    <row r="365" spans="1:9" ht="15" customHeight="1">
      <c r="A365" s="1214" t="s">
        <v>4918</v>
      </c>
      <c r="B365" s="1235">
        <v>0.4</v>
      </c>
      <c r="C365" s="1236">
        <v>0.4</v>
      </c>
      <c r="D365" s="1237">
        <v>0</v>
      </c>
      <c r="E365" s="1235">
        <v>0</v>
      </c>
      <c r="F365" s="1237">
        <v>0</v>
      </c>
      <c r="G365" s="1220">
        <v>4</v>
      </c>
      <c r="H365" s="1238">
        <f>0.15+3.32+1.6-0.07</f>
        <v>5</v>
      </c>
      <c r="I365" s="1253">
        <v>1</v>
      </c>
    </row>
    <row r="366" spans="1:9" ht="15" customHeight="1">
      <c r="A366" s="1222" t="s">
        <v>4850</v>
      </c>
      <c r="B366" s="1222" t="s">
        <v>4851</v>
      </c>
      <c r="C366" s="1222" t="s">
        <v>4874</v>
      </c>
      <c r="D366" s="1222" t="s">
        <v>4852</v>
      </c>
      <c r="E366" s="1222" t="s">
        <v>4875</v>
      </c>
      <c r="F366" s="1222" t="s">
        <v>4860</v>
      </c>
      <c r="G366" s="1222" t="s">
        <v>4876</v>
      </c>
      <c r="H366" s="1222" t="s">
        <v>4</v>
      </c>
      <c r="I366" s="1222" t="s">
        <v>4861</v>
      </c>
    </row>
    <row r="367" spans="1:9" ht="15" customHeight="1">
      <c r="A367" s="1210">
        <v>0.375</v>
      </c>
      <c r="B367" s="1223" t="s">
        <v>4929</v>
      </c>
      <c r="C367" s="1224">
        <f>1.473+1.473+0.5</f>
        <v>3.4460000000000002</v>
      </c>
      <c r="D367" s="1224">
        <v>0.1</v>
      </c>
      <c r="E367" s="1225">
        <f t="shared" ref="E367:E372" si="32">(ROUND((C367/D367),0))+1</f>
        <v>35</v>
      </c>
      <c r="F367" s="1225">
        <f t="shared" ref="F367:F373" si="33">+ROUND((PI()*(A367*0.0254)^2)/4*7.85*1000*2.2046,2)</f>
        <v>1.23</v>
      </c>
      <c r="G367" s="1254">
        <f>ROUND((2*(12*($A367*0.0254)+$B$365-0.025-0.025+$C$365-0.025-0.025)),2)</f>
        <v>1.63</v>
      </c>
      <c r="H367" s="1224">
        <f t="shared" ref="H367:H373" si="34">+((E367*F367*G367)/100)*1.07</f>
        <v>0.75083505000000006</v>
      </c>
      <c r="I367" s="1927">
        <f>SUM(H367:H373)/(I374)</f>
        <v>10.654147372512435</v>
      </c>
    </row>
    <row r="368" spans="1:9" ht="15" customHeight="1">
      <c r="A368" s="1210">
        <v>0.375</v>
      </c>
      <c r="B368" s="1223" t="s">
        <v>4930</v>
      </c>
      <c r="C368" s="1224">
        <f>1.473+1.473+0.5</f>
        <v>3.4460000000000002</v>
      </c>
      <c r="D368" s="1224">
        <v>0.1</v>
      </c>
      <c r="E368" s="1225">
        <f t="shared" si="32"/>
        <v>35</v>
      </c>
      <c r="F368" s="1225">
        <f t="shared" si="33"/>
        <v>1.23</v>
      </c>
      <c r="G368" s="1254">
        <f>ROUND((2*(12*($A368*0.0254)+0.18+0.33)),2)</f>
        <v>1.25</v>
      </c>
      <c r="H368" s="1224">
        <f t="shared" si="34"/>
        <v>0.57579374999999999</v>
      </c>
      <c r="I368" s="1927"/>
    </row>
    <row r="369" spans="1:9" ht="15" customHeight="1">
      <c r="A369" s="1210">
        <v>0.375</v>
      </c>
      <c r="B369" s="1223" t="s">
        <v>4950</v>
      </c>
      <c r="C369" s="1224">
        <f>1.473+1.473+0.5</f>
        <v>3.4460000000000002</v>
      </c>
      <c r="D369" s="1224">
        <v>0.1</v>
      </c>
      <c r="E369" s="1225">
        <f t="shared" si="32"/>
        <v>35</v>
      </c>
      <c r="F369" s="1225">
        <f t="shared" si="33"/>
        <v>1.23</v>
      </c>
      <c r="G369" s="1254">
        <f>ROUND((2*(12*($A369*0.0254)+0.18+0.33)),2)</f>
        <v>1.25</v>
      </c>
      <c r="H369" s="1224">
        <f t="shared" si="34"/>
        <v>0.57579374999999999</v>
      </c>
      <c r="I369" s="1927"/>
    </row>
    <row r="370" spans="1:9" ht="15" customHeight="1">
      <c r="A370" s="1210">
        <v>0.375</v>
      </c>
      <c r="B370" s="1223" t="s">
        <v>4931</v>
      </c>
      <c r="C370" s="1224">
        <v>1.4730000000000001</v>
      </c>
      <c r="D370" s="1224">
        <v>0.2</v>
      </c>
      <c r="E370" s="1225">
        <f t="shared" si="32"/>
        <v>8</v>
      </c>
      <c r="F370" s="1225">
        <f t="shared" si="33"/>
        <v>1.23</v>
      </c>
      <c r="G370" s="1254">
        <f>G367</f>
        <v>1.63</v>
      </c>
      <c r="H370" s="1224">
        <f t="shared" si="34"/>
        <v>0.17161943999999998</v>
      </c>
      <c r="I370" s="1927"/>
    </row>
    <row r="371" spans="1:9" ht="15" customHeight="1">
      <c r="A371" s="1210">
        <v>0.375</v>
      </c>
      <c r="B371" s="1223" t="s">
        <v>4932</v>
      </c>
      <c r="C371" s="1224">
        <v>1.4730000000000001</v>
      </c>
      <c r="D371" s="1224">
        <v>0.2</v>
      </c>
      <c r="E371" s="1225">
        <f t="shared" si="32"/>
        <v>8</v>
      </c>
      <c r="F371" s="1225">
        <f t="shared" si="33"/>
        <v>1.23</v>
      </c>
      <c r="G371" s="1254">
        <f>G368</f>
        <v>1.25</v>
      </c>
      <c r="H371" s="1224">
        <f t="shared" si="34"/>
        <v>0.13161000000000003</v>
      </c>
      <c r="I371" s="1927"/>
    </row>
    <row r="372" spans="1:9" ht="15" customHeight="1">
      <c r="A372" s="1210">
        <v>0.375</v>
      </c>
      <c r="B372" s="1223" t="s">
        <v>4951</v>
      </c>
      <c r="C372" s="1224">
        <v>1.4730000000000001</v>
      </c>
      <c r="D372" s="1224">
        <v>0.2</v>
      </c>
      <c r="E372" s="1225">
        <f t="shared" si="32"/>
        <v>8</v>
      </c>
      <c r="F372" s="1225">
        <f t="shared" si="33"/>
        <v>1.23</v>
      </c>
      <c r="G372" s="1254">
        <f>G369</f>
        <v>1.25</v>
      </c>
      <c r="H372" s="1224">
        <f t="shared" si="34"/>
        <v>0.13161000000000003</v>
      </c>
      <c r="I372" s="1927"/>
    </row>
    <row r="373" spans="1:9" ht="15" customHeight="1">
      <c r="A373" s="1210">
        <v>0.75</v>
      </c>
      <c r="B373" s="1256" t="s">
        <v>4933</v>
      </c>
      <c r="C373" s="1224">
        <f>+H365</f>
        <v>5</v>
      </c>
      <c r="D373" s="1224"/>
      <c r="E373" s="1225">
        <v>16</v>
      </c>
      <c r="F373" s="1225">
        <f t="shared" si="33"/>
        <v>4.93</v>
      </c>
      <c r="G373" s="1224">
        <f>+C373+1*0.35</f>
        <v>5.35</v>
      </c>
      <c r="H373" s="1224">
        <f t="shared" si="34"/>
        <v>4.5154855999999999</v>
      </c>
      <c r="I373" s="1927"/>
    </row>
    <row r="374" spans="1:9" ht="15" customHeight="1">
      <c r="A374" s="1928" t="s">
        <v>4934</v>
      </c>
      <c r="B374" s="1929"/>
      <c r="C374" s="1929"/>
      <c r="D374" s="1929"/>
      <c r="E374" s="1929"/>
      <c r="F374" s="1929"/>
      <c r="G374" s="1929"/>
      <c r="H374" s="1930"/>
      <c r="I374" s="1257">
        <f>B365*C365*(4.02)</f>
        <v>0.6432000000000001</v>
      </c>
    </row>
    <row r="375" spans="1:9" ht="15" customHeight="1">
      <c r="H375" s="783">
        <f>SUM(H367:H373)</f>
        <v>6.8527475899999999</v>
      </c>
    </row>
    <row r="376" spans="1:9" ht="15" customHeight="1">
      <c r="F376" s="728" t="s">
        <v>4935</v>
      </c>
      <c r="I376" s="892">
        <f>I374*G365</f>
        <v>2.5728000000000004</v>
      </c>
    </row>
    <row r="377" spans="1:9" ht="15" customHeight="1">
      <c r="F377" s="728" t="s">
        <v>5072</v>
      </c>
      <c r="H377" s="728">
        <f>I374*2</f>
        <v>1.2864000000000002</v>
      </c>
      <c r="I377" s="892"/>
    </row>
    <row r="378" spans="1:9" ht="15" customHeight="1">
      <c r="I378" s="892"/>
    </row>
    <row r="379" spans="1:9" ht="15" customHeight="1">
      <c r="I379" s="892"/>
    </row>
    <row r="380" spans="1:9" ht="15" customHeight="1">
      <c r="A380" s="1914" t="s">
        <v>5074</v>
      </c>
      <c r="B380" s="1914"/>
      <c r="C380" s="1914"/>
      <c r="D380" s="1914"/>
      <c r="E380" s="1914"/>
      <c r="F380" s="1914"/>
      <c r="G380" s="1914"/>
      <c r="H380" s="1914"/>
      <c r="I380" s="1914"/>
    </row>
    <row r="381" spans="1:9" ht="15" customHeight="1">
      <c r="A381" s="1214" t="s">
        <v>4918</v>
      </c>
      <c r="B381" s="1235">
        <v>0.4</v>
      </c>
      <c r="C381" s="1236">
        <v>0.4</v>
      </c>
      <c r="D381" s="1237">
        <v>0</v>
      </c>
      <c r="E381" s="1235">
        <v>0</v>
      </c>
      <c r="F381" s="1237">
        <v>0</v>
      </c>
      <c r="G381" s="1220">
        <v>2</v>
      </c>
      <c r="H381" s="1238">
        <f>0.15+3.32</f>
        <v>3.4699999999999998</v>
      </c>
      <c r="I381" s="1253">
        <v>1</v>
      </c>
    </row>
    <row r="382" spans="1:9" ht="15" customHeight="1">
      <c r="A382" s="1222" t="s">
        <v>4850</v>
      </c>
      <c r="B382" s="1222" t="s">
        <v>4851</v>
      </c>
      <c r="C382" s="1222" t="s">
        <v>4874</v>
      </c>
      <c r="D382" s="1222" t="s">
        <v>4852</v>
      </c>
      <c r="E382" s="1222" t="s">
        <v>4875</v>
      </c>
      <c r="F382" s="1222" t="s">
        <v>4860</v>
      </c>
      <c r="G382" s="1222" t="s">
        <v>4876</v>
      </c>
      <c r="H382" s="1222" t="s">
        <v>4</v>
      </c>
      <c r="I382" s="1222" t="s">
        <v>4861</v>
      </c>
    </row>
    <row r="383" spans="1:9" ht="15" customHeight="1">
      <c r="A383" s="1210">
        <v>0.375</v>
      </c>
      <c r="B383" s="1223" t="s">
        <v>4929</v>
      </c>
      <c r="C383" s="1224">
        <f t="shared" ref="C383:C385" si="35">1.11*2</f>
        <v>2.2200000000000002</v>
      </c>
      <c r="D383" s="1224">
        <v>0.1</v>
      </c>
      <c r="E383" s="1225">
        <f t="shared" ref="E383:E388" si="36">(ROUND((C383/D383),0))+1</f>
        <v>23</v>
      </c>
      <c r="F383" s="1225">
        <f t="shared" ref="F383:F389" si="37">+ROUND((PI()*(A383*0.0254)^2)/4*7.85*1000*2.2046,2)</f>
        <v>1.23</v>
      </c>
      <c r="G383" s="1254">
        <f>ROUND((2*(12*($A383*0.0254)+$B$365-0.025-0.025+$C$365-0.025-0.025)),2)</f>
        <v>1.63</v>
      </c>
      <c r="H383" s="1224">
        <f t="shared" ref="H383:H389" si="38">+((E383*F383*G383)/100)*1.07</f>
        <v>0.49340588999999996</v>
      </c>
      <c r="I383" s="1927">
        <f>SUM(H383:H389)/(I390)</f>
        <v>11.248550041946306</v>
      </c>
    </row>
    <row r="384" spans="1:9" ht="15" customHeight="1">
      <c r="A384" s="1210">
        <v>0.375</v>
      </c>
      <c r="B384" s="1223" t="s">
        <v>4930</v>
      </c>
      <c r="C384" s="1224">
        <f t="shared" si="35"/>
        <v>2.2200000000000002</v>
      </c>
      <c r="D384" s="1224">
        <v>0.1</v>
      </c>
      <c r="E384" s="1225">
        <f t="shared" si="36"/>
        <v>23</v>
      </c>
      <c r="F384" s="1225">
        <f t="shared" si="37"/>
        <v>1.23</v>
      </c>
      <c r="G384" s="1254">
        <f>ROUND((2*(12*($A384*0.0254)+0.18+0.33)),2)</f>
        <v>1.25</v>
      </c>
      <c r="H384" s="1224">
        <f t="shared" si="38"/>
        <v>0.37837874999999999</v>
      </c>
      <c r="I384" s="1927"/>
    </row>
    <row r="385" spans="1:9" ht="15" customHeight="1">
      <c r="A385" s="1210">
        <v>0.375</v>
      </c>
      <c r="B385" s="1223" t="s">
        <v>4950</v>
      </c>
      <c r="C385" s="1224">
        <f t="shared" si="35"/>
        <v>2.2200000000000002</v>
      </c>
      <c r="D385" s="1224">
        <v>0.1</v>
      </c>
      <c r="E385" s="1225">
        <f t="shared" si="36"/>
        <v>23</v>
      </c>
      <c r="F385" s="1225">
        <f t="shared" si="37"/>
        <v>1.23</v>
      </c>
      <c r="G385" s="1254">
        <f>ROUND((2*(12*($A385*0.0254)+0.18+0.33)),2)</f>
        <v>1.25</v>
      </c>
      <c r="H385" s="1224">
        <f t="shared" si="38"/>
        <v>0.37837874999999999</v>
      </c>
      <c r="I385" s="1927"/>
    </row>
    <row r="386" spans="1:9" ht="15" customHeight="1">
      <c r="A386" s="1210">
        <v>0.375</v>
      </c>
      <c r="B386" s="1223" t="s">
        <v>4931</v>
      </c>
      <c r="C386" s="1224">
        <v>1.1100000000000001</v>
      </c>
      <c r="D386" s="1224">
        <v>0.2</v>
      </c>
      <c r="E386" s="1225">
        <f t="shared" si="36"/>
        <v>7</v>
      </c>
      <c r="F386" s="1225">
        <f t="shared" si="37"/>
        <v>1.23</v>
      </c>
      <c r="G386" s="1254">
        <f>G383</f>
        <v>1.63</v>
      </c>
      <c r="H386" s="1224">
        <f t="shared" si="38"/>
        <v>0.15016701000000002</v>
      </c>
      <c r="I386" s="1927"/>
    </row>
    <row r="387" spans="1:9" ht="15" customHeight="1">
      <c r="A387" s="1210">
        <v>0.375</v>
      </c>
      <c r="B387" s="1223" t="s">
        <v>4932</v>
      </c>
      <c r="C387" s="1224">
        <v>1.1100000000000001</v>
      </c>
      <c r="D387" s="1224">
        <v>0.2</v>
      </c>
      <c r="E387" s="1225">
        <f t="shared" si="36"/>
        <v>7</v>
      </c>
      <c r="F387" s="1225">
        <f t="shared" si="37"/>
        <v>1.23</v>
      </c>
      <c r="G387" s="1254">
        <f>G384</f>
        <v>1.25</v>
      </c>
      <c r="H387" s="1224">
        <f t="shared" si="38"/>
        <v>0.11515875</v>
      </c>
      <c r="I387" s="1927"/>
    </row>
    <row r="388" spans="1:9" ht="15" customHeight="1">
      <c r="A388" s="1210">
        <v>0.375</v>
      </c>
      <c r="B388" s="1223" t="s">
        <v>4951</v>
      </c>
      <c r="C388" s="1224">
        <v>1.1100000000000001</v>
      </c>
      <c r="D388" s="1224">
        <v>0.2</v>
      </c>
      <c r="E388" s="1225">
        <f t="shared" si="36"/>
        <v>7</v>
      </c>
      <c r="F388" s="1225">
        <f t="shared" si="37"/>
        <v>1.23</v>
      </c>
      <c r="G388" s="1254">
        <f>G385</f>
        <v>1.25</v>
      </c>
      <c r="H388" s="1224">
        <f t="shared" si="38"/>
        <v>0.11515875</v>
      </c>
      <c r="I388" s="1927"/>
    </row>
    <row r="389" spans="1:9" ht="15" customHeight="1">
      <c r="A389" s="1210">
        <v>0.75</v>
      </c>
      <c r="B389" s="1256" t="s">
        <v>4933</v>
      </c>
      <c r="C389" s="1224">
        <f>+H381</f>
        <v>3.4699999999999998</v>
      </c>
      <c r="D389" s="1224"/>
      <c r="E389" s="1225">
        <v>16</v>
      </c>
      <c r="F389" s="1225">
        <f t="shared" si="37"/>
        <v>4.93</v>
      </c>
      <c r="G389" s="1224">
        <f>+C389+1*M271</f>
        <v>4.4224999999999994</v>
      </c>
      <c r="H389" s="1224">
        <f t="shared" si="38"/>
        <v>3.7326607599999995</v>
      </c>
      <c r="I389" s="1927"/>
    </row>
    <row r="390" spans="1:9" ht="15" customHeight="1">
      <c r="A390" s="1928" t="s">
        <v>4934</v>
      </c>
      <c r="B390" s="1929"/>
      <c r="C390" s="1929"/>
      <c r="D390" s="1929"/>
      <c r="E390" s="1929"/>
      <c r="F390" s="1929"/>
      <c r="G390" s="1929"/>
      <c r="H390" s="1930"/>
      <c r="I390" s="1257">
        <f>B381*C381*(2.98)</f>
        <v>0.47680000000000011</v>
      </c>
    </row>
    <row r="391" spans="1:9" ht="15" customHeight="1">
      <c r="H391" s="783">
        <f>SUM(H383:H389)</f>
        <v>5.3633086599999995</v>
      </c>
    </row>
    <row r="392" spans="1:9" ht="15" customHeight="1">
      <c r="F392" s="728" t="s">
        <v>4935</v>
      </c>
      <c r="I392" s="892">
        <f>I390*G381</f>
        <v>0.95360000000000023</v>
      </c>
    </row>
    <row r="393" spans="1:9" ht="15" customHeight="1">
      <c r="F393" s="728" t="s">
        <v>5072</v>
      </c>
      <c r="H393" s="728">
        <f>I390*2</f>
        <v>0.95360000000000023</v>
      </c>
      <c r="I393" s="892"/>
    </row>
    <row r="394" spans="1:9" ht="15" customHeight="1">
      <c r="I394" s="892"/>
    </row>
    <row r="395" spans="1:9" ht="15" customHeight="1">
      <c r="I395" s="892"/>
    </row>
    <row r="396" spans="1:9" ht="15" customHeight="1">
      <c r="I396" s="892"/>
    </row>
    <row r="397" spans="1:9" ht="15" customHeight="1">
      <c r="A397" s="1914" t="s">
        <v>4952</v>
      </c>
      <c r="B397" s="1914"/>
      <c r="C397" s="1914"/>
      <c r="D397" s="1914"/>
      <c r="E397" s="1914"/>
      <c r="F397" s="1914"/>
      <c r="G397" s="1914"/>
      <c r="H397" s="1914"/>
      <c r="I397" s="1914"/>
    </row>
    <row r="398" spans="1:9" ht="15" customHeight="1">
      <c r="A398" s="1214" t="s">
        <v>4918</v>
      </c>
      <c r="B398" s="1235">
        <v>0.4</v>
      </c>
      <c r="C398" s="1236">
        <v>0.4</v>
      </c>
      <c r="D398" s="1237">
        <v>0</v>
      </c>
      <c r="E398" s="1235">
        <v>0</v>
      </c>
      <c r="F398" s="1237">
        <v>0</v>
      </c>
      <c r="G398" s="1220">
        <v>2</v>
      </c>
      <c r="H398" s="1238">
        <f>0.15+3.32</f>
        <v>3.4699999999999998</v>
      </c>
      <c r="I398" s="1253">
        <v>1</v>
      </c>
    </row>
    <row r="399" spans="1:9" ht="15" customHeight="1">
      <c r="A399" s="1222" t="s">
        <v>4850</v>
      </c>
      <c r="B399" s="1222" t="s">
        <v>4851</v>
      </c>
      <c r="C399" s="1222" t="s">
        <v>4874</v>
      </c>
      <c r="D399" s="1222" t="s">
        <v>4852</v>
      </c>
      <c r="E399" s="1222" t="s">
        <v>4875</v>
      </c>
      <c r="F399" s="1222" t="s">
        <v>4860</v>
      </c>
      <c r="G399" s="1222" t="s">
        <v>4876</v>
      </c>
      <c r="H399" s="1222" t="s">
        <v>4</v>
      </c>
      <c r="I399" s="1222" t="s">
        <v>4861</v>
      </c>
    </row>
    <row r="400" spans="1:9" ht="15" customHeight="1">
      <c r="A400" s="1210">
        <v>0.375</v>
      </c>
      <c r="B400" s="1223" t="s">
        <v>4929</v>
      </c>
      <c r="C400" s="1224">
        <f>1.11*2</f>
        <v>2.2200000000000002</v>
      </c>
      <c r="D400" s="1224">
        <v>0.1</v>
      </c>
      <c r="E400" s="1225">
        <f t="shared" ref="E400:E403" si="39">(ROUND((C400/D400),0))+1</f>
        <v>23</v>
      </c>
      <c r="F400" s="1225">
        <f t="shared" ref="F400:F404" si="40">+ROUND((PI()*(A400*0.0254)^2)/4*7.85*1000*2.2046,2)</f>
        <v>1.23</v>
      </c>
      <c r="G400" s="1254">
        <f>ROUND((2*(12*($A400*0.0254)+$B$365-0.025-0.025+$C$365-0.025-0.025)),2)</f>
        <v>1.63</v>
      </c>
      <c r="H400" s="1224">
        <f t="shared" ref="H400:H404" si="41">+((E400*F400*G400)/100)*1.07</f>
        <v>0.49340588999999996</v>
      </c>
      <c r="I400" s="1927">
        <f>SUM(H400:H404)/(I405)</f>
        <v>6.2494777265100643</v>
      </c>
    </row>
    <row r="401" spans="1:9" ht="15" customHeight="1">
      <c r="A401" s="1210">
        <v>0.375</v>
      </c>
      <c r="B401" s="1223" t="s">
        <v>4930</v>
      </c>
      <c r="C401" s="1224">
        <f>C400</f>
        <v>2.2200000000000002</v>
      </c>
      <c r="D401" s="1224">
        <v>0.1</v>
      </c>
      <c r="E401" s="1225">
        <f t="shared" si="39"/>
        <v>23</v>
      </c>
      <c r="F401" s="1225">
        <f t="shared" si="40"/>
        <v>1.23</v>
      </c>
      <c r="G401" s="1254">
        <f>ROUND((2*(12*($A401*0.0254)+0.24+0.24)),2)</f>
        <v>1.19</v>
      </c>
      <c r="H401" s="1224">
        <f t="shared" si="41"/>
        <v>0.36021657000000001</v>
      </c>
      <c r="I401" s="1927"/>
    </row>
    <row r="402" spans="1:9" ht="15" customHeight="1">
      <c r="A402" s="1210">
        <v>0.375</v>
      </c>
      <c r="B402" s="1223" t="s">
        <v>4931</v>
      </c>
      <c r="C402" s="1224">
        <v>1.1100000000000001</v>
      </c>
      <c r="D402" s="1224">
        <v>0.2</v>
      </c>
      <c r="E402" s="1225">
        <f t="shared" si="39"/>
        <v>7</v>
      </c>
      <c r="F402" s="1225">
        <f t="shared" si="40"/>
        <v>1.23</v>
      </c>
      <c r="G402" s="1254">
        <f>G400</f>
        <v>1.63</v>
      </c>
      <c r="H402" s="1224">
        <f t="shared" si="41"/>
        <v>0.15016701000000002</v>
      </c>
      <c r="I402" s="1927"/>
    </row>
    <row r="403" spans="1:9" ht="15" customHeight="1">
      <c r="A403" s="1210">
        <v>0.375</v>
      </c>
      <c r="B403" s="1223" t="s">
        <v>4932</v>
      </c>
      <c r="C403" s="1224">
        <v>1.1100000000000001</v>
      </c>
      <c r="D403" s="1224">
        <v>0.2</v>
      </c>
      <c r="E403" s="1225">
        <f t="shared" si="39"/>
        <v>7</v>
      </c>
      <c r="F403" s="1225">
        <f t="shared" si="40"/>
        <v>1.23</v>
      </c>
      <c r="G403" s="1254">
        <f>G401</f>
        <v>1.19</v>
      </c>
      <c r="H403" s="1224">
        <f t="shared" si="41"/>
        <v>0.10963113000000001</v>
      </c>
      <c r="I403" s="1927"/>
    </row>
    <row r="404" spans="1:9" ht="15" customHeight="1">
      <c r="A404" s="1210">
        <v>0.75</v>
      </c>
      <c r="B404" s="1256" t="s">
        <v>4933</v>
      </c>
      <c r="C404" s="1224">
        <f>+H398</f>
        <v>3.4699999999999998</v>
      </c>
      <c r="D404" s="1224"/>
      <c r="E404" s="1225">
        <v>8</v>
      </c>
      <c r="F404" s="1225">
        <f t="shared" si="40"/>
        <v>4.93</v>
      </c>
      <c r="G404" s="1224">
        <f>+C404+1*M271</f>
        <v>4.4224999999999994</v>
      </c>
      <c r="H404" s="1224">
        <f t="shared" si="41"/>
        <v>1.8663303799999997</v>
      </c>
      <c r="I404" s="1927"/>
    </row>
    <row r="405" spans="1:9" ht="15" customHeight="1">
      <c r="A405" s="1928" t="s">
        <v>4934</v>
      </c>
      <c r="B405" s="1929"/>
      <c r="C405" s="1929"/>
      <c r="D405" s="1929"/>
      <c r="E405" s="1929"/>
      <c r="F405" s="1929"/>
      <c r="G405" s="1929"/>
      <c r="H405" s="1930"/>
      <c r="I405" s="1257">
        <f>B398*C398*(2.98)</f>
        <v>0.47680000000000011</v>
      </c>
    </row>
    <row r="406" spans="1:9" ht="15" customHeight="1">
      <c r="H406" s="783">
        <f>SUM(H400:H404)</f>
        <v>2.9797509799999995</v>
      </c>
    </row>
    <row r="407" spans="1:9" ht="15" customHeight="1">
      <c r="F407" s="892" t="s">
        <v>4953</v>
      </c>
      <c r="H407" s="892">
        <f>G398*I405</f>
        <v>0.95360000000000023</v>
      </c>
      <c r="I407" s="892"/>
    </row>
    <row r="408" spans="1:9" ht="15" customHeight="1">
      <c r="A408" s="1260"/>
      <c r="B408" s="1260"/>
      <c r="C408" s="1260"/>
      <c r="D408" s="1260"/>
      <c r="E408" s="1260"/>
      <c r="F408" s="1260"/>
      <c r="G408" s="1260"/>
      <c r="H408" s="1260"/>
      <c r="I408" s="1261"/>
    </row>
    <row r="409" spans="1:9" ht="15" customHeight="1">
      <c r="A409" s="1260"/>
      <c r="B409" s="1260"/>
      <c r="C409" s="1260"/>
      <c r="D409" s="1260"/>
      <c r="E409" s="1260"/>
      <c r="F409" s="1260"/>
      <c r="G409" s="1260"/>
      <c r="H409" s="1260"/>
      <c r="I409" s="1261"/>
    </row>
    <row r="410" spans="1:9" ht="15" customHeight="1">
      <c r="A410" s="1914" t="s">
        <v>5426</v>
      </c>
      <c r="B410" s="1914"/>
      <c r="C410" s="1914"/>
      <c r="D410" s="1914"/>
      <c r="E410" s="1914"/>
      <c r="F410" s="1914"/>
      <c r="G410" s="1914"/>
      <c r="H410" s="1914"/>
      <c r="I410" s="1914"/>
    </row>
    <row r="411" spans="1:9" ht="15" customHeight="1">
      <c r="A411" s="1214" t="s">
        <v>4918</v>
      </c>
      <c r="B411" s="1235">
        <v>0.2</v>
      </c>
      <c r="C411" s="1236">
        <v>0.2</v>
      </c>
      <c r="D411" s="1237">
        <v>0</v>
      </c>
      <c r="E411" s="1235">
        <v>0</v>
      </c>
      <c r="F411" s="1237">
        <v>0</v>
      </c>
      <c r="G411" s="1220">
        <v>3</v>
      </c>
      <c r="H411" s="1238">
        <f>3.62+0.3+1-0.07</f>
        <v>4.8499999999999996</v>
      </c>
      <c r="I411" s="1253">
        <v>1</v>
      </c>
    </row>
    <row r="412" spans="1:9" ht="15" customHeight="1">
      <c r="A412" s="1222" t="s">
        <v>4850</v>
      </c>
      <c r="B412" s="1222" t="s">
        <v>4851</v>
      </c>
      <c r="C412" s="1222" t="s">
        <v>4874</v>
      </c>
      <c r="D412" s="1222" t="s">
        <v>4852</v>
      </c>
      <c r="E412" s="1222" t="s">
        <v>4875</v>
      </c>
      <c r="F412" s="1222" t="s">
        <v>4860</v>
      </c>
      <c r="G412" s="1222" t="s">
        <v>4876</v>
      </c>
      <c r="H412" s="1222" t="s">
        <v>4</v>
      </c>
      <c r="I412" s="1222" t="s">
        <v>4861</v>
      </c>
    </row>
    <row r="413" spans="1:9" ht="15" customHeight="1">
      <c r="A413" s="1210">
        <v>0.375</v>
      </c>
      <c r="B413" s="1223" t="s">
        <v>4929</v>
      </c>
      <c r="C413" s="1224">
        <f>H411</f>
        <v>4.8499999999999996</v>
      </c>
      <c r="D413" s="1224">
        <v>0.2</v>
      </c>
      <c r="E413" s="1225">
        <f t="shared" ref="E413" si="42">(ROUND((C413/D413),0))+1</f>
        <v>25</v>
      </c>
      <c r="F413" s="1225">
        <f t="shared" ref="F413:F415" si="43">+ROUND((PI()*(A413*0.0254)^2)/4*7.85*1000*2.2046,2)</f>
        <v>1.23</v>
      </c>
      <c r="G413" s="1254">
        <f>ROUND((2*(12*($A413*0.0254)+$B$365-0.02-0.025+$C$365-0.02-0.025)),2)</f>
        <v>1.65</v>
      </c>
      <c r="H413" s="1224">
        <f t="shared" ref="H413:H415" si="44">+((E413*F413*G413)/100)*1.07</f>
        <v>0.54289125000000005</v>
      </c>
      <c r="I413" s="1927">
        <f>SUM(H413:H415)/(I416)</f>
        <v>5.6467060287610611</v>
      </c>
    </row>
    <row r="414" spans="1:9" ht="15" customHeight="1">
      <c r="A414" s="1210"/>
      <c r="B414" s="1223"/>
      <c r="C414" s="1224"/>
      <c r="D414" s="1224"/>
      <c r="E414" s="1225"/>
      <c r="F414" s="1225"/>
      <c r="G414" s="1254"/>
      <c r="H414" s="1224"/>
      <c r="I414" s="1927"/>
    </row>
    <row r="415" spans="1:9" ht="15" customHeight="1">
      <c r="A415" s="1210">
        <v>0.5</v>
      </c>
      <c r="B415" s="1256" t="s">
        <v>4933</v>
      </c>
      <c r="C415" s="1224">
        <f>+H411</f>
        <v>4.8499999999999996</v>
      </c>
      <c r="D415" s="1224"/>
      <c r="E415" s="1225">
        <v>4</v>
      </c>
      <c r="F415" s="1225">
        <f t="shared" si="43"/>
        <v>2.19</v>
      </c>
      <c r="G415" s="1224">
        <f>+C415+1*0.25</f>
        <v>5.0999999999999996</v>
      </c>
      <c r="H415" s="1224">
        <f t="shared" si="44"/>
        <v>0.47803319999999994</v>
      </c>
      <c r="I415" s="1927"/>
    </row>
    <row r="416" spans="1:9" ht="15" customHeight="1">
      <c r="A416" s="1928" t="s">
        <v>4934</v>
      </c>
      <c r="B416" s="1929"/>
      <c r="C416" s="1929"/>
      <c r="D416" s="1929"/>
      <c r="E416" s="1929"/>
      <c r="F416" s="1929"/>
      <c r="G416" s="1929"/>
      <c r="H416" s="1930"/>
      <c r="I416" s="1257">
        <f>B411*C411*(4.52)</f>
        <v>0.18080000000000002</v>
      </c>
    </row>
    <row r="417" spans="1:9" ht="15" customHeight="1">
      <c r="H417" s="783">
        <f>SUM(H413:H415)</f>
        <v>1.0209244499999999</v>
      </c>
    </row>
    <row r="418" spans="1:9" ht="15" customHeight="1">
      <c r="F418" s="728" t="s">
        <v>4935</v>
      </c>
      <c r="I418" s="892">
        <f>I416*G411</f>
        <v>0.54239999999999999</v>
      </c>
    </row>
    <row r="419" spans="1:9" ht="15" customHeight="1">
      <c r="F419" s="1643" t="s">
        <v>5427</v>
      </c>
      <c r="H419" s="728">
        <f>I416*3</f>
        <v>0.54239999999999999</v>
      </c>
      <c r="I419" s="892"/>
    </row>
    <row r="420" spans="1:9" ht="15" customHeight="1">
      <c r="I420" s="892"/>
    </row>
    <row r="421" spans="1:9" ht="15" customHeight="1">
      <c r="I421" s="892"/>
    </row>
    <row r="422" spans="1:9" ht="15" customHeight="1">
      <c r="I422" s="892"/>
    </row>
    <row r="423" spans="1:9" ht="15" customHeight="1">
      <c r="A423" s="1914" t="s">
        <v>5428</v>
      </c>
      <c r="B423" s="1914"/>
      <c r="C423" s="1914"/>
      <c r="D423" s="1914"/>
      <c r="E423" s="1914"/>
      <c r="F423" s="1914"/>
      <c r="G423" s="1914"/>
      <c r="H423" s="1914"/>
      <c r="I423" s="1914"/>
    </row>
    <row r="424" spans="1:9" ht="15" customHeight="1">
      <c r="A424" s="1214" t="s">
        <v>4918</v>
      </c>
      <c r="B424" s="1235">
        <v>0.2</v>
      </c>
      <c r="C424" s="1236">
        <v>0.2</v>
      </c>
      <c r="D424" s="1237">
        <v>0</v>
      </c>
      <c r="E424" s="1235">
        <v>0</v>
      </c>
      <c r="F424" s="1237">
        <v>0</v>
      </c>
      <c r="G424" s="1220">
        <v>2</v>
      </c>
      <c r="H424" s="1238">
        <v>3.3</v>
      </c>
      <c r="I424" s="1253">
        <v>1</v>
      </c>
    </row>
    <row r="425" spans="1:9" ht="15" customHeight="1">
      <c r="A425" s="1222" t="s">
        <v>4850</v>
      </c>
      <c r="B425" s="1222" t="s">
        <v>4851</v>
      </c>
      <c r="C425" s="1222" t="s">
        <v>4874</v>
      </c>
      <c r="D425" s="1222" t="s">
        <v>4852</v>
      </c>
      <c r="E425" s="1222" t="s">
        <v>4875</v>
      </c>
      <c r="F425" s="1222" t="s">
        <v>4860</v>
      </c>
      <c r="G425" s="1222" t="s">
        <v>4876</v>
      </c>
      <c r="H425" s="1222" t="s">
        <v>4</v>
      </c>
      <c r="I425" s="1222" t="s">
        <v>4861</v>
      </c>
    </row>
    <row r="426" spans="1:9" ht="15" customHeight="1">
      <c r="A426" s="1210"/>
      <c r="B426" s="1223"/>
      <c r="C426" s="1224"/>
      <c r="D426" s="1224"/>
      <c r="E426" s="1225"/>
      <c r="F426" s="1225"/>
      <c r="G426" s="1254"/>
      <c r="H426" s="1224"/>
      <c r="I426" s="1927">
        <f>SUM(H426:H430)/(I431)</f>
        <v>5.3045249999999999</v>
      </c>
    </row>
    <row r="427" spans="1:9" ht="15" customHeight="1">
      <c r="A427" s="1210"/>
      <c r="B427" s="1223"/>
      <c r="C427" s="1224"/>
      <c r="D427" s="1224"/>
      <c r="E427" s="1225"/>
      <c r="F427" s="1225"/>
      <c r="G427" s="1254"/>
      <c r="H427" s="1224"/>
      <c r="I427" s="1927"/>
    </row>
    <row r="428" spans="1:9" ht="15" customHeight="1">
      <c r="A428" s="1210">
        <v>0.375</v>
      </c>
      <c r="B428" s="1223" t="s">
        <v>4929</v>
      </c>
      <c r="C428" s="1224">
        <f>H424</f>
        <v>3.3</v>
      </c>
      <c r="D428" s="1224">
        <v>0.2</v>
      </c>
      <c r="E428" s="1225">
        <f t="shared" ref="E428" si="45">(ROUND((C428/D428),0))+1</f>
        <v>18</v>
      </c>
      <c r="F428" s="1225">
        <f t="shared" ref="F428" si="46">+ROUND((PI()*(A428*0.0254)^2)/4*7.85*1000*2.2046,2)</f>
        <v>1.23</v>
      </c>
      <c r="G428" s="1254">
        <f>ROUND((2*(12*($A428*0.0254)+$B$365-0.02-0.025+$C$365-0.02-0.025)),2)</f>
        <v>1.65</v>
      </c>
      <c r="H428" s="1224">
        <f t="shared" ref="H428" si="47">+((E428*F428*G428)/100)*1.07</f>
        <v>0.3908817</v>
      </c>
      <c r="I428" s="1927"/>
    </row>
    <row r="429" spans="1:9" ht="15" customHeight="1">
      <c r="A429" s="1210"/>
      <c r="B429" s="1223"/>
      <c r="C429" s="1224"/>
      <c r="D429" s="1224"/>
      <c r="E429" s="1225"/>
      <c r="F429" s="1225"/>
      <c r="G429" s="1254"/>
      <c r="H429" s="1224"/>
      <c r="I429" s="1927"/>
    </row>
    <row r="430" spans="1:9" ht="15" customHeight="1">
      <c r="A430" s="1210">
        <v>0.5</v>
      </c>
      <c r="B430" s="1256" t="s">
        <v>4933</v>
      </c>
      <c r="C430" s="1224">
        <f>+H424</f>
        <v>3.3</v>
      </c>
      <c r="D430" s="1224"/>
      <c r="E430" s="1225">
        <v>4</v>
      </c>
      <c r="F430" s="1225">
        <f t="shared" ref="F430" si="48">+ROUND((PI()*(A430*0.0254)^2)/4*7.85*1000*2.2046,2)</f>
        <v>2.19</v>
      </c>
      <c r="G430" s="1224">
        <f>+C430</f>
        <v>3.3</v>
      </c>
      <c r="H430" s="1224">
        <f t="shared" ref="H430" si="49">+((E430*F430*G430)/100)*1.07</f>
        <v>0.30931560000000002</v>
      </c>
      <c r="I430" s="1927"/>
    </row>
    <row r="431" spans="1:9" ht="15" customHeight="1">
      <c r="A431" s="1928" t="s">
        <v>4934</v>
      </c>
      <c r="B431" s="1929"/>
      <c r="C431" s="1929"/>
      <c r="D431" s="1929"/>
      <c r="E431" s="1929"/>
      <c r="F431" s="1929"/>
      <c r="G431" s="1929"/>
      <c r="H431" s="1930"/>
      <c r="I431" s="1257">
        <f>B424*C424*(3.3)</f>
        <v>0.13200000000000001</v>
      </c>
    </row>
    <row r="432" spans="1:9" ht="15" customHeight="1">
      <c r="H432" s="783">
        <f>SUM(H426:H430)</f>
        <v>0.70019730000000002</v>
      </c>
    </row>
    <row r="433" spans="1:20" ht="15" customHeight="1">
      <c r="F433" s="892" t="s">
        <v>4953</v>
      </c>
      <c r="H433" s="892">
        <f>G424*I431</f>
        <v>0.26400000000000001</v>
      </c>
      <c r="I433" s="892"/>
    </row>
    <row r="434" spans="1:20" ht="15" customHeight="1">
      <c r="A434" s="1260"/>
      <c r="B434" s="1260"/>
      <c r="C434" s="1260"/>
      <c r="D434" s="1260"/>
      <c r="E434" s="1260"/>
      <c r="F434" s="1260"/>
      <c r="G434" s="1260"/>
      <c r="H434" s="1260"/>
      <c r="I434" s="1261"/>
    </row>
    <row r="435" spans="1:20" ht="15" customHeight="1">
      <c r="A435" s="1260"/>
      <c r="B435" s="1260"/>
      <c r="C435" s="1260"/>
      <c r="D435" s="1260"/>
      <c r="E435" s="1260"/>
      <c r="F435" s="1260"/>
      <c r="G435" s="1260"/>
      <c r="H435" s="1260"/>
      <c r="I435" s="1261"/>
    </row>
    <row r="436" spans="1:20" ht="15" customHeight="1">
      <c r="A436" s="1260"/>
      <c r="B436" s="1260"/>
      <c r="C436" s="1260"/>
      <c r="D436" s="1260"/>
      <c r="E436" s="1260"/>
      <c r="F436" s="1260"/>
      <c r="G436" s="1260"/>
      <c r="H436" s="1260"/>
      <c r="I436" s="1261"/>
    </row>
    <row r="437" spans="1:20" ht="15" customHeight="1">
      <c r="I437" s="733"/>
    </row>
    <row r="438" spans="1:20" ht="15" customHeight="1"/>
    <row r="439" spans="1:20" ht="15" customHeight="1">
      <c r="A439" s="1227" t="s">
        <v>4883</v>
      </c>
      <c r="B439" s="1227"/>
      <c r="C439" s="1227"/>
      <c r="D439" s="1227"/>
      <c r="E439" s="1227"/>
      <c r="F439" s="1227"/>
      <c r="G439" s="1227"/>
      <c r="H439" s="1227"/>
      <c r="I439" s="1227"/>
    </row>
    <row r="440" spans="1:20" ht="18">
      <c r="B440" s="1932" t="s">
        <v>4884</v>
      </c>
      <c r="C440" s="1933"/>
      <c r="E440" s="1228"/>
      <c r="F440" s="1911" t="s">
        <v>4885</v>
      </c>
      <c r="G440" s="1912"/>
      <c r="H440" s="1913"/>
      <c r="S440" s="1262"/>
    </row>
    <row r="441" spans="1:20" ht="15" customHeight="1"/>
    <row r="442" spans="1:20" ht="15.75">
      <c r="A442" s="1934" t="s">
        <v>4954</v>
      </c>
      <c r="B442" s="1934"/>
      <c r="C442" s="1934"/>
      <c r="D442" s="1934"/>
      <c r="E442" s="1934"/>
      <c r="F442" s="1934"/>
      <c r="G442" s="1934"/>
      <c r="H442" s="1934"/>
      <c r="I442" s="1934"/>
      <c r="R442" s="1263"/>
      <c r="S442" s="1263"/>
      <c r="T442" s="1263"/>
    </row>
    <row r="443" spans="1:20" ht="15.75">
      <c r="A443" s="1209" t="s">
        <v>4918</v>
      </c>
      <c r="B443" s="1264">
        <v>0.2</v>
      </c>
      <c r="C443" s="1265">
        <f>0.35+0.15+0.05</f>
        <v>0.55000000000000004</v>
      </c>
      <c r="D443" s="1209" t="s">
        <v>4955</v>
      </c>
      <c r="E443" s="1264">
        <v>0</v>
      </c>
      <c r="F443" s="1265">
        <v>0</v>
      </c>
      <c r="G443" s="1266">
        <v>1</v>
      </c>
      <c r="H443" s="1267">
        <f>7.83+0.2-0.05</f>
        <v>7.9799999999999995</v>
      </c>
      <c r="I443" s="1268"/>
      <c r="K443" s="892" t="s">
        <v>4867</v>
      </c>
      <c r="L443" s="892"/>
      <c r="R443" s="941"/>
      <c r="S443" s="1269"/>
      <c r="T443" s="1269"/>
    </row>
    <row r="444" spans="1:20" ht="15.75">
      <c r="A444" s="1209" t="s">
        <v>4850</v>
      </c>
      <c r="B444" s="1209" t="s">
        <v>4851</v>
      </c>
      <c r="C444" s="1209" t="s">
        <v>4874</v>
      </c>
      <c r="D444" s="1209" t="s">
        <v>4852</v>
      </c>
      <c r="E444" s="1209" t="s">
        <v>4875</v>
      </c>
      <c r="F444" s="1209" t="s">
        <v>4860</v>
      </c>
      <c r="G444" s="1209" t="s">
        <v>4956</v>
      </c>
      <c r="H444" s="1209" t="s">
        <v>4</v>
      </c>
      <c r="I444" s="1208" t="s">
        <v>4861</v>
      </c>
      <c r="K444" s="1208" t="s">
        <v>4850</v>
      </c>
      <c r="L444" s="1209" t="s">
        <v>4868</v>
      </c>
      <c r="M444" s="1209" t="s">
        <v>4869</v>
      </c>
      <c r="R444" s="941"/>
      <c r="S444" s="1269"/>
      <c r="T444" s="1269"/>
    </row>
    <row r="445" spans="1:20" ht="15.75">
      <c r="A445" s="1270">
        <v>0.375</v>
      </c>
      <c r="B445" s="1271" t="s">
        <v>4957</v>
      </c>
      <c r="C445" s="1272">
        <f>1+1</f>
        <v>2</v>
      </c>
      <c r="D445" s="1272">
        <v>0.1</v>
      </c>
      <c r="E445" s="1273">
        <f>(ROUND((C445/D445),0))+1</f>
        <v>21</v>
      </c>
      <c r="F445" s="1273">
        <f t="shared" ref="F445:F449" si="50">+ROUND((PI()*(A445*0.0254)^2)/4*7.85*1000*2.2046,2)</f>
        <v>1.23</v>
      </c>
      <c r="G445" s="1272">
        <f>ROUND((2*(12*($A445*0.0254)+$B443-0.025-0.025+$C443-0.025-0.025)),2)</f>
        <v>1.53</v>
      </c>
      <c r="H445" s="1274">
        <f t="shared" ref="H445:H449" si="51">+((E445*F445*G445)/100)*1.07</f>
        <v>0.42286293000000003</v>
      </c>
      <c r="I445" s="1935">
        <f>SUM(H445:H449)/I450</f>
        <v>3.8486220596026492</v>
      </c>
      <c r="K445" s="1210">
        <v>0.375</v>
      </c>
      <c r="L445" s="1211">
        <f>(3/8)*0.0254*50</f>
        <v>0.47624999999999995</v>
      </c>
      <c r="M445" s="1212">
        <f>(3/8)*0.0254</f>
        <v>9.5249999999999987E-3</v>
      </c>
      <c r="R445" s="941"/>
      <c r="S445" s="1269"/>
      <c r="T445" s="1269"/>
    </row>
    <row r="446" spans="1:20" ht="15.75">
      <c r="A446" s="1275">
        <v>0.375</v>
      </c>
      <c r="B446" s="1276" t="s">
        <v>4958</v>
      </c>
      <c r="C446" s="1277">
        <v>5.53</v>
      </c>
      <c r="D446" s="1277">
        <v>0.2</v>
      </c>
      <c r="E446" s="1278">
        <f>(ROUND((C446/D446),0))+1</f>
        <v>29</v>
      </c>
      <c r="F446" s="1278">
        <f t="shared" si="50"/>
        <v>1.23</v>
      </c>
      <c r="G446" s="1277">
        <f>ROUND((2*(12*($A446*0.0254)+$B443-0.025-0.025+$C443-0.025-0.025)),2)</f>
        <v>1.53</v>
      </c>
      <c r="H446" s="1274">
        <f t="shared" si="51"/>
        <v>0.58395357000000014</v>
      </c>
      <c r="I446" s="1936"/>
      <c r="K446" s="1210">
        <v>0.5</v>
      </c>
      <c r="L446" s="1211">
        <f>1/2*0.0254*50</f>
        <v>0.63500000000000001</v>
      </c>
      <c r="M446" s="1212">
        <f>(1/2)*0.0254</f>
        <v>1.2699999999999999E-2</v>
      </c>
      <c r="R446" s="941"/>
      <c r="S446" s="1269"/>
      <c r="T446" s="1269"/>
    </row>
    <row r="447" spans="1:20" ht="15.75">
      <c r="A447" s="1275">
        <v>0.5</v>
      </c>
      <c r="B447" s="1279" t="s">
        <v>4959</v>
      </c>
      <c r="C447" s="1277">
        <f>H443</f>
        <v>7.9799999999999995</v>
      </c>
      <c r="D447" s="1277"/>
      <c r="E447" s="1278">
        <v>4</v>
      </c>
      <c r="F447" s="1278">
        <f t="shared" si="50"/>
        <v>2.19</v>
      </c>
      <c r="G447" s="1277">
        <f>+C447+2*0.25+(K454*L446)</f>
        <v>9.1150000000000002</v>
      </c>
      <c r="H447" s="1274">
        <f t="shared" si="51"/>
        <v>0.85436718</v>
      </c>
      <c r="I447" s="1936"/>
      <c r="K447" s="1210">
        <v>0.75</v>
      </c>
      <c r="L447" s="1211">
        <f>3/4*0.0254*50</f>
        <v>0.9524999999999999</v>
      </c>
      <c r="M447" s="1212">
        <f>(3/4)*0.0254</f>
        <v>1.9049999999999997E-2</v>
      </c>
      <c r="R447" s="941"/>
      <c r="S447" s="1269"/>
      <c r="T447" s="1269"/>
    </row>
    <row r="448" spans="1:20" ht="15.75">
      <c r="A448" s="1275">
        <v>0.5</v>
      </c>
      <c r="B448" s="1279" t="s">
        <v>4960</v>
      </c>
      <c r="C448" s="1277">
        <f>C447</f>
        <v>7.9799999999999995</v>
      </c>
      <c r="D448" s="1277"/>
      <c r="E448" s="1278">
        <v>2</v>
      </c>
      <c r="F448" s="1278">
        <f t="shared" si="50"/>
        <v>2.19</v>
      </c>
      <c r="G448" s="1277">
        <f>+C448+L446</f>
        <v>8.6150000000000002</v>
      </c>
      <c r="H448" s="1274">
        <f t="shared" si="51"/>
        <v>0.40375059000000002</v>
      </c>
      <c r="I448" s="1936"/>
      <c r="K448" s="994" t="s">
        <v>4870</v>
      </c>
      <c r="L448" s="1211">
        <f>1*0.0254*50</f>
        <v>1.27</v>
      </c>
      <c r="M448" s="1212">
        <f>1*0.0254</f>
        <v>2.5399999999999999E-2</v>
      </c>
      <c r="R448" s="941"/>
      <c r="S448" s="1269"/>
      <c r="T448" s="1269"/>
    </row>
    <row r="449" spans="1:20" ht="15.75">
      <c r="A449" s="1280">
        <v>0.5</v>
      </c>
      <c r="B449" s="1281" t="s">
        <v>4961</v>
      </c>
      <c r="C449" s="1282">
        <f>H443</f>
        <v>7.9799999999999995</v>
      </c>
      <c r="D449" s="1282"/>
      <c r="E449" s="1283">
        <v>3</v>
      </c>
      <c r="F449" s="1283">
        <f t="shared" si="50"/>
        <v>2.19</v>
      </c>
      <c r="G449" s="1282">
        <f>+C449+2*0.25+K454*L446</f>
        <v>9.1150000000000002</v>
      </c>
      <c r="H449" s="1284">
        <f t="shared" si="51"/>
        <v>0.64077538499999998</v>
      </c>
      <c r="I449" s="1937"/>
      <c r="M449" s="807"/>
      <c r="R449" s="941"/>
      <c r="S449" s="1269"/>
      <c r="T449" s="1269"/>
    </row>
    <row r="450" spans="1:20" ht="15.75">
      <c r="A450" s="1285"/>
      <c r="B450" s="1286"/>
      <c r="C450" s="1287"/>
      <c r="D450" s="1287"/>
      <c r="E450" s="1288"/>
      <c r="F450" s="1288"/>
      <c r="G450" s="1287"/>
      <c r="H450" s="1287"/>
      <c r="I450" s="1289">
        <f>B443*0.5*7.55</f>
        <v>0.755</v>
      </c>
      <c r="R450" s="941"/>
      <c r="S450" s="1269"/>
      <c r="T450" s="1269"/>
    </row>
    <row r="451" spans="1:20" ht="15.75">
      <c r="R451" s="941"/>
      <c r="S451" s="1269"/>
      <c r="T451" s="1269"/>
    </row>
    <row r="452" spans="1:20" ht="15.75">
      <c r="A452" s="807"/>
      <c r="B452" s="807"/>
      <c r="C452" s="807"/>
      <c r="D452" s="807"/>
      <c r="E452" s="807"/>
      <c r="F452" s="1917" t="s">
        <v>4962</v>
      </c>
      <c r="G452" s="1917"/>
      <c r="H452" s="1917"/>
      <c r="I452" s="1289">
        <f>I445</f>
        <v>3.8486220596026492</v>
      </c>
      <c r="K452" s="1895" t="s">
        <v>4864</v>
      </c>
      <c r="L452" s="1895"/>
      <c r="M452" s="1895"/>
      <c r="N452" s="1895"/>
      <c r="R452" s="941"/>
      <c r="S452" s="1269"/>
      <c r="T452" s="1269"/>
    </row>
    <row r="453" spans="1:20" ht="15.75">
      <c r="A453" s="1290"/>
      <c r="B453" s="1291"/>
      <c r="C453" s="1292"/>
      <c r="D453" s="1292"/>
      <c r="F453" s="1896" t="s">
        <v>4963</v>
      </c>
      <c r="G453" s="1896"/>
      <c r="H453" s="1896"/>
      <c r="I453" s="1293">
        <f>I450*G443</f>
        <v>0.755</v>
      </c>
      <c r="K453" s="994">
        <v>5</v>
      </c>
      <c r="L453" s="1897" t="s">
        <v>4865</v>
      </c>
      <c r="M453" s="1897"/>
      <c r="N453" s="1897"/>
      <c r="R453" s="941"/>
      <c r="S453" s="1269"/>
      <c r="T453" s="1269"/>
    </row>
    <row r="454" spans="1:20" ht="15.75">
      <c r="A454" s="807"/>
      <c r="B454" s="807"/>
      <c r="C454" s="807"/>
      <c r="D454" s="807"/>
      <c r="E454" s="807"/>
      <c r="F454" s="807"/>
      <c r="G454" s="807"/>
      <c r="H454" s="807"/>
      <c r="K454" s="994">
        <v>1</v>
      </c>
      <c r="L454" s="1897" t="s">
        <v>4866</v>
      </c>
      <c r="M454" s="1897"/>
      <c r="N454" s="1897"/>
      <c r="R454" s="941"/>
      <c r="S454" s="1269"/>
      <c r="T454" s="1269"/>
    </row>
    <row r="455" spans="1:20" ht="15.75">
      <c r="R455" s="941"/>
      <c r="S455" s="1269"/>
      <c r="T455" s="1269"/>
    </row>
    <row r="456" spans="1:20" ht="15.75">
      <c r="A456" s="1914" t="s">
        <v>4964</v>
      </c>
      <c r="B456" s="1914"/>
      <c r="C456" s="1914"/>
      <c r="D456" s="1914"/>
      <c r="E456" s="1914"/>
      <c r="F456" s="1914"/>
      <c r="G456" s="1914"/>
      <c r="H456" s="1914"/>
      <c r="I456" s="1914"/>
      <c r="R456" s="941"/>
      <c r="S456" s="1269"/>
      <c r="T456" s="1269"/>
    </row>
    <row r="457" spans="1:20" ht="15.75">
      <c r="A457" s="1209" t="s">
        <v>4918</v>
      </c>
      <c r="B457" s="1264">
        <v>0.3</v>
      </c>
      <c r="C457" s="1265">
        <f>0.3+0.15+0.05</f>
        <v>0.49999999999999994</v>
      </c>
      <c r="D457" s="1209" t="s">
        <v>4955</v>
      </c>
      <c r="E457" s="1264">
        <v>0</v>
      </c>
      <c r="F457" s="1265">
        <v>0</v>
      </c>
      <c r="G457" s="1266">
        <v>1</v>
      </c>
      <c r="H457" s="1267">
        <f>7.1+0.2+0.2-0.05</f>
        <v>7.45</v>
      </c>
      <c r="I457" s="1268"/>
      <c r="K457" s="892" t="s">
        <v>4867</v>
      </c>
      <c r="L457" s="892"/>
      <c r="R457" s="941"/>
      <c r="S457" s="1269"/>
      <c r="T457" s="1269"/>
    </row>
    <row r="458" spans="1:20" ht="15.75">
      <c r="A458" s="1209" t="s">
        <v>4850</v>
      </c>
      <c r="B458" s="1209" t="s">
        <v>4851</v>
      </c>
      <c r="C458" s="1209" t="s">
        <v>4874</v>
      </c>
      <c r="D458" s="1209" t="s">
        <v>4852</v>
      </c>
      <c r="E458" s="1209" t="s">
        <v>4875</v>
      </c>
      <c r="F458" s="1209" t="s">
        <v>4860</v>
      </c>
      <c r="G458" s="1209" t="s">
        <v>4956</v>
      </c>
      <c r="H458" s="1209" t="s">
        <v>4</v>
      </c>
      <c r="I458" s="1208" t="s">
        <v>4861</v>
      </c>
      <c r="K458" s="1208" t="s">
        <v>4850</v>
      </c>
      <c r="L458" s="1209" t="s">
        <v>4868</v>
      </c>
      <c r="M458" s="1209" t="s">
        <v>4869</v>
      </c>
      <c r="R458" s="941"/>
      <c r="S458" s="1269"/>
      <c r="T458" s="1269"/>
    </row>
    <row r="459" spans="1:20" ht="15.75">
      <c r="A459" s="1270">
        <v>0.375</v>
      </c>
      <c r="B459" s="1271" t="s">
        <v>4957</v>
      </c>
      <c r="C459" s="1272">
        <f>1.7+1.7</f>
        <v>3.4</v>
      </c>
      <c r="D459" s="1272">
        <v>0.1</v>
      </c>
      <c r="E459" s="1273">
        <f>(ROUND((C459/D459),0))+1</f>
        <v>35</v>
      </c>
      <c r="F459" s="1273">
        <f t="shared" ref="F459:F465" si="52">+ROUND((PI()*(A459*0.0254)^2)/4*7.85*1000*2.2046,2)</f>
        <v>1.23</v>
      </c>
      <c r="G459" s="1272">
        <f>ROUND((2*(12*($A459*0.0254)+$B457-0.025-0.025+$C457-0.025-0.025)),2)</f>
        <v>1.63</v>
      </c>
      <c r="H459" s="1274">
        <f t="shared" ref="H459:H465" si="53">+((E459*F459*G459)/100)*1.07</f>
        <v>0.75083505000000006</v>
      </c>
      <c r="I459" s="1935">
        <f>SUM(H459:H465)/I466</f>
        <v>8.5697373147058844</v>
      </c>
      <c r="K459" s="1210">
        <v>0.375</v>
      </c>
      <c r="L459" s="1211">
        <f>(3/8)*0.0254*50</f>
        <v>0.47624999999999995</v>
      </c>
      <c r="M459" s="1212">
        <f>(3/8)*0.0254</f>
        <v>9.5249999999999987E-3</v>
      </c>
      <c r="R459" s="941"/>
      <c r="S459" s="1269"/>
      <c r="T459" s="1269"/>
    </row>
    <row r="460" spans="1:20" ht="15.75">
      <c r="A460" s="1275">
        <v>0.375</v>
      </c>
      <c r="B460" s="1276" t="s">
        <v>4958</v>
      </c>
      <c r="C460" s="1277">
        <v>3.4</v>
      </c>
      <c r="D460" s="1277">
        <v>0.2</v>
      </c>
      <c r="E460" s="1278">
        <f>(ROUND((C460/D460),0))+1</f>
        <v>18</v>
      </c>
      <c r="F460" s="1278">
        <f t="shared" si="52"/>
        <v>1.23</v>
      </c>
      <c r="G460" s="1277">
        <f>ROUND((2*(12*($A460*0.0254)+$B457-0.025-0.025+$C457-0.025-0.025)),2)</f>
        <v>1.63</v>
      </c>
      <c r="H460" s="1274">
        <f t="shared" si="53"/>
        <v>0.38614374000000001</v>
      </c>
      <c r="I460" s="1936"/>
      <c r="K460" s="1210">
        <v>0.5</v>
      </c>
      <c r="L460" s="1211">
        <f>1/2*0.0254*50</f>
        <v>0.63500000000000001</v>
      </c>
      <c r="M460" s="1212">
        <f>(1/2)*0.0254</f>
        <v>1.2699999999999999E-2</v>
      </c>
      <c r="R460" s="941"/>
      <c r="S460" s="1269"/>
      <c r="T460" s="1269"/>
    </row>
    <row r="461" spans="1:20" ht="15.75">
      <c r="A461" s="1275">
        <v>0.75</v>
      </c>
      <c r="B461" s="1279" t="s">
        <v>4959</v>
      </c>
      <c r="C461" s="1277">
        <f>H457</f>
        <v>7.45</v>
      </c>
      <c r="D461" s="1277"/>
      <c r="E461" s="1278">
        <v>4</v>
      </c>
      <c r="F461" s="1278">
        <f t="shared" si="52"/>
        <v>4.93</v>
      </c>
      <c r="G461" s="1277">
        <f>+C461+2*0.35+(K470*L461)</f>
        <v>9.1025000000000009</v>
      </c>
      <c r="H461" s="1274">
        <f t="shared" si="53"/>
        <v>1.9206639100000003</v>
      </c>
      <c r="I461" s="1936"/>
      <c r="K461" s="1210">
        <v>0.75</v>
      </c>
      <c r="L461" s="1211">
        <f>3/4*0.0254*50</f>
        <v>0.9524999999999999</v>
      </c>
      <c r="M461" s="1212">
        <f>(3/4)*0.0254</f>
        <v>1.9049999999999997E-2</v>
      </c>
      <c r="R461" s="941"/>
      <c r="S461" s="1269"/>
      <c r="T461" s="1269"/>
    </row>
    <row r="462" spans="1:20" ht="15.75">
      <c r="A462" s="1275">
        <v>0.5</v>
      </c>
      <c r="B462" s="1279" t="s">
        <v>4960</v>
      </c>
      <c r="C462" s="1277">
        <f>H457</f>
        <v>7.45</v>
      </c>
      <c r="D462" s="1277"/>
      <c r="E462" s="1278">
        <v>2</v>
      </c>
      <c r="F462" s="1278">
        <f t="shared" si="52"/>
        <v>2.19</v>
      </c>
      <c r="G462" s="1277">
        <f>+C462+1*L460</f>
        <v>8.0850000000000009</v>
      </c>
      <c r="H462" s="1274">
        <f t="shared" si="53"/>
        <v>0.37891161000000007</v>
      </c>
      <c r="I462" s="1936"/>
      <c r="K462" s="994" t="s">
        <v>4870</v>
      </c>
      <c r="L462" s="1211">
        <f>1*0.0254*50</f>
        <v>1.27</v>
      </c>
      <c r="M462" s="1212">
        <f>1*0.0254</f>
        <v>2.5399999999999999E-2</v>
      </c>
      <c r="R462" s="941"/>
      <c r="S462" s="1269"/>
      <c r="T462" s="1269"/>
    </row>
    <row r="463" spans="1:20" ht="15.75">
      <c r="A463" s="1275">
        <v>0.75</v>
      </c>
      <c r="B463" s="1279" t="s">
        <v>4965</v>
      </c>
      <c r="C463" s="1277">
        <f>1.7+0.4</f>
        <v>2.1</v>
      </c>
      <c r="D463" s="1277"/>
      <c r="E463" s="1278">
        <v>3</v>
      </c>
      <c r="F463" s="1278">
        <f t="shared" si="52"/>
        <v>4.93</v>
      </c>
      <c r="G463" s="1277">
        <f>C463+(1*12*M461)+1*0.35</f>
        <v>2.6786000000000003</v>
      </c>
      <c r="H463" s="1274">
        <f t="shared" si="53"/>
        <v>0.42389648580000006</v>
      </c>
      <c r="I463" s="1936"/>
      <c r="M463" s="807"/>
      <c r="R463" s="941"/>
      <c r="S463" s="1269"/>
      <c r="T463" s="1269"/>
    </row>
    <row r="464" spans="1:20" ht="15.75">
      <c r="A464" s="1275">
        <v>0.75</v>
      </c>
      <c r="B464" s="1279" t="s">
        <v>4965</v>
      </c>
      <c r="C464" s="1277">
        <f>C463</f>
        <v>2.1</v>
      </c>
      <c r="D464" s="1277"/>
      <c r="E464" s="1278">
        <v>3</v>
      </c>
      <c r="F464" s="1278">
        <f t="shared" si="52"/>
        <v>4.93</v>
      </c>
      <c r="G464" s="1277">
        <f>C464+(1*12*M461)+1*0.35</f>
        <v>2.6786000000000003</v>
      </c>
      <c r="H464" s="1274">
        <f t="shared" si="53"/>
        <v>0.42389648580000006</v>
      </c>
      <c r="I464" s="1936"/>
      <c r="M464" s="807"/>
      <c r="R464" s="941"/>
      <c r="S464" s="1269"/>
      <c r="T464" s="1269"/>
    </row>
    <row r="465" spans="1:20" ht="15.75">
      <c r="A465" s="1280">
        <v>0.75</v>
      </c>
      <c r="B465" s="1281" t="s">
        <v>4961</v>
      </c>
      <c r="C465" s="1282">
        <f>H457</f>
        <v>7.45</v>
      </c>
      <c r="D465" s="1282"/>
      <c r="E465" s="1283">
        <v>2</v>
      </c>
      <c r="F465" s="1283">
        <f t="shared" si="52"/>
        <v>4.93</v>
      </c>
      <c r="G465" s="1282">
        <f>+C465+2*0.35+K470*L461</f>
        <v>9.1025000000000009</v>
      </c>
      <c r="H465" s="1284">
        <f t="shared" si="53"/>
        <v>0.96033195500000013</v>
      </c>
      <c r="I465" s="1937"/>
      <c r="M465" s="807"/>
      <c r="R465" s="941"/>
      <c r="S465" s="1269"/>
      <c r="T465" s="1269"/>
    </row>
    <row r="466" spans="1:20" ht="15.75">
      <c r="A466" s="1285"/>
      <c r="B466" s="1286"/>
      <c r="C466" s="1287"/>
      <c r="D466" s="1287"/>
      <c r="E466" s="1288"/>
      <c r="F466" s="1288"/>
      <c r="G466" s="1287"/>
      <c r="H466" s="1287"/>
      <c r="I466" s="1289">
        <f>0.3*0.3*6.8</f>
        <v>0.61199999999999999</v>
      </c>
      <c r="J466" s="728">
        <f>7.1+0.4</f>
        <v>7.5</v>
      </c>
      <c r="R466" s="941"/>
      <c r="S466" s="1269"/>
      <c r="T466" s="1269"/>
    </row>
    <row r="467" spans="1:20" ht="15.75">
      <c r="R467" s="941"/>
      <c r="S467" s="941"/>
      <c r="T467" s="941"/>
    </row>
    <row r="468" spans="1:20" ht="15.75">
      <c r="A468" s="807"/>
      <c r="B468" s="807"/>
      <c r="C468" s="807"/>
      <c r="D468" s="807"/>
      <c r="E468" s="807"/>
      <c r="F468" s="1917" t="s">
        <v>4966</v>
      </c>
      <c r="G468" s="1917"/>
      <c r="H468" s="1917"/>
      <c r="I468" s="1289">
        <f>I459</f>
        <v>8.5697373147058844</v>
      </c>
      <c r="K468" s="1895" t="s">
        <v>4864</v>
      </c>
      <c r="L468" s="1895"/>
      <c r="M468" s="1895"/>
      <c r="N468" s="1895"/>
      <c r="R468" s="941"/>
      <c r="S468" s="941"/>
      <c r="T468" s="941"/>
    </row>
    <row r="469" spans="1:20" ht="15.75">
      <c r="A469" s="1290"/>
      <c r="B469" s="1291"/>
      <c r="C469" s="1292"/>
      <c r="D469" s="1292"/>
      <c r="F469" s="1896" t="s">
        <v>4963</v>
      </c>
      <c r="G469" s="1896"/>
      <c r="H469" s="1896"/>
      <c r="I469" s="1293">
        <f>I466</f>
        <v>0.61199999999999999</v>
      </c>
      <c r="K469" s="994">
        <v>5</v>
      </c>
      <c r="L469" s="1897" t="s">
        <v>4865</v>
      </c>
      <c r="M469" s="1897"/>
      <c r="N469" s="1897"/>
      <c r="R469" s="941"/>
      <c r="S469" s="941"/>
      <c r="T469" s="941"/>
    </row>
    <row r="470" spans="1:20" ht="15.75">
      <c r="A470" s="807"/>
      <c r="B470" s="807"/>
      <c r="C470" s="807"/>
      <c r="D470" s="807"/>
      <c r="E470" s="807"/>
      <c r="F470" s="807"/>
      <c r="G470" s="807"/>
      <c r="H470" s="807"/>
      <c r="K470" s="994">
        <v>1</v>
      </c>
      <c r="L470" s="1897" t="s">
        <v>4866</v>
      </c>
      <c r="M470" s="1897"/>
      <c r="N470" s="1897"/>
      <c r="R470" s="941"/>
      <c r="S470" s="941"/>
      <c r="T470" s="941"/>
    </row>
    <row r="472" spans="1:20">
      <c r="A472" s="1914" t="s">
        <v>4967</v>
      </c>
      <c r="B472" s="1914"/>
      <c r="C472" s="1914"/>
      <c r="D472" s="1914"/>
      <c r="E472" s="1914"/>
      <c r="F472" s="1914"/>
      <c r="G472" s="1914"/>
      <c r="H472" s="1914"/>
      <c r="I472" s="1914"/>
    </row>
    <row r="473" spans="1:20">
      <c r="A473" s="1209" t="s">
        <v>4918</v>
      </c>
      <c r="B473" s="1264">
        <v>0.3</v>
      </c>
      <c r="C473" s="1265">
        <f>0.38+0.12</f>
        <v>0.5</v>
      </c>
      <c r="D473" s="1209" t="s">
        <v>4955</v>
      </c>
      <c r="E473" s="1264">
        <v>0</v>
      </c>
      <c r="F473" s="1265">
        <v>0</v>
      </c>
      <c r="G473" s="1266">
        <v>1</v>
      </c>
      <c r="H473" s="1267">
        <f>7.1+0.4-0.05</f>
        <v>7.45</v>
      </c>
      <c r="I473" s="1268"/>
      <c r="K473" s="892" t="s">
        <v>4867</v>
      </c>
      <c r="L473" s="892"/>
    </row>
    <row r="474" spans="1:20">
      <c r="A474" s="1209" t="s">
        <v>4850</v>
      </c>
      <c r="B474" s="1209" t="s">
        <v>4851</v>
      </c>
      <c r="C474" s="1209" t="s">
        <v>4874</v>
      </c>
      <c r="D474" s="1209" t="s">
        <v>4852</v>
      </c>
      <c r="E474" s="1209" t="s">
        <v>4875</v>
      </c>
      <c r="F474" s="1209" t="s">
        <v>4860</v>
      </c>
      <c r="G474" s="1209" t="s">
        <v>4956</v>
      </c>
      <c r="H474" s="1209" t="s">
        <v>4</v>
      </c>
      <c r="I474" s="1208" t="s">
        <v>4861</v>
      </c>
      <c r="K474" s="1208" t="s">
        <v>4850</v>
      </c>
      <c r="L474" s="1209" t="s">
        <v>4868</v>
      </c>
      <c r="M474" s="1209" t="s">
        <v>4869</v>
      </c>
    </row>
    <row r="475" spans="1:20">
      <c r="A475" s="1270">
        <v>0.375</v>
      </c>
      <c r="B475" s="1271" t="s">
        <v>4957</v>
      </c>
      <c r="C475" s="1272">
        <f>1.7+1.7</f>
        <v>3.4</v>
      </c>
      <c r="D475" s="1272">
        <v>0.1</v>
      </c>
      <c r="E475" s="1273">
        <f>(ROUND((C475/D475),0))+1</f>
        <v>35</v>
      </c>
      <c r="F475" s="1273">
        <f>+ROUND((PI()*(A475*0.0254)^2)/4*7.85*1000*2.2046,2)</f>
        <v>1.23</v>
      </c>
      <c r="G475" s="1272">
        <f>ROUND((2*(12*($A475*0.0254)+$B473-0.025-0.025+$C473-0.025-0.025)),2)</f>
        <v>1.63</v>
      </c>
      <c r="H475" s="1274">
        <f>+((E475*F475*G475)/100)*1.07</f>
        <v>0.75083505000000006</v>
      </c>
      <c r="I475" s="1935">
        <f>SUM(H475:H481)/I482</f>
        <v>5.7816248734520137</v>
      </c>
      <c r="K475" s="1210">
        <v>0.375</v>
      </c>
      <c r="L475" s="1211">
        <f>(3/8)*0.0254*50</f>
        <v>0.47624999999999995</v>
      </c>
      <c r="M475" s="1212">
        <f>(3/8)*0.0254</f>
        <v>9.5249999999999987E-3</v>
      </c>
    </row>
    <row r="476" spans="1:20">
      <c r="A476" s="1275">
        <v>0.375</v>
      </c>
      <c r="B476" s="1276" t="s">
        <v>4958</v>
      </c>
      <c r="C476" s="1277">
        <v>3.4</v>
      </c>
      <c r="D476" s="1277">
        <v>0.2</v>
      </c>
      <c r="E476" s="1278">
        <f>(ROUND((C476/D476),0))+1</f>
        <v>18</v>
      </c>
      <c r="F476" s="1278">
        <f t="shared" ref="F476:F478" si="54">+ROUND((PI()*(A476*0.0254)^2)/4*7.85*1000*2.2046,2)</f>
        <v>1.23</v>
      </c>
      <c r="G476" s="1277">
        <f>ROUND((2*(12*($A476*0.0254)+$B473-0.025-0.025+$C473-0.025-0.025)),2)</f>
        <v>1.63</v>
      </c>
      <c r="H476" s="1274">
        <f t="shared" ref="H476:H478" si="55">+((E476*F476*G476)/100)*1.07</f>
        <v>0.38614374000000001</v>
      </c>
      <c r="I476" s="1936"/>
      <c r="K476" s="1210">
        <v>0.5</v>
      </c>
      <c r="L476" s="1211">
        <f>1/2*0.0254*50</f>
        <v>0.63500000000000001</v>
      </c>
      <c r="M476" s="1212">
        <f>(1/2)*0.0254</f>
        <v>1.2699999999999999E-2</v>
      </c>
    </row>
    <row r="477" spans="1:20">
      <c r="A477" s="1275">
        <v>0.75</v>
      </c>
      <c r="B477" s="1279" t="s">
        <v>4959</v>
      </c>
      <c r="C477" s="1277">
        <f>H473</f>
        <v>7.45</v>
      </c>
      <c r="D477" s="1277"/>
      <c r="E477" s="1278">
        <v>3</v>
      </c>
      <c r="F477" s="1278">
        <f t="shared" si="54"/>
        <v>4.93</v>
      </c>
      <c r="G477" s="1277">
        <f>+C477+2*0.35+(K486*L477)</f>
        <v>9.1025000000000009</v>
      </c>
      <c r="H477" s="1274">
        <f t="shared" si="55"/>
        <v>1.4404979325000002</v>
      </c>
      <c r="I477" s="1936"/>
      <c r="K477" s="1210">
        <v>0.75</v>
      </c>
      <c r="L477" s="1211">
        <f>3/4*0.0254*50</f>
        <v>0.9524999999999999</v>
      </c>
      <c r="M477" s="1212">
        <f>(3/4)*0.0254</f>
        <v>1.9049999999999997E-2</v>
      </c>
    </row>
    <row r="478" spans="1:20">
      <c r="A478" s="1275">
        <v>0.5</v>
      </c>
      <c r="B478" s="1279" t="s">
        <v>4960</v>
      </c>
      <c r="C478" s="1277">
        <f>C477</f>
        <v>7.45</v>
      </c>
      <c r="D478" s="1277"/>
      <c r="E478" s="1278">
        <v>2</v>
      </c>
      <c r="F478" s="1278">
        <f t="shared" si="54"/>
        <v>2.19</v>
      </c>
      <c r="G478" s="1277">
        <f>+C478+L476</f>
        <v>8.0850000000000009</v>
      </c>
      <c r="H478" s="1274">
        <f t="shared" si="55"/>
        <v>0.37891161000000007</v>
      </c>
      <c r="I478" s="1936"/>
      <c r="K478" s="994" t="s">
        <v>4870</v>
      </c>
      <c r="L478" s="1211">
        <f>1*0.0254*50</f>
        <v>1.27</v>
      </c>
      <c r="M478" s="1212">
        <f>1*0.0254</f>
        <v>2.5399999999999999E-2</v>
      </c>
    </row>
    <row r="479" spans="1:20">
      <c r="A479" s="1275">
        <v>0.75</v>
      </c>
      <c r="B479" s="1279" t="s">
        <v>4965</v>
      </c>
      <c r="C479" s="1277">
        <f>1.7+0.4</f>
        <v>2.1</v>
      </c>
      <c r="D479" s="1277"/>
      <c r="E479" s="1278">
        <v>2</v>
      </c>
      <c r="F479" s="1278">
        <f>+ROUND((PI()*(A479*0.0254)^2)/4*7.85*1000*2.2046,2)</f>
        <v>4.93</v>
      </c>
      <c r="G479" s="1277">
        <f>C479+(1*12*M477)+1*0.35</f>
        <v>2.6786000000000003</v>
      </c>
      <c r="H479" s="1274">
        <f>+((E479*F479*G479)/100)*1.07</f>
        <v>0.28259765720000007</v>
      </c>
      <c r="I479" s="1936"/>
      <c r="M479" s="807"/>
    </row>
    <row r="480" spans="1:20">
      <c r="A480" s="1275">
        <v>0.75</v>
      </c>
      <c r="B480" s="1279" t="s">
        <v>4965</v>
      </c>
      <c r="C480" s="1277">
        <f>C479</f>
        <v>2.1</v>
      </c>
      <c r="D480" s="1277"/>
      <c r="E480" s="1278">
        <v>2</v>
      </c>
      <c r="F480" s="1278">
        <f>+ROUND((PI()*(A480*0.0254)^2)/4*7.85*1000*2.2046,2)</f>
        <v>4.93</v>
      </c>
      <c r="G480" s="1277">
        <f>C480+(1*12*M477)+1*0.35</f>
        <v>2.6786000000000003</v>
      </c>
      <c r="H480" s="1274">
        <f>+((E480*F480*G480)/100)*1.07</f>
        <v>0.28259765720000007</v>
      </c>
      <c r="I480" s="1936"/>
      <c r="M480" s="807"/>
    </row>
    <row r="481" spans="1:14">
      <c r="A481" s="1280">
        <v>0.75</v>
      </c>
      <c r="B481" s="1281" t="s">
        <v>4961</v>
      </c>
      <c r="C481" s="1282">
        <f>H473</f>
        <v>7.45</v>
      </c>
      <c r="D481" s="1282"/>
      <c r="E481" s="1283">
        <v>2</v>
      </c>
      <c r="F481" s="1283">
        <f>+ROUND((PI()*(A481*0.0254)^2)/4*7.85*1000*2.2046,2)</f>
        <v>4.93</v>
      </c>
      <c r="G481" s="1282">
        <f>+C481+2*0.35+K486*L477</f>
        <v>9.1025000000000009</v>
      </c>
      <c r="H481" s="1284">
        <f>+((E481*F481*G481)/100)*1.07</f>
        <v>0.96033195500000013</v>
      </c>
      <c r="I481" s="1937"/>
      <c r="M481" s="807"/>
    </row>
    <row r="482" spans="1:14" ht="15.75">
      <c r="A482" s="1285"/>
      <c r="B482" s="1286"/>
      <c r="C482" s="1287"/>
      <c r="D482" s="1287"/>
      <c r="E482" s="1288"/>
      <c r="F482" s="1288"/>
      <c r="G482" s="1287"/>
      <c r="H482" s="1287"/>
      <c r="I482" s="1289">
        <f>6.8*B473*0.38</f>
        <v>0.7752</v>
      </c>
      <c r="J482" s="728">
        <f>7.1+0.4</f>
        <v>7.5</v>
      </c>
    </row>
    <row r="484" spans="1:14" ht="15.75">
      <c r="A484" s="807"/>
      <c r="B484" s="807"/>
      <c r="C484" s="807"/>
      <c r="D484" s="807"/>
      <c r="E484" s="807"/>
      <c r="F484" s="1917" t="s">
        <v>4968</v>
      </c>
      <c r="G484" s="1917"/>
      <c r="H484" s="1917"/>
      <c r="I484" s="1289">
        <f>I475</f>
        <v>5.7816248734520137</v>
      </c>
      <c r="K484" s="1895" t="s">
        <v>4864</v>
      </c>
      <c r="L484" s="1895"/>
      <c r="M484" s="1895"/>
      <c r="N484" s="1895"/>
    </row>
    <row r="485" spans="1:14" ht="15.75">
      <c r="A485" s="1290"/>
      <c r="B485" s="1291"/>
      <c r="C485" s="1292"/>
      <c r="D485" s="1292"/>
      <c r="F485" s="1896" t="s">
        <v>4963</v>
      </c>
      <c r="G485" s="1896"/>
      <c r="H485" s="1896"/>
      <c r="I485" s="1293">
        <f>I482</f>
        <v>0.7752</v>
      </c>
      <c r="K485" s="994">
        <v>5</v>
      </c>
      <c r="L485" s="1897" t="s">
        <v>4865</v>
      </c>
      <c r="M485" s="1897"/>
      <c r="N485" s="1897"/>
    </row>
    <row r="486" spans="1:14">
      <c r="A486" s="807"/>
      <c r="B486" s="807"/>
      <c r="C486" s="807"/>
      <c r="D486" s="807"/>
      <c r="E486" s="807"/>
      <c r="F486" s="807"/>
      <c r="G486" s="807"/>
      <c r="H486" s="807"/>
      <c r="K486" s="994">
        <v>1</v>
      </c>
      <c r="L486" s="1897" t="s">
        <v>4866</v>
      </c>
      <c r="M486" s="1897"/>
      <c r="N486" s="1897"/>
    </row>
    <row r="487" spans="1:14" ht="15.75">
      <c r="A487" s="807"/>
      <c r="B487" s="807"/>
      <c r="C487" s="807"/>
      <c r="D487" s="807"/>
      <c r="E487" s="807"/>
      <c r="F487" s="807"/>
      <c r="G487" s="807"/>
      <c r="H487" s="807"/>
      <c r="I487" s="1251"/>
      <c r="K487" s="1294"/>
      <c r="L487" s="1294"/>
      <c r="M487" s="1294"/>
      <c r="N487" s="1294"/>
    </row>
    <row r="488" spans="1:14">
      <c r="A488" s="1914" t="s">
        <v>4969</v>
      </c>
      <c r="B488" s="1914"/>
      <c r="C488" s="1914"/>
      <c r="D488" s="1914"/>
      <c r="E488" s="1914"/>
      <c r="F488" s="1914"/>
      <c r="G488" s="1914"/>
      <c r="H488" s="1914"/>
      <c r="I488" s="1914"/>
    </row>
    <row r="489" spans="1:14">
      <c r="A489" s="1209" t="s">
        <v>4918</v>
      </c>
      <c r="B489" s="1264">
        <v>0.3</v>
      </c>
      <c r="C489" s="1265">
        <f>0.4+0.15+0.05</f>
        <v>0.60000000000000009</v>
      </c>
      <c r="D489" s="1209" t="s">
        <v>4955</v>
      </c>
      <c r="E489" s="1264">
        <v>0</v>
      </c>
      <c r="F489" s="1265">
        <v>0</v>
      </c>
      <c r="G489" s="1266">
        <v>1</v>
      </c>
      <c r="H489" s="1267">
        <f>2.15+3.41+0.2+0.1-0.05</f>
        <v>5.8100000000000005</v>
      </c>
      <c r="I489" s="1268"/>
      <c r="K489" s="892" t="s">
        <v>4867</v>
      </c>
      <c r="L489" s="892"/>
    </row>
    <row r="490" spans="1:14">
      <c r="A490" s="1209" t="s">
        <v>4850</v>
      </c>
      <c r="B490" s="1209" t="s">
        <v>4851</v>
      </c>
      <c r="C490" s="1209" t="s">
        <v>4874</v>
      </c>
      <c r="D490" s="1209" t="s">
        <v>4852</v>
      </c>
      <c r="E490" s="1209" t="s">
        <v>4875</v>
      </c>
      <c r="F490" s="1209" t="s">
        <v>4860</v>
      </c>
      <c r="G490" s="1209" t="s">
        <v>4956</v>
      </c>
      <c r="H490" s="1209" t="s">
        <v>4</v>
      </c>
      <c r="I490" s="1208" t="s">
        <v>4861</v>
      </c>
      <c r="K490" s="1208" t="s">
        <v>4850</v>
      </c>
      <c r="L490" s="1209" t="s">
        <v>4868</v>
      </c>
      <c r="M490" s="1209" t="s">
        <v>4869</v>
      </c>
    </row>
    <row r="491" spans="1:14">
      <c r="A491" s="1270">
        <v>0.375</v>
      </c>
      <c r="B491" s="1271" t="s">
        <v>4957</v>
      </c>
      <c r="C491" s="1272">
        <f>1.85+1.2+1.2</f>
        <v>4.25</v>
      </c>
      <c r="D491" s="1272">
        <v>0.1</v>
      </c>
      <c r="E491" s="1273">
        <f>(ROUND((C491/D491),0))+1</f>
        <v>44</v>
      </c>
      <c r="F491" s="1273">
        <f t="shared" ref="F491:F498" si="56">+ROUND((PI()*(A491*0.0254)^2)/4*7.85*1000*2.2046,2)</f>
        <v>1.23</v>
      </c>
      <c r="G491" s="1272">
        <f>ROUND((2*(12*($A491*0.0254)+$B489-0.025-0.025+$C489-0.025-0.025)),2)</f>
        <v>1.83</v>
      </c>
      <c r="H491" s="1274">
        <f t="shared" ref="H491:H498" si="57">+((E491*F491*G491)/100)*1.07</f>
        <v>1.05972372</v>
      </c>
      <c r="I491" s="1935">
        <f>SUM(H491:H498)/I499</f>
        <v>4.5720073627915792</v>
      </c>
      <c r="K491" s="1210">
        <v>0.375</v>
      </c>
      <c r="L491" s="1211">
        <f>(3/8)*0.0254*50</f>
        <v>0.47624999999999995</v>
      </c>
      <c r="M491" s="1212">
        <f>(3/8)*0.0254</f>
        <v>9.5249999999999987E-3</v>
      </c>
    </row>
    <row r="492" spans="1:14">
      <c r="A492" s="1270">
        <v>0.375</v>
      </c>
      <c r="B492" s="1271" t="s">
        <v>4957</v>
      </c>
      <c r="C492" s="1272">
        <v>0.6</v>
      </c>
      <c r="D492" s="1272">
        <v>0.2</v>
      </c>
      <c r="E492" s="1273">
        <f>(ROUND((C492/D492),0))+1</f>
        <v>4</v>
      </c>
      <c r="F492" s="1273">
        <f t="shared" si="56"/>
        <v>1.23</v>
      </c>
      <c r="G492" s="1272">
        <f>ROUND((2*(12*($A492*0.0254)+$B489-0.025-0.025+$C489-0.025-0.025)),2)</f>
        <v>1.83</v>
      </c>
      <c r="H492" s="1274">
        <f t="shared" si="57"/>
        <v>9.6338520000000011E-2</v>
      </c>
      <c r="I492" s="1936"/>
      <c r="K492" s="1210">
        <v>0.5</v>
      </c>
      <c r="L492" s="1211">
        <f>1/2*0.0254*50</f>
        <v>0.63500000000000001</v>
      </c>
      <c r="M492" s="1212">
        <f>(1/2)*0.0254</f>
        <v>1.2699999999999999E-2</v>
      </c>
    </row>
    <row r="493" spans="1:14">
      <c r="A493" s="1275">
        <v>0.75</v>
      </c>
      <c r="B493" s="1279" t="s">
        <v>4959</v>
      </c>
      <c r="C493" s="1277">
        <f>H489</f>
        <v>5.8100000000000005</v>
      </c>
      <c r="D493" s="1277"/>
      <c r="E493" s="1278">
        <v>2</v>
      </c>
      <c r="F493" s="1278">
        <f t="shared" si="56"/>
        <v>4.93</v>
      </c>
      <c r="G493" s="1277">
        <f>+C493+2*0.35+(K503*L493)</f>
        <v>7.4625000000000004</v>
      </c>
      <c r="H493" s="1274">
        <f t="shared" si="57"/>
        <v>0.7873086749999999</v>
      </c>
      <c r="I493" s="1936"/>
      <c r="K493" s="1210">
        <v>0.75</v>
      </c>
      <c r="L493" s="1211">
        <f>3/4*0.0254*50</f>
        <v>0.9524999999999999</v>
      </c>
      <c r="M493" s="1212">
        <f>(3/4)*0.0254</f>
        <v>1.9049999999999997E-2</v>
      </c>
    </row>
    <row r="494" spans="1:14">
      <c r="A494" s="1275">
        <v>0.5</v>
      </c>
      <c r="B494" s="1279" t="s">
        <v>4970</v>
      </c>
      <c r="C494" s="1277">
        <f>H489</f>
        <v>5.8100000000000005</v>
      </c>
      <c r="D494" s="1277"/>
      <c r="E494" s="1278">
        <v>1</v>
      </c>
      <c r="F494" s="1278">
        <f t="shared" si="56"/>
        <v>2.19</v>
      </c>
      <c r="G494" s="1277">
        <f>+C494+2*0.25+(K503*L492)</f>
        <v>6.9450000000000003</v>
      </c>
      <c r="H494" s="1274">
        <f t="shared" si="57"/>
        <v>0.16274218500000001</v>
      </c>
      <c r="I494" s="1936"/>
      <c r="K494" s="1210"/>
      <c r="L494" s="1211"/>
      <c r="M494" s="1212"/>
    </row>
    <row r="495" spans="1:14">
      <c r="A495" s="1275">
        <v>0.5</v>
      </c>
      <c r="B495" s="1279" t="s">
        <v>4960</v>
      </c>
      <c r="C495" s="1277">
        <f>C494</f>
        <v>5.8100000000000005</v>
      </c>
      <c r="D495" s="1277"/>
      <c r="E495" s="1278">
        <v>4</v>
      </c>
      <c r="F495" s="1278">
        <f t="shared" si="56"/>
        <v>2.19</v>
      </c>
      <c r="G495" s="1277">
        <f>+C495</f>
        <v>5.8100000000000005</v>
      </c>
      <c r="H495" s="1274">
        <f>+((E495*F495*G495)/100)*1.07</f>
        <v>0.54458291999999997</v>
      </c>
      <c r="I495" s="1936"/>
      <c r="K495" s="994" t="s">
        <v>4870</v>
      </c>
      <c r="L495" s="1211">
        <f>1*0.0254*50</f>
        <v>1.27</v>
      </c>
      <c r="M495" s="1212">
        <f>1*0.0254</f>
        <v>2.5399999999999999E-2</v>
      </c>
    </row>
    <row r="496" spans="1:14">
      <c r="A496" s="1275">
        <v>0.75</v>
      </c>
      <c r="B496" s="1279" t="s">
        <v>4971</v>
      </c>
      <c r="C496" s="1277">
        <f>1.2+1.2+0.4</f>
        <v>2.8</v>
      </c>
      <c r="D496" s="1277"/>
      <c r="E496" s="1278">
        <v>1</v>
      </c>
      <c r="F496" s="1278">
        <f t="shared" si="56"/>
        <v>4.93</v>
      </c>
      <c r="G496" s="1277">
        <f>C496+(1*12*M493)+1*0.35</f>
        <v>3.3786</v>
      </c>
      <c r="H496" s="1274">
        <f t="shared" si="57"/>
        <v>0.17822452860000002</v>
      </c>
      <c r="I496" s="1936"/>
      <c r="M496" s="807"/>
    </row>
    <row r="497" spans="1:14">
      <c r="A497" s="1275"/>
      <c r="B497" s="1279"/>
      <c r="C497" s="1277"/>
      <c r="D497" s="1277"/>
      <c r="E497" s="1278"/>
      <c r="F497" s="1278"/>
      <c r="G497" s="1277"/>
      <c r="H497" s="1274"/>
      <c r="I497" s="1936"/>
      <c r="M497" s="807"/>
    </row>
    <row r="498" spans="1:14">
      <c r="A498" s="1280">
        <v>0.75</v>
      </c>
      <c r="B498" s="1281" t="s">
        <v>4961</v>
      </c>
      <c r="C498" s="1282">
        <f>H489</f>
        <v>5.8100000000000005</v>
      </c>
      <c r="D498" s="1282"/>
      <c r="E498" s="1283">
        <v>2</v>
      </c>
      <c r="F498" s="1283">
        <f t="shared" si="56"/>
        <v>4.93</v>
      </c>
      <c r="G498" s="1282">
        <f>+C498+2*0.35+K503*L493</f>
        <v>7.4625000000000004</v>
      </c>
      <c r="H498" s="1284">
        <f t="shared" si="57"/>
        <v>0.7873086749999999</v>
      </c>
      <c r="I498" s="1937"/>
      <c r="M498" s="807"/>
    </row>
    <row r="499" spans="1:14" ht="15.75">
      <c r="A499" s="1285"/>
      <c r="B499" s="1286"/>
      <c r="C499" s="1287"/>
      <c r="D499" s="1287"/>
      <c r="E499" s="1288"/>
      <c r="F499" s="1288"/>
      <c r="G499" s="1287"/>
      <c r="H499" s="1287"/>
      <c r="I499" s="1289">
        <f>2.35*B489*0.55+3.36*0.3*0.4</f>
        <v>0.79095000000000004</v>
      </c>
      <c r="J499" s="728">
        <f>3.41+2.15+0.2</f>
        <v>5.7600000000000007</v>
      </c>
    </row>
    <row r="501" spans="1:14" ht="15.75">
      <c r="A501" s="807"/>
      <c r="B501" s="807"/>
      <c r="C501" s="807"/>
      <c r="D501" s="807"/>
      <c r="E501" s="807"/>
      <c r="F501" s="1917" t="s">
        <v>4972</v>
      </c>
      <c r="G501" s="1917"/>
      <c r="H501" s="1917"/>
      <c r="I501" s="1289">
        <f>I491</f>
        <v>4.5720073627915792</v>
      </c>
      <c r="K501" s="1895" t="s">
        <v>4864</v>
      </c>
      <c r="L501" s="1895"/>
      <c r="M501" s="1895"/>
      <c r="N501" s="1895"/>
    </row>
    <row r="502" spans="1:14" ht="15.75">
      <c r="A502" s="1290"/>
      <c r="B502" s="1291"/>
      <c r="C502" s="1292"/>
      <c r="D502" s="1292"/>
      <c r="F502" s="1896" t="s">
        <v>4963</v>
      </c>
      <c r="G502" s="1896"/>
      <c r="H502" s="1896"/>
      <c r="I502" s="1293">
        <f>I499</f>
        <v>0.79095000000000004</v>
      </c>
      <c r="K502" s="994">
        <v>2</v>
      </c>
      <c r="L502" s="1897" t="s">
        <v>4865</v>
      </c>
      <c r="M502" s="1897"/>
      <c r="N502" s="1897"/>
    </row>
    <row r="503" spans="1:14">
      <c r="A503" s="807"/>
      <c r="B503" s="807"/>
      <c r="C503" s="807"/>
      <c r="D503" s="807"/>
      <c r="E503" s="807"/>
      <c r="F503" s="807"/>
      <c r="G503" s="807"/>
      <c r="H503" s="807"/>
      <c r="K503" s="994">
        <f>K502-1</f>
        <v>1</v>
      </c>
      <c r="L503" s="1897" t="s">
        <v>4866</v>
      </c>
      <c r="M503" s="1897"/>
      <c r="N503" s="1897"/>
    </row>
    <row r="505" spans="1:14">
      <c r="A505" s="1914" t="s">
        <v>4973</v>
      </c>
      <c r="B505" s="1914"/>
      <c r="C505" s="1914"/>
      <c r="D505" s="1914"/>
      <c r="E505" s="1914"/>
      <c r="F505" s="1914"/>
      <c r="G505" s="1914"/>
      <c r="H505" s="1914"/>
      <c r="I505" s="1914"/>
    </row>
    <row r="506" spans="1:14">
      <c r="A506" s="1209" t="s">
        <v>4918</v>
      </c>
      <c r="B506" s="1264">
        <v>0.3</v>
      </c>
      <c r="C506" s="1265">
        <f>0.4+0.15+0.05</f>
        <v>0.60000000000000009</v>
      </c>
      <c r="D506" s="1209" t="s">
        <v>4955</v>
      </c>
      <c r="E506" s="1264">
        <v>0</v>
      </c>
      <c r="F506" s="1265">
        <v>0</v>
      </c>
      <c r="G506" s="1266">
        <v>1</v>
      </c>
      <c r="H506" s="1267">
        <f>4+3.41+0.1+0.2-0.05</f>
        <v>7.66</v>
      </c>
      <c r="I506" s="1268"/>
      <c r="K506" s="892" t="s">
        <v>4867</v>
      </c>
      <c r="L506" s="892"/>
    </row>
    <row r="507" spans="1:14">
      <c r="A507" s="1209" t="s">
        <v>4850</v>
      </c>
      <c r="B507" s="1209" t="s">
        <v>4851</v>
      </c>
      <c r="C507" s="1209" t="s">
        <v>4874</v>
      </c>
      <c r="D507" s="1209" t="s">
        <v>4852</v>
      </c>
      <c r="E507" s="1209" t="s">
        <v>4875</v>
      </c>
      <c r="F507" s="1209" t="s">
        <v>4860</v>
      </c>
      <c r="G507" s="1209" t="s">
        <v>4956</v>
      </c>
      <c r="H507" s="1209" t="s">
        <v>4</v>
      </c>
      <c r="I507" s="1208" t="s">
        <v>4861</v>
      </c>
      <c r="K507" s="1208" t="s">
        <v>4850</v>
      </c>
      <c r="L507" s="1209" t="s">
        <v>4868</v>
      </c>
      <c r="M507" s="1209" t="s">
        <v>4869</v>
      </c>
    </row>
    <row r="508" spans="1:14" ht="15" customHeight="1">
      <c r="A508" s="1270">
        <v>0.375</v>
      </c>
      <c r="B508" s="1271" t="s">
        <v>4957</v>
      </c>
      <c r="C508" s="1272">
        <f>3.7+1.2+1.2</f>
        <v>6.1000000000000005</v>
      </c>
      <c r="D508" s="1272">
        <v>0.1</v>
      </c>
      <c r="E508" s="1273">
        <f>(ROUND((C508/D508),0))+1</f>
        <v>62</v>
      </c>
      <c r="F508" s="1273">
        <f t="shared" ref="F508:F513" si="58">+ROUND((PI()*(A508*0.0254)^2)/4*7.85*1000*2.2046,2)</f>
        <v>1.23</v>
      </c>
      <c r="G508" s="1272">
        <f>ROUND((2*(12*($A508*0.0254)+$B506-0.025-0.025+$C506-0.025-0.025)),2)</f>
        <v>1.83</v>
      </c>
      <c r="H508" s="1274">
        <f t="shared" ref="H508:H513" si="59">+((E508*F508*G508)/100)*1.07</f>
        <v>1.4932470600000001</v>
      </c>
      <c r="I508" s="1935">
        <f>SUM(H508:H513)/I514</f>
        <v>5.9022105544841326</v>
      </c>
      <c r="K508" s="1210">
        <v>0.375</v>
      </c>
      <c r="L508" s="1211">
        <f>(3/8)*0.0254*50</f>
        <v>0.47624999999999995</v>
      </c>
      <c r="M508" s="1212">
        <f>(3/8)*0.0254</f>
        <v>9.5249999999999987E-3</v>
      </c>
    </row>
    <row r="509" spans="1:14" ht="15" customHeight="1">
      <c r="A509" s="1270">
        <v>0.375</v>
      </c>
      <c r="B509" s="1271" t="s">
        <v>4957</v>
      </c>
      <c r="C509" s="1272">
        <v>0.6</v>
      </c>
      <c r="D509" s="1272">
        <v>0.2</v>
      </c>
      <c r="E509" s="1273">
        <f>(ROUND((C509/D509),0))+1</f>
        <v>4</v>
      </c>
      <c r="F509" s="1273">
        <f t="shared" si="58"/>
        <v>1.23</v>
      </c>
      <c r="G509" s="1272">
        <f>ROUND((2*(12*($A509*0.0254)+$B506-0.025-0.025+$C506-0.025-0.025)),2)</f>
        <v>1.83</v>
      </c>
      <c r="H509" s="1274">
        <f t="shared" si="59"/>
        <v>9.6338520000000011E-2</v>
      </c>
      <c r="I509" s="1936"/>
      <c r="K509" s="1210">
        <v>0.5</v>
      </c>
      <c r="L509" s="1211">
        <f>1/2*0.0254*50</f>
        <v>0.63500000000000001</v>
      </c>
      <c r="M509" s="1212">
        <f>(1/2)*0.0254</f>
        <v>1.2699999999999999E-2</v>
      </c>
    </row>
    <row r="510" spans="1:14" ht="15" customHeight="1">
      <c r="A510" s="1275">
        <v>0.75</v>
      </c>
      <c r="B510" s="1279" t="s">
        <v>4959</v>
      </c>
      <c r="C510" s="1277">
        <f>H506</f>
        <v>7.66</v>
      </c>
      <c r="D510" s="1277"/>
      <c r="E510" s="1278">
        <v>4</v>
      </c>
      <c r="F510" s="1278">
        <f t="shared" si="58"/>
        <v>4.93</v>
      </c>
      <c r="G510" s="1277">
        <f>+C510+2*0.35+(K519*L510)</f>
        <v>9.3125</v>
      </c>
      <c r="H510" s="1274">
        <f t="shared" si="59"/>
        <v>1.9649747499999999</v>
      </c>
      <c r="I510" s="1936"/>
      <c r="K510" s="1210">
        <v>0.75</v>
      </c>
      <c r="L510" s="1211">
        <f>3/4*0.0254*50</f>
        <v>0.9524999999999999</v>
      </c>
      <c r="M510" s="1212">
        <f>(3/4)*0.0254</f>
        <v>1.9049999999999997E-2</v>
      </c>
    </row>
    <row r="511" spans="1:14" ht="15" customHeight="1">
      <c r="A511" s="1275">
        <v>0.5</v>
      </c>
      <c r="B511" s="1279" t="s">
        <v>4960</v>
      </c>
      <c r="C511" s="1277">
        <f>C510</f>
        <v>7.66</v>
      </c>
      <c r="D511" s="1277"/>
      <c r="E511" s="1278">
        <v>4</v>
      </c>
      <c r="F511" s="1278">
        <f t="shared" si="58"/>
        <v>2.19</v>
      </c>
      <c r="G511" s="1277">
        <f>+C511+1*L509</f>
        <v>8.2949999999999999</v>
      </c>
      <c r="H511" s="1274">
        <f t="shared" si="59"/>
        <v>0.77750693999999998</v>
      </c>
      <c r="I511" s="1936"/>
      <c r="K511" s="994" t="s">
        <v>4870</v>
      </c>
      <c r="L511" s="1211">
        <f>1*0.0254*50</f>
        <v>1.27</v>
      </c>
      <c r="M511" s="1212">
        <f>1*0.0254</f>
        <v>2.5399999999999999E-2</v>
      </c>
    </row>
    <row r="512" spans="1:14" ht="15" customHeight="1">
      <c r="A512" s="1275">
        <v>0.75</v>
      </c>
      <c r="B512" s="1279" t="s">
        <v>4971</v>
      </c>
      <c r="C512" s="1277">
        <f>1.2+0.4+1.2</f>
        <v>2.8</v>
      </c>
      <c r="D512" s="1277"/>
      <c r="E512" s="1278">
        <v>4</v>
      </c>
      <c r="F512" s="1278">
        <f t="shared" si="58"/>
        <v>4.93</v>
      </c>
      <c r="G512" s="1277">
        <f>C512+(1*12*M510)+1*0.35</f>
        <v>3.3786</v>
      </c>
      <c r="H512" s="1274">
        <f t="shared" si="59"/>
        <v>0.71289811440000006</v>
      </c>
      <c r="I512" s="1936"/>
      <c r="M512" s="807"/>
    </row>
    <row r="513" spans="1:14" ht="15" customHeight="1">
      <c r="A513" s="1280">
        <v>0.75</v>
      </c>
      <c r="B513" s="1281" t="s">
        <v>4961</v>
      </c>
      <c r="C513" s="1282">
        <f>H506</f>
        <v>7.66</v>
      </c>
      <c r="D513" s="1282"/>
      <c r="E513" s="1283">
        <v>3</v>
      </c>
      <c r="F513" s="1283">
        <f t="shared" si="58"/>
        <v>4.93</v>
      </c>
      <c r="G513" s="1282">
        <f>+C513+2*0.35+K519*L510</f>
        <v>9.3125</v>
      </c>
      <c r="H513" s="1284">
        <f t="shared" si="59"/>
        <v>1.4737310625</v>
      </c>
      <c r="I513" s="1936"/>
      <c r="M513" s="807"/>
    </row>
    <row r="514" spans="1:14" ht="15" customHeight="1">
      <c r="I514" s="1289">
        <f>B506*0.4*3.36+4.25*0.55*0.3</f>
        <v>1.1044499999999999</v>
      </c>
      <c r="J514" s="728">
        <f>4+3.41+0.1+0.2</f>
        <v>7.71</v>
      </c>
      <c r="M514" s="807"/>
    </row>
    <row r="515" spans="1:14">
      <c r="A515" s="1285"/>
      <c r="B515" s="1286"/>
      <c r="C515" s="1287"/>
      <c r="D515" s="1287"/>
      <c r="E515" s="1288"/>
      <c r="F515" s="1288"/>
      <c r="G515" s="1287"/>
      <c r="H515" s="1287"/>
    </row>
    <row r="517" spans="1:14" ht="15.75">
      <c r="A517" s="807"/>
      <c r="B517" s="807"/>
      <c r="C517" s="807"/>
      <c r="D517" s="807"/>
      <c r="E517" s="807"/>
      <c r="F517" s="1917" t="s">
        <v>4974</v>
      </c>
      <c r="G517" s="1917"/>
      <c r="H517" s="1917"/>
      <c r="I517" s="1289">
        <f>I508</f>
        <v>5.9022105544841326</v>
      </c>
      <c r="K517" s="1895" t="s">
        <v>4864</v>
      </c>
      <c r="L517" s="1895"/>
      <c r="M517" s="1895"/>
      <c r="N517" s="1895"/>
    </row>
    <row r="518" spans="1:14" ht="15.75">
      <c r="A518" s="1290"/>
      <c r="B518" s="1291"/>
      <c r="C518" s="1292"/>
      <c r="D518" s="1292"/>
      <c r="F518" s="1896" t="s">
        <v>4963</v>
      </c>
      <c r="G518" s="1896"/>
      <c r="H518" s="1896"/>
      <c r="I518" s="1293">
        <f>I514</f>
        <v>1.1044499999999999</v>
      </c>
      <c r="K518" s="994">
        <v>2</v>
      </c>
      <c r="L518" s="1897" t="s">
        <v>4865</v>
      </c>
      <c r="M518" s="1897"/>
      <c r="N518" s="1897"/>
    </row>
    <row r="519" spans="1:14">
      <c r="A519" s="807"/>
      <c r="B519" s="807"/>
      <c r="C519" s="807"/>
      <c r="D519" s="807"/>
      <c r="E519" s="807"/>
      <c r="F519" s="807"/>
      <c r="G519" s="807"/>
      <c r="H519" s="807"/>
      <c r="K519" s="994">
        <f>K518-1</f>
        <v>1</v>
      </c>
      <c r="L519" s="1897" t="s">
        <v>4866</v>
      </c>
      <c r="M519" s="1897"/>
      <c r="N519" s="1897"/>
    </row>
    <row r="522" spans="1:14">
      <c r="A522" s="1914" t="s">
        <v>5132</v>
      </c>
      <c r="B522" s="1914"/>
      <c r="C522" s="1914"/>
      <c r="D522" s="1914"/>
      <c r="E522" s="1914"/>
      <c r="F522" s="1914"/>
      <c r="G522" s="1914"/>
      <c r="H522" s="1914"/>
      <c r="I522" s="1914"/>
    </row>
    <row r="523" spans="1:14">
      <c r="A523" s="1209" t="s">
        <v>4918</v>
      </c>
      <c r="B523" s="1264">
        <v>0.3</v>
      </c>
      <c r="C523" s="1265">
        <f>0.4+0.15+0.05</f>
        <v>0.60000000000000009</v>
      </c>
      <c r="D523" s="1209" t="s">
        <v>4955</v>
      </c>
      <c r="E523" s="1264">
        <v>0</v>
      </c>
      <c r="F523" s="1265">
        <v>0</v>
      </c>
      <c r="G523" s="1266">
        <v>4</v>
      </c>
      <c r="H523" s="1267">
        <f>5.1-0.05</f>
        <v>5.05</v>
      </c>
      <c r="I523" s="1268"/>
      <c r="K523" s="892" t="s">
        <v>4867</v>
      </c>
      <c r="L523" s="892"/>
    </row>
    <row r="524" spans="1:14" ht="15.75" customHeight="1">
      <c r="A524" s="1209" t="s">
        <v>4850</v>
      </c>
      <c r="B524" s="1209" t="s">
        <v>4851</v>
      </c>
      <c r="C524" s="1209" t="s">
        <v>4874</v>
      </c>
      <c r="D524" s="1209" t="s">
        <v>4852</v>
      </c>
      <c r="E524" s="1209" t="s">
        <v>4875</v>
      </c>
      <c r="F524" s="1209" t="s">
        <v>4860</v>
      </c>
      <c r="G524" s="1209" t="s">
        <v>4956</v>
      </c>
      <c r="H524" s="1209" t="s">
        <v>4</v>
      </c>
      <c r="I524" s="1208" t="s">
        <v>4861</v>
      </c>
      <c r="K524" s="1208" t="s">
        <v>4850</v>
      </c>
      <c r="L524" s="1209" t="s">
        <v>4868</v>
      </c>
      <c r="M524" s="1209" t="s">
        <v>4869</v>
      </c>
    </row>
    <row r="525" spans="1:14" ht="15" customHeight="1">
      <c r="A525" s="1270">
        <v>0.375</v>
      </c>
      <c r="B525" s="1271" t="s">
        <v>4957</v>
      </c>
      <c r="C525" s="1272">
        <f>1.2*2</f>
        <v>2.4</v>
      </c>
      <c r="D525" s="1272">
        <v>0.1</v>
      </c>
      <c r="E525" s="1273">
        <f>(ROUND((C525/D525),0))+1</f>
        <v>25</v>
      </c>
      <c r="F525" s="1273">
        <f t="shared" ref="F525:F530" si="60">+ROUND((PI()*(A525*0.0254)^2)/4*7.85*1000*2.2046,2)</f>
        <v>1.23</v>
      </c>
      <c r="G525" s="1272">
        <f>ROUND((2*(12*($A525*0.0254)+$B523-0.025-0.025+$C523-0.025-0.025)),2)</f>
        <v>1.83</v>
      </c>
      <c r="H525" s="1274">
        <f t="shared" ref="H525:H530" si="61">+((E525*F525*G525)/100)*1.07</f>
        <v>0.60211575000000006</v>
      </c>
      <c r="I525" s="1919">
        <f>SUM(H525:H530)/I531</f>
        <v>5.5848055555555547</v>
      </c>
      <c r="K525" s="1210">
        <v>0.375</v>
      </c>
      <c r="L525" s="1211">
        <f>(3/8)*0.0254*50</f>
        <v>0.47624999999999995</v>
      </c>
      <c r="M525" s="1212">
        <f>(3/8)*0.0254</f>
        <v>9.5249999999999987E-3</v>
      </c>
    </row>
    <row r="526" spans="1:14" ht="15" customHeight="1">
      <c r="A526" s="1275">
        <v>0.375</v>
      </c>
      <c r="B526" s="1276" t="s">
        <v>4958</v>
      </c>
      <c r="C526" s="1277">
        <v>0.75</v>
      </c>
      <c r="D526" s="1277">
        <v>0.2</v>
      </c>
      <c r="E526" s="1278">
        <f>(ROUND((C526/D526),0))+1</f>
        <v>5</v>
      </c>
      <c r="F526" s="1278">
        <f t="shared" si="60"/>
        <v>1.23</v>
      </c>
      <c r="G526" s="1277">
        <f>ROUND((2*(12*($A526*0.0254)+$B523-0.025-0.025+$C523-0.025-0.025)),2)</f>
        <v>1.83</v>
      </c>
      <c r="H526" s="1274">
        <f t="shared" si="61"/>
        <v>0.12042315000000003</v>
      </c>
      <c r="I526" s="1920"/>
      <c r="K526" s="1210">
        <v>0.5</v>
      </c>
      <c r="L526" s="1211">
        <f>1/2*0.0254*50</f>
        <v>0.63500000000000001</v>
      </c>
      <c r="M526" s="1212">
        <f>(1/2)*0.0254</f>
        <v>1.2699999999999999E-2</v>
      </c>
    </row>
    <row r="527" spans="1:14" ht="15" customHeight="1">
      <c r="A527" s="1275">
        <v>0.75</v>
      </c>
      <c r="B527" s="1279" t="s">
        <v>4959</v>
      </c>
      <c r="C527" s="1277">
        <f>H523</f>
        <v>5.05</v>
      </c>
      <c r="D527" s="1277"/>
      <c r="E527" s="1278">
        <v>3</v>
      </c>
      <c r="F527" s="1278">
        <f t="shared" si="60"/>
        <v>4.93</v>
      </c>
      <c r="G527" s="1277">
        <f>+C527+2*0.35</f>
        <v>5.75</v>
      </c>
      <c r="H527" s="1274">
        <f t="shared" si="61"/>
        <v>0.90995474999999992</v>
      </c>
      <c r="I527" s="1920"/>
      <c r="K527" s="1210">
        <v>0.75</v>
      </c>
      <c r="L527" s="1211">
        <f>3/4*0.0254*50</f>
        <v>0.9524999999999999</v>
      </c>
      <c r="M527" s="1212">
        <f>(3/4)*0.0254</f>
        <v>1.9049999999999997E-2</v>
      </c>
    </row>
    <row r="528" spans="1:14" ht="15" customHeight="1">
      <c r="A528" s="1275"/>
      <c r="B528" s="1279"/>
      <c r="C528" s="1277"/>
      <c r="E528" s="1278"/>
      <c r="F528" s="1278"/>
      <c r="G528" s="1277"/>
      <c r="H528" s="1274"/>
      <c r="I528" s="1920"/>
      <c r="K528" s="994" t="s">
        <v>4870</v>
      </c>
      <c r="L528" s="1211">
        <f>1*0.0254*50</f>
        <v>1.27</v>
      </c>
      <c r="M528" s="1212">
        <f>1*0.0254</f>
        <v>2.5399999999999999E-2</v>
      </c>
    </row>
    <row r="529" spans="1:14" ht="15" customHeight="1">
      <c r="A529" s="1275">
        <v>0.5</v>
      </c>
      <c r="B529" s="1279" t="s">
        <v>4975</v>
      </c>
      <c r="C529" s="1277">
        <f>C527</f>
        <v>5.05</v>
      </c>
      <c r="D529" s="1277"/>
      <c r="E529" s="1278">
        <v>4</v>
      </c>
      <c r="F529" s="1278">
        <f t="shared" si="60"/>
        <v>2.19</v>
      </c>
      <c r="G529" s="1277">
        <f>C529</f>
        <v>5.05</v>
      </c>
      <c r="H529" s="1274">
        <f t="shared" si="61"/>
        <v>0.47334660000000001</v>
      </c>
      <c r="I529" s="1920"/>
      <c r="M529" s="807"/>
    </row>
    <row r="530" spans="1:14" ht="15" customHeight="1">
      <c r="A530" s="1280">
        <v>0.75</v>
      </c>
      <c r="B530" s="1281" t="s">
        <v>4961</v>
      </c>
      <c r="C530" s="1282">
        <f>H523</f>
        <v>5.05</v>
      </c>
      <c r="D530" s="1282"/>
      <c r="E530" s="1283">
        <v>3</v>
      </c>
      <c r="F530" s="1283">
        <f t="shared" si="60"/>
        <v>4.93</v>
      </c>
      <c r="G530" s="1282">
        <f>+C530+2*0.35</f>
        <v>5.75</v>
      </c>
      <c r="H530" s="1284">
        <f t="shared" si="61"/>
        <v>0.90995474999999992</v>
      </c>
      <c r="I530" s="1920"/>
      <c r="M530" s="807"/>
    </row>
    <row r="531" spans="1:14" ht="15" customHeight="1">
      <c r="I531" s="1289">
        <f>4.5*0.4*B523</f>
        <v>0.54</v>
      </c>
      <c r="J531" s="728">
        <f>4.8+0.2</f>
        <v>5</v>
      </c>
      <c r="M531" s="807"/>
    </row>
    <row r="532" spans="1:14">
      <c r="A532" s="1285"/>
      <c r="B532" s="1286"/>
      <c r="C532" s="1287"/>
      <c r="D532" s="1287"/>
      <c r="E532" s="1288"/>
      <c r="F532" s="1288"/>
      <c r="G532" s="1287"/>
      <c r="H532" s="1287"/>
    </row>
    <row r="534" spans="1:14" ht="15.75">
      <c r="A534" s="807"/>
      <c r="B534" s="807"/>
      <c r="C534" s="807"/>
      <c r="D534" s="807"/>
      <c r="E534" s="807"/>
      <c r="F534" s="1917" t="s">
        <v>4976</v>
      </c>
      <c r="G534" s="1917"/>
      <c r="H534" s="1917"/>
      <c r="I534" s="1289">
        <f>I525</f>
        <v>5.5848055555555547</v>
      </c>
      <c r="K534" s="1895" t="s">
        <v>4864</v>
      </c>
      <c r="L534" s="1895"/>
      <c r="M534" s="1895"/>
      <c r="N534" s="1895"/>
    </row>
    <row r="535" spans="1:14" ht="15.75">
      <c r="A535" s="1290"/>
      <c r="B535" s="1291"/>
      <c r="C535" s="1292"/>
      <c r="D535" s="1292"/>
      <c r="F535" s="1896" t="s">
        <v>4963</v>
      </c>
      <c r="G535" s="1896"/>
      <c r="H535" s="1896"/>
      <c r="I535" s="1293">
        <f>I531*G523</f>
        <v>2.16</v>
      </c>
      <c r="K535" s="994">
        <v>2</v>
      </c>
      <c r="L535" s="1897" t="s">
        <v>4865</v>
      </c>
      <c r="M535" s="1897"/>
      <c r="N535" s="1897"/>
    </row>
    <row r="536" spans="1:14" ht="15.75">
      <c r="A536" s="807"/>
      <c r="B536" s="807"/>
      <c r="C536" s="807"/>
      <c r="D536" s="807"/>
      <c r="E536" s="807"/>
      <c r="F536" s="807"/>
      <c r="G536" s="807"/>
      <c r="H536" s="807"/>
      <c r="I536" s="1251"/>
      <c r="K536" s="994">
        <v>0</v>
      </c>
      <c r="L536" s="1897" t="s">
        <v>4866</v>
      </c>
      <c r="M536" s="1897"/>
      <c r="N536" s="1897"/>
    </row>
    <row r="538" spans="1:14">
      <c r="A538" s="1914" t="s">
        <v>5133</v>
      </c>
      <c r="B538" s="1914"/>
      <c r="C538" s="1914"/>
      <c r="D538" s="1914"/>
      <c r="E538" s="1914"/>
      <c r="F538" s="1914"/>
      <c r="G538" s="1914"/>
      <c r="H538" s="1914"/>
      <c r="I538" s="1914"/>
    </row>
    <row r="539" spans="1:14">
      <c r="A539" s="1209" t="s">
        <v>4918</v>
      </c>
      <c r="B539" s="1264">
        <v>0.3</v>
      </c>
      <c r="C539" s="1265">
        <f>0.4+0.15+0.05</f>
        <v>0.60000000000000009</v>
      </c>
      <c r="D539" s="1209" t="s">
        <v>4955</v>
      </c>
      <c r="E539" s="1264">
        <v>0</v>
      </c>
      <c r="F539" s="1265">
        <v>0</v>
      </c>
      <c r="G539" s="1266">
        <v>4</v>
      </c>
      <c r="H539" s="1267">
        <f>8.68-0.05</f>
        <v>8.629999999999999</v>
      </c>
      <c r="I539" s="1268"/>
      <c r="K539" s="892" t="s">
        <v>4867</v>
      </c>
      <c r="L539" s="892"/>
    </row>
    <row r="540" spans="1:14">
      <c r="A540" s="1209" t="s">
        <v>4850</v>
      </c>
      <c r="B540" s="1209" t="s">
        <v>4851</v>
      </c>
      <c r="C540" s="1209" t="s">
        <v>4874</v>
      </c>
      <c r="D540" s="1209" t="s">
        <v>4852</v>
      </c>
      <c r="E540" s="1209" t="s">
        <v>4875</v>
      </c>
      <c r="F540" s="1209" t="s">
        <v>4860</v>
      </c>
      <c r="G540" s="1209" t="s">
        <v>4956</v>
      </c>
      <c r="H540" s="1209" t="s">
        <v>4</v>
      </c>
      <c r="I540" s="1208" t="s">
        <v>4861</v>
      </c>
      <c r="K540" s="1208" t="s">
        <v>4850</v>
      </c>
      <c r="L540" s="1209" t="s">
        <v>4868</v>
      </c>
      <c r="M540" s="1209" t="s">
        <v>4869</v>
      </c>
    </row>
    <row r="541" spans="1:14">
      <c r="A541" s="1270">
        <v>0.375</v>
      </c>
      <c r="B541" s="1271" t="s">
        <v>4957</v>
      </c>
      <c r="C541" s="1272">
        <f>1.7*2</f>
        <v>3.4</v>
      </c>
      <c r="D541" s="1272">
        <v>0.1</v>
      </c>
      <c r="E541" s="1273">
        <f>(ROUND((C541/D541),0))+1</f>
        <v>35</v>
      </c>
      <c r="F541" s="1273">
        <f t="shared" ref="F541:F547" si="62">+ROUND((PI()*(A541*0.0254)^2)/4*7.85*1000*2.2046,2)</f>
        <v>1.23</v>
      </c>
      <c r="G541" s="1272">
        <f>ROUND((2*(12*($A541*0.0254)+$B539-0.025-0.025+$C539-0.025-0.025)),2)</f>
        <v>1.83</v>
      </c>
      <c r="H541" s="1274">
        <f t="shared" ref="H541:H547" si="63">+((E541*F541*G541)/100)*1.07</f>
        <v>0.84296205000000002</v>
      </c>
      <c r="I541" s="1919">
        <f>SUM(H541:H547)/I548</f>
        <v>6.6853391227011487</v>
      </c>
      <c r="K541" s="1210">
        <v>0.375</v>
      </c>
      <c r="L541" s="1211">
        <f>(3/8)*0.0254*50</f>
        <v>0.47624999999999995</v>
      </c>
      <c r="M541" s="1212">
        <f>(3/8)*0.0254</f>
        <v>9.5249999999999987E-3</v>
      </c>
    </row>
    <row r="542" spans="1:14">
      <c r="A542" s="1275">
        <v>0.375</v>
      </c>
      <c r="B542" s="1276" t="s">
        <v>4958</v>
      </c>
      <c r="C542" s="1277">
        <v>3.36</v>
      </c>
      <c r="D542" s="1277">
        <v>0.2</v>
      </c>
      <c r="E542" s="1278">
        <f>(ROUND((C542/D542),0))+1</f>
        <v>18</v>
      </c>
      <c r="F542" s="1278">
        <f t="shared" si="62"/>
        <v>1.23</v>
      </c>
      <c r="G542" s="1277">
        <f>ROUND((2*(12*($A542*0.0254)+$B539-0.025-0.025+$C539-0.025-0.025)),2)</f>
        <v>1.83</v>
      </c>
      <c r="H542" s="1274">
        <f t="shared" si="63"/>
        <v>0.43352334000000003</v>
      </c>
      <c r="I542" s="1920"/>
      <c r="K542" s="1210">
        <v>0.5</v>
      </c>
      <c r="L542" s="1211">
        <f>1/2*0.0254*50</f>
        <v>0.63500000000000001</v>
      </c>
      <c r="M542" s="1212">
        <f>(1/2)*0.0254</f>
        <v>1.2699999999999999E-2</v>
      </c>
    </row>
    <row r="543" spans="1:14">
      <c r="A543" s="1275">
        <v>0.75</v>
      </c>
      <c r="B543" s="1279" t="s">
        <v>4959</v>
      </c>
      <c r="C543" s="1277">
        <f>H539</f>
        <v>8.629999999999999</v>
      </c>
      <c r="D543" s="1277"/>
      <c r="E543" s="1278">
        <v>4</v>
      </c>
      <c r="F543" s="1278">
        <f t="shared" si="62"/>
        <v>4.93</v>
      </c>
      <c r="G543" s="1277">
        <f>+C543+2*0.35+(K553*L543)</f>
        <v>10.282499999999999</v>
      </c>
      <c r="H543" s="1274">
        <f t="shared" si="63"/>
        <v>2.1696486299999997</v>
      </c>
      <c r="I543" s="1920"/>
      <c r="K543" s="1210">
        <v>0.75</v>
      </c>
      <c r="L543" s="1211">
        <f>3/4*0.0254*50</f>
        <v>0.9524999999999999</v>
      </c>
      <c r="M543" s="1212">
        <f>(3/4)*0.0254</f>
        <v>1.9049999999999997E-2</v>
      </c>
    </row>
    <row r="544" spans="1:14">
      <c r="A544" s="1275">
        <v>0.5</v>
      </c>
      <c r="B544" s="1279" t="s">
        <v>4960</v>
      </c>
      <c r="C544" s="1277">
        <f>C543</f>
        <v>8.629999999999999</v>
      </c>
      <c r="E544" s="1278">
        <v>4</v>
      </c>
      <c r="F544" s="1278">
        <f t="shared" si="62"/>
        <v>2.19</v>
      </c>
      <c r="G544" s="1277">
        <f>+C544+(K553*L542)</f>
        <v>9.2649999999999988</v>
      </c>
      <c r="H544" s="1274">
        <f t="shared" si="63"/>
        <v>0.86842697999999985</v>
      </c>
      <c r="I544" s="1920"/>
      <c r="K544" s="994" t="s">
        <v>4870</v>
      </c>
      <c r="L544" s="1211">
        <f>1*0.0254*50</f>
        <v>1.27</v>
      </c>
      <c r="M544" s="1212">
        <f>1*0.0254</f>
        <v>2.5399999999999999E-2</v>
      </c>
    </row>
    <row r="545" spans="1:14">
      <c r="A545" s="1275">
        <v>0.75</v>
      </c>
      <c r="B545" s="1279" t="s">
        <v>4965</v>
      </c>
      <c r="C545" s="1277">
        <f>1.7+1</f>
        <v>2.7</v>
      </c>
      <c r="D545" s="1277"/>
      <c r="E545" s="1278">
        <v>3</v>
      </c>
      <c r="F545" s="1278">
        <f t="shared" si="62"/>
        <v>4.93</v>
      </c>
      <c r="G545" s="1277">
        <f>C545+(1*12*M543)+1*0.35</f>
        <v>3.2786000000000004</v>
      </c>
      <c r="H545" s="1274">
        <f t="shared" si="63"/>
        <v>0.51884828580000009</v>
      </c>
      <c r="I545" s="1920"/>
      <c r="M545" s="807"/>
    </row>
    <row r="546" spans="1:14">
      <c r="A546" s="1275">
        <v>0.75</v>
      </c>
      <c r="B546" s="1279" t="s">
        <v>4965</v>
      </c>
      <c r="C546" s="1277">
        <f>1.7+1</f>
        <v>2.7</v>
      </c>
      <c r="D546" s="1277"/>
      <c r="E546" s="1278">
        <v>3</v>
      </c>
      <c r="F546" s="1278">
        <f t="shared" si="62"/>
        <v>4.93</v>
      </c>
      <c r="G546" s="1277">
        <f>C546+(1*12*M543)+1*0.35</f>
        <v>3.2786000000000004</v>
      </c>
      <c r="H546" s="1274">
        <f t="shared" si="63"/>
        <v>0.51884828580000009</v>
      </c>
      <c r="I546" s="1920"/>
      <c r="M546" s="807"/>
    </row>
    <row r="547" spans="1:14">
      <c r="A547" s="1280">
        <v>0.75</v>
      </c>
      <c r="B547" s="1281" t="s">
        <v>4961</v>
      </c>
      <c r="C547" s="1282">
        <f>H539</f>
        <v>8.629999999999999</v>
      </c>
      <c r="D547" s="1282"/>
      <c r="E547" s="1283">
        <v>3</v>
      </c>
      <c r="F547" s="1283">
        <f t="shared" si="62"/>
        <v>4.93</v>
      </c>
      <c r="G547" s="1282">
        <f>+C547+2*0.35+K553*L543</f>
        <v>10.282499999999999</v>
      </c>
      <c r="H547" s="1284">
        <f t="shared" si="63"/>
        <v>1.6272364724999999</v>
      </c>
      <c r="I547" s="1920"/>
      <c r="M547" s="807"/>
    </row>
    <row r="548" spans="1:14" ht="15.75">
      <c r="I548" s="1289">
        <f>8.7*B539*0.4</f>
        <v>1.044</v>
      </c>
      <c r="J548" s="728">
        <v>8.6999999999999993</v>
      </c>
      <c r="M548" s="807"/>
    </row>
    <row r="549" spans="1:14">
      <c r="A549" s="1285"/>
      <c r="B549" s="1286"/>
      <c r="C549" s="1287"/>
      <c r="D549" s="1287"/>
      <c r="E549" s="1288"/>
      <c r="F549" s="1288"/>
      <c r="G549" s="1287"/>
      <c r="H549" s="1287"/>
    </row>
    <row r="551" spans="1:14" ht="15.75">
      <c r="A551" s="807"/>
      <c r="B551" s="807"/>
      <c r="C551" s="807"/>
      <c r="D551" s="807"/>
      <c r="E551" s="807"/>
      <c r="F551" s="1917" t="s">
        <v>4977</v>
      </c>
      <c r="G551" s="1917"/>
      <c r="H551" s="1917"/>
      <c r="I551" s="1289">
        <f>I541</f>
        <v>6.6853391227011487</v>
      </c>
      <c r="K551" s="1895" t="s">
        <v>4864</v>
      </c>
      <c r="L551" s="1895"/>
      <c r="M551" s="1895"/>
      <c r="N551" s="1895"/>
    </row>
    <row r="552" spans="1:14" ht="15.75">
      <c r="A552" s="1290"/>
      <c r="B552" s="1291"/>
      <c r="C552" s="1292"/>
      <c r="D552" s="1292"/>
      <c r="F552" s="1896" t="s">
        <v>4963</v>
      </c>
      <c r="G552" s="1896"/>
      <c r="H552" s="1896"/>
      <c r="I552" s="1293">
        <f>G539*I548</f>
        <v>4.1760000000000002</v>
      </c>
      <c r="K552" s="994">
        <v>2</v>
      </c>
      <c r="L552" s="1897" t="s">
        <v>4865</v>
      </c>
      <c r="M552" s="1897"/>
      <c r="N552" s="1897"/>
    </row>
    <row r="553" spans="1:14" ht="15.75">
      <c r="A553" s="807"/>
      <c r="B553" s="807"/>
      <c r="C553" s="807"/>
      <c r="D553" s="807"/>
      <c r="E553" s="807"/>
      <c r="F553" s="807"/>
      <c r="G553" s="807"/>
      <c r="H553" s="807"/>
      <c r="I553" s="1251"/>
      <c r="K553" s="994">
        <f>K552-1</f>
        <v>1</v>
      </c>
      <c r="L553" s="1897" t="s">
        <v>4866</v>
      </c>
      <c r="M553" s="1897"/>
      <c r="N553" s="1897"/>
    </row>
    <row r="555" spans="1:14">
      <c r="A555" s="1914" t="s">
        <v>5208</v>
      </c>
      <c r="B555" s="1914"/>
      <c r="C555" s="1914"/>
      <c r="D555" s="1914"/>
      <c r="E555" s="1914"/>
      <c r="F555" s="1914"/>
      <c r="G555" s="1914"/>
      <c r="H555" s="1914"/>
      <c r="I555" s="1914"/>
    </row>
    <row r="556" spans="1:14">
      <c r="A556" s="1209" t="s">
        <v>4918</v>
      </c>
      <c r="B556" s="1264">
        <v>0.2</v>
      </c>
      <c r="C556" s="1265">
        <f>0.35+0.15+0.05</f>
        <v>0.55000000000000004</v>
      </c>
      <c r="D556" s="1209" t="s">
        <v>4955</v>
      </c>
      <c r="E556" s="1264">
        <v>0</v>
      </c>
      <c r="F556" s="1265">
        <v>0</v>
      </c>
      <c r="G556" s="1266">
        <v>1</v>
      </c>
      <c r="H556" s="1267">
        <f>8.11+0.2-0.05</f>
        <v>8.259999999999998</v>
      </c>
      <c r="I556" s="1268"/>
      <c r="K556" s="892" t="s">
        <v>4867</v>
      </c>
      <c r="L556" s="892"/>
    </row>
    <row r="557" spans="1:14">
      <c r="A557" s="1209" t="s">
        <v>4850</v>
      </c>
      <c r="B557" s="1209" t="s">
        <v>4851</v>
      </c>
      <c r="C557" s="1209" t="s">
        <v>4874</v>
      </c>
      <c r="D557" s="1209" t="s">
        <v>4852</v>
      </c>
      <c r="E557" s="1209" t="s">
        <v>4875</v>
      </c>
      <c r="F557" s="1209" t="s">
        <v>4860</v>
      </c>
      <c r="G557" s="1209" t="s">
        <v>4956</v>
      </c>
      <c r="H557" s="1209" t="s">
        <v>4</v>
      </c>
      <c r="I557" s="1208" t="s">
        <v>4861</v>
      </c>
      <c r="K557" s="1208" t="s">
        <v>4850</v>
      </c>
      <c r="L557" s="1209" t="s">
        <v>4868</v>
      </c>
      <c r="M557" s="1209" t="s">
        <v>4869</v>
      </c>
    </row>
    <row r="558" spans="1:14">
      <c r="A558" s="1270">
        <v>0.375</v>
      </c>
      <c r="B558" s="1271" t="s">
        <v>4957</v>
      </c>
      <c r="C558" s="1272">
        <f>2+1</f>
        <v>3</v>
      </c>
      <c r="D558" s="1272">
        <v>0.1</v>
      </c>
      <c r="E558" s="1273">
        <f>(ROUND((C558/D558),0))+1</f>
        <v>31</v>
      </c>
      <c r="F558" s="1273">
        <f t="shared" ref="F558:F564" si="64">+ROUND((PI()*(A558*0.0254)^2)/4*7.85*1000*2.2046,2)</f>
        <v>1.23</v>
      </c>
      <c r="G558" s="1272">
        <f>ROUND((2*(12*($A558*0.0254)+$B556-0.025-0.025+$C556-0.025-0.025)),2)</f>
        <v>1.53</v>
      </c>
      <c r="H558" s="1274">
        <f t="shared" ref="H558:H564" si="65">+((E558*F558*G558)/100)*1.07</f>
        <v>0.6242262300000001</v>
      </c>
      <c r="I558" s="1935">
        <f>SUM(H558:H564)/I565</f>
        <v>5.1255536972899716</v>
      </c>
      <c r="K558" s="1210">
        <v>0.375</v>
      </c>
      <c r="L558" s="1211">
        <f>(3/8)*0.0254*50</f>
        <v>0.47624999999999995</v>
      </c>
      <c r="M558" s="1212">
        <f>(3/8)*0.0254</f>
        <v>9.5249999999999987E-3</v>
      </c>
    </row>
    <row r="559" spans="1:14">
      <c r="A559" s="1275">
        <v>0.375</v>
      </c>
      <c r="B559" s="1276" t="s">
        <v>4958</v>
      </c>
      <c r="C559" s="1277">
        <v>4.8099999999999996</v>
      </c>
      <c r="D559" s="1277">
        <v>0.2</v>
      </c>
      <c r="E559" s="1278">
        <f>(ROUND((C559/D559),0))+1</f>
        <v>25</v>
      </c>
      <c r="F559" s="1278">
        <f t="shared" si="64"/>
        <v>1.23</v>
      </c>
      <c r="G559" s="1277">
        <f>ROUND((2*(12*($A559*0.0254)+$B556-0.025-0.025+$C556-0.025-0.025)),2)</f>
        <v>1.53</v>
      </c>
      <c r="H559" s="1274">
        <f t="shared" si="65"/>
        <v>0.50340825</v>
      </c>
      <c r="I559" s="1936"/>
      <c r="K559" s="1210">
        <v>0.5</v>
      </c>
      <c r="L559" s="1211">
        <f>1/2*0.0254*50</f>
        <v>0.63500000000000001</v>
      </c>
      <c r="M559" s="1212">
        <f>(1/2)*0.0254</f>
        <v>1.2699999999999999E-2</v>
      </c>
    </row>
    <row r="560" spans="1:14">
      <c r="A560" s="1275">
        <v>0.75</v>
      </c>
      <c r="B560" s="1279" t="s">
        <v>4959</v>
      </c>
      <c r="C560" s="1277">
        <f>H556</f>
        <v>8.259999999999998</v>
      </c>
      <c r="D560" s="1277"/>
      <c r="E560" s="1278">
        <v>2</v>
      </c>
      <c r="F560" s="1278">
        <f t="shared" si="64"/>
        <v>4.93</v>
      </c>
      <c r="G560" s="1277">
        <f>+C560+2*0.35+(K569*L560)</f>
        <v>9.9124999999999979</v>
      </c>
      <c r="H560" s="1274">
        <f t="shared" si="65"/>
        <v>1.0457885749999998</v>
      </c>
      <c r="I560" s="1936"/>
      <c r="K560" s="1210">
        <v>0.75</v>
      </c>
      <c r="L560" s="1211">
        <f>3/4*0.0254*50</f>
        <v>0.9524999999999999</v>
      </c>
      <c r="M560" s="1212">
        <f>(3/4)*0.0254</f>
        <v>1.9049999999999997E-2</v>
      </c>
    </row>
    <row r="561" spans="1:14">
      <c r="A561" s="1275"/>
      <c r="B561" s="1279"/>
      <c r="C561" s="1277"/>
      <c r="D561" s="1277"/>
      <c r="E561" s="1278"/>
      <c r="F561" s="1278"/>
      <c r="G561" s="1277"/>
      <c r="H561" s="1274"/>
      <c r="I561" s="1936"/>
      <c r="K561" s="994" t="s">
        <v>4870</v>
      </c>
      <c r="L561" s="1211">
        <f>1*0.0254*50</f>
        <v>1.27</v>
      </c>
      <c r="M561" s="1212">
        <f>1*0.0254</f>
        <v>2.5399999999999999E-2</v>
      </c>
    </row>
    <row r="562" spans="1:14">
      <c r="A562" s="1275">
        <v>0.5</v>
      </c>
      <c r="B562" s="1279" t="s">
        <v>4960</v>
      </c>
      <c r="C562" s="1277">
        <f>H556</f>
        <v>8.259999999999998</v>
      </c>
      <c r="D562" s="1277"/>
      <c r="E562" s="1278">
        <v>2</v>
      </c>
      <c r="F562" s="1278">
        <f t="shared" si="64"/>
        <v>2.19</v>
      </c>
      <c r="G562" s="1277">
        <f>+C562+(K569*L559)</f>
        <v>8.8949999999999978</v>
      </c>
      <c r="H562" s="1274">
        <f t="shared" si="65"/>
        <v>0.41687306999999996</v>
      </c>
      <c r="I562" s="1936"/>
    </row>
    <row r="563" spans="1:14">
      <c r="A563" s="1275">
        <v>0.75</v>
      </c>
      <c r="B563" s="1279" t="s">
        <v>4965</v>
      </c>
      <c r="C563" s="1277">
        <f>2+0.2</f>
        <v>2.2000000000000002</v>
      </c>
      <c r="D563" s="1277"/>
      <c r="E563" s="1278">
        <v>1</v>
      </c>
      <c r="F563" s="1278">
        <f t="shared" si="64"/>
        <v>4.93</v>
      </c>
      <c r="G563" s="1277">
        <f>C563+(1*12*M560)+1*0.35</f>
        <v>2.7786000000000004</v>
      </c>
      <c r="H563" s="1274">
        <f t="shared" si="65"/>
        <v>0.14657392860000001</v>
      </c>
      <c r="I563" s="1936"/>
      <c r="M563" s="807"/>
    </row>
    <row r="564" spans="1:14">
      <c r="A564" s="1280">
        <v>0.75</v>
      </c>
      <c r="B564" s="1281" t="s">
        <v>4961</v>
      </c>
      <c r="C564" s="1282">
        <f>H556</f>
        <v>8.259999999999998</v>
      </c>
      <c r="D564" s="1282"/>
      <c r="E564" s="1283">
        <v>2</v>
      </c>
      <c r="F564" s="1283">
        <f t="shared" si="64"/>
        <v>4.93</v>
      </c>
      <c r="G564" s="1282">
        <f>+C564+2*0.35+K569*L560</f>
        <v>9.9124999999999979</v>
      </c>
      <c r="H564" s="1284">
        <f t="shared" si="65"/>
        <v>1.0457885749999998</v>
      </c>
      <c r="I564" s="1936"/>
      <c r="M564" s="807"/>
    </row>
    <row r="565" spans="1:14" ht="15.75">
      <c r="I565" s="1289">
        <f>B556*7.38*0.5</f>
        <v>0.73799999999999999</v>
      </c>
      <c r="M565" s="807"/>
    </row>
    <row r="566" spans="1:14">
      <c r="A566" s="1285"/>
      <c r="B566" s="1286"/>
      <c r="C566" s="1287"/>
      <c r="D566" s="1287"/>
      <c r="E566" s="1288"/>
      <c r="F566" s="1288"/>
      <c r="G566" s="1287"/>
      <c r="H566" s="1287"/>
    </row>
    <row r="567" spans="1:14" ht="15.75">
      <c r="A567" s="807"/>
      <c r="B567" s="807"/>
      <c r="C567" s="807"/>
      <c r="D567" s="807"/>
      <c r="E567" s="807"/>
      <c r="F567" s="1917" t="s">
        <v>4978</v>
      </c>
      <c r="G567" s="1917"/>
      <c r="H567" s="1917"/>
      <c r="I567" s="1289">
        <f>I558</f>
        <v>5.1255536972899716</v>
      </c>
      <c r="K567" s="1895" t="s">
        <v>4864</v>
      </c>
      <c r="L567" s="1895"/>
      <c r="M567" s="1895"/>
      <c r="N567" s="1895"/>
    </row>
    <row r="568" spans="1:14" ht="15.75">
      <c r="A568" s="1290"/>
      <c r="B568" s="1291"/>
      <c r="C568" s="1292"/>
      <c r="D568" s="1292"/>
      <c r="F568" s="1896" t="s">
        <v>4963</v>
      </c>
      <c r="G568" s="1896"/>
      <c r="H568" s="1896"/>
      <c r="I568" s="1293">
        <f>G556*I565</f>
        <v>0.73799999999999999</v>
      </c>
      <c r="K568" s="994">
        <v>2</v>
      </c>
      <c r="L568" s="1897" t="s">
        <v>4865</v>
      </c>
      <c r="M568" s="1897"/>
      <c r="N568" s="1897"/>
    </row>
    <row r="569" spans="1:14">
      <c r="A569" s="807"/>
      <c r="B569" s="807"/>
      <c r="C569" s="807"/>
      <c r="D569" s="807"/>
      <c r="E569" s="807"/>
      <c r="F569" s="807"/>
      <c r="G569" s="807"/>
      <c r="H569" s="807"/>
      <c r="K569" s="994">
        <f>K568-1</f>
        <v>1</v>
      </c>
      <c r="L569" s="1897" t="s">
        <v>4866</v>
      </c>
      <c r="M569" s="1897"/>
      <c r="N569" s="1897"/>
    </row>
    <row r="572" spans="1:14">
      <c r="A572" s="1914" t="s">
        <v>5207</v>
      </c>
      <c r="B572" s="1914"/>
      <c r="C572" s="1914"/>
      <c r="D572" s="1914"/>
      <c r="E572" s="1914"/>
      <c r="F572" s="1914"/>
      <c r="G572" s="1914"/>
      <c r="H572" s="1914"/>
      <c r="I572" s="1914"/>
    </row>
    <row r="573" spans="1:14">
      <c r="A573" s="1209" t="s">
        <v>4918</v>
      </c>
      <c r="B573" s="1264">
        <v>0.2</v>
      </c>
      <c r="C573" s="1265">
        <f>0.35+0.15+0.05</f>
        <v>0.55000000000000004</v>
      </c>
      <c r="D573" s="1209" t="s">
        <v>4955</v>
      </c>
      <c r="E573" s="1264">
        <v>0</v>
      </c>
      <c r="F573" s="1265">
        <v>0</v>
      </c>
      <c r="G573" s="1266">
        <v>1</v>
      </c>
      <c r="H573" s="1267">
        <f>8.11+0.2-0.05</f>
        <v>8.259999999999998</v>
      </c>
      <c r="I573" s="1470"/>
      <c r="K573" s="892" t="s">
        <v>4867</v>
      </c>
      <c r="L573" s="892"/>
    </row>
    <row r="574" spans="1:14">
      <c r="A574" s="1209" t="s">
        <v>4850</v>
      </c>
      <c r="B574" s="1209" t="s">
        <v>4851</v>
      </c>
      <c r="C574" s="1209" t="s">
        <v>4874</v>
      </c>
      <c r="D574" s="1209" t="s">
        <v>4852</v>
      </c>
      <c r="E574" s="1209" t="s">
        <v>4875</v>
      </c>
      <c r="F574" s="1209" t="s">
        <v>4860</v>
      </c>
      <c r="G574" s="1209" t="s">
        <v>4956</v>
      </c>
      <c r="H574" s="1209" t="s">
        <v>4</v>
      </c>
      <c r="I574" s="1208" t="s">
        <v>4861</v>
      </c>
      <c r="K574" s="1208" t="s">
        <v>4850</v>
      </c>
      <c r="L574" s="1209" t="s">
        <v>4868</v>
      </c>
      <c r="M574" s="1209" t="s">
        <v>4869</v>
      </c>
    </row>
    <row r="575" spans="1:14">
      <c r="A575" s="1270">
        <v>0.375</v>
      </c>
      <c r="B575" s="1271" t="s">
        <v>4957</v>
      </c>
      <c r="C575" s="1272">
        <f>2+1</f>
        <v>3</v>
      </c>
      <c r="D575" s="1272">
        <v>0.1</v>
      </c>
      <c r="E575" s="1273">
        <f>(ROUND((C575/D575),0))+1</f>
        <v>31</v>
      </c>
      <c r="F575" s="1273">
        <f t="shared" ref="F575:F577" si="66">+ROUND((PI()*(A575*0.0254)^2)/4*7.85*1000*2.2046,2)</f>
        <v>1.23</v>
      </c>
      <c r="G575" s="1272">
        <f>ROUND((2*(12*($A575*0.0254)+$B573-0.025-0.025+$C573-0.025-0.025)),2)</f>
        <v>1.53</v>
      </c>
      <c r="H575" s="1274">
        <f t="shared" ref="H575:H577" si="67">+((E575*F575*G575)/100)*1.07</f>
        <v>0.6242262300000001</v>
      </c>
      <c r="I575" s="1935">
        <f>SUM(H575:H581)/I582</f>
        <v>5.521323352211355</v>
      </c>
      <c r="K575" s="1210">
        <v>0.375</v>
      </c>
      <c r="L575" s="1211">
        <f>(3/8)*0.0254*50</f>
        <v>0.47624999999999995</v>
      </c>
      <c r="M575" s="1212">
        <f>(3/8)*0.0254</f>
        <v>9.5249999999999987E-3</v>
      </c>
    </row>
    <row r="576" spans="1:14">
      <c r="A576" s="1275">
        <v>0.375</v>
      </c>
      <c r="B576" s="1276" t="s">
        <v>4958</v>
      </c>
      <c r="C576" s="1277">
        <v>4.8099999999999996</v>
      </c>
      <c r="D576" s="1277">
        <v>0.2</v>
      </c>
      <c r="E576" s="1278">
        <f>(ROUND((C576/D576),0))+1</f>
        <v>25</v>
      </c>
      <c r="F576" s="1278">
        <f t="shared" si="66"/>
        <v>1.23</v>
      </c>
      <c r="G576" s="1277">
        <f>ROUND((2*(12*($A576*0.0254)+$B573-0.025-0.025+$C573-0.025-0.025)),2)</f>
        <v>1.53</v>
      </c>
      <c r="H576" s="1274">
        <f t="shared" si="67"/>
        <v>0.50340825</v>
      </c>
      <c r="I576" s="1936"/>
      <c r="K576" s="1210">
        <v>0.5</v>
      </c>
      <c r="L576" s="1211">
        <f>1/2*0.0254*50</f>
        <v>0.63500000000000001</v>
      </c>
      <c r="M576" s="1212">
        <f>(1/2)*0.0254</f>
        <v>1.2699999999999999E-2</v>
      </c>
    </row>
    <row r="577" spans="1:14">
      <c r="A577" s="1275">
        <v>0.75</v>
      </c>
      <c r="B577" s="1279" t="s">
        <v>4959</v>
      </c>
      <c r="C577" s="1277">
        <f>H573</f>
        <v>8.259999999999998</v>
      </c>
      <c r="D577" s="1277"/>
      <c r="E577" s="1278">
        <v>2</v>
      </c>
      <c r="F577" s="1278">
        <f t="shared" si="66"/>
        <v>4.93</v>
      </c>
      <c r="G577" s="1277">
        <f>+C577+2*0.35+(K586*L577)</f>
        <v>9.9124999999999979</v>
      </c>
      <c r="H577" s="1274">
        <f t="shared" si="67"/>
        <v>1.0457885749999998</v>
      </c>
      <c r="I577" s="1936"/>
      <c r="K577" s="1210">
        <v>0.75</v>
      </c>
      <c r="L577" s="1211">
        <f>3/4*0.0254*50</f>
        <v>0.9524999999999999</v>
      </c>
      <c r="M577" s="1212">
        <f>(3/4)*0.0254</f>
        <v>1.9049999999999997E-2</v>
      </c>
    </row>
    <row r="578" spans="1:14">
      <c r="A578" s="1275"/>
      <c r="B578" s="1279"/>
      <c r="C578" s="1277"/>
      <c r="D578" s="1277"/>
      <c r="E578" s="1278"/>
      <c r="F578" s="1278"/>
      <c r="G578" s="1277"/>
      <c r="H578" s="1274"/>
      <c r="I578" s="1936"/>
      <c r="K578" s="1469" t="s">
        <v>4870</v>
      </c>
      <c r="L578" s="1211">
        <f>1*0.0254*50</f>
        <v>1.27</v>
      </c>
      <c r="M578" s="1212">
        <f>1*0.0254</f>
        <v>2.5399999999999999E-2</v>
      </c>
    </row>
    <row r="579" spans="1:14">
      <c r="A579" s="1275">
        <v>0.5</v>
      </c>
      <c r="B579" s="1279" t="s">
        <v>4960</v>
      </c>
      <c r="C579" s="1277">
        <f>H573</f>
        <v>8.259999999999998</v>
      </c>
      <c r="D579" s="1277"/>
      <c r="E579" s="1278">
        <v>2</v>
      </c>
      <c r="F579" s="1278">
        <f t="shared" ref="F579:F581" si="68">+ROUND((PI()*(A579*0.0254)^2)/4*7.85*1000*2.2046,2)</f>
        <v>2.19</v>
      </c>
      <c r="G579" s="1277">
        <f>+C579+(K586*L576)</f>
        <v>8.8949999999999978</v>
      </c>
      <c r="H579" s="1274">
        <f t="shared" ref="H579:H581" si="69">+((E579*F579*G579)/100)*1.07</f>
        <v>0.41687306999999996</v>
      </c>
      <c r="I579" s="1936"/>
    </row>
    <row r="580" spans="1:14">
      <c r="A580" s="1275">
        <v>0.75</v>
      </c>
      <c r="B580" s="1279" t="s">
        <v>4965</v>
      </c>
      <c r="C580" s="1277">
        <f>2+0.2</f>
        <v>2.2000000000000002</v>
      </c>
      <c r="D580" s="1277"/>
      <c r="E580" s="1278">
        <v>1</v>
      </c>
      <c r="F580" s="1278">
        <f t="shared" si="68"/>
        <v>4.93</v>
      </c>
      <c r="G580" s="1277">
        <f>C580+(1*12*M577)+1*0.35</f>
        <v>2.7786000000000004</v>
      </c>
      <c r="H580" s="1274">
        <f t="shared" si="69"/>
        <v>0.14657392860000001</v>
      </c>
      <c r="I580" s="1936"/>
      <c r="M580" s="807"/>
    </row>
    <row r="581" spans="1:14">
      <c r="A581" s="1280">
        <v>0.75</v>
      </c>
      <c r="B581" s="1281" t="s">
        <v>4961</v>
      </c>
      <c r="C581" s="1282">
        <f>H573</f>
        <v>8.259999999999998</v>
      </c>
      <c r="D581" s="1282"/>
      <c r="E581" s="1283">
        <v>2</v>
      </c>
      <c r="F581" s="1283">
        <f t="shared" si="68"/>
        <v>4.93</v>
      </c>
      <c r="G581" s="1282">
        <f>+C581+2*0.35+K586*L577</f>
        <v>9.9124999999999979</v>
      </c>
      <c r="H581" s="1284">
        <f t="shared" si="69"/>
        <v>1.0457885749999998</v>
      </c>
      <c r="I581" s="1936"/>
      <c r="M581" s="807"/>
    </row>
    <row r="582" spans="1:14" ht="15.75">
      <c r="I582" s="1289">
        <f>B573*5.23*0.35+2.9*0.55*0.2</f>
        <v>0.68510000000000004</v>
      </c>
      <c r="M582" s="807"/>
    </row>
    <row r="583" spans="1:14">
      <c r="A583" s="1285"/>
      <c r="B583" s="1286"/>
      <c r="C583" s="1287"/>
      <c r="D583" s="1287"/>
      <c r="E583" s="1288"/>
      <c r="F583" s="1288"/>
      <c r="G583" s="1287"/>
      <c r="H583" s="1287"/>
    </row>
    <row r="584" spans="1:14" ht="15.75">
      <c r="A584" s="807"/>
      <c r="B584" s="807"/>
      <c r="C584" s="807"/>
      <c r="D584" s="807"/>
      <c r="E584" s="807"/>
      <c r="F584" s="1917" t="s">
        <v>4978</v>
      </c>
      <c r="G584" s="1917"/>
      <c r="H584" s="1917"/>
      <c r="I584" s="1289">
        <f>I575</f>
        <v>5.521323352211355</v>
      </c>
      <c r="K584" s="1895" t="s">
        <v>4864</v>
      </c>
      <c r="L584" s="1895"/>
      <c r="M584" s="1895"/>
      <c r="N584" s="1895"/>
    </row>
    <row r="585" spans="1:14" ht="15.75">
      <c r="A585" s="1290"/>
      <c r="B585" s="1291"/>
      <c r="C585" s="1292"/>
      <c r="D585" s="1292"/>
      <c r="F585" s="1896" t="s">
        <v>4963</v>
      </c>
      <c r="G585" s="1896"/>
      <c r="H585" s="1896"/>
      <c r="I585" s="1293">
        <f>G573*I582</f>
        <v>0.68510000000000004</v>
      </c>
      <c r="K585" s="1469">
        <v>2</v>
      </c>
      <c r="L585" s="1897" t="s">
        <v>4865</v>
      </c>
      <c r="M585" s="1897"/>
      <c r="N585" s="1897"/>
    </row>
    <row r="586" spans="1:14">
      <c r="A586" s="807"/>
      <c r="B586" s="807"/>
      <c r="C586" s="807"/>
      <c r="D586" s="807"/>
      <c r="E586" s="807"/>
      <c r="F586" s="807"/>
      <c r="G586" s="807"/>
      <c r="H586" s="807"/>
      <c r="K586" s="1469">
        <f>K585-1</f>
        <v>1</v>
      </c>
      <c r="L586" s="1897" t="s">
        <v>4866</v>
      </c>
      <c r="M586" s="1897"/>
      <c r="N586" s="1897"/>
    </row>
    <row r="594" spans="1:14">
      <c r="A594" s="1914" t="s">
        <v>5206</v>
      </c>
      <c r="B594" s="1914"/>
      <c r="C594" s="1914"/>
      <c r="D594" s="1914"/>
      <c r="E594" s="1914"/>
      <c r="F594" s="1914"/>
      <c r="G594" s="1914"/>
      <c r="H594" s="1914"/>
      <c r="I594" s="1914"/>
    </row>
    <row r="595" spans="1:14">
      <c r="A595" s="1209" t="s">
        <v>4918</v>
      </c>
      <c r="B595" s="1264">
        <v>0.3</v>
      </c>
      <c r="C595" s="1265">
        <f>0.4+0.15+0.05</f>
        <v>0.60000000000000009</v>
      </c>
      <c r="D595" s="1209" t="s">
        <v>4955</v>
      </c>
      <c r="E595" s="1264">
        <v>0</v>
      </c>
      <c r="F595" s="1265">
        <v>0</v>
      </c>
      <c r="G595" s="1266">
        <v>1</v>
      </c>
      <c r="H595" s="1267">
        <f>4+3.4+0.2+0.1-0.05</f>
        <v>7.65</v>
      </c>
      <c r="I595" s="1268"/>
      <c r="K595" s="892" t="s">
        <v>4867</v>
      </c>
      <c r="L595" s="892"/>
    </row>
    <row r="596" spans="1:14">
      <c r="A596" s="1209" t="s">
        <v>4850</v>
      </c>
      <c r="B596" s="1209" t="s">
        <v>4851</v>
      </c>
      <c r="C596" s="1209" t="s">
        <v>4874</v>
      </c>
      <c r="D596" s="1209" t="s">
        <v>4852</v>
      </c>
      <c r="E596" s="1209" t="s">
        <v>4875</v>
      </c>
      <c r="F596" s="1209" t="s">
        <v>4860</v>
      </c>
      <c r="G596" s="1209" t="s">
        <v>4956</v>
      </c>
      <c r="H596" s="1209" t="s">
        <v>4</v>
      </c>
      <c r="I596" s="1208" t="s">
        <v>4861</v>
      </c>
      <c r="K596" s="1208" t="s">
        <v>4850</v>
      </c>
      <c r="L596" s="1209" t="s">
        <v>4868</v>
      </c>
      <c r="M596" s="1209" t="s">
        <v>4869</v>
      </c>
    </row>
    <row r="597" spans="1:14" ht="15" customHeight="1">
      <c r="A597" s="1270">
        <v>0.375</v>
      </c>
      <c r="B597" s="1271" t="s">
        <v>4957</v>
      </c>
      <c r="C597" s="1272">
        <f>3.7+1.2+1.2</f>
        <v>6.1000000000000005</v>
      </c>
      <c r="D597" s="1272">
        <v>0.1</v>
      </c>
      <c r="E597" s="1273">
        <f>(ROUND((C597/D597),0))+1</f>
        <v>62</v>
      </c>
      <c r="F597" s="1273">
        <f t="shared" ref="F597:F602" si="70">+ROUND((PI()*(A597*0.0254)^2)/4*7.85*1000*2.2046,2)</f>
        <v>1.23</v>
      </c>
      <c r="G597" s="1272">
        <f>ROUND((2*(12*($A597*0.0254)+$B595-0.025-0.025+$C595-0.025-0.025)),2)</f>
        <v>1.83</v>
      </c>
      <c r="H597" s="1274">
        <f t="shared" ref="H597:H602" si="71">+((E597*F597*G597)/100)*1.07</f>
        <v>1.4932470600000001</v>
      </c>
      <c r="I597" s="1935">
        <f>SUM(H597:H602)/I603</f>
        <v>5.9147853683353695</v>
      </c>
      <c r="K597" s="1210">
        <v>0.375</v>
      </c>
      <c r="L597" s="1211">
        <f>(3/8)*0.0254*50</f>
        <v>0.47624999999999995</v>
      </c>
      <c r="M597" s="1212">
        <f>(3/8)*0.0254</f>
        <v>9.5249999999999987E-3</v>
      </c>
    </row>
    <row r="598" spans="1:14" ht="15" customHeight="1">
      <c r="A598" s="1275">
        <v>0.375</v>
      </c>
      <c r="B598" s="1276" t="s">
        <v>4958</v>
      </c>
      <c r="C598" s="1277">
        <v>0.61</v>
      </c>
      <c r="D598" s="1277">
        <v>0.2</v>
      </c>
      <c r="E598" s="1278">
        <f>(ROUND((C598/D598),0))+1</f>
        <v>4</v>
      </c>
      <c r="F598" s="1278">
        <f t="shared" si="70"/>
        <v>1.23</v>
      </c>
      <c r="G598" s="1277">
        <f>ROUND((2*(12*($A598*0.0254)+$B595-0.025-0.025+$C595-0.025-0.025)),2)</f>
        <v>1.83</v>
      </c>
      <c r="H598" s="1274">
        <f t="shared" si="71"/>
        <v>9.6338520000000011E-2</v>
      </c>
      <c r="I598" s="1936"/>
      <c r="K598" s="1210">
        <v>0.5</v>
      </c>
      <c r="L598" s="1211">
        <f>1/2*0.0254*50</f>
        <v>0.63500000000000001</v>
      </c>
      <c r="M598" s="1212">
        <f>(1/2)*0.0254</f>
        <v>1.2699999999999999E-2</v>
      </c>
    </row>
    <row r="599" spans="1:14" ht="15" customHeight="1">
      <c r="A599" s="1275">
        <v>0.75</v>
      </c>
      <c r="B599" s="1279" t="s">
        <v>4959</v>
      </c>
      <c r="C599" s="1277">
        <f>H595</f>
        <v>7.65</v>
      </c>
      <c r="D599" s="1277"/>
      <c r="E599" s="1278">
        <v>4</v>
      </c>
      <c r="F599" s="1278">
        <f t="shared" si="70"/>
        <v>4.93</v>
      </c>
      <c r="G599" s="1277">
        <f>+C599+2*0.35+(K608*L599)</f>
        <v>9.3025000000000002</v>
      </c>
      <c r="H599" s="1274">
        <f t="shared" si="71"/>
        <v>1.9628647100000003</v>
      </c>
      <c r="I599" s="1936"/>
      <c r="K599" s="1210">
        <v>0.75</v>
      </c>
      <c r="L599" s="1211">
        <f>3/4*0.0254*50</f>
        <v>0.9524999999999999</v>
      </c>
      <c r="M599" s="1212">
        <f>(3/4)*0.0254</f>
        <v>1.9049999999999997E-2</v>
      </c>
    </row>
    <row r="600" spans="1:14" ht="15" customHeight="1">
      <c r="A600" s="1275">
        <v>0.5</v>
      </c>
      <c r="B600" s="1279" t="s">
        <v>4975</v>
      </c>
      <c r="C600" s="1277">
        <f>C599</f>
        <v>7.65</v>
      </c>
      <c r="D600" s="1277"/>
      <c r="E600" s="1278">
        <v>4</v>
      </c>
      <c r="F600" s="1278">
        <f t="shared" si="70"/>
        <v>2.19</v>
      </c>
      <c r="G600" s="1277">
        <f>C600+1*L598</f>
        <v>8.2850000000000001</v>
      </c>
      <c r="H600" s="1274">
        <f t="shared" si="71"/>
        <v>0.77656962000000007</v>
      </c>
      <c r="I600" s="1936"/>
      <c r="K600" s="994" t="s">
        <v>4870</v>
      </c>
      <c r="L600" s="1211">
        <f>1*0.0254*50</f>
        <v>1.27</v>
      </c>
      <c r="M600" s="1212">
        <f>1*0.0254</f>
        <v>2.5399999999999999E-2</v>
      </c>
    </row>
    <row r="601" spans="1:14" ht="15" customHeight="1">
      <c r="A601" s="1275">
        <v>0.75</v>
      </c>
      <c r="B601" s="1279" t="s">
        <v>4971</v>
      </c>
      <c r="C601" s="1277">
        <f>1.2+1.2+0.4</f>
        <v>2.8</v>
      </c>
      <c r="D601" s="1277"/>
      <c r="E601" s="1278">
        <v>4</v>
      </c>
      <c r="F601" s="1278">
        <f t="shared" si="70"/>
        <v>4.93</v>
      </c>
      <c r="G601" s="1277">
        <f>C601+2*0.35</f>
        <v>3.5</v>
      </c>
      <c r="H601" s="1274">
        <f t="shared" si="71"/>
        <v>0.738514</v>
      </c>
      <c r="I601" s="1936"/>
    </row>
    <row r="602" spans="1:14" ht="15" customHeight="1">
      <c r="A602" s="1280">
        <v>0.75</v>
      </c>
      <c r="B602" s="1281" t="s">
        <v>4961</v>
      </c>
      <c r="C602" s="1282">
        <f>H595</f>
        <v>7.65</v>
      </c>
      <c r="D602" s="1282"/>
      <c r="E602" s="1283">
        <v>3</v>
      </c>
      <c r="F602" s="1283">
        <f t="shared" si="70"/>
        <v>4.93</v>
      </c>
      <c r="G602" s="1282">
        <f>+C602+2*0.35+K608*L599</f>
        <v>9.3025000000000002</v>
      </c>
      <c r="H602" s="1284">
        <f t="shared" si="71"/>
        <v>1.4721485325000001</v>
      </c>
      <c r="I602" s="1936"/>
      <c r="M602" s="807"/>
    </row>
    <row r="603" spans="1:14" ht="15" customHeight="1">
      <c r="I603" s="1289">
        <f>3.37*0.4*B595+4.25*0.55*0.3</f>
        <v>1.10565</v>
      </c>
      <c r="J603" s="728">
        <f>4+3.41+0.1+0.2-0.4</f>
        <v>7.31</v>
      </c>
      <c r="M603" s="807"/>
    </row>
    <row r="604" spans="1:14" ht="15" customHeight="1">
      <c r="I604" s="1295"/>
      <c r="M604" s="807"/>
    </row>
    <row r="606" spans="1:14" ht="15.75">
      <c r="A606" s="807"/>
      <c r="B606" s="807"/>
      <c r="C606" s="807"/>
      <c r="D606" s="807"/>
      <c r="E606" s="807"/>
      <c r="F606" s="1917" t="s">
        <v>4979</v>
      </c>
      <c r="G606" s="1917"/>
      <c r="H606" s="1917"/>
      <c r="I606" s="1289">
        <f>I597</f>
        <v>5.9147853683353695</v>
      </c>
      <c r="K606" s="1895" t="s">
        <v>4864</v>
      </c>
      <c r="L606" s="1895"/>
      <c r="M606" s="1895"/>
      <c r="N606" s="1895"/>
    </row>
    <row r="607" spans="1:14" ht="15.75">
      <c r="A607" s="1290"/>
      <c r="B607" s="1291"/>
      <c r="C607" s="1292"/>
      <c r="D607" s="1292"/>
      <c r="F607" s="1896" t="s">
        <v>4963</v>
      </c>
      <c r="G607" s="1896"/>
      <c r="H607" s="1896"/>
      <c r="I607" s="1293">
        <f>G595*I603</f>
        <v>1.10565</v>
      </c>
      <c r="K607" s="994">
        <v>2</v>
      </c>
      <c r="L607" s="1897" t="s">
        <v>4865</v>
      </c>
      <c r="M607" s="1897"/>
      <c r="N607" s="1897"/>
    </row>
    <row r="608" spans="1:14" ht="15.75">
      <c r="A608" s="807"/>
      <c r="B608" s="807"/>
      <c r="C608" s="807"/>
      <c r="D608" s="807"/>
      <c r="E608" s="807"/>
      <c r="F608" s="807"/>
      <c r="G608" s="807"/>
      <c r="H608" s="807"/>
      <c r="I608" s="1293"/>
      <c r="K608" s="994">
        <v>1</v>
      </c>
      <c r="L608" s="1897" t="s">
        <v>4866</v>
      </c>
      <c r="M608" s="1897"/>
      <c r="N608" s="1897"/>
    </row>
    <row r="612" spans="1:14">
      <c r="A612" s="1914" t="s">
        <v>5205</v>
      </c>
      <c r="B612" s="1914"/>
      <c r="C612" s="1914"/>
      <c r="D612" s="1914"/>
      <c r="E612" s="1914"/>
      <c r="F612" s="1914"/>
      <c r="G612" s="1914"/>
      <c r="H612" s="1914"/>
      <c r="I612" s="1914"/>
    </row>
    <row r="613" spans="1:14">
      <c r="A613" s="1209" t="s">
        <v>4918</v>
      </c>
      <c r="B613" s="1264">
        <v>0.3</v>
      </c>
      <c r="C613" s="1265">
        <f>0.4+0.15+0.05</f>
        <v>0.60000000000000009</v>
      </c>
      <c r="D613" s="1209" t="s">
        <v>4955</v>
      </c>
      <c r="E613" s="1264">
        <v>0</v>
      </c>
      <c r="F613" s="1265">
        <v>0</v>
      </c>
      <c r="G613" s="1266">
        <v>1</v>
      </c>
      <c r="H613" s="1267">
        <f>4+3.4+0.2+0.1-0.05</f>
        <v>7.65</v>
      </c>
      <c r="I613" s="1470"/>
      <c r="K613" s="892" t="s">
        <v>4867</v>
      </c>
      <c r="L613" s="892"/>
    </row>
    <row r="614" spans="1:14">
      <c r="A614" s="1209" t="s">
        <v>4850</v>
      </c>
      <c r="B614" s="1209" t="s">
        <v>4851</v>
      </c>
      <c r="C614" s="1209" t="s">
        <v>4874</v>
      </c>
      <c r="D614" s="1209" t="s">
        <v>4852</v>
      </c>
      <c r="E614" s="1209" t="s">
        <v>4875</v>
      </c>
      <c r="F614" s="1209" t="s">
        <v>4860</v>
      </c>
      <c r="G614" s="1209" t="s">
        <v>4956</v>
      </c>
      <c r="H614" s="1209" t="s">
        <v>4</v>
      </c>
      <c r="I614" s="1208" t="s">
        <v>4861</v>
      </c>
      <c r="K614" s="1208" t="s">
        <v>4850</v>
      </c>
      <c r="L614" s="1209" t="s">
        <v>4868</v>
      </c>
      <c r="M614" s="1209" t="s">
        <v>4869</v>
      </c>
    </row>
    <row r="615" spans="1:14">
      <c r="A615" s="1270">
        <v>0.375</v>
      </c>
      <c r="B615" s="1271" t="s">
        <v>4957</v>
      </c>
      <c r="C615" s="1272">
        <f>3.7+1.2+1.2</f>
        <v>6.1000000000000005</v>
      </c>
      <c r="D615" s="1272">
        <v>0.1</v>
      </c>
      <c r="E615" s="1273">
        <f>(ROUND((C615/D615),0))+1</f>
        <v>62</v>
      </c>
      <c r="F615" s="1273">
        <f t="shared" ref="F615:F620" si="72">+ROUND((PI()*(A615*0.0254)^2)/4*7.85*1000*2.2046,2)</f>
        <v>1.23</v>
      </c>
      <c r="G615" s="1272">
        <f>ROUND((2*(12*($A615*0.0254)+$B613-0.025-0.025+$C613-0.025-0.025)),2)</f>
        <v>1.83</v>
      </c>
      <c r="H615" s="1274">
        <f t="shared" ref="H615:H620" si="73">+((E615*F615*G615)/100)*1.07</f>
        <v>1.4932470600000001</v>
      </c>
      <c r="I615" s="1935">
        <f>SUM(H615:H620)/I621</f>
        <v>5.666478158305174</v>
      </c>
      <c r="K615" s="1210">
        <v>0.375</v>
      </c>
      <c r="L615" s="1211">
        <f>(3/8)*0.0254*50</f>
        <v>0.47624999999999995</v>
      </c>
      <c r="M615" s="1212">
        <f>(3/8)*0.0254</f>
        <v>9.5249999999999987E-3</v>
      </c>
    </row>
    <row r="616" spans="1:14">
      <c r="A616" s="1275">
        <v>0.375</v>
      </c>
      <c r="B616" s="1276" t="s">
        <v>4958</v>
      </c>
      <c r="C616" s="1277">
        <v>0.61</v>
      </c>
      <c r="D616" s="1277">
        <v>0.2</v>
      </c>
      <c r="E616" s="1278">
        <f>(ROUND((C616/D616),0))+1</f>
        <v>4</v>
      </c>
      <c r="F616" s="1278">
        <f t="shared" si="72"/>
        <v>1.23</v>
      </c>
      <c r="G616" s="1277">
        <f>ROUND((2*(12*($A616*0.0254)+$B613-0.025-0.025+$C613-0.025-0.025)),2)</f>
        <v>1.83</v>
      </c>
      <c r="H616" s="1274">
        <f t="shared" si="73"/>
        <v>9.6338520000000011E-2</v>
      </c>
      <c r="I616" s="1936"/>
      <c r="K616" s="1210">
        <v>0.5</v>
      </c>
      <c r="L616" s="1211">
        <f>1/2*0.0254*50</f>
        <v>0.63500000000000001</v>
      </c>
      <c r="M616" s="1212">
        <f>(1/2)*0.0254</f>
        <v>1.2699999999999999E-2</v>
      </c>
    </row>
    <row r="617" spans="1:14">
      <c r="A617" s="1275">
        <v>0.75</v>
      </c>
      <c r="B617" s="1279" t="s">
        <v>4959</v>
      </c>
      <c r="C617" s="1277">
        <f>H613</f>
        <v>7.65</v>
      </c>
      <c r="D617" s="1277"/>
      <c r="E617" s="1278">
        <v>4</v>
      </c>
      <c r="F617" s="1278">
        <f t="shared" si="72"/>
        <v>4.93</v>
      </c>
      <c r="G617" s="1277">
        <f>+C617+2*0.35+(K626*L617)</f>
        <v>9.3025000000000002</v>
      </c>
      <c r="H617" s="1274">
        <f t="shared" si="73"/>
        <v>1.9628647100000003</v>
      </c>
      <c r="I617" s="1936"/>
      <c r="K617" s="1210">
        <v>0.75</v>
      </c>
      <c r="L617" s="1211">
        <f>3/4*0.0254*50</f>
        <v>0.9524999999999999</v>
      </c>
      <c r="M617" s="1212">
        <f>(3/4)*0.0254</f>
        <v>1.9049999999999997E-2</v>
      </c>
    </row>
    <row r="618" spans="1:14">
      <c r="A618" s="1275">
        <v>0.5</v>
      </c>
      <c r="B618" s="1279" t="s">
        <v>4975</v>
      </c>
      <c r="C618" s="1277">
        <f>C617</f>
        <v>7.65</v>
      </c>
      <c r="D618" s="1277"/>
      <c r="E618" s="1278">
        <v>4</v>
      </c>
      <c r="F618" s="1278">
        <f t="shared" si="72"/>
        <v>2.19</v>
      </c>
      <c r="G618" s="1277">
        <f>C618+1*L616</f>
        <v>8.2850000000000001</v>
      </c>
      <c r="H618" s="1274">
        <f t="shared" si="73"/>
        <v>0.77656962000000007</v>
      </c>
      <c r="I618" s="1936"/>
      <c r="K618" s="1469" t="s">
        <v>4870</v>
      </c>
      <c r="L618" s="1211">
        <f>1*0.0254*50</f>
        <v>1.27</v>
      </c>
      <c r="M618" s="1212">
        <f>1*0.0254</f>
        <v>2.5399999999999999E-2</v>
      </c>
    </row>
    <row r="619" spans="1:14">
      <c r="A619" s="1275">
        <v>0.75</v>
      </c>
      <c r="B619" s="1279" t="s">
        <v>4971</v>
      </c>
      <c r="C619" s="1277">
        <f>1.2+1.2+0.4</f>
        <v>2.8</v>
      </c>
      <c r="D619" s="1277"/>
      <c r="E619" s="1278">
        <v>4</v>
      </c>
      <c r="F619" s="1278">
        <f t="shared" si="72"/>
        <v>4.93</v>
      </c>
      <c r="G619" s="1277">
        <f>C619+2*0.35</f>
        <v>3.5</v>
      </c>
      <c r="H619" s="1274">
        <f t="shared" si="73"/>
        <v>0.738514</v>
      </c>
      <c r="I619" s="1936"/>
    </row>
    <row r="620" spans="1:14">
      <c r="A620" s="1280">
        <v>0.75</v>
      </c>
      <c r="B620" s="1281" t="s">
        <v>4961</v>
      </c>
      <c r="C620" s="1282">
        <f>H613</f>
        <v>7.65</v>
      </c>
      <c r="D620" s="1282"/>
      <c r="E620" s="1283">
        <v>3</v>
      </c>
      <c r="F620" s="1283">
        <f t="shared" si="72"/>
        <v>4.93</v>
      </c>
      <c r="G620" s="1282">
        <f>+C620+2*0.35+K626*L617</f>
        <v>9.3025000000000002</v>
      </c>
      <c r="H620" s="1284">
        <f t="shared" si="73"/>
        <v>1.4721485325000001</v>
      </c>
      <c r="I620" s="1936"/>
      <c r="M620" s="807"/>
    </row>
    <row r="621" spans="1:14" ht="15.75">
      <c r="I621" s="1289">
        <f>3.36*0.4*B613+3.31*0.6*0.3+0.94*0.55*0.3</f>
        <v>1.1540999999999999</v>
      </c>
      <c r="J621" s="728">
        <f>4+3.41+0.1+0.2-0.4</f>
        <v>7.31</v>
      </c>
      <c r="M621" s="807"/>
    </row>
    <row r="622" spans="1:14" ht="15.75">
      <c r="I622" s="1295"/>
      <c r="M622" s="807"/>
    </row>
    <row r="624" spans="1:14" ht="15.75">
      <c r="A624" s="807"/>
      <c r="B624" s="807"/>
      <c r="C624" s="807"/>
      <c r="D624" s="807"/>
      <c r="E624" s="807"/>
      <c r="F624" s="1917" t="s">
        <v>4979</v>
      </c>
      <c r="G624" s="1917"/>
      <c r="H624" s="1917"/>
      <c r="I624" s="1289">
        <f>I615</f>
        <v>5.666478158305174</v>
      </c>
      <c r="K624" s="1895" t="s">
        <v>4864</v>
      </c>
      <c r="L624" s="1895"/>
      <c r="M624" s="1895"/>
      <c r="N624" s="1895"/>
    </row>
    <row r="625" spans="1:14" ht="15.75">
      <c r="A625" s="1290"/>
      <c r="B625" s="1291"/>
      <c r="C625" s="1292"/>
      <c r="D625" s="1292"/>
      <c r="F625" s="1896" t="s">
        <v>4963</v>
      </c>
      <c r="G625" s="1896"/>
      <c r="H625" s="1896"/>
      <c r="I625" s="1293">
        <f>G613*I621</f>
        <v>1.1540999999999999</v>
      </c>
      <c r="K625" s="1469">
        <v>2</v>
      </c>
      <c r="L625" s="1897" t="s">
        <v>4865</v>
      </c>
      <c r="M625" s="1897"/>
      <c r="N625" s="1897"/>
    </row>
    <row r="626" spans="1:14" ht="15.75">
      <c r="A626" s="807"/>
      <c r="B626" s="807"/>
      <c r="C626" s="807"/>
      <c r="D626" s="807"/>
      <c r="E626" s="807"/>
      <c r="F626" s="807"/>
      <c r="G626" s="807"/>
      <c r="H626" s="807"/>
      <c r="I626" s="1293"/>
      <c r="K626" s="1469">
        <v>1</v>
      </c>
      <c r="L626" s="1897" t="s">
        <v>4866</v>
      </c>
      <c r="M626" s="1897"/>
      <c r="N626" s="1897"/>
    </row>
    <row r="632" spans="1:14">
      <c r="A632" s="1938" t="s">
        <v>4980</v>
      </c>
      <c r="B632" s="1938"/>
      <c r="C632" s="1938"/>
      <c r="D632" s="1938"/>
      <c r="E632" s="1938"/>
      <c r="F632" s="1938"/>
      <c r="G632" s="1938"/>
      <c r="H632" s="1938"/>
      <c r="I632" s="1938"/>
    </row>
    <row r="633" spans="1:14">
      <c r="A633" s="1209" t="s">
        <v>4918</v>
      </c>
      <c r="B633" s="1264">
        <v>0.3</v>
      </c>
      <c r="C633" s="1265">
        <f>0.4+0.15+0.05</f>
        <v>0.60000000000000009</v>
      </c>
      <c r="D633" s="1209" t="s">
        <v>4955</v>
      </c>
      <c r="E633" s="1264">
        <v>0</v>
      </c>
      <c r="F633" s="1265">
        <v>0</v>
      </c>
      <c r="G633" s="1266">
        <v>1</v>
      </c>
      <c r="H633" s="1267">
        <f>4.61-0.05</f>
        <v>4.5600000000000005</v>
      </c>
      <c r="I633" s="1268"/>
      <c r="K633" s="892" t="s">
        <v>4867</v>
      </c>
      <c r="L633" s="892"/>
    </row>
    <row r="634" spans="1:14">
      <c r="A634" s="1209" t="s">
        <v>4850</v>
      </c>
      <c r="B634" s="1209" t="s">
        <v>4851</v>
      </c>
      <c r="C634" s="1209" t="s">
        <v>4874</v>
      </c>
      <c r="D634" s="1209" t="s">
        <v>4852</v>
      </c>
      <c r="E634" s="1209" t="s">
        <v>4875</v>
      </c>
      <c r="F634" s="1209" t="s">
        <v>4860</v>
      </c>
      <c r="G634" s="1209" t="s">
        <v>4956</v>
      </c>
      <c r="H634" s="1209" t="s">
        <v>4</v>
      </c>
      <c r="I634" s="1208" t="s">
        <v>4861</v>
      </c>
      <c r="K634" s="1208" t="s">
        <v>4850</v>
      </c>
      <c r="L634" s="1209" t="s">
        <v>4868</v>
      </c>
      <c r="M634" s="1209" t="s">
        <v>4869</v>
      </c>
    </row>
    <row r="635" spans="1:14">
      <c r="A635" s="1270">
        <v>0.375</v>
      </c>
      <c r="B635" s="1271" t="s">
        <v>4957</v>
      </c>
      <c r="C635" s="1272">
        <f>0.6+1.2+1.2</f>
        <v>3</v>
      </c>
      <c r="D635" s="1272">
        <v>0.1</v>
      </c>
      <c r="E635" s="1273">
        <f>(ROUND((C635/D635),0))+1</f>
        <v>31</v>
      </c>
      <c r="F635" s="1273">
        <f t="shared" ref="F635:F641" si="74">+ROUND((PI()*(A635*0.0254)^2)/4*7.85*1000*2.2046,2)</f>
        <v>1.23</v>
      </c>
      <c r="G635" s="1272">
        <f>ROUND((2*(12*($A635*0.0254)+$B633-0.025-0.025+$C633-0.025-0.025)),2)</f>
        <v>1.83</v>
      </c>
      <c r="H635" s="1274">
        <f t="shared" ref="H635:H641" si="75">+((E635*F635*G635)/100)*1.07</f>
        <v>0.74662353000000004</v>
      </c>
      <c r="I635" s="1935">
        <f>SUM(H635:H641)/I642</f>
        <v>5.0283024011573492</v>
      </c>
      <c r="K635" s="1210">
        <v>0.375</v>
      </c>
      <c r="L635" s="1211">
        <f>(3/8)*0.0254*50</f>
        <v>0.47624999999999995</v>
      </c>
      <c r="M635" s="1212">
        <f>(3/8)*0.0254</f>
        <v>9.5249999999999987E-3</v>
      </c>
    </row>
    <row r="636" spans="1:14">
      <c r="A636" s="1270">
        <v>0.375</v>
      </c>
      <c r="B636" s="1271" t="s">
        <v>4957</v>
      </c>
      <c r="C636" s="1272">
        <v>0.6</v>
      </c>
      <c r="D636" s="1272">
        <v>0.2</v>
      </c>
      <c r="E636" s="1273">
        <f>(ROUND((C636/D636),0))+1</f>
        <v>4</v>
      </c>
      <c r="F636" s="1273">
        <f t="shared" si="74"/>
        <v>1.23</v>
      </c>
      <c r="G636" s="1272">
        <f>ROUND((2*(12*($A636*0.0254)+$B633-0.025-0.025+$C633-0.025-0.025)),2)</f>
        <v>1.83</v>
      </c>
      <c r="H636" s="1274">
        <f t="shared" si="75"/>
        <v>9.6338520000000011E-2</v>
      </c>
      <c r="I636" s="1936"/>
      <c r="K636" s="1210">
        <v>0.5</v>
      </c>
      <c r="L636" s="1211">
        <f>1/2*0.0254*50</f>
        <v>0.63500000000000001</v>
      </c>
      <c r="M636" s="1212">
        <f>(1/2)*0.0254</f>
        <v>1.2699999999999999E-2</v>
      </c>
    </row>
    <row r="637" spans="1:14">
      <c r="A637" s="1275">
        <v>0.75</v>
      </c>
      <c r="B637" s="1279" t="s">
        <v>4959</v>
      </c>
      <c r="C637" s="1277">
        <f>H633</f>
        <v>4.5600000000000005</v>
      </c>
      <c r="D637" s="1277"/>
      <c r="E637" s="1278">
        <v>2</v>
      </c>
      <c r="F637" s="1278">
        <f t="shared" si="74"/>
        <v>4.93</v>
      </c>
      <c r="G637" s="1277">
        <f>+C637+2*0.35</f>
        <v>5.2600000000000007</v>
      </c>
      <c r="H637" s="1274">
        <f t="shared" si="75"/>
        <v>0.55494052000000016</v>
      </c>
      <c r="I637" s="1936"/>
      <c r="K637" s="1210">
        <v>0.75</v>
      </c>
      <c r="L637" s="1211">
        <f>3/4*0.0254*50</f>
        <v>0.9524999999999999</v>
      </c>
      <c r="M637" s="1212">
        <f>(3/4)*0.0254</f>
        <v>1.9049999999999997E-2</v>
      </c>
    </row>
    <row r="638" spans="1:14">
      <c r="A638" s="1275">
        <v>0.5</v>
      </c>
      <c r="B638" s="1279" t="s">
        <v>4970</v>
      </c>
      <c r="C638" s="1277">
        <f>H633</f>
        <v>4.5600000000000005</v>
      </c>
      <c r="D638" s="1277"/>
      <c r="E638" s="1278">
        <v>1</v>
      </c>
      <c r="F638" s="1278">
        <f t="shared" ref="F638" si="76">+ROUND((PI()*(A638*0.0254)^2)/4*7.85*1000*2.2046,2)</f>
        <v>2.19</v>
      </c>
      <c r="G638" s="1277">
        <f>+C638+2*0.25</f>
        <v>5.0600000000000005</v>
      </c>
      <c r="H638" s="1274">
        <f t="shared" ref="H638" si="77">+((E638*F638*G638)/100)*1.07</f>
        <v>0.11857098000000002</v>
      </c>
      <c r="I638" s="1936"/>
      <c r="K638" s="1441"/>
      <c r="L638" s="1442"/>
      <c r="M638" s="1443"/>
    </row>
    <row r="639" spans="1:14">
      <c r="A639" s="1275">
        <v>0.5</v>
      </c>
      <c r="B639" s="1279" t="s">
        <v>4960</v>
      </c>
      <c r="C639" s="1277">
        <f>C637</f>
        <v>4.5600000000000005</v>
      </c>
      <c r="D639" s="1277"/>
      <c r="E639" s="1278">
        <v>4</v>
      </c>
      <c r="F639" s="1278">
        <f t="shared" si="74"/>
        <v>2.19</v>
      </c>
      <c r="G639" s="1277">
        <f>+C639</f>
        <v>4.5600000000000005</v>
      </c>
      <c r="H639" s="1274">
        <f t="shared" si="75"/>
        <v>0.42741792000000006</v>
      </c>
      <c r="I639" s="1936"/>
      <c r="K639" s="994" t="s">
        <v>4870</v>
      </c>
      <c r="L639" s="1211">
        <f>1*0.0254*50</f>
        <v>1.27</v>
      </c>
      <c r="M639" s="1212">
        <f>1*0.0254</f>
        <v>2.5399999999999999E-2</v>
      </c>
    </row>
    <row r="640" spans="1:14">
      <c r="A640" s="1275">
        <v>0.75</v>
      </c>
      <c r="B640" s="1279" t="s">
        <v>4971</v>
      </c>
      <c r="C640" s="1277">
        <f>0.6+0.4+1.2+0.1</f>
        <v>2.3000000000000003</v>
      </c>
      <c r="D640" s="1277"/>
      <c r="E640" s="1278">
        <v>3</v>
      </c>
      <c r="F640" s="1278">
        <f t="shared" si="74"/>
        <v>4.93</v>
      </c>
      <c r="G640" s="1277">
        <f>C640+(1*12*M637)+1*0.35</f>
        <v>2.8786000000000005</v>
      </c>
      <c r="H640" s="1274">
        <f t="shared" si="75"/>
        <v>0.45554708580000003</v>
      </c>
      <c r="I640" s="1936"/>
      <c r="M640" s="807"/>
    </row>
    <row r="641" spans="1:16">
      <c r="A641" s="1280">
        <v>0.75</v>
      </c>
      <c r="B641" s="1281" t="s">
        <v>4961</v>
      </c>
      <c r="C641" s="1282">
        <f>H633</f>
        <v>4.5600000000000005</v>
      </c>
      <c r="D641" s="1282"/>
      <c r="E641" s="1283">
        <v>2</v>
      </c>
      <c r="F641" s="1283">
        <f t="shared" si="74"/>
        <v>4.93</v>
      </c>
      <c r="G641" s="1282">
        <f>+C641+2*0.35</f>
        <v>5.2600000000000007</v>
      </c>
      <c r="H641" s="1284">
        <f t="shared" si="75"/>
        <v>0.55494052000000016</v>
      </c>
      <c r="I641" s="1936"/>
      <c r="M641" s="807"/>
    </row>
    <row r="642" spans="1:16" ht="15.75">
      <c r="I642" s="1289">
        <f>B633*0.4*3.37+1.11*0.55*0.3</f>
        <v>0.58755000000000002</v>
      </c>
      <c r="J642" s="728">
        <f>4+3.41+0.1+0.2</f>
        <v>7.71</v>
      </c>
      <c r="M642" s="807"/>
    </row>
    <row r="643" spans="1:16">
      <c r="A643" s="1285"/>
      <c r="B643" s="1286"/>
      <c r="C643" s="1287"/>
      <c r="D643" s="1287"/>
      <c r="E643" s="1288"/>
      <c r="F643" s="1288"/>
      <c r="G643" s="1287"/>
      <c r="H643" s="1287"/>
    </row>
    <row r="645" spans="1:16" ht="15.75">
      <c r="A645" s="807"/>
      <c r="B645" s="807"/>
      <c r="C645" s="807"/>
      <c r="D645" s="807"/>
      <c r="E645" s="807"/>
      <c r="F645" s="1917" t="s">
        <v>4981</v>
      </c>
      <c r="G645" s="1917"/>
      <c r="H645" s="1917"/>
      <c r="I645" s="1289">
        <f>I635</f>
        <v>5.0283024011573492</v>
      </c>
      <c r="K645" s="1895" t="s">
        <v>4864</v>
      </c>
      <c r="L645" s="1895"/>
      <c r="M645" s="1895"/>
      <c r="N645" s="1895"/>
    </row>
    <row r="646" spans="1:16" ht="15.75">
      <c r="A646" s="1290"/>
      <c r="B646" s="1291"/>
      <c r="C646" s="1292"/>
      <c r="D646" s="1292"/>
      <c r="F646" s="1896" t="s">
        <v>4963</v>
      </c>
      <c r="G646" s="1896"/>
      <c r="H646" s="1896"/>
      <c r="I646" s="1293">
        <f>I642</f>
        <v>0.58755000000000002</v>
      </c>
      <c r="K646" s="994">
        <v>2</v>
      </c>
      <c r="L646" s="1897" t="s">
        <v>4865</v>
      </c>
      <c r="M646" s="1897"/>
      <c r="N646" s="1897"/>
    </row>
    <row r="647" spans="1:16">
      <c r="A647" s="807"/>
      <c r="B647" s="807"/>
      <c r="C647" s="807"/>
      <c r="D647" s="807"/>
      <c r="E647" s="807"/>
      <c r="F647" s="807"/>
      <c r="G647" s="807"/>
      <c r="H647" s="807"/>
      <c r="K647" s="994">
        <f>K646-1</f>
        <v>1</v>
      </c>
      <c r="L647" s="1897" t="s">
        <v>4866</v>
      </c>
      <c r="M647" s="1897"/>
      <c r="N647" s="1897"/>
    </row>
    <row r="650" spans="1:16">
      <c r="A650" s="1907" t="s">
        <v>5189</v>
      </c>
      <c r="B650" s="1907"/>
      <c r="C650" s="1907"/>
      <c r="D650" s="1907"/>
      <c r="E650" s="1907"/>
      <c r="F650" s="1907"/>
      <c r="G650" s="1907"/>
      <c r="H650" s="1907"/>
      <c r="I650" s="1907"/>
      <c r="J650" s="1907"/>
      <c r="K650" s="1907"/>
      <c r="L650" s="1907"/>
      <c r="M650" s="1907"/>
      <c r="N650" s="1907"/>
      <c r="O650" s="1907"/>
      <c r="P650" s="1907"/>
    </row>
    <row r="654" spans="1:16" ht="18.75">
      <c r="A654" s="1227" t="s">
        <v>4883</v>
      </c>
      <c r="B654" s="1227"/>
      <c r="C654" s="1227"/>
      <c r="D654" s="1227"/>
      <c r="E654" s="1227"/>
      <c r="F654" s="1227"/>
      <c r="G654" s="1227"/>
      <c r="H654" s="1227"/>
      <c r="I654" s="1227"/>
    </row>
    <row r="655" spans="1:16" ht="15.75">
      <c r="B655" s="1900" t="s">
        <v>4982</v>
      </c>
      <c r="C655" s="1900"/>
      <c r="D655" s="1900"/>
      <c r="E655" s="1228"/>
      <c r="F655" s="1901" t="s">
        <v>4885</v>
      </c>
      <c r="G655" s="1901"/>
      <c r="H655" s="1901"/>
      <c r="I655" s="1901"/>
    </row>
    <row r="656" spans="1:16" ht="15.75">
      <c r="B656" s="1900" t="s">
        <v>4983</v>
      </c>
      <c r="C656" s="1900"/>
      <c r="D656" s="1900"/>
    </row>
    <row r="658" spans="1:16" ht="15.75">
      <c r="C658" s="1296" t="s">
        <v>4984</v>
      </c>
      <c r="D658" s="1297">
        <v>2</v>
      </c>
      <c r="F658" s="1298" t="s">
        <v>4985</v>
      </c>
      <c r="G658" s="1299">
        <v>0.1</v>
      </c>
      <c r="J658" s="1300" t="s">
        <v>4986</v>
      </c>
      <c r="K658" s="1301">
        <v>0.03</v>
      </c>
      <c r="M658" s="1300" t="s">
        <v>4987</v>
      </c>
      <c r="N658" s="1301">
        <v>0.04</v>
      </c>
    </row>
    <row r="659" spans="1:16">
      <c r="B659" s="728" t="s">
        <v>4988</v>
      </c>
      <c r="C659" s="1296" t="s">
        <v>4989</v>
      </c>
      <c r="D659" s="1302">
        <v>2</v>
      </c>
      <c r="F659" s="1298" t="s">
        <v>4990</v>
      </c>
      <c r="G659" s="1298">
        <v>0.02</v>
      </c>
      <c r="J659" s="1144"/>
      <c r="K659" s="892"/>
    </row>
    <row r="660" spans="1:16" ht="15.75">
      <c r="C660" s="1296" t="s">
        <v>4991</v>
      </c>
      <c r="D660" s="1302">
        <v>1</v>
      </c>
      <c r="E660" s="1303">
        <v>0.47599999999999998</v>
      </c>
      <c r="J660" s="1144"/>
      <c r="K660" s="892"/>
      <c r="L660" s="892"/>
    </row>
    <row r="662" spans="1:16" ht="15.75" thickBot="1">
      <c r="A662" s="1903" t="s">
        <v>4992</v>
      </c>
      <c r="B662" s="1903"/>
      <c r="C662" s="1903"/>
      <c r="D662" s="1903"/>
      <c r="E662" s="1903"/>
      <c r="F662" s="1903"/>
      <c r="G662" s="1903"/>
      <c r="H662" s="1903"/>
      <c r="I662" s="1903"/>
      <c r="J662" s="1903"/>
      <c r="K662" s="1903"/>
      <c r="L662" s="1903"/>
      <c r="M662" s="1903"/>
      <c r="N662" s="1903"/>
      <c r="O662" s="1903"/>
      <c r="P662" s="1199" t="s">
        <v>4993</v>
      </c>
    </row>
    <row r="663" spans="1:16" ht="40.5" customHeight="1" thickBot="1">
      <c r="A663" s="1304" t="s">
        <v>4849</v>
      </c>
      <c r="B663" s="1200" t="s">
        <v>4850</v>
      </c>
      <c r="C663" s="1201" t="s">
        <v>4851</v>
      </c>
      <c r="D663" s="1201" t="s">
        <v>4852</v>
      </c>
      <c r="E663" s="1201" t="s">
        <v>4853</v>
      </c>
      <c r="F663" s="1202" t="s">
        <v>4854</v>
      </c>
      <c r="G663" s="1201" t="s">
        <v>4855</v>
      </c>
      <c r="H663" s="1202" t="s">
        <v>4856</v>
      </c>
      <c r="I663" s="1202"/>
      <c r="J663" s="1202"/>
      <c r="K663" s="1202" t="s">
        <v>4858</v>
      </c>
      <c r="L663" s="1202" t="s">
        <v>4859</v>
      </c>
      <c r="M663" s="1202" t="s">
        <v>4995</v>
      </c>
      <c r="N663" s="1202" t="s">
        <v>4860</v>
      </c>
      <c r="O663" s="1201" t="s">
        <v>4</v>
      </c>
      <c r="P663" s="1203" t="s">
        <v>4861</v>
      </c>
    </row>
    <row r="664" spans="1:16" ht="15.75">
      <c r="A664" s="1885">
        <v>0.15</v>
      </c>
      <c r="B664" s="1305">
        <v>0.375</v>
      </c>
      <c r="C664" s="1204" t="s">
        <v>4862</v>
      </c>
      <c r="D664" s="1205">
        <v>0.15</v>
      </c>
      <c r="E664" s="1205">
        <v>5.0999999999999996</v>
      </c>
      <c r="F664" s="1205">
        <v>8.11</v>
      </c>
      <c r="G664" s="1888">
        <f>5.1*8.71</f>
        <v>44.420999999999999</v>
      </c>
      <c r="H664" s="1206">
        <f>(ROUND(((F664))/D664,0))+1</f>
        <v>55</v>
      </c>
      <c r="I664" s="1206"/>
      <c r="J664" s="1206"/>
      <c r="K664" s="1206">
        <v>2</v>
      </c>
      <c r="L664" s="1205">
        <f>E664+(2*$G$658)+$N$658-2*$G$659</f>
        <v>5.3</v>
      </c>
      <c r="M664" s="1205">
        <f>E664</f>
        <v>5.0999999999999996</v>
      </c>
      <c r="N664" s="1206">
        <f>ROUND(PI()*((B664*0.0254)^2)/4*7.85*2204.6,2)</f>
        <v>1.23</v>
      </c>
      <c r="O664" s="1224">
        <f>+((L664*H664*N664)/100)*1.07+((K664*M664*M664)/100)*1.07</f>
        <v>4.3930455000000004</v>
      </c>
      <c r="P664" s="1904">
        <f>SUM(O664:O667)/(G664*A664)</f>
        <v>1.3468633250039395</v>
      </c>
    </row>
    <row r="665" spans="1:16" ht="15.75">
      <c r="A665" s="1886"/>
      <c r="B665" s="1305">
        <v>0.375</v>
      </c>
      <c r="C665" s="1204" t="s">
        <v>4863</v>
      </c>
      <c r="D665" s="1205">
        <v>0.2</v>
      </c>
      <c r="E665" s="1205">
        <v>8.6999999999999993</v>
      </c>
      <c r="F665" s="1205">
        <v>4.5</v>
      </c>
      <c r="G665" s="1889"/>
      <c r="H665" s="1206">
        <f>(ROUND(((F665))/D665,0))+1</f>
        <v>24</v>
      </c>
      <c r="I665" s="1206"/>
      <c r="J665" s="1206"/>
      <c r="K665" s="1206">
        <v>2</v>
      </c>
      <c r="L665" s="1205">
        <f>E665+(2*$G$658)+$N$658-2*$G$659+1*E660</f>
        <v>9.3759999999999977</v>
      </c>
      <c r="M665" s="1205">
        <f>E665</f>
        <v>8.6999999999999993</v>
      </c>
      <c r="N665" s="1206">
        <f>ROUND(PI()*((B665*0.0254)^2)/4*7.85*2204.6,2)</f>
        <v>1.23</v>
      </c>
      <c r="O665" s="1224">
        <f>+((L665*H665*N665)/100)*1.07+((K665*M665*M665)/100)*1.07</f>
        <v>4.5813068639999992</v>
      </c>
      <c r="P665" s="1905"/>
    </row>
    <row r="666" spans="1:16" ht="15.75">
      <c r="A666" s="1886"/>
      <c r="B666" s="1305"/>
      <c r="C666" s="1204"/>
      <c r="D666" s="1205"/>
      <c r="E666" s="1205"/>
      <c r="F666" s="1205"/>
      <c r="G666" s="1889"/>
      <c r="H666" s="1206"/>
      <c r="I666" s="1207"/>
      <c r="J666" s="1206"/>
      <c r="K666" s="1206"/>
      <c r="L666" s="1205"/>
      <c r="M666" s="1206"/>
      <c r="N666" s="1206"/>
      <c r="O666" s="1205"/>
      <c r="P666" s="1905"/>
    </row>
    <row r="667" spans="1:16" ht="15.75">
      <c r="A667" s="1887"/>
      <c r="B667" s="1305"/>
      <c r="C667" s="1204"/>
      <c r="D667" s="1205"/>
      <c r="E667" s="1205"/>
      <c r="F667" s="1205"/>
      <c r="G667" s="1890"/>
      <c r="H667" s="1206"/>
      <c r="I667" s="1207"/>
      <c r="J667" s="1206"/>
      <c r="K667" s="1206"/>
      <c r="L667" s="1205"/>
      <c r="M667" s="1206"/>
      <c r="N667" s="1206"/>
      <c r="O667" s="1205"/>
      <c r="P667" s="1906"/>
    </row>
    <row r="668" spans="1:16" ht="15.75">
      <c r="A668" s="1883">
        <f>G664*A664</f>
        <v>6.6631499999999999</v>
      </c>
      <c r="B668" s="1883"/>
      <c r="C668" s="1883"/>
      <c r="D668" s="1883"/>
      <c r="E668" s="1883"/>
      <c r="F668" s="1883"/>
      <c r="G668" s="1883"/>
      <c r="H668" s="1883"/>
      <c r="I668" s="1883"/>
      <c r="J668" s="1883"/>
      <c r="K668" s="1883"/>
      <c r="L668" s="1883"/>
      <c r="M668" s="1883"/>
      <c r="N668" s="1883"/>
      <c r="O668" s="1883"/>
      <c r="P668" s="1883"/>
    </row>
    <row r="669" spans="1:16" ht="15.75" thickBot="1">
      <c r="O669" s="891">
        <f>SUM(O664:O667)*2</f>
        <v>17.948704727999999</v>
      </c>
    </row>
    <row r="670" spans="1:16">
      <c r="B670" s="1494"/>
      <c r="C670" s="1495"/>
      <c r="D670" s="1509"/>
      <c r="E670" s="1496"/>
    </row>
    <row r="671" spans="1:16">
      <c r="B671" s="1497" t="s">
        <v>4997</v>
      </c>
      <c r="C671" s="1498"/>
      <c r="D671" s="1510">
        <f>E697</f>
        <v>56.330399999999983</v>
      </c>
      <c r="E671" s="1499" t="s">
        <v>1806</v>
      </c>
    </row>
    <row r="672" spans="1:16">
      <c r="B672" s="1497" t="s">
        <v>4996</v>
      </c>
      <c r="C672" s="1498"/>
      <c r="D672" s="1510">
        <f>A668*2</f>
        <v>13.3263</v>
      </c>
      <c r="E672" s="1499" t="s">
        <v>1806</v>
      </c>
    </row>
    <row r="673" spans="2:10">
      <c r="B673" s="1497" t="s">
        <v>4998</v>
      </c>
      <c r="C673" s="1498"/>
      <c r="D673" s="1510">
        <f>J679</f>
        <v>0.80572499999999991</v>
      </c>
      <c r="E673" s="1499" t="s">
        <v>1806</v>
      </c>
    </row>
    <row r="674" spans="2:10">
      <c r="B674" s="1497" t="s">
        <v>5178</v>
      </c>
      <c r="C674" s="1498"/>
      <c r="D674" s="1510">
        <f>H700</f>
        <v>5.8463999999999992</v>
      </c>
      <c r="E674" s="1499" t="s">
        <v>1806</v>
      </c>
    </row>
    <row r="675" spans="2:10">
      <c r="B675" s="1497" t="s">
        <v>5179</v>
      </c>
      <c r="C675" s="1498"/>
      <c r="D675" s="1510">
        <f>H701</f>
        <v>2.2320000000000002</v>
      </c>
      <c r="E675" s="1499" t="s">
        <v>1806</v>
      </c>
    </row>
    <row r="676" spans="2:10" ht="32.25" customHeight="1" thickBot="1">
      <c r="B676" s="1500" t="s">
        <v>5180</v>
      </c>
      <c r="C676" s="1501"/>
      <c r="D676" s="1511">
        <f>H702</f>
        <v>0.25319999999999998</v>
      </c>
      <c r="E676" s="1502" t="s">
        <v>1806</v>
      </c>
    </row>
    <row r="677" spans="2:10">
      <c r="B677" s="892"/>
      <c r="E677" s="892"/>
    </row>
    <row r="678" spans="2:10">
      <c r="C678" s="892" t="s">
        <v>4639</v>
      </c>
      <c r="D678" s="892" t="s">
        <v>4516</v>
      </c>
      <c r="E678" s="892" t="s">
        <v>4640</v>
      </c>
      <c r="H678" s="892" t="s">
        <v>4639</v>
      </c>
      <c r="I678" s="892" t="s">
        <v>4516</v>
      </c>
      <c r="J678" s="892" t="s">
        <v>4640</v>
      </c>
    </row>
    <row r="679" spans="2:10">
      <c r="B679" s="755"/>
      <c r="C679" s="755"/>
      <c r="D679" s="755"/>
      <c r="E679" s="1306"/>
      <c r="G679" s="1506" t="s">
        <v>4999</v>
      </c>
      <c r="H679" s="1507">
        <v>0.2</v>
      </c>
      <c r="I679" s="1508">
        <f>B849</f>
        <v>0.80572499999999991</v>
      </c>
      <c r="J679" s="892">
        <f>I679</f>
        <v>0.80572499999999991</v>
      </c>
    </row>
    <row r="680" spans="2:10">
      <c r="B680" s="755" t="s">
        <v>5010</v>
      </c>
      <c r="C680" s="755">
        <v>0.12</v>
      </c>
      <c r="D680" s="755">
        <f>H751</f>
        <v>17.610000000000003</v>
      </c>
      <c r="E680" s="1306">
        <f t="shared" ref="E680:E695" si="78">C680*D680</f>
        <v>2.1132000000000004</v>
      </c>
      <c r="G680" s="730"/>
      <c r="H680" s="730"/>
      <c r="I680" s="730"/>
      <c r="J680" s="730"/>
    </row>
    <row r="681" spans="2:10">
      <c r="B681" s="1493" t="s">
        <v>5003</v>
      </c>
      <c r="C681" s="755">
        <v>0.12</v>
      </c>
      <c r="D681" s="1004">
        <f>H762</f>
        <v>33.65</v>
      </c>
      <c r="E681" s="1306">
        <f t="shared" ref="E681" si="79">C681*D681</f>
        <v>4.0379999999999994</v>
      </c>
      <c r="G681" s="730"/>
      <c r="H681" s="730"/>
      <c r="I681" s="730"/>
      <c r="J681" s="730"/>
    </row>
    <row r="682" spans="2:10">
      <c r="B682" s="755" t="s">
        <v>5012</v>
      </c>
      <c r="C682" s="755">
        <v>0.12</v>
      </c>
      <c r="D682" s="1004">
        <f>H783</f>
        <v>17.350000000000001</v>
      </c>
      <c r="E682" s="1306">
        <f t="shared" si="78"/>
        <v>2.0820000000000003</v>
      </c>
      <c r="G682" s="730"/>
      <c r="H682" s="730"/>
      <c r="I682" s="730"/>
      <c r="J682" s="730"/>
    </row>
    <row r="683" spans="2:10">
      <c r="B683" s="755" t="s">
        <v>5014</v>
      </c>
      <c r="C683" s="755">
        <v>0.12</v>
      </c>
      <c r="D683" s="1004">
        <f>H819</f>
        <v>22.8</v>
      </c>
      <c r="E683" s="1306">
        <f t="shared" si="78"/>
        <v>2.7359999999999998</v>
      </c>
      <c r="G683" s="730"/>
      <c r="H683" s="730"/>
      <c r="I683" s="730"/>
      <c r="J683" s="730"/>
    </row>
    <row r="684" spans="2:10">
      <c r="B684" s="755" t="s">
        <v>5015</v>
      </c>
      <c r="C684" s="755">
        <v>0.12</v>
      </c>
      <c r="D684" s="1004">
        <f>D682</f>
        <v>17.350000000000001</v>
      </c>
      <c r="E684" s="1306">
        <f t="shared" si="78"/>
        <v>2.0820000000000003</v>
      </c>
      <c r="G684" s="730"/>
      <c r="H684" s="730"/>
      <c r="I684" s="730"/>
      <c r="J684" s="730"/>
    </row>
    <row r="685" spans="2:10">
      <c r="B685" s="1493" t="s">
        <v>5005</v>
      </c>
      <c r="C685" s="755">
        <v>0.12</v>
      </c>
      <c r="D685" s="1004">
        <f>D681</f>
        <v>33.65</v>
      </c>
      <c r="E685" s="1306">
        <f t="shared" ref="E685" si="80">C685*D685</f>
        <v>4.0379999999999994</v>
      </c>
      <c r="G685" s="730"/>
      <c r="H685" s="730"/>
      <c r="I685" s="730"/>
      <c r="J685" s="730"/>
    </row>
    <row r="686" spans="2:10">
      <c r="B686" s="1493" t="s">
        <v>5016</v>
      </c>
      <c r="C686" s="755">
        <v>0.12</v>
      </c>
      <c r="D686" s="1004">
        <f>D680</f>
        <v>17.610000000000003</v>
      </c>
      <c r="E686" s="1306">
        <f t="shared" ref="E686" si="81">C686*D686</f>
        <v>2.1132000000000004</v>
      </c>
      <c r="G686" s="730"/>
      <c r="H686" s="730"/>
      <c r="I686" s="730"/>
      <c r="J686" s="730"/>
    </row>
    <row r="687" spans="2:10">
      <c r="B687" s="755" t="s">
        <v>5017</v>
      </c>
      <c r="C687" s="755">
        <v>0.12</v>
      </c>
      <c r="D687" s="1004">
        <f>G709</f>
        <v>141.35</v>
      </c>
      <c r="E687" s="1306">
        <f t="shared" si="78"/>
        <v>16.962</v>
      </c>
      <c r="G687" s="730"/>
      <c r="H687" s="730"/>
      <c r="I687" s="730"/>
      <c r="J687" s="730"/>
    </row>
    <row r="688" spans="2:10">
      <c r="B688" s="755" t="s">
        <v>5019</v>
      </c>
      <c r="C688" s="755">
        <v>0.12</v>
      </c>
      <c r="D688" s="1004">
        <f>D680</f>
        <v>17.610000000000003</v>
      </c>
      <c r="E688" s="1306">
        <f t="shared" si="78"/>
        <v>2.1132000000000004</v>
      </c>
      <c r="G688" s="730"/>
      <c r="H688" s="730"/>
      <c r="I688" s="730"/>
      <c r="J688" s="730"/>
    </row>
    <row r="689" spans="2:12">
      <c r="B689" s="1493" t="s">
        <v>5011</v>
      </c>
      <c r="C689" s="755">
        <v>0.12</v>
      </c>
      <c r="D689" s="1004">
        <f>D681</f>
        <v>33.65</v>
      </c>
      <c r="E689" s="1306">
        <f t="shared" ref="E689" si="82">C689*D689</f>
        <v>4.0379999999999994</v>
      </c>
      <c r="G689" s="730"/>
      <c r="H689" s="730"/>
      <c r="I689" s="730"/>
      <c r="J689" s="730"/>
    </row>
    <row r="690" spans="2:12">
      <c r="B690" s="755" t="s">
        <v>5021</v>
      </c>
      <c r="C690" s="755">
        <v>0.12</v>
      </c>
      <c r="D690" s="1004">
        <f>H772</f>
        <v>17.260000000000002</v>
      </c>
      <c r="E690" s="1306">
        <f t="shared" si="78"/>
        <v>2.0712000000000002</v>
      </c>
      <c r="G690" s="730"/>
      <c r="H690" s="730"/>
      <c r="I690" s="730"/>
      <c r="J690" s="730"/>
    </row>
    <row r="691" spans="2:12">
      <c r="B691" s="755" t="s">
        <v>5022</v>
      </c>
      <c r="C691" s="755">
        <v>0.12</v>
      </c>
      <c r="D691" s="1004">
        <f>H802</f>
        <v>17.440000000000001</v>
      </c>
      <c r="E691" s="1306">
        <f t="shared" si="78"/>
        <v>2.0928</v>
      </c>
      <c r="G691" s="730"/>
      <c r="H691" s="730"/>
      <c r="I691" s="730"/>
      <c r="J691" s="1144"/>
    </row>
    <row r="692" spans="2:12">
      <c r="B692" s="755" t="s">
        <v>5023</v>
      </c>
      <c r="C692" s="755">
        <v>0.12</v>
      </c>
      <c r="D692" s="1004">
        <f>H811</f>
        <v>3.31</v>
      </c>
      <c r="E692" s="1306">
        <f t="shared" si="78"/>
        <v>0.3972</v>
      </c>
    </row>
    <row r="693" spans="2:12">
      <c r="B693" s="755" t="s">
        <v>5024</v>
      </c>
      <c r="C693" s="755">
        <v>0.12</v>
      </c>
      <c r="D693" s="1004">
        <f>D690</f>
        <v>17.260000000000002</v>
      </c>
      <c r="E693" s="1306">
        <f t="shared" si="78"/>
        <v>2.0712000000000002</v>
      </c>
      <c r="J693" s="892" t="s">
        <v>4833</v>
      </c>
    </row>
    <row r="694" spans="2:12" ht="15.75" thickBot="1">
      <c r="B694" s="1493" t="s">
        <v>5013</v>
      </c>
      <c r="C694" s="755">
        <v>0.12</v>
      </c>
      <c r="D694" s="1004">
        <f>D689</f>
        <v>33.65</v>
      </c>
      <c r="E694" s="1306">
        <f t="shared" ref="E694" si="83">C694*D694</f>
        <v>4.0379999999999994</v>
      </c>
      <c r="J694" s="892"/>
    </row>
    <row r="695" spans="2:12">
      <c r="B695" s="755" t="s">
        <v>5025</v>
      </c>
      <c r="C695" s="755">
        <v>0.12</v>
      </c>
      <c r="D695" s="1004">
        <f>D688</f>
        <v>17.610000000000003</v>
      </c>
      <c r="E695" s="1306">
        <f t="shared" si="78"/>
        <v>2.1132000000000004</v>
      </c>
      <c r="G695" s="890"/>
      <c r="I695" s="783"/>
      <c r="K695" s="1898" t="s">
        <v>5185</v>
      </c>
      <c r="L695" s="1899"/>
    </row>
    <row r="696" spans="2:12">
      <c r="B696" s="1493" t="s">
        <v>5026</v>
      </c>
      <c r="C696" s="755">
        <v>0.12</v>
      </c>
      <c r="D696" s="1004">
        <f>H793</f>
        <v>10.26</v>
      </c>
      <c r="E696" s="1306">
        <f t="shared" ref="E696" si="84">C696*D696</f>
        <v>1.2311999999999999</v>
      </c>
      <c r="G696" s="890"/>
      <c r="I696" s="783"/>
      <c r="K696" s="1512"/>
      <c r="L696" s="1513"/>
    </row>
    <row r="697" spans="2:12" ht="30">
      <c r="B697" s="1133"/>
      <c r="C697" s="1133"/>
      <c r="D697" s="1133"/>
      <c r="E697" s="1196">
        <f>SUM(E679:E696)</f>
        <v>56.330399999999983</v>
      </c>
      <c r="F697" s="783"/>
      <c r="G697" s="890" t="s">
        <v>5020</v>
      </c>
      <c r="I697" s="783"/>
      <c r="J697" s="783">
        <f>O714+P758+P768+P779+P790+P799+P807+P816+P825</f>
        <v>82.247537418000007</v>
      </c>
      <c r="K697" s="1514">
        <f>J697/E697</f>
        <v>1.4600914855566449</v>
      </c>
      <c r="L697" s="1515" t="s">
        <v>4836</v>
      </c>
    </row>
    <row r="698" spans="2:12" ht="30">
      <c r="B698" s="1498"/>
      <c r="C698" s="1498"/>
      <c r="D698" s="1498"/>
      <c r="E698" s="1196"/>
      <c r="F698" s="783"/>
      <c r="G698" s="890" t="s">
        <v>5186</v>
      </c>
      <c r="I698" s="783"/>
      <c r="J698" s="783">
        <f>P850</f>
        <v>2.5373252399999995</v>
      </c>
      <c r="K698" s="1514">
        <f>J698/D673</f>
        <v>3.1491206553104343</v>
      </c>
      <c r="L698" s="1515" t="s">
        <v>4836</v>
      </c>
    </row>
    <row r="699" spans="2:12" ht="30">
      <c r="B699" s="1498"/>
      <c r="C699" s="1498"/>
      <c r="D699" s="1498"/>
      <c r="E699" s="1196"/>
      <c r="F699" s="783"/>
      <c r="G699" s="890" t="s">
        <v>4996</v>
      </c>
      <c r="I699" s="783"/>
      <c r="J699" s="783">
        <f>O669</f>
        <v>17.948704727999999</v>
      </c>
      <c r="K699" s="1524">
        <f>J699/D672</f>
        <v>1.3468633250039395</v>
      </c>
      <c r="L699" s="1515" t="s">
        <v>4836</v>
      </c>
    </row>
    <row r="700" spans="2:12">
      <c r="G700" s="892" t="s">
        <v>5178</v>
      </c>
      <c r="H700" s="892">
        <f>B732*4+B738*4+B745*4</f>
        <v>5.8463999999999992</v>
      </c>
      <c r="I700" s="892" t="s">
        <v>1806</v>
      </c>
      <c r="J700" s="783">
        <f>P733+P739+P746</f>
        <v>28.062667440000002</v>
      </c>
      <c r="K700" s="1514">
        <f>J700/H700</f>
        <v>4.799991009852218</v>
      </c>
      <c r="L700" s="1515" t="s">
        <v>4836</v>
      </c>
    </row>
    <row r="701" spans="2:12">
      <c r="G701" s="892" t="s">
        <v>5179</v>
      </c>
      <c r="H701" s="1505">
        <f>A722*2</f>
        <v>2.2320000000000002</v>
      </c>
      <c r="I701" s="892" t="s">
        <v>1806</v>
      </c>
      <c r="J701" s="783">
        <f>O723</f>
        <v>10.8118257</v>
      </c>
      <c r="K701" s="1514">
        <f>J701/H701</f>
        <v>4.8440079301075265</v>
      </c>
      <c r="L701" s="1515" t="s">
        <v>4836</v>
      </c>
    </row>
    <row r="702" spans="2:12" ht="30.75" thickBot="1">
      <c r="G702" s="890" t="s">
        <v>5180</v>
      </c>
      <c r="H702" s="891">
        <f>B834</f>
        <v>0.25319999999999998</v>
      </c>
      <c r="I702" s="892" t="s">
        <v>1806</v>
      </c>
      <c r="J702" s="783">
        <f>P835</f>
        <v>0.82473406499999991</v>
      </c>
      <c r="K702" s="1516">
        <f>J702/H702</f>
        <v>3.2572435426540283</v>
      </c>
      <c r="L702" s="1517" t="s">
        <v>4836</v>
      </c>
    </row>
    <row r="704" spans="2:12">
      <c r="B704" s="807"/>
      <c r="C704" s="807"/>
      <c r="D704" s="1503"/>
      <c r="E704" s="1504"/>
    </row>
    <row r="705" spans="1:16">
      <c r="B705" s="807"/>
      <c r="C705" s="807"/>
      <c r="D705" s="807"/>
      <c r="E705" s="807"/>
    </row>
    <row r="707" spans="1:16" ht="15.75" thickBot="1">
      <c r="A707" s="1903" t="s">
        <v>5027</v>
      </c>
      <c r="B707" s="1903"/>
      <c r="C707" s="1903"/>
      <c r="D707" s="1903"/>
      <c r="E707" s="1903"/>
      <c r="F707" s="1903"/>
      <c r="G707" s="1903"/>
      <c r="H707" s="1903"/>
      <c r="I707" s="1903"/>
      <c r="J707" s="1903"/>
      <c r="K707" s="1903"/>
      <c r="L707" s="1903"/>
      <c r="M707" s="1903"/>
      <c r="N707" s="1903"/>
      <c r="O707" s="1903"/>
      <c r="P707" s="1199" t="s">
        <v>4848</v>
      </c>
    </row>
    <row r="708" spans="1:16" ht="26.25" thickBot="1">
      <c r="A708" s="1304" t="s">
        <v>4849</v>
      </c>
      <c r="B708" s="1200" t="s">
        <v>4850</v>
      </c>
      <c r="C708" s="1201" t="s">
        <v>4851</v>
      </c>
      <c r="D708" s="1201" t="s">
        <v>4852</v>
      </c>
      <c r="E708" s="1201" t="s">
        <v>4853</v>
      </c>
      <c r="F708" s="1202" t="s">
        <v>4854</v>
      </c>
      <c r="G708" s="1201" t="s">
        <v>4855</v>
      </c>
      <c r="H708" s="1202" t="s">
        <v>4856</v>
      </c>
      <c r="I708" s="1202" t="s">
        <v>4857</v>
      </c>
      <c r="J708" s="1202" t="s">
        <v>4994</v>
      </c>
      <c r="K708" s="1202" t="s">
        <v>4858</v>
      </c>
      <c r="L708" s="1202" t="s">
        <v>4859</v>
      </c>
      <c r="M708" s="1202" t="s">
        <v>4995</v>
      </c>
      <c r="N708" s="1202" t="s">
        <v>4860</v>
      </c>
      <c r="O708" s="1201" t="s">
        <v>4</v>
      </c>
      <c r="P708" s="1203" t="s">
        <v>4861</v>
      </c>
    </row>
    <row r="709" spans="1:16" ht="15.75" customHeight="1">
      <c r="A709" s="1885">
        <v>0.12</v>
      </c>
      <c r="B709" s="1305">
        <v>0.375</v>
      </c>
      <c r="C709" s="1204" t="s">
        <v>4862</v>
      </c>
      <c r="D709" s="1205">
        <v>0.25</v>
      </c>
      <c r="E709" s="1205">
        <v>47.51</v>
      </c>
      <c r="F709" s="1205">
        <v>2.76</v>
      </c>
      <c r="G709" s="1888">
        <v>141.35</v>
      </c>
      <c r="H709" s="1206">
        <f>(ROUND(((F709))/D709,0))+1</f>
        <v>12</v>
      </c>
      <c r="I709" s="1206"/>
      <c r="J709" s="1206"/>
      <c r="K709" s="1206">
        <v>2</v>
      </c>
      <c r="L709" s="1205">
        <f>E709+(2*$G$658)+$N$658-2*$G$659+8*E660</f>
        <v>51.518000000000001</v>
      </c>
      <c r="M709" s="1205">
        <v>2.9</v>
      </c>
      <c r="N709" s="1206">
        <f>ROUND(PI()*((B709*0.0254)^2)/4*7.85*2204.6,2)</f>
        <v>1.23</v>
      </c>
      <c r="O709" s="1224">
        <f>+((L709*H709*N709)/100)*1.07+((K709*M709*N709)/100)*1.07</f>
        <v>8.2126745760000013</v>
      </c>
      <c r="P709" s="1904">
        <f>SUM(O709:O712)/(G709*A709)</f>
        <v>1.828935178988327</v>
      </c>
    </row>
    <row r="710" spans="1:16" ht="15.75" customHeight="1">
      <c r="A710" s="1886"/>
      <c r="B710" s="1305">
        <v>0.375</v>
      </c>
      <c r="C710" s="1204" t="s">
        <v>4863</v>
      </c>
      <c r="D710" s="1205">
        <v>0.25</v>
      </c>
      <c r="E710" s="1205">
        <v>4.57</v>
      </c>
      <c r="F710" s="1205">
        <v>47.11</v>
      </c>
      <c r="G710" s="1889"/>
      <c r="H710" s="1206">
        <f>(ROUND(((F710))/D710,0))+1</f>
        <v>189</v>
      </c>
      <c r="I710" s="1206">
        <v>95</v>
      </c>
      <c r="J710" s="1206"/>
      <c r="K710" s="1206"/>
      <c r="L710" s="1205">
        <f>E710</f>
        <v>4.57</v>
      </c>
      <c r="M710" s="1205"/>
      <c r="N710" s="1206">
        <f>ROUND(PI()*((B710*0.0254)^2)/4*7.85*2204.6,2)</f>
        <v>1.23</v>
      </c>
      <c r="O710" s="1224">
        <f>+((L710*H710*N710)/100)*1.07+((K710*M710*N710)/100)*1.07</f>
        <v>11.367550529999999</v>
      </c>
      <c r="P710" s="1905"/>
    </row>
    <row r="711" spans="1:16" ht="15.75" customHeight="1">
      <c r="A711" s="1886"/>
      <c r="B711" s="1305">
        <v>0.375</v>
      </c>
      <c r="C711" s="1204" t="s">
        <v>4863</v>
      </c>
      <c r="D711" s="1205">
        <v>0.25</v>
      </c>
      <c r="E711" s="1205">
        <v>4.5999999999999996</v>
      </c>
      <c r="F711" s="1205">
        <v>47.11</v>
      </c>
      <c r="G711" s="1889"/>
      <c r="H711" s="1206">
        <f>(ROUND(((F711))/D711,0))+1</f>
        <v>189</v>
      </c>
      <c r="I711" s="1206">
        <v>94</v>
      </c>
      <c r="J711" s="1206"/>
      <c r="K711" s="1206"/>
      <c r="L711" s="1205">
        <f>E711</f>
        <v>4.5999999999999996</v>
      </c>
      <c r="M711" s="1205"/>
      <c r="N711" s="1206">
        <f>ROUND(PI()*((B711*0.0254)^2)/4*7.85*2204.6,2)</f>
        <v>1.23</v>
      </c>
      <c r="O711" s="1224">
        <f>+((L711*H711*N711)/100)*1.07+((K711*M711*N711)/100)*1.07</f>
        <v>11.4421734</v>
      </c>
      <c r="P711" s="1905"/>
    </row>
    <row r="712" spans="1:16" ht="15.75" customHeight="1">
      <c r="A712" s="1887"/>
      <c r="B712" s="1305"/>
      <c r="C712" s="1204"/>
      <c r="D712" s="1205"/>
      <c r="E712" s="1205"/>
      <c r="F712" s="1205"/>
      <c r="G712" s="1890"/>
      <c r="H712" s="1206"/>
      <c r="I712" s="1207"/>
      <c r="J712" s="1206"/>
      <c r="K712" s="1206"/>
      <c r="L712" s="1205"/>
      <c r="M712" s="1206"/>
      <c r="N712" s="1206"/>
      <c r="O712" s="1205"/>
      <c r="P712" s="1906"/>
    </row>
    <row r="713" spans="1:16" ht="15.75">
      <c r="A713" s="1883">
        <f>G709*A709</f>
        <v>16.962</v>
      </c>
      <c r="B713" s="1883"/>
      <c r="C713" s="1883"/>
      <c r="D713" s="1883"/>
      <c r="E713" s="1883"/>
      <c r="F713" s="1883"/>
      <c r="G713" s="1883"/>
      <c r="H713" s="1883"/>
      <c r="I713" s="1883"/>
      <c r="J713" s="1883"/>
      <c r="K713" s="1883"/>
      <c r="L713" s="1883"/>
      <c r="M713" s="1883"/>
      <c r="N713" s="1883"/>
      <c r="O713" s="1883"/>
      <c r="P713" s="1883"/>
    </row>
    <row r="714" spans="1:16">
      <c r="O714" s="891">
        <f>SUM(O709:O712)</f>
        <v>31.022398506000002</v>
      </c>
    </row>
    <row r="716" spans="1:16" ht="15.75" thickBot="1">
      <c r="A716" s="1903" t="s">
        <v>5028</v>
      </c>
      <c r="B716" s="1903"/>
      <c r="C716" s="1903"/>
      <c r="D716" s="1903"/>
      <c r="E716" s="1903"/>
      <c r="F716" s="1903"/>
      <c r="G716" s="1903"/>
      <c r="H716" s="1903"/>
      <c r="I716" s="1903"/>
      <c r="J716" s="1903"/>
      <c r="K716" s="1903"/>
      <c r="L716" s="1903"/>
      <c r="M716" s="1903"/>
      <c r="N716" s="1903"/>
      <c r="O716" s="1903"/>
      <c r="P716" s="1199" t="s">
        <v>4993</v>
      </c>
    </row>
    <row r="717" spans="1:16" ht="26.25" thickBot="1">
      <c r="A717" s="1304" t="s">
        <v>4849</v>
      </c>
      <c r="B717" s="1200" t="s">
        <v>4850</v>
      </c>
      <c r="C717" s="1201" t="s">
        <v>4851</v>
      </c>
      <c r="D717" s="1201" t="s">
        <v>4852</v>
      </c>
      <c r="E717" s="1201" t="s">
        <v>4853</v>
      </c>
      <c r="F717" s="1202" t="s">
        <v>4854</v>
      </c>
      <c r="G717" s="1201" t="s">
        <v>4855</v>
      </c>
      <c r="H717" s="1202" t="s">
        <v>4856</v>
      </c>
      <c r="I717" s="1202" t="s">
        <v>4857</v>
      </c>
      <c r="J717" s="1202" t="s">
        <v>4994</v>
      </c>
      <c r="K717" s="1202" t="s">
        <v>4858</v>
      </c>
      <c r="L717" s="1202" t="s">
        <v>4859</v>
      </c>
      <c r="M717" s="1202" t="s">
        <v>4995</v>
      </c>
      <c r="N717" s="1202" t="s">
        <v>4860</v>
      </c>
      <c r="O717" s="1201" t="s">
        <v>4</v>
      </c>
      <c r="P717" s="1203" t="s">
        <v>4861</v>
      </c>
    </row>
    <row r="718" spans="1:16" ht="15.75">
      <c r="A718" s="1885">
        <v>0.15</v>
      </c>
      <c r="B718" s="1305">
        <v>0.5</v>
      </c>
      <c r="C718" s="1307" t="s">
        <v>4862</v>
      </c>
      <c r="D718" s="1205">
        <v>0.1</v>
      </c>
      <c r="E718" s="1205">
        <v>3.75</v>
      </c>
      <c r="F718" s="1205">
        <v>5.2</v>
      </c>
      <c r="G718" s="1888">
        <v>7.44</v>
      </c>
      <c r="H718" s="1206">
        <f>(ROUND(((F718))/D718,0))+1</f>
        <v>53</v>
      </c>
      <c r="I718" s="1206"/>
      <c r="J718" s="1206"/>
      <c r="K718" s="1206"/>
      <c r="L718" s="1205">
        <f>E718+0.1*2+N658-0.02</f>
        <v>3.97</v>
      </c>
      <c r="M718" s="1205"/>
      <c r="N718" s="1206">
        <f>ROUND(PI()*((B718*0.0254)^2)/4*7.85*2204.6,2)</f>
        <v>2.19</v>
      </c>
      <c r="O718" s="1224">
        <f>+((L718*H718*N718)/100)*1.07</f>
        <v>4.9305375299999996</v>
      </c>
      <c r="P718" s="1904">
        <f>SUM(O718:O721)/(G718*A718)</f>
        <v>4.8440079301075265</v>
      </c>
    </row>
    <row r="719" spans="1:16" ht="15.75">
      <c r="A719" s="1886"/>
      <c r="B719" s="1305">
        <v>0.375</v>
      </c>
      <c r="C719" s="1307" t="s">
        <v>4863</v>
      </c>
      <c r="D719" s="1205">
        <v>0.25</v>
      </c>
      <c r="E719" s="1205">
        <v>5.2</v>
      </c>
      <c r="F719" s="1205">
        <v>1.42</v>
      </c>
      <c r="G719" s="1889"/>
      <c r="H719" s="1206">
        <f>(ROUND(((F719))/D719,0))+1</f>
        <v>7</v>
      </c>
      <c r="I719" s="1206"/>
      <c r="J719" s="1206"/>
      <c r="K719" s="1206"/>
      <c r="L719" s="1205">
        <f>E719-0.02*2</f>
        <v>5.16</v>
      </c>
      <c r="M719" s="1205"/>
      <c r="N719" s="1206">
        <f>ROUND(PI()*((B719*0.0254)^2)/4*7.85*2204.6,2)</f>
        <v>1.23</v>
      </c>
      <c r="O719" s="1224">
        <f>+((L719*H719*N719)/100)*1.07</f>
        <v>0.4753753200000001</v>
      </c>
      <c r="P719" s="1905"/>
    </row>
    <row r="720" spans="1:16" ht="15.75">
      <c r="A720" s="1886"/>
      <c r="B720" s="1305"/>
      <c r="C720" s="1204"/>
      <c r="D720" s="1205"/>
      <c r="E720" s="1205"/>
      <c r="F720" s="1205"/>
      <c r="G720" s="1889"/>
      <c r="H720" s="1206"/>
      <c r="I720" s="1207"/>
      <c r="J720" s="1206"/>
      <c r="K720" s="1206"/>
      <c r="L720" s="1205"/>
      <c r="M720" s="1206"/>
      <c r="N720" s="1206"/>
      <c r="O720" s="1205"/>
      <c r="P720" s="1905"/>
    </row>
    <row r="721" spans="1:17" ht="15.75">
      <c r="A721" s="1887"/>
      <c r="B721" s="1305"/>
      <c r="C721" s="1204"/>
      <c r="D721" s="1205"/>
      <c r="E721" s="1205"/>
      <c r="F721" s="1205"/>
      <c r="G721" s="1890"/>
      <c r="H721" s="1206"/>
      <c r="I721" s="1207"/>
      <c r="J721" s="1206"/>
      <c r="K721" s="1206"/>
      <c r="L721" s="1205"/>
      <c r="M721" s="1206"/>
      <c r="N721" s="1206"/>
      <c r="O721" s="1205"/>
      <c r="P721" s="1906"/>
    </row>
    <row r="722" spans="1:17" ht="15.75">
      <c r="A722" s="1883">
        <f>G718*A718</f>
        <v>1.1160000000000001</v>
      </c>
      <c r="B722" s="1883"/>
      <c r="C722" s="1883"/>
      <c r="D722" s="1883"/>
      <c r="E722" s="1883"/>
      <c r="F722" s="1883"/>
      <c r="G722" s="1883"/>
      <c r="H722" s="1883"/>
      <c r="I722" s="1883"/>
      <c r="J722" s="1883"/>
      <c r="K722" s="1883"/>
      <c r="L722" s="1883"/>
      <c r="M722" s="1883"/>
      <c r="N722" s="1883"/>
      <c r="O722" s="1883"/>
      <c r="P722" s="1883"/>
    </row>
    <row r="723" spans="1:17">
      <c r="O723" s="891">
        <f>SUM(O718:O721)*2</f>
        <v>10.8118257</v>
      </c>
    </row>
    <row r="725" spans="1:17">
      <c r="E725" s="892"/>
    </row>
    <row r="726" spans="1:17">
      <c r="E726" s="892"/>
    </row>
    <row r="728" spans="1:17" ht="15.75" thickBot="1">
      <c r="B728" s="1939" t="s">
        <v>5029</v>
      </c>
      <c r="C728" s="1903"/>
      <c r="D728" s="1903"/>
      <c r="E728" s="1903"/>
      <c r="F728" s="1903"/>
      <c r="G728" s="1903"/>
      <c r="H728" s="1903"/>
      <c r="I728" s="1903"/>
      <c r="J728" s="1903"/>
      <c r="K728" s="1903"/>
      <c r="L728" s="1903"/>
      <c r="M728" s="1903"/>
      <c r="N728" s="1903"/>
      <c r="O728" s="1903"/>
      <c r="P728" s="1903"/>
      <c r="Q728" s="1199" t="s">
        <v>5030</v>
      </c>
    </row>
    <row r="729" spans="1:17" ht="51" customHeight="1" thickBot="1">
      <c r="B729" s="1308" t="s">
        <v>4849</v>
      </c>
      <c r="C729" s="1200" t="s">
        <v>4850</v>
      </c>
      <c r="D729" s="1201" t="s">
        <v>4851</v>
      </c>
      <c r="E729" s="1201" t="s">
        <v>4852</v>
      </c>
      <c r="F729" s="1201" t="s">
        <v>4853</v>
      </c>
      <c r="G729" s="1202" t="s">
        <v>4854</v>
      </c>
      <c r="H729" s="1201" t="s">
        <v>4855</v>
      </c>
      <c r="I729" s="1202" t="s">
        <v>4856</v>
      </c>
      <c r="J729" s="1202"/>
      <c r="K729" s="1202"/>
      <c r="L729" s="1202"/>
      <c r="M729" s="1202" t="s">
        <v>4859</v>
      </c>
      <c r="N729" s="1202"/>
      <c r="O729" s="1202" t="s">
        <v>4860</v>
      </c>
      <c r="P729" s="1201" t="s">
        <v>4</v>
      </c>
      <c r="Q729" s="1203" t="s">
        <v>4861</v>
      </c>
    </row>
    <row r="730" spans="1:17" ht="30" customHeight="1">
      <c r="B730" s="1940">
        <v>0.12</v>
      </c>
      <c r="C730" s="1305">
        <v>0.375</v>
      </c>
      <c r="D730" s="1307" t="s">
        <v>4862</v>
      </c>
      <c r="E730" s="1205">
        <v>0.25</v>
      </c>
      <c r="F730" s="1205">
        <v>3.7</v>
      </c>
      <c r="G730" s="1205">
        <v>0.9</v>
      </c>
      <c r="H730" s="1888">
        <v>3.18</v>
      </c>
      <c r="I730" s="1206">
        <f>(ROUND(((G730))/E730,0))+1</f>
        <v>5</v>
      </c>
      <c r="J730" s="1206"/>
      <c r="K730" s="1206"/>
      <c r="L730" s="1206">
        <f>$D$143</f>
        <v>0</v>
      </c>
      <c r="M730" s="1205">
        <f>F730-2*$G$659</f>
        <v>3.66</v>
      </c>
      <c r="N730" s="1205"/>
      <c r="O730" s="1206">
        <f>ROUND(PI()*((C730*0.0254)^2)/4*7.85*2204.6,2)</f>
        <v>1.23</v>
      </c>
      <c r="P730" s="1274">
        <f>+((M730*I730*O730)/100)*1.07</f>
        <v>0.24084630000000004</v>
      </c>
      <c r="Q730" s="1904">
        <f>SUM(P730:P731)/(H730*B730)</f>
        <v>4.2554034591194982</v>
      </c>
    </row>
    <row r="731" spans="1:17" ht="30" customHeight="1">
      <c r="B731" s="1940"/>
      <c r="C731" s="1305">
        <v>0.5</v>
      </c>
      <c r="D731" s="1307" t="s">
        <v>5031</v>
      </c>
      <c r="E731" s="1205">
        <v>0.15</v>
      </c>
      <c r="F731" s="1205">
        <v>2.27</v>
      </c>
      <c r="G731" s="1205">
        <v>3.7</v>
      </c>
      <c r="H731" s="1889"/>
      <c r="I731" s="1206">
        <f>(ROUND(((G731))/E731,0))+1</f>
        <v>26</v>
      </c>
      <c r="J731" s="1206"/>
      <c r="K731" s="1206"/>
      <c r="L731" s="1206">
        <f>$D$143</f>
        <v>0</v>
      </c>
      <c r="M731" s="1205">
        <f>F731</f>
        <v>2.27</v>
      </c>
      <c r="N731" s="1205"/>
      <c r="O731" s="1206">
        <f>ROUND(PI()*((C731*0.0254)^2)/4*7.85*2204.6,2)</f>
        <v>2.19</v>
      </c>
      <c r="P731" s="1274">
        <f>+((M731*I731*O731)/100)*1.07</f>
        <v>1.3830156600000003</v>
      </c>
      <c r="Q731" s="1905"/>
    </row>
    <row r="732" spans="1:17" ht="15.75">
      <c r="B732" s="1883">
        <f>H730*B730</f>
        <v>0.38159999999999999</v>
      </c>
      <c r="C732" s="1883"/>
      <c r="D732" s="1883"/>
      <c r="E732" s="1883"/>
      <c r="F732" s="1883"/>
      <c r="G732" s="1883"/>
      <c r="H732" s="1883"/>
      <c r="I732" s="1883"/>
      <c r="J732" s="1883"/>
      <c r="K732" s="1883"/>
      <c r="L732" s="1883"/>
      <c r="M732" s="1883"/>
      <c r="N732" s="1883"/>
      <c r="O732" s="1883"/>
      <c r="P732" s="1883"/>
      <c r="Q732" s="1883"/>
    </row>
    <row r="733" spans="1:17">
      <c r="P733" s="891">
        <f>SUM(P730:P731)*4</f>
        <v>6.4954478400000015</v>
      </c>
    </row>
    <row r="734" spans="1:17" ht="15.75" thickBot="1">
      <c r="B734" s="1939" t="s">
        <v>5032</v>
      </c>
      <c r="C734" s="1903"/>
      <c r="D734" s="1903"/>
      <c r="E734" s="1903"/>
      <c r="F734" s="1903"/>
      <c r="G734" s="1903"/>
      <c r="H734" s="1903"/>
      <c r="I734" s="1903"/>
      <c r="J734" s="1903"/>
      <c r="K734" s="1903"/>
      <c r="L734" s="1903"/>
      <c r="M734" s="1903"/>
      <c r="N734" s="1903"/>
      <c r="O734" s="1903"/>
      <c r="P734" s="1903"/>
      <c r="Q734" s="1199" t="s">
        <v>5030</v>
      </c>
    </row>
    <row r="735" spans="1:17" ht="39" thickBot="1">
      <c r="B735" s="1308" t="s">
        <v>4849</v>
      </c>
      <c r="C735" s="1200" t="s">
        <v>4850</v>
      </c>
      <c r="D735" s="1201" t="s">
        <v>4851</v>
      </c>
      <c r="E735" s="1201" t="s">
        <v>4852</v>
      </c>
      <c r="F735" s="1201" t="s">
        <v>4853</v>
      </c>
      <c r="G735" s="1202" t="s">
        <v>4854</v>
      </c>
      <c r="H735" s="1201" t="s">
        <v>4855</v>
      </c>
      <c r="I735" s="1202" t="s">
        <v>4856</v>
      </c>
      <c r="J735" s="1202" t="s">
        <v>4857</v>
      </c>
      <c r="K735" s="1202" t="s">
        <v>4994</v>
      </c>
      <c r="L735" s="1202" t="s">
        <v>4858</v>
      </c>
      <c r="M735" s="1202" t="s">
        <v>4859</v>
      </c>
      <c r="N735" s="1202" t="s">
        <v>4995</v>
      </c>
      <c r="O735" s="1202" t="s">
        <v>4860</v>
      </c>
      <c r="P735" s="1201" t="s">
        <v>4</v>
      </c>
      <c r="Q735" s="1203" t="s">
        <v>4861</v>
      </c>
    </row>
    <row r="736" spans="1:17" ht="30">
      <c r="B736" s="1940">
        <v>0.12</v>
      </c>
      <c r="C736" s="1305">
        <v>0.375</v>
      </c>
      <c r="D736" s="1307" t="s">
        <v>4862</v>
      </c>
      <c r="E736" s="1205">
        <v>0.25</v>
      </c>
      <c r="F736" s="1205">
        <v>7</v>
      </c>
      <c r="G736" s="1205">
        <v>0.9</v>
      </c>
      <c r="H736" s="1888">
        <v>6</v>
      </c>
      <c r="I736" s="1206">
        <f>(ROUND(((G736))/E736,0))+1</f>
        <v>5</v>
      </c>
      <c r="J736" s="1206"/>
      <c r="K736" s="1206"/>
      <c r="L736" s="1206">
        <f>$D$143</f>
        <v>0</v>
      </c>
      <c r="M736" s="1205">
        <f>F736-2*$G$659+1*E660</f>
        <v>7.4359999999999999</v>
      </c>
      <c r="N736" s="1205"/>
      <c r="O736" s="1206">
        <f>ROUND(PI()*((C736*0.0254)^2)/4*7.85*2204.6,2)</f>
        <v>1.23</v>
      </c>
      <c r="P736" s="1274">
        <f>+((M736*I736*O736)/100)*1.07</f>
        <v>0.48932598000000005</v>
      </c>
      <c r="Q736" s="1904">
        <f>SUM(P736:P737)/(H736*B736)</f>
        <v>5.0069134166666673</v>
      </c>
    </row>
    <row r="737" spans="2:17" ht="30">
      <c r="B737" s="1940"/>
      <c r="C737" s="1305">
        <v>0.5</v>
      </c>
      <c r="D737" s="1307" t="s">
        <v>5031</v>
      </c>
      <c r="E737" s="1205">
        <v>0.15</v>
      </c>
      <c r="F737" s="1205">
        <v>2.77</v>
      </c>
      <c r="G737" s="1205">
        <v>7</v>
      </c>
      <c r="H737" s="1889"/>
      <c r="I737" s="1206">
        <f>(ROUND(((G737))/E737,0))+1</f>
        <v>48</v>
      </c>
      <c r="J737" s="1206"/>
      <c r="K737" s="1206"/>
      <c r="L737" s="1206">
        <f>$D$143</f>
        <v>0</v>
      </c>
      <c r="M737" s="1205">
        <f>F737</f>
        <v>2.77</v>
      </c>
      <c r="N737" s="1205"/>
      <c r="O737" s="1206">
        <f>ROUND(PI()*((C737*0.0254)^2)/4*7.85*2204.6,2)</f>
        <v>2.19</v>
      </c>
      <c r="P737" s="1274">
        <f>+((M737*I737*O737)/100)*1.07</f>
        <v>3.1156516800000005</v>
      </c>
      <c r="Q737" s="1905"/>
    </row>
    <row r="738" spans="2:17" ht="15.75">
      <c r="B738" s="1883">
        <f>H736*B736</f>
        <v>0.72</v>
      </c>
      <c r="C738" s="1883"/>
      <c r="D738" s="1883"/>
      <c r="E738" s="1883"/>
      <c r="F738" s="1883"/>
      <c r="G738" s="1883"/>
      <c r="H738" s="1883"/>
      <c r="I738" s="1883"/>
      <c r="J738" s="1883"/>
      <c r="K738" s="1883"/>
      <c r="L738" s="1883"/>
      <c r="M738" s="1883"/>
      <c r="N738" s="1883"/>
      <c r="O738" s="1883"/>
      <c r="P738" s="1883"/>
      <c r="Q738" s="1883"/>
    </row>
    <row r="739" spans="2:17">
      <c r="P739" s="891">
        <f>SUM(P736:P737)*4</f>
        <v>14.419910640000001</v>
      </c>
    </row>
    <row r="741" spans="2:17" ht="15.75" thickBot="1">
      <c r="B741" s="1939" t="s">
        <v>5177</v>
      </c>
      <c r="C741" s="1903"/>
      <c r="D741" s="1903"/>
      <c r="E741" s="1903"/>
      <c r="F741" s="1903"/>
      <c r="G741" s="1903"/>
      <c r="H741" s="1903"/>
      <c r="I741" s="1903"/>
      <c r="J741" s="1903"/>
      <c r="K741" s="1903"/>
      <c r="L741" s="1903"/>
      <c r="M741" s="1903"/>
      <c r="N741" s="1903"/>
      <c r="O741" s="1903"/>
      <c r="P741" s="1903"/>
      <c r="Q741" s="1199" t="s">
        <v>5030</v>
      </c>
    </row>
    <row r="742" spans="2:17" ht="39" thickBot="1">
      <c r="B742" s="1308" t="s">
        <v>4849</v>
      </c>
      <c r="C742" s="1200" t="s">
        <v>4850</v>
      </c>
      <c r="D742" s="1201" t="s">
        <v>4851</v>
      </c>
      <c r="E742" s="1201" t="s">
        <v>4852</v>
      </c>
      <c r="F742" s="1201" t="s">
        <v>4853</v>
      </c>
      <c r="G742" s="1202" t="s">
        <v>4854</v>
      </c>
      <c r="H742" s="1201" t="s">
        <v>4855</v>
      </c>
      <c r="I742" s="1202" t="s">
        <v>4856</v>
      </c>
      <c r="J742" s="1202" t="s">
        <v>4857</v>
      </c>
      <c r="K742" s="1202" t="s">
        <v>4994</v>
      </c>
      <c r="L742" s="1202" t="s">
        <v>4858</v>
      </c>
      <c r="M742" s="1202" t="s">
        <v>4859</v>
      </c>
      <c r="N742" s="1202" t="s">
        <v>4995</v>
      </c>
      <c r="O742" s="1202" t="s">
        <v>4860</v>
      </c>
      <c r="P742" s="1201" t="s">
        <v>4</v>
      </c>
      <c r="Q742" s="1203" t="s">
        <v>4861</v>
      </c>
    </row>
    <row r="743" spans="2:17" ht="30">
      <c r="B743" s="1940">
        <v>0.12</v>
      </c>
      <c r="C743" s="1305">
        <v>0.375</v>
      </c>
      <c r="D743" s="1307" t="s">
        <v>4862</v>
      </c>
      <c r="E743" s="1205">
        <v>0.25</v>
      </c>
      <c r="F743" s="1205">
        <v>3.5</v>
      </c>
      <c r="G743" s="1205">
        <v>0.9</v>
      </c>
      <c r="H743" s="1888">
        <v>3</v>
      </c>
      <c r="I743" s="1206">
        <f>(ROUND(((G743))/E743,0))+1</f>
        <v>5</v>
      </c>
      <c r="J743" s="1206"/>
      <c r="K743" s="1206"/>
      <c r="L743" s="1206">
        <f>$D$143</f>
        <v>0</v>
      </c>
      <c r="M743" s="1205">
        <f>F743-1*$G$659</f>
        <v>3.48</v>
      </c>
      <c r="N743" s="1205"/>
      <c r="O743" s="1206">
        <f>ROUND(PI()*((C743*0.0254)^2)/4*7.85*2204.6,2)</f>
        <v>1.23</v>
      </c>
      <c r="P743" s="1274">
        <f>+((M743*I743*O743)/100)*1.07</f>
        <v>0.22900139999999999</v>
      </c>
      <c r="Q743" s="1904">
        <f>SUM(P743:P744)/(H743*B743)</f>
        <v>4.9634090000000013</v>
      </c>
    </row>
    <row r="744" spans="2:17" ht="30">
      <c r="B744" s="1940"/>
      <c r="C744" s="1305">
        <v>0.5</v>
      </c>
      <c r="D744" s="1307" t="s">
        <v>5031</v>
      </c>
      <c r="E744" s="1205">
        <v>0.15</v>
      </c>
      <c r="F744" s="1205">
        <v>2.77</v>
      </c>
      <c r="G744" s="1205">
        <v>3.5</v>
      </c>
      <c r="H744" s="1889"/>
      <c r="I744" s="1206">
        <f>(ROUND(((G744))/E744,0))+1</f>
        <v>24</v>
      </c>
      <c r="J744" s="1206"/>
      <c r="K744" s="1206"/>
      <c r="L744" s="1206">
        <f>$D$143</f>
        <v>0</v>
      </c>
      <c r="M744" s="1205">
        <f>F744</f>
        <v>2.77</v>
      </c>
      <c r="N744" s="1205"/>
      <c r="O744" s="1206">
        <f>ROUND(PI()*((C744*0.0254)^2)/4*7.85*2204.6,2)</f>
        <v>2.19</v>
      </c>
      <c r="P744" s="1274">
        <f>+((M744*I744*O744)/100)*1.07</f>
        <v>1.5578258400000002</v>
      </c>
      <c r="Q744" s="1905"/>
    </row>
    <row r="745" spans="2:17" ht="15.75">
      <c r="B745" s="1883">
        <f>H743*B743</f>
        <v>0.36</v>
      </c>
      <c r="C745" s="1883"/>
      <c r="D745" s="1883"/>
      <c r="E745" s="1883"/>
      <c r="F745" s="1883"/>
      <c r="G745" s="1883"/>
      <c r="H745" s="1883"/>
      <c r="I745" s="1883"/>
      <c r="J745" s="1883"/>
      <c r="K745" s="1883"/>
      <c r="L745" s="1883"/>
      <c r="M745" s="1883"/>
      <c r="N745" s="1883"/>
      <c r="O745" s="1883"/>
      <c r="P745" s="1883"/>
      <c r="Q745" s="1883"/>
    </row>
    <row r="746" spans="2:17">
      <c r="P746" s="891">
        <f>SUM(P743:P744)*4</f>
        <v>7.147308960000001</v>
      </c>
    </row>
    <row r="749" spans="2:17" ht="15.75" thickBot="1">
      <c r="B749" s="1903" t="s">
        <v>5033</v>
      </c>
      <c r="C749" s="1903"/>
      <c r="D749" s="1903"/>
      <c r="E749" s="1903"/>
      <c r="F749" s="1903"/>
      <c r="G749" s="1903"/>
      <c r="H749" s="1903"/>
      <c r="I749" s="1903"/>
      <c r="J749" s="1903"/>
      <c r="K749" s="1903"/>
      <c r="L749" s="1903"/>
      <c r="M749" s="1903"/>
      <c r="N749" s="1903"/>
      <c r="O749" s="1903"/>
      <c r="P749" s="1903"/>
      <c r="Q749" s="1199" t="s">
        <v>5030</v>
      </c>
    </row>
    <row r="750" spans="2:17" ht="39" thickBot="1">
      <c r="B750" s="1304" t="s">
        <v>4849</v>
      </c>
      <c r="C750" s="1200" t="s">
        <v>4850</v>
      </c>
      <c r="D750" s="1201" t="s">
        <v>4851</v>
      </c>
      <c r="E750" s="1201" t="s">
        <v>4852</v>
      </c>
      <c r="F750" s="1201" t="s">
        <v>4853</v>
      </c>
      <c r="G750" s="1202" t="s">
        <v>4854</v>
      </c>
      <c r="H750" s="1201" t="s">
        <v>4855</v>
      </c>
      <c r="I750" s="1202" t="s">
        <v>4856</v>
      </c>
      <c r="J750" s="1202" t="s">
        <v>4857</v>
      </c>
      <c r="K750" s="1202" t="s">
        <v>4994</v>
      </c>
      <c r="L750" s="1202" t="s">
        <v>4858</v>
      </c>
      <c r="M750" s="1202" t="s">
        <v>4859</v>
      </c>
      <c r="N750" s="1202" t="s">
        <v>4995</v>
      </c>
      <c r="O750" s="1202" t="s">
        <v>4860</v>
      </c>
      <c r="P750" s="1201" t="s">
        <v>4</v>
      </c>
      <c r="Q750" s="1203" t="s">
        <v>4861</v>
      </c>
    </row>
    <row r="751" spans="2:17" ht="30">
      <c r="B751" s="1885">
        <v>0.12</v>
      </c>
      <c r="C751" s="1305">
        <v>0.375</v>
      </c>
      <c r="D751" s="1307" t="s">
        <v>4862</v>
      </c>
      <c r="E751" s="1205">
        <v>0.25</v>
      </c>
      <c r="F751" s="1205">
        <v>3.7</v>
      </c>
      <c r="G751" s="1205">
        <v>0.62</v>
      </c>
      <c r="H751" s="1888">
        <f>17.19+0.42</f>
        <v>17.610000000000003</v>
      </c>
      <c r="I751" s="1206">
        <f t="shared" ref="I751:I756" si="85">(ROUND(((G751))/E751,0))+1</f>
        <v>3</v>
      </c>
      <c r="J751" s="1206"/>
      <c r="K751" s="1206"/>
      <c r="L751" s="1206">
        <v>1</v>
      </c>
      <c r="M751" s="1205">
        <f>F751+(2*$G$658)+$N$658-2*$G$659</f>
        <v>3.9000000000000004</v>
      </c>
      <c r="N751" s="1205">
        <v>3.7</v>
      </c>
      <c r="O751" s="1206">
        <f t="shared" ref="O751:O756" si="86">ROUND(PI()*((C751*0.0254)^2)/4*7.85*2204.6,2)</f>
        <v>1.23</v>
      </c>
      <c r="P751" s="1224">
        <f>+((M751*I751*O751)/100)*1.07+((L751*N751*O751)/100)*1.07</f>
        <v>0.20267940000000004</v>
      </c>
      <c r="Q751" s="1904">
        <f>SUM(P751:P756)/(H751*B751)</f>
        <v>1.3047027683134582</v>
      </c>
    </row>
    <row r="752" spans="2:17" ht="30">
      <c r="B752" s="1886"/>
      <c r="C752" s="1305">
        <v>0.375</v>
      </c>
      <c r="D752" s="1307" t="s">
        <v>5034</v>
      </c>
      <c r="E752" s="1205">
        <v>0.25</v>
      </c>
      <c r="F752" s="1205">
        <v>5.65</v>
      </c>
      <c r="G752" s="1205">
        <v>2.6</v>
      </c>
      <c r="H752" s="1889"/>
      <c r="I752" s="1206">
        <f t="shared" si="85"/>
        <v>11</v>
      </c>
      <c r="J752" s="1206">
        <v>6</v>
      </c>
      <c r="K752" s="1206"/>
      <c r="L752" s="1206">
        <v>1</v>
      </c>
      <c r="M752" s="1205">
        <f>F752</f>
        <v>5.65</v>
      </c>
      <c r="N752" s="1205">
        <v>3.46</v>
      </c>
      <c r="O752" s="1206">
        <f t="shared" si="86"/>
        <v>1.23</v>
      </c>
      <c r="P752" s="1224">
        <f>+((M752*J752*O752)/100)*1.07+((L752*N752*O752)/100)*1.07</f>
        <v>0.49169496000000018</v>
      </c>
      <c r="Q752" s="1905"/>
    </row>
    <row r="753" spans="2:17" ht="30">
      <c r="B753" s="1886"/>
      <c r="C753" s="1305">
        <v>0.375</v>
      </c>
      <c r="D753" s="1307" t="s">
        <v>4863</v>
      </c>
      <c r="E753" s="1205">
        <v>0.25</v>
      </c>
      <c r="F753" s="1205">
        <v>8.83</v>
      </c>
      <c r="G753" s="1205">
        <v>2.6</v>
      </c>
      <c r="H753" s="1889"/>
      <c r="I753" s="1206">
        <f t="shared" si="85"/>
        <v>11</v>
      </c>
      <c r="J753" s="1206">
        <v>5</v>
      </c>
      <c r="K753" s="1206"/>
      <c r="L753" s="1206"/>
      <c r="M753" s="1205">
        <f>8.83+0.476</f>
        <v>9.3060000000000009</v>
      </c>
      <c r="N753" s="1205"/>
      <c r="O753" s="1206">
        <f t="shared" si="86"/>
        <v>1.23</v>
      </c>
      <c r="P753" s="1224">
        <f>+((M753*J753*O753)/100)*1.07</f>
        <v>0.61238133000000006</v>
      </c>
      <c r="Q753" s="1905"/>
    </row>
    <row r="754" spans="2:17" ht="30">
      <c r="B754" s="1886"/>
      <c r="C754" s="1305">
        <v>0.375</v>
      </c>
      <c r="D754" s="1307" t="s">
        <v>4863</v>
      </c>
      <c r="E754" s="1205">
        <v>0.25</v>
      </c>
      <c r="F754" s="1205">
        <v>4.8499999999999996</v>
      </c>
      <c r="G754" s="1205">
        <v>3.3</v>
      </c>
      <c r="H754" s="1889"/>
      <c r="I754" s="1206">
        <f t="shared" si="85"/>
        <v>14</v>
      </c>
      <c r="J754" s="1206">
        <v>7</v>
      </c>
      <c r="K754" s="1206"/>
      <c r="L754" s="1206">
        <v>1</v>
      </c>
      <c r="M754" s="1205">
        <f>F754</f>
        <v>4.8499999999999996</v>
      </c>
      <c r="N754" s="1205">
        <v>2.89</v>
      </c>
      <c r="O754" s="1206">
        <f t="shared" si="86"/>
        <v>1.23</v>
      </c>
      <c r="P754" s="1224">
        <f>+((M754*J754*O754)/100)*1.07+((L754*N754*O754)/100)*1.07</f>
        <v>0.48485123999999996</v>
      </c>
      <c r="Q754" s="1905"/>
    </row>
    <row r="755" spans="2:17" ht="30">
      <c r="B755" s="1886"/>
      <c r="C755" s="1305">
        <v>0.375</v>
      </c>
      <c r="D755" s="1307" t="s">
        <v>4863</v>
      </c>
      <c r="E755" s="1205">
        <v>0.25</v>
      </c>
      <c r="F755" s="1205">
        <v>4.9000000000000004</v>
      </c>
      <c r="G755" s="1205">
        <v>3.3</v>
      </c>
      <c r="H755" s="1889"/>
      <c r="I755" s="1206">
        <f t="shared" si="85"/>
        <v>14</v>
      </c>
      <c r="J755" s="1206">
        <v>7</v>
      </c>
      <c r="K755" s="1206"/>
      <c r="L755" s="1206">
        <v>1</v>
      </c>
      <c r="M755" s="1205">
        <f>F755</f>
        <v>4.9000000000000004</v>
      </c>
      <c r="N755" s="1205">
        <v>5.1100000000000003</v>
      </c>
      <c r="O755" s="1206">
        <f t="shared" si="86"/>
        <v>1.23</v>
      </c>
      <c r="P755" s="1224">
        <f>+((M755*J755*O755)/100)*1.07+((L755*N755*O755)/100)*1.07</f>
        <v>0.51867501000000016</v>
      </c>
      <c r="Q755" s="1905"/>
    </row>
    <row r="756" spans="2:17" ht="30">
      <c r="B756" s="1887"/>
      <c r="C756" s="1305">
        <v>0.375</v>
      </c>
      <c r="D756" s="1307" t="s">
        <v>4863</v>
      </c>
      <c r="E756" s="1205">
        <v>0.25</v>
      </c>
      <c r="F756" s="1205">
        <v>4.8499999999999996</v>
      </c>
      <c r="G756" s="1205">
        <v>1.55</v>
      </c>
      <c r="H756" s="1890"/>
      <c r="I756" s="1206">
        <f t="shared" si="85"/>
        <v>7</v>
      </c>
      <c r="J756" s="1206"/>
      <c r="K756" s="1206"/>
      <c r="L756" s="1206"/>
      <c r="M756" s="1205">
        <f>F756</f>
        <v>4.8499999999999996</v>
      </c>
      <c r="N756" s="1205"/>
      <c r="O756" s="1206">
        <f t="shared" si="86"/>
        <v>1.23</v>
      </c>
      <c r="P756" s="1224">
        <f>+((M756*I756*O756)/100)*1.07</f>
        <v>0.44681594999999996</v>
      </c>
      <c r="Q756" s="1906"/>
    </row>
    <row r="757" spans="2:17" ht="15.75">
      <c r="B757" s="1883">
        <f>H751*B751</f>
        <v>2.1132000000000004</v>
      </c>
      <c r="C757" s="1883"/>
      <c r="D757" s="1883"/>
      <c r="E757" s="1883"/>
      <c r="F757" s="1883"/>
      <c r="G757" s="1883"/>
      <c r="H757" s="1883"/>
      <c r="I757" s="1883"/>
      <c r="J757" s="1883"/>
      <c r="K757" s="1883"/>
      <c r="L757" s="1883"/>
      <c r="M757" s="1883"/>
      <c r="N757" s="1883"/>
      <c r="O757" s="1883"/>
      <c r="P757" s="1883"/>
      <c r="Q757" s="1883"/>
    </row>
    <row r="758" spans="2:17">
      <c r="G758" s="1492" t="s">
        <v>5181</v>
      </c>
      <c r="H758" s="728">
        <f>B757*4</f>
        <v>8.4528000000000016</v>
      </c>
      <c r="I758" s="1492" t="s">
        <v>1806</v>
      </c>
      <c r="P758" s="891">
        <f>SUM(P751:P756)*4</f>
        <v>11.028391560000001</v>
      </c>
    </row>
    <row r="760" spans="2:17" ht="15.75" thickBot="1">
      <c r="B760" s="1903" t="s">
        <v>5035</v>
      </c>
      <c r="C760" s="1903"/>
      <c r="D760" s="1903"/>
      <c r="E760" s="1903"/>
      <c r="F760" s="1903"/>
      <c r="G760" s="1903"/>
      <c r="H760" s="1903"/>
      <c r="I760" s="1903"/>
      <c r="J760" s="1903"/>
      <c r="K760" s="1903"/>
      <c r="L760" s="1903"/>
      <c r="M760" s="1903"/>
      <c r="N760" s="1903"/>
      <c r="O760" s="1903"/>
      <c r="P760" s="1903"/>
      <c r="Q760" s="1199" t="s">
        <v>5030</v>
      </c>
    </row>
    <row r="761" spans="2:17" ht="39" thickBot="1">
      <c r="B761" s="1304" t="s">
        <v>4849</v>
      </c>
      <c r="C761" s="1200" t="s">
        <v>4850</v>
      </c>
      <c r="D761" s="1201" t="s">
        <v>4851</v>
      </c>
      <c r="E761" s="1201" t="s">
        <v>4852</v>
      </c>
      <c r="F761" s="1201" t="s">
        <v>4853</v>
      </c>
      <c r="G761" s="1202" t="s">
        <v>4854</v>
      </c>
      <c r="H761" s="1201" t="s">
        <v>4855</v>
      </c>
      <c r="I761" s="1202" t="s">
        <v>4856</v>
      </c>
      <c r="J761" s="1202" t="s">
        <v>4857</v>
      </c>
      <c r="K761" s="1202" t="s">
        <v>4994</v>
      </c>
      <c r="L761" s="1202" t="s">
        <v>4858</v>
      </c>
      <c r="M761" s="1202" t="s">
        <v>4859</v>
      </c>
      <c r="N761" s="1202" t="s">
        <v>4995</v>
      </c>
      <c r="O761" s="1202" t="s">
        <v>4860</v>
      </c>
      <c r="P761" s="1201" t="s">
        <v>4</v>
      </c>
      <c r="Q761" s="1203" t="s">
        <v>4861</v>
      </c>
    </row>
    <row r="762" spans="2:17" ht="30">
      <c r="B762" s="1885">
        <v>0.12</v>
      </c>
      <c r="C762" s="1305">
        <v>0.375</v>
      </c>
      <c r="D762" s="1307" t="s">
        <v>4862</v>
      </c>
      <c r="E762" s="1205">
        <v>0.25</v>
      </c>
      <c r="F762" s="1205">
        <v>7</v>
      </c>
      <c r="G762" s="1205">
        <v>0.62</v>
      </c>
      <c r="H762" s="1888">
        <v>33.65</v>
      </c>
      <c r="I762" s="1206">
        <f>(ROUND(((G762))/E762,0))+1</f>
        <v>3</v>
      </c>
      <c r="J762" s="1206"/>
      <c r="K762" s="1206"/>
      <c r="L762" s="1206">
        <v>1</v>
      </c>
      <c r="M762" s="1205">
        <f>F762+(2*$G$658)+$N$658-2*$G$659+1*E660</f>
        <v>7.6760000000000002</v>
      </c>
      <c r="N762" s="1205">
        <v>7</v>
      </c>
      <c r="O762" s="1206">
        <f>ROUND(PI()*((C762*0.0254)^2)/4*7.85*2204.6,2)</f>
        <v>1.23</v>
      </c>
      <c r="P762" s="1224">
        <f>+((M762*I762*O762)/100)*1.07+((L762*N762*O762)/100)*1.07</f>
        <v>0.39519850800000006</v>
      </c>
      <c r="Q762" s="1904">
        <f>SUM(P762:P766)/(H762*B762)</f>
        <v>1.1703772882615158</v>
      </c>
    </row>
    <row r="763" spans="2:17" ht="30">
      <c r="B763" s="1886"/>
      <c r="C763" s="1305">
        <v>0.375</v>
      </c>
      <c r="D763" s="1307" t="s">
        <v>5034</v>
      </c>
      <c r="E763" s="1205">
        <v>0.25</v>
      </c>
      <c r="F763" s="1205">
        <v>10.11</v>
      </c>
      <c r="G763" s="1205">
        <v>2.6</v>
      </c>
      <c r="H763" s="1889"/>
      <c r="I763" s="1206">
        <f>(ROUND(((G763))/E763,0))+1</f>
        <v>11</v>
      </c>
      <c r="J763" s="1206"/>
      <c r="K763" s="1206"/>
      <c r="L763" s="1206">
        <v>1</v>
      </c>
      <c r="M763" s="1205">
        <f>F763+G658*2-0.02*2+0.476</f>
        <v>10.745999999999999</v>
      </c>
      <c r="N763" s="1205">
        <f>9.88+0.476</f>
        <v>10.356000000000002</v>
      </c>
      <c r="O763" s="1206">
        <f>ROUND(PI()*((C763*0.0254)^2)/4*7.85*2204.6,2)</f>
        <v>1.23</v>
      </c>
      <c r="P763" s="1224">
        <f>+((M763*I763*O763)/100)*1.07+((L763*N763*O763)/100)*1.07</f>
        <v>1.6920044819999998</v>
      </c>
      <c r="Q763" s="1905"/>
    </row>
    <row r="764" spans="2:17" ht="30">
      <c r="B764" s="1886"/>
      <c r="C764" s="1305">
        <v>0.375</v>
      </c>
      <c r="D764" s="1307" t="s">
        <v>4863</v>
      </c>
      <c r="E764" s="1205">
        <v>0.25</v>
      </c>
      <c r="F764" s="1205">
        <v>4.8499999999999996</v>
      </c>
      <c r="G764" s="1205">
        <v>6.6</v>
      </c>
      <c r="H764" s="1889"/>
      <c r="I764" s="1206">
        <f>(ROUND(((G764))/E764,0))+1</f>
        <v>27</v>
      </c>
      <c r="J764" s="1206">
        <v>13</v>
      </c>
      <c r="K764" s="1206"/>
      <c r="L764" s="1206"/>
      <c r="M764" s="1205">
        <f>F764</f>
        <v>4.8499999999999996</v>
      </c>
      <c r="N764" s="1205"/>
      <c r="O764" s="1206">
        <f>ROUND(PI()*((C764*0.0254)^2)/4*7.85*2204.6,2)</f>
        <v>1.23</v>
      </c>
      <c r="P764" s="1224">
        <f>+((M764*J764*O764)/100)*1.07+((L764*N764*O764)/100)*1.07</f>
        <v>0.82980105000000004</v>
      </c>
      <c r="Q764" s="1905"/>
    </row>
    <row r="765" spans="2:17" ht="30">
      <c r="B765" s="1886"/>
      <c r="C765" s="1305">
        <v>0.375</v>
      </c>
      <c r="D765" s="1307" t="s">
        <v>4863</v>
      </c>
      <c r="E765" s="1205">
        <v>0.25</v>
      </c>
      <c r="F765" s="1205">
        <v>4.9000000000000004</v>
      </c>
      <c r="G765" s="1205">
        <v>6.6</v>
      </c>
      <c r="H765" s="1889"/>
      <c r="I765" s="1206">
        <f>(ROUND(((G765))/E765,0))+1</f>
        <v>27</v>
      </c>
      <c r="J765" s="1206">
        <v>14</v>
      </c>
      <c r="K765" s="1206"/>
      <c r="L765" s="1206"/>
      <c r="M765" s="1205">
        <f>F765</f>
        <v>4.9000000000000004</v>
      </c>
      <c r="N765" s="1205"/>
      <c r="O765" s="1206">
        <f>ROUND(PI()*((C765*0.0254)^2)/4*7.85*2204.6,2)</f>
        <v>1.23</v>
      </c>
      <c r="P765" s="1224">
        <f>+((M765*J765*O765)/100)*1.07+((L765*N765*O765)/100)*1.07</f>
        <v>0.90284460000000022</v>
      </c>
      <c r="Q765" s="1905"/>
    </row>
    <row r="766" spans="2:17" ht="30">
      <c r="B766" s="1887"/>
      <c r="C766" s="1305">
        <v>0.375</v>
      </c>
      <c r="D766" s="1307" t="s">
        <v>4863</v>
      </c>
      <c r="E766" s="1205">
        <v>0.25</v>
      </c>
      <c r="F766" s="1205">
        <v>4.8499999999999996</v>
      </c>
      <c r="G766" s="1205">
        <f>1.55*2</f>
        <v>3.1</v>
      </c>
      <c r="H766" s="1890"/>
      <c r="I766" s="1206">
        <f>(ROUND(((G766))/E766,0))+1</f>
        <v>13</v>
      </c>
      <c r="J766" s="1206"/>
      <c r="K766" s="1206"/>
      <c r="L766" s="1206">
        <v>2</v>
      </c>
      <c r="M766" s="1205">
        <f>F766</f>
        <v>4.8499999999999996</v>
      </c>
      <c r="N766" s="1205">
        <v>2.9</v>
      </c>
      <c r="O766" s="1206">
        <f>ROUND(PI()*((C766*0.0254)^2)/4*7.85*2204.6,2)</f>
        <v>1.23</v>
      </c>
      <c r="P766" s="1224">
        <f>+((M766*I766*O766)/100)*1.07+((L766*N766*O766)/100)*1.07</f>
        <v>0.90613485000000005</v>
      </c>
      <c r="Q766" s="1906"/>
    </row>
    <row r="767" spans="2:17" ht="15.75">
      <c r="B767" s="1883">
        <f>H762*B762</f>
        <v>4.0379999999999994</v>
      </c>
      <c r="C767" s="1883"/>
      <c r="D767" s="1883"/>
      <c r="E767" s="1883"/>
      <c r="F767" s="1883"/>
      <c r="G767" s="1883"/>
      <c r="H767" s="1883"/>
      <c r="I767" s="1883"/>
      <c r="J767" s="1883"/>
      <c r="K767" s="1883"/>
      <c r="L767" s="1883"/>
      <c r="M767" s="1883"/>
      <c r="N767" s="1883"/>
      <c r="O767" s="1883"/>
      <c r="P767" s="1883"/>
      <c r="Q767" s="1883"/>
    </row>
    <row r="768" spans="2:17">
      <c r="G768" s="1492" t="s">
        <v>5181</v>
      </c>
      <c r="H768" s="728">
        <f>B767*4</f>
        <v>16.151999999999997</v>
      </c>
      <c r="I768" s="1492" t="s">
        <v>1806</v>
      </c>
      <c r="P768" s="891">
        <f>SUM(P762:P766)*4</f>
        <v>18.90393396</v>
      </c>
    </row>
    <row r="770" spans="2:17" ht="15.75" thickBot="1">
      <c r="B770" s="1903" t="s">
        <v>5036</v>
      </c>
      <c r="C770" s="1903"/>
      <c r="D770" s="1903"/>
      <c r="E770" s="1903"/>
      <c r="F770" s="1903"/>
      <c r="G770" s="1903"/>
      <c r="H770" s="1903"/>
      <c r="I770" s="1903"/>
      <c r="J770" s="1903"/>
      <c r="K770" s="1903"/>
      <c r="L770" s="1903"/>
      <c r="M770" s="1903"/>
      <c r="N770" s="1903"/>
      <c r="O770" s="1903"/>
      <c r="P770" s="1903"/>
      <c r="Q770" s="1199" t="s">
        <v>4993</v>
      </c>
    </row>
    <row r="771" spans="2:17" ht="39" thickBot="1">
      <c r="B771" s="1304" t="s">
        <v>4849</v>
      </c>
      <c r="C771" s="1200" t="s">
        <v>4850</v>
      </c>
      <c r="D771" s="1201" t="s">
        <v>4851</v>
      </c>
      <c r="E771" s="1201" t="s">
        <v>4852</v>
      </c>
      <c r="F771" s="1201" t="s">
        <v>4853</v>
      </c>
      <c r="G771" s="1202" t="s">
        <v>4854</v>
      </c>
      <c r="H771" s="1201" t="s">
        <v>4855</v>
      </c>
      <c r="I771" s="1202" t="s">
        <v>4856</v>
      </c>
      <c r="J771" s="1202" t="s">
        <v>4857</v>
      </c>
      <c r="K771" s="1202" t="s">
        <v>4994</v>
      </c>
      <c r="L771" s="1202" t="s">
        <v>4858</v>
      </c>
      <c r="M771" s="1202" t="s">
        <v>4859</v>
      </c>
      <c r="N771" s="1202" t="s">
        <v>4995</v>
      </c>
      <c r="O771" s="1202" t="s">
        <v>4860</v>
      </c>
      <c r="P771" s="1201" t="s">
        <v>4</v>
      </c>
      <c r="Q771" s="1203" t="s">
        <v>4861</v>
      </c>
    </row>
    <row r="772" spans="2:17" ht="30">
      <c r="B772" s="1885">
        <v>0.12</v>
      </c>
      <c r="C772" s="1305">
        <v>0.375</v>
      </c>
      <c r="D772" s="1307" t="s">
        <v>4862</v>
      </c>
      <c r="E772" s="1205">
        <v>0.25</v>
      </c>
      <c r="F772" s="1205">
        <v>3.7</v>
      </c>
      <c r="G772" s="1205">
        <v>0.62</v>
      </c>
      <c r="H772" s="1888">
        <v>17.260000000000002</v>
      </c>
      <c r="I772" s="1206">
        <f t="shared" ref="I772:I777" si="87">(ROUND(((G772))/E772,0))+1</f>
        <v>3</v>
      </c>
      <c r="J772" s="1206"/>
      <c r="K772" s="1206"/>
      <c r="L772" s="1206">
        <v>1</v>
      </c>
      <c r="M772" s="1205">
        <f>F772+(2*$G$658)+$N$658-2*$G$659+1*E669</f>
        <v>3.9000000000000004</v>
      </c>
      <c r="N772" s="1205">
        <v>3.7</v>
      </c>
      <c r="O772" s="1206">
        <f t="shared" ref="O772:O777" si="88">ROUND(PI()*((C772*0.0254)^2)/4*7.85*2204.6,2)</f>
        <v>1.23</v>
      </c>
      <c r="P772" s="1224">
        <f>+((M772*I772*O772)/100)*1.07+((L772*N772*O772)/100)*1.07</f>
        <v>0.20267940000000004</v>
      </c>
      <c r="Q772" s="1904">
        <f>SUM(P772:P777)/(H772*B772)</f>
        <v>1.4921773030127461</v>
      </c>
    </row>
    <row r="773" spans="2:17" ht="30">
      <c r="B773" s="1886"/>
      <c r="C773" s="1305">
        <v>0.375</v>
      </c>
      <c r="D773" s="1307" t="s">
        <v>5034</v>
      </c>
      <c r="E773" s="1205">
        <v>0.25</v>
      </c>
      <c r="F773" s="1205">
        <v>8.85</v>
      </c>
      <c r="G773" s="1205">
        <v>2.6</v>
      </c>
      <c r="H773" s="1889"/>
      <c r="I773" s="1206">
        <f t="shared" si="87"/>
        <v>11</v>
      </c>
      <c r="J773" s="1206">
        <v>5</v>
      </c>
      <c r="K773" s="1206"/>
      <c r="L773" s="1206">
        <v>1</v>
      </c>
      <c r="M773" s="1205">
        <f>F773+0.476</f>
        <v>9.3260000000000005</v>
      </c>
      <c r="N773" s="1205">
        <v>3.5</v>
      </c>
      <c r="O773" s="1206">
        <f t="shared" si="88"/>
        <v>1.23</v>
      </c>
      <c r="P773" s="1224">
        <f>+((M773*J773*O773)/100)*1.07+((L773*N773*O773)/100)*1.07</f>
        <v>0.65976093000000002</v>
      </c>
      <c r="Q773" s="1905"/>
    </row>
    <row r="774" spans="2:17" ht="30">
      <c r="B774" s="1886"/>
      <c r="C774" s="1305">
        <v>0.375</v>
      </c>
      <c r="D774" s="1307" t="s">
        <v>4863</v>
      </c>
      <c r="E774" s="1205">
        <v>0.25</v>
      </c>
      <c r="F774" s="1205">
        <v>7.27</v>
      </c>
      <c r="G774" s="1205">
        <v>2.6</v>
      </c>
      <c r="H774" s="1889"/>
      <c r="I774" s="1206">
        <f t="shared" si="87"/>
        <v>11</v>
      </c>
      <c r="J774" s="1206">
        <v>6</v>
      </c>
      <c r="K774" s="1206"/>
      <c r="L774" s="1206">
        <v>1</v>
      </c>
      <c r="M774" s="1205">
        <f>F774+0.476</f>
        <v>7.7459999999999996</v>
      </c>
      <c r="N774" s="1205">
        <v>2.9</v>
      </c>
      <c r="O774" s="1206">
        <f t="shared" si="88"/>
        <v>1.23</v>
      </c>
      <c r="P774" s="1224">
        <f>+((M774*J774*O774)/100)*1.07+((L774*N774*O774)/100)*1.07</f>
        <v>0.64983753599999994</v>
      </c>
      <c r="Q774" s="1905"/>
    </row>
    <row r="775" spans="2:17" ht="30">
      <c r="B775" s="1886"/>
      <c r="C775" s="1305">
        <v>0.375</v>
      </c>
      <c r="D775" s="1307" t="s">
        <v>4863</v>
      </c>
      <c r="E775" s="1205">
        <v>0.25</v>
      </c>
      <c r="F775" s="1205">
        <v>4.8499999999999996</v>
      </c>
      <c r="G775" s="1205">
        <v>1.6</v>
      </c>
      <c r="H775" s="1889"/>
      <c r="I775" s="1206">
        <f t="shared" si="87"/>
        <v>7</v>
      </c>
      <c r="J775" s="1206"/>
      <c r="K775" s="1206"/>
      <c r="L775" s="1206"/>
      <c r="M775" s="1205">
        <f>F775+0.476</f>
        <v>5.3259999999999996</v>
      </c>
      <c r="N775" s="1205"/>
      <c r="O775" s="1206">
        <f t="shared" si="88"/>
        <v>1.23</v>
      </c>
      <c r="P775" s="1224">
        <f>+((M775*I775*O775)/100)*1.07+((L775*N775*O775)/100)*1.07</f>
        <v>0.490668402</v>
      </c>
      <c r="Q775" s="1905"/>
    </row>
    <row r="776" spans="2:17" ht="30">
      <c r="B776" s="1886"/>
      <c r="C776" s="1305">
        <v>0.375</v>
      </c>
      <c r="D776" s="1307" t="s">
        <v>4863</v>
      </c>
      <c r="E776" s="1205">
        <v>0.25</v>
      </c>
      <c r="F776" s="1205">
        <v>4.8499999999999996</v>
      </c>
      <c r="G776" s="1205">
        <v>3.3</v>
      </c>
      <c r="H776" s="1889"/>
      <c r="I776" s="1206">
        <f t="shared" si="87"/>
        <v>14</v>
      </c>
      <c r="J776" s="1206">
        <v>7</v>
      </c>
      <c r="K776" s="1206"/>
      <c r="L776" s="1206"/>
      <c r="M776" s="1205">
        <f>F776+0.476</f>
        <v>5.3259999999999996</v>
      </c>
      <c r="N776" s="1205"/>
      <c r="O776" s="1206">
        <f t="shared" si="88"/>
        <v>1.23</v>
      </c>
      <c r="P776" s="1224">
        <f>+((M776*J776*O776)/100)*1.07+((L776*N776*O776)/100)*1.07</f>
        <v>0.490668402</v>
      </c>
      <c r="Q776" s="1905"/>
    </row>
    <row r="777" spans="2:17" ht="30">
      <c r="B777" s="1887"/>
      <c r="C777" s="1305">
        <v>0.375</v>
      </c>
      <c r="D777" s="1307" t="s">
        <v>4863</v>
      </c>
      <c r="E777" s="1205">
        <v>0.25</v>
      </c>
      <c r="F777" s="1205">
        <v>4.9000000000000004</v>
      </c>
      <c r="G777" s="1205">
        <v>3.3</v>
      </c>
      <c r="H777" s="1890"/>
      <c r="I777" s="1206">
        <f t="shared" si="87"/>
        <v>14</v>
      </c>
      <c r="J777" s="1206">
        <v>7</v>
      </c>
      <c r="K777" s="1206"/>
      <c r="L777" s="1206">
        <v>1</v>
      </c>
      <c r="M777" s="1205">
        <f>4.56+((1/3)*3)+G658*2+N658-1*G659</f>
        <v>5.78</v>
      </c>
      <c r="N777" s="1205">
        <v>5.07</v>
      </c>
      <c r="O777" s="1206">
        <f t="shared" si="88"/>
        <v>1.23</v>
      </c>
      <c r="P777" s="1205">
        <f>(((((J777*M777*1.23)/100)+((K777*1.23*N777)/100))*1.07))+((L777*F777*1.23)/100)*1.07</f>
        <v>0.59698295999999995</v>
      </c>
      <c r="Q777" s="1906"/>
    </row>
    <row r="778" spans="2:17" ht="15.75">
      <c r="B778" s="1883">
        <f>H772*B772</f>
        <v>2.0712000000000002</v>
      </c>
      <c r="C778" s="1883"/>
      <c r="D778" s="1883"/>
      <c r="E778" s="1883"/>
      <c r="F778" s="1883"/>
      <c r="G778" s="1883"/>
      <c r="H778" s="1883"/>
      <c r="I778" s="1883"/>
      <c r="J778" s="1883"/>
      <c r="K778" s="1883"/>
      <c r="L778" s="1883"/>
      <c r="M778" s="1883"/>
      <c r="N778" s="1883"/>
      <c r="O778" s="1883"/>
      <c r="P778" s="1883"/>
      <c r="Q778" s="1883"/>
    </row>
    <row r="779" spans="2:17">
      <c r="G779" s="1492" t="s">
        <v>5181</v>
      </c>
      <c r="H779" s="728">
        <f>B778*2</f>
        <v>4.1424000000000003</v>
      </c>
      <c r="I779" s="1492" t="s">
        <v>1806</v>
      </c>
      <c r="P779" s="891">
        <f>SUM(P772:P777)*2</f>
        <v>6.18119526</v>
      </c>
    </row>
    <row r="781" spans="2:17" ht="15.75" thickBot="1">
      <c r="B781" s="1903" t="s">
        <v>5037</v>
      </c>
      <c r="C781" s="1903"/>
      <c r="D781" s="1903"/>
      <c r="E781" s="1903"/>
      <c r="F781" s="1903"/>
      <c r="G781" s="1903"/>
      <c r="H781" s="1903"/>
      <c r="I781" s="1903"/>
      <c r="J781" s="1903"/>
      <c r="K781" s="1903"/>
      <c r="L781" s="1903"/>
      <c r="M781" s="1903"/>
      <c r="N781" s="1903"/>
      <c r="O781" s="1903"/>
      <c r="P781" s="1903"/>
      <c r="Q781" s="1199" t="s">
        <v>4993</v>
      </c>
    </row>
    <row r="782" spans="2:17" ht="39" thickBot="1">
      <c r="B782" s="1304" t="s">
        <v>4849</v>
      </c>
      <c r="C782" s="1200" t="s">
        <v>4850</v>
      </c>
      <c r="D782" s="1201" t="s">
        <v>4851</v>
      </c>
      <c r="E782" s="1201" t="s">
        <v>4852</v>
      </c>
      <c r="F782" s="1201" t="s">
        <v>4853</v>
      </c>
      <c r="G782" s="1202" t="s">
        <v>4854</v>
      </c>
      <c r="H782" s="1201" t="s">
        <v>4855</v>
      </c>
      <c r="I782" s="1202" t="s">
        <v>4856</v>
      </c>
      <c r="J782" s="1202" t="s">
        <v>4857</v>
      </c>
      <c r="K782" s="1202" t="s">
        <v>4994</v>
      </c>
      <c r="L782" s="1202" t="s">
        <v>4858</v>
      </c>
      <c r="M782" s="1202" t="s">
        <v>4859</v>
      </c>
      <c r="N782" s="1202" t="s">
        <v>4995</v>
      </c>
      <c r="O782" s="1202" t="s">
        <v>4860</v>
      </c>
      <c r="P782" s="1201" t="s">
        <v>4</v>
      </c>
      <c r="Q782" s="1203" t="s">
        <v>4861</v>
      </c>
    </row>
    <row r="783" spans="2:17" ht="30">
      <c r="B783" s="1885">
        <v>0.12</v>
      </c>
      <c r="C783" s="1305">
        <v>0.375</v>
      </c>
      <c r="D783" s="1307" t="s">
        <v>4862</v>
      </c>
      <c r="E783" s="1205">
        <v>0.25</v>
      </c>
      <c r="F783" s="1205">
        <v>3.7</v>
      </c>
      <c r="G783" s="1205">
        <v>0.62</v>
      </c>
      <c r="H783" s="1888">
        <v>17.350000000000001</v>
      </c>
      <c r="I783" s="1206">
        <f t="shared" ref="I783:I788" si="89">(ROUND(((G783))/E783,0))+1</f>
        <v>3</v>
      </c>
      <c r="J783" s="1206"/>
      <c r="K783" s="1206"/>
      <c r="L783" s="1206">
        <v>1</v>
      </c>
      <c r="M783" s="1205">
        <f>F783</f>
        <v>3.7</v>
      </c>
      <c r="N783" s="1205">
        <v>3.7</v>
      </c>
      <c r="O783" s="1206">
        <f t="shared" ref="O783:O788" si="90">ROUND(PI()*((C783*0.0254)^2)/4*7.85*2204.6,2)</f>
        <v>1.23</v>
      </c>
      <c r="P783" s="1224">
        <f>+((M783*I783*O783)/100)*1.07+((L783*N783*O783)/100)*1.07</f>
        <v>0.19478280000000003</v>
      </c>
      <c r="Q783" s="1904">
        <f>SUM(P783:P788)/(H783*B783)</f>
        <v>1.4965738472622476</v>
      </c>
    </row>
    <row r="784" spans="2:17" ht="30">
      <c r="B784" s="1886"/>
      <c r="C784" s="1305">
        <v>0.375</v>
      </c>
      <c r="D784" s="1307" t="s">
        <v>5034</v>
      </c>
      <c r="E784" s="1205">
        <v>0.25</v>
      </c>
      <c r="F784" s="1205">
        <v>8.85</v>
      </c>
      <c r="G784" s="1205">
        <v>2.6</v>
      </c>
      <c r="H784" s="1889"/>
      <c r="I784" s="1206">
        <f t="shared" si="89"/>
        <v>11</v>
      </c>
      <c r="J784" s="1206">
        <v>5</v>
      </c>
      <c r="K784" s="1206"/>
      <c r="L784" s="1206">
        <v>1</v>
      </c>
      <c r="M784" s="1205">
        <f>F784+0.476</f>
        <v>9.3260000000000005</v>
      </c>
      <c r="N784" s="1205">
        <v>3.5</v>
      </c>
      <c r="O784" s="1206">
        <f t="shared" si="90"/>
        <v>1.23</v>
      </c>
      <c r="P784" s="1224">
        <f>+((M784*J784*O784)/100)*1.07+((L784*N784*O784)/100)*1.07</f>
        <v>0.65976093000000002</v>
      </c>
      <c r="Q784" s="1905"/>
    </row>
    <row r="785" spans="2:17" ht="30">
      <c r="B785" s="1886"/>
      <c r="C785" s="1305">
        <v>0.375</v>
      </c>
      <c r="D785" s="1307" t="s">
        <v>4863</v>
      </c>
      <c r="E785" s="1205">
        <v>0.25</v>
      </c>
      <c r="F785" s="1205">
        <v>7.9</v>
      </c>
      <c r="G785" s="1205">
        <v>2.6</v>
      </c>
      <c r="H785" s="1889"/>
      <c r="I785" s="1206">
        <f t="shared" si="89"/>
        <v>11</v>
      </c>
      <c r="J785" s="1206">
        <v>6</v>
      </c>
      <c r="K785" s="1206"/>
      <c r="L785" s="1206">
        <v>1</v>
      </c>
      <c r="M785" s="1205">
        <f>F785+0.476</f>
        <v>8.3760000000000012</v>
      </c>
      <c r="N785" s="1205">
        <v>2.9</v>
      </c>
      <c r="O785" s="1206">
        <f t="shared" si="90"/>
        <v>1.23</v>
      </c>
      <c r="P785" s="1224">
        <f>+((M785*J785*O785)/100)*1.07+((L785*N785*O785)/100)*1.07</f>
        <v>0.69958611600000009</v>
      </c>
      <c r="Q785" s="1905"/>
    </row>
    <row r="786" spans="2:17" ht="30">
      <c r="B786" s="1886"/>
      <c r="C786" s="1305">
        <v>0.375</v>
      </c>
      <c r="D786" s="1307" t="s">
        <v>4863</v>
      </c>
      <c r="E786" s="1205">
        <v>0.25</v>
      </c>
      <c r="F786" s="1205">
        <v>4.87</v>
      </c>
      <c r="G786" s="1205">
        <v>1.6</v>
      </c>
      <c r="H786" s="1889"/>
      <c r="I786" s="1206">
        <f t="shared" si="89"/>
        <v>7</v>
      </c>
      <c r="J786" s="1206"/>
      <c r="K786" s="1206"/>
      <c r="L786" s="1206"/>
      <c r="M786" s="1205">
        <f>F786+0.476</f>
        <v>5.3460000000000001</v>
      </c>
      <c r="N786" s="1205"/>
      <c r="O786" s="1206">
        <f t="shared" si="90"/>
        <v>1.23</v>
      </c>
      <c r="P786" s="1224">
        <f>+((M786*I786*O786)/100)*1.07+((L786*N786*O786)/100)*1.07</f>
        <v>0.49251094199999995</v>
      </c>
      <c r="Q786" s="1906"/>
    </row>
    <row r="787" spans="2:17" ht="31.5">
      <c r="B787" s="1886"/>
      <c r="C787" s="1305">
        <v>0.375</v>
      </c>
      <c r="D787" s="1307" t="s">
        <v>4863</v>
      </c>
      <c r="E787" s="1205">
        <v>0.25</v>
      </c>
      <c r="F787" s="1205">
        <v>4.87</v>
      </c>
      <c r="G787" s="1205">
        <v>3.3</v>
      </c>
      <c r="H787" s="1889"/>
      <c r="I787" s="1206">
        <f t="shared" si="89"/>
        <v>14</v>
      </c>
      <c r="J787" s="1206">
        <v>7</v>
      </c>
      <c r="K787" s="1206"/>
      <c r="L787" s="1206"/>
      <c r="M787" s="1205">
        <f>F787+0.476</f>
        <v>5.3460000000000001</v>
      </c>
      <c r="N787" s="1205"/>
      <c r="O787" s="1206">
        <f t="shared" si="90"/>
        <v>1.23</v>
      </c>
      <c r="P787" s="1224">
        <f>+((M787*J787*O787)/100)*1.07+((L787*N787*O787)/100)*1.07</f>
        <v>0.49251094199999995</v>
      </c>
      <c r="Q787" s="1491"/>
    </row>
    <row r="788" spans="2:17" ht="31.5">
      <c r="B788" s="1887"/>
      <c r="C788" s="1305">
        <v>0.375</v>
      </c>
      <c r="D788" s="1307" t="s">
        <v>4863</v>
      </c>
      <c r="E788" s="1205">
        <v>0.25</v>
      </c>
      <c r="F788" s="1205">
        <v>4.9000000000000004</v>
      </c>
      <c r="G788" s="1205">
        <v>3.3</v>
      </c>
      <c r="H788" s="1890"/>
      <c r="I788" s="1206">
        <f t="shared" si="89"/>
        <v>14</v>
      </c>
      <c r="J788" s="1206">
        <v>7</v>
      </c>
      <c r="K788" s="1206"/>
      <c r="L788" s="1206">
        <v>1</v>
      </c>
      <c r="M788" s="1205">
        <f>4.56+((1/3)*3)+G669*2+N669-1*G670</f>
        <v>5.56</v>
      </c>
      <c r="N788" s="1205">
        <v>5.07</v>
      </c>
      <c r="O788" s="1206">
        <f t="shared" si="90"/>
        <v>1.23</v>
      </c>
      <c r="P788" s="1205">
        <f>(((((J788*M788*1.23)/100)+((K788*1.23*N788)/100))*1.07))+((L788*F788*1.23)/100)*1.07</f>
        <v>0.57671501999999986</v>
      </c>
      <c r="Q788" s="1491"/>
    </row>
    <row r="789" spans="2:17" ht="15.75">
      <c r="B789" s="1883">
        <f>H783*B783</f>
        <v>2.0820000000000003</v>
      </c>
      <c r="C789" s="1883"/>
      <c r="D789" s="1883"/>
      <c r="E789" s="1883"/>
      <c r="F789" s="1883"/>
      <c r="G789" s="1883"/>
      <c r="H789" s="1883"/>
      <c r="I789" s="1883"/>
      <c r="J789" s="1883"/>
      <c r="K789" s="1883"/>
      <c r="L789" s="1883"/>
      <c r="M789" s="1883"/>
      <c r="N789" s="1883"/>
      <c r="O789" s="1883"/>
      <c r="P789" s="1883"/>
      <c r="Q789" s="1883"/>
    </row>
    <row r="790" spans="2:17">
      <c r="G790" s="1492" t="s">
        <v>5181</v>
      </c>
      <c r="H790" s="728">
        <f>B789*2</f>
        <v>4.1640000000000006</v>
      </c>
      <c r="I790" s="1492" t="s">
        <v>1806</v>
      </c>
      <c r="P790" s="891">
        <f>SUM(P783:P788)*2</f>
        <v>6.2317334999999998</v>
      </c>
    </row>
    <row r="791" spans="2:17" ht="15.75" thickBot="1">
      <c r="B791" s="1903" t="s">
        <v>5038</v>
      </c>
      <c r="C791" s="1903"/>
      <c r="D791" s="1903"/>
      <c r="E791" s="1903"/>
      <c r="F791" s="1903"/>
      <c r="G791" s="1903"/>
      <c r="H791" s="1903"/>
      <c r="I791" s="1903"/>
      <c r="J791" s="1903"/>
      <c r="K791" s="1903"/>
      <c r="L791" s="1903"/>
      <c r="M791" s="1903"/>
      <c r="N791" s="1903"/>
      <c r="O791" s="1903"/>
      <c r="P791" s="1903"/>
      <c r="Q791" s="1199" t="s">
        <v>4848</v>
      </c>
    </row>
    <row r="792" spans="2:17" ht="39" thickBot="1">
      <c r="B792" s="1304" t="s">
        <v>4849</v>
      </c>
      <c r="C792" s="1200" t="s">
        <v>4850</v>
      </c>
      <c r="D792" s="1201" t="s">
        <v>4851</v>
      </c>
      <c r="E792" s="1201" t="s">
        <v>4852</v>
      </c>
      <c r="F792" s="1201" t="s">
        <v>4853</v>
      </c>
      <c r="G792" s="1202" t="s">
        <v>4854</v>
      </c>
      <c r="H792" s="1201" t="s">
        <v>4855</v>
      </c>
      <c r="I792" s="1202" t="s">
        <v>4856</v>
      </c>
      <c r="J792" s="1202" t="s">
        <v>4857</v>
      </c>
      <c r="K792" s="1202" t="s">
        <v>4994</v>
      </c>
      <c r="L792" s="1202" t="s">
        <v>4858</v>
      </c>
      <c r="M792" s="1202" t="s">
        <v>4859</v>
      </c>
      <c r="N792" s="1202" t="s">
        <v>4995</v>
      </c>
      <c r="O792" s="1202" t="s">
        <v>4860</v>
      </c>
      <c r="P792" s="1201" t="s">
        <v>4</v>
      </c>
      <c r="Q792" s="1203" t="s">
        <v>4861</v>
      </c>
    </row>
    <row r="793" spans="2:17" ht="30">
      <c r="B793" s="1885">
        <v>0.12</v>
      </c>
      <c r="C793" s="1305">
        <v>0.375</v>
      </c>
      <c r="D793" s="1307" t="s">
        <v>4862</v>
      </c>
      <c r="E793" s="1205">
        <v>0.25</v>
      </c>
      <c r="F793" s="1205">
        <v>4.29</v>
      </c>
      <c r="G793" s="1205">
        <v>2.4</v>
      </c>
      <c r="H793" s="1888">
        <v>10.26</v>
      </c>
      <c r="I793" s="1206">
        <f>(ROUND(((G793))/E793,0))+1</f>
        <v>11</v>
      </c>
      <c r="J793" s="1206"/>
      <c r="K793" s="1206"/>
      <c r="L793" s="1206">
        <v>2</v>
      </c>
      <c r="M793" s="1205">
        <f>F793</f>
        <v>4.29</v>
      </c>
      <c r="N793" s="1205">
        <v>3.9</v>
      </c>
      <c r="O793" s="1206">
        <f>ROUND(PI()*((C793*0.0254)^2)/4*7.85*2204.6,2)</f>
        <v>1.23</v>
      </c>
      <c r="P793" s="1224">
        <f>+((M793*J793*O793)/100)*1.07+((L793*N793*O793)/100)*1.07</f>
        <v>0.10265580000000001</v>
      </c>
      <c r="Q793" s="1904">
        <f>SUM(P793:P797)/(H793*B793)</f>
        <v>0.74185623781676424</v>
      </c>
    </row>
    <row r="794" spans="2:17" ht="30">
      <c r="B794" s="1886"/>
      <c r="C794" s="1305">
        <v>0.375</v>
      </c>
      <c r="D794" s="1307" t="s">
        <v>5034</v>
      </c>
      <c r="E794" s="1205">
        <v>0.25</v>
      </c>
      <c r="F794" s="1205">
        <v>3.07</v>
      </c>
      <c r="G794" s="1205">
        <v>3.6</v>
      </c>
      <c r="H794" s="1889"/>
      <c r="I794" s="1206">
        <f>(ROUND(((G794))/E794,0))+1</f>
        <v>15</v>
      </c>
      <c r="J794" s="1206">
        <v>8</v>
      </c>
      <c r="K794" s="1206"/>
      <c r="L794" s="1206">
        <v>2</v>
      </c>
      <c r="M794" s="1205">
        <f t="shared" ref="M794:M795" si="91">F794</f>
        <v>3.07</v>
      </c>
      <c r="N794" s="1205">
        <v>2.7</v>
      </c>
      <c r="O794" s="1206">
        <f>ROUND(PI()*((C794*0.0254)^2)/4*7.85*2204.6,2)</f>
        <v>1.23</v>
      </c>
      <c r="P794" s="1224">
        <f>+((M794*J794*O794)/100)*1.07+((L794*N794*O794)/100)*1.07</f>
        <v>0.39430356</v>
      </c>
      <c r="Q794" s="1905"/>
    </row>
    <row r="795" spans="2:17" ht="30">
      <c r="B795" s="1886"/>
      <c r="C795" s="1305">
        <v>0.375</v>
      </c>
      <c r="D795" s="1307" t="s">
        <v>5034</v>
      </c>
      <c r="E795" s="1205">
        <v>0.25</v>
      </c>
      <c r="F795" s="1205">
        <v>4.5199999999999996</v>
      </c>
      <c r="G795" s="1205">
        <v>3.6</v>
      </c>
      <c r="H795" s="1889"/>
      <c r="I795" s="1206">
        <f>(ROUND(((G795))/E795,0))+1</f>
        <v>15</v>
      </c>
      <c r="J795" s="1206">
        <v>7</v>
      </c>
      <c r="K795" s="1206"/>
      <c r="L795" s="1206"/>
      <c r="M795" s="1205">
        <f t="shared" si="91"/>
        <v>4.5199999999999996</v>
      </c>
      <c r="N795" s="1205"/>
      <c r="O795" s="1206">
        <f>ROUND(PI()*((C795*0.0254)^2)/4*7.85*2204.6,2)</f>
        <v>1.23</v>
      </c>
      <c r="P795" s="1224">
        <f>+((M795*J795*O795)/100)*1.07+((L795*N795*O795)/100)*1.07</f>
        <v>0.41641403999999999</v>
      </c>
      <c r="Q795" s="1905"/>
    </row>
    <row r="796" spans="2:17" ht="15.75">
      <c r="B796" s="1886"/>
      <c r="C796" s="1305"/>
      <c r="D796" s="1307"/>
      <c r="E796" s="1205"/>
      <c r="F796" s="1205"/>
      <c r="G796" s="1205"/>
      <c r="H796" s="1889"/>
      <c r="I796" s="1206"/>
      <c r="J796" s="1206"/>
      <c r="K796" s="1206"/>
      <c r="L796" s="1206"/>
      <c r="M796" s="1205"/>
      <c r="N796" s="1205"/>
      <c r="O796" s="1206"/>
      <c r="P796" s="1205"/>
      <c r="Q796" s="1905"/>
    </row>
    <row r="797" spans="2:17" ht="15.75">
      <c r="B797" s="1887"/>
      <c r="C797" s="1305"/>
      <c r="D797" s="1307"/>
      <c r="E797" s="1205"/>
      <c r="F797" s="1205"/>
      <c r="G797" s="1205"/>
      <c r="H797" s="1890"/>
      <c r="I797" s="1206"/>
      <c r="J797" s="1206"/>
      <c r="K797" s="1206"/>
      <c r="L797" s="1206"/>
      <c r="M797" s="1205"/>
      <c r="N797" s="1205"/>
      <c r="O797" s="1206"/>
      <c r="P797" s="1205"/>
      <c r="Q797" s="1906"/>
    </row>
    <row r="798" spans="2:17" ht="15.75">
      <c r="B798" s="1883">
        <f>H793*B793</f>
        <v>1.2311999999999999</v>
      </c>
      <c r="C798" s="1883"/>
      <c r="D798" s="1883"/>
      <c r="E798" s="1883"/>
      <c r="F798" s="1883"/>
      <c r="G798" s="1883"/>
      <c r="H798" s="1883"/>
      <c r="I798" s="1883"/>
      <c r="J798" s="1883"/>
      <c r="K798" s="1883"/>
      <c r="L798" s="1883"/>
      <c r="M798" s="1883"/>
      <c r="N798" s="1883"/>
      <c r="O798" s="1883"/>
      <c r="P798" s="1883"/>
      <c r="Q798" s="1883"/>
    </row>
    <row r="799" spans="2:17">
      <c r="G799" s="1492" t="s">
        <v>5181</v>
      </c>
      <c r="H799" s="728">
        <f>B798*1</f>
        <v>1.2311999999999999</v>
      </c>
      <c r="I799" s="1492" t="s">
        <v>1806</v>
      </c>
      <c r="P799" s="891">
        <f>SUM(P793:P797)*1</f>
        <v>0.9133734</v>
      </c>
    </row>
    <row r="800" spans="2:17" ht="15.75" thickBot="1">
      <c r="B800" s="1903" t="s">
        <v>5039</v>
      </c>
      <c r="C800" s="1903"/>
      <c r="D800" s="1903"/>
      <c r="E800" s="1903"/>
      <c r="F800" s="1903"/>
      <c r="G800" s="1903"/>
      <c r="H800" s="1903"/>
      <c r="I800" s="1903"/>
      <c r="J800" s="1903"/>
      <c r="K800" s="1903"/>
      <c r="L800" s="1903"/>
      <c r="M800" s="1903"/>
      <c r="N800" s="1903"/>
      <c r="O800" s="1903"/>
      <c r="P800" s="1903"/>
      <c r="Q800" s="1199" t="s">
        <v>4848</v>
      </c>
    </row>
    <row r="801" spans="2:17" ht="39" thickBot="1">
      <c r="B801" s="1304" t="s">
        <v>4849</v>
      </c>
      <c r="C801" s="1200" t="s">
        <v>4850</v>
      </c>
      <c r="D801" s="1201" t="s">
        <v>4851</v>
      </c>
      <c r="E801" s="1201" t="s">
        <v>4852</v>
      </c>
      <c r="F801" s="1201" t="s">
        <v>4853</v>
      </c>
      <c r="G801" s="1202" t="s">
        <v>4854</v>
      </c>
      <c r="H801" s="1201" t="s">
        <v>4855</v>
      </c>
      <c r="I801" s="1202" t="s">
        <v>4856</v>
      </c>
      <c r="J801" s="1202" t="s">
        <v>4857</v>
      </c>
      <c r="K801" s="1202" t="s">
        <v>4994</v>
      </c>
      <c r="L801" s="1202" t="s">
        <v>4858</v>
      </c>
      <c r="M801" s="1202" t="s">
        <v>4859</v>
      </c>
      <c r="N801" s="1202" t="s">
        <v>4995</v>
      </c>
      <c r="O801" s="1202" t="s">
        <v>4860</v>
      </c>
      <c r="P801" s="1201" t="s">
        <v>4</v>
      </c>
      <c r="Q801" s="1203" t="s">
        <v>4861</v>
      </c>
    </row>
    <row r="802" spans="2:17" ht="30">
      <c r="B802" s="1885">
        <v>0.12</v>
      </c>
      <c r="C802" s="1305">
        <v>0.375</v>
      </c>
      <c r="D802" s="1307" t="s">
        <v>4862</v>
      </c>
      <c r="E802" s="1205">
        <v>0.25</v>
      </c>
      <c r="F802" s="1205">
        <v>7.3</v>
      </c>
      <c r="G802" s="1205">
        <v>1.27</v>
      </c>
      <c r="H802" s="1888">
        <f>16.94+0.5</f>
        <v>17.440000000000001</v>
      </c>
      <c r="I802" s="1206">
        <f>(ROUND(((G802))/E802,0))+1</f>
        <v>6</v>
      </c>
      <c r="J802" s="1206"/>
      <c r="K802" s="1206"/>
      <c r="L802" s="1206"/>
      <c r="M802" s="1205">
        <f>F802+(2*$G$658)-2*$G$659+1*E660</f>
        <v>7.9359999999999999</v>
      </c>
      <c r="N802" s="1205"/>
      <c r="O802" s="1206">
        <f>ROUND(PI()*((C802*0.0254)^2)/4*7.85*2204.6,2)</f>
        <v>1.23</v>
      </c>
      <c r="P802" s="1224">
        <f>+((M802*I802*O802)/100)*1.07</f>
        <v>0.62667417600000008</v>
      </c>
      <c r="Q802" s="1904">
        <f>SUM(P802:P805)/(H802*B802)</f>
        <v>1.169736700114679</v>
      </c>
    </row>
    <row r="803" spans="2:17" ht="30">
      <c r="B803" s="1886"/>
      <c r="C803" s="1305">
        <v>0.375</v>
      </c>
      <c r="D803" s="1307" t="s">
        <v>5034</v>
      </c>
      <c r="E803" s="1205">
        <v>0.25</v>
      </c>
      <c r="F803" s="1205">
        <v>1.85</v>
      </c>
      <c r="G803" s="1205">
        <v>4</v>
      </c>
      <c r="H803" s="1889"/>
      <c r="I803" s="1206">
        <f>(ROUND(((G803))/E803,0))+1</f>
        <v>17</v>
      </c>
      <c r="J803" s="1206"/>
      <c r="K803" s="1206"/>
      <c r="L803" s="1206"/>
      <c r="M803" s="1205">
        <f>F803+(2*$G$658)-2*$G$659+1*E661+0.04</f>
        <v>2.0500000000000003</v>
      </c>
      <c r="N803" s="1205"/>
      <c r="O803" s="1206">
        <f>ROUND(PI()*((C803*0.0254)^2)/4*7.85*2204.6,2)</f>
        <v>1.23</v>
      </c>
      <c r="P803" s="1224">
        <f t="shared" ref="P803:P805" si="92">+((M803*I803*O803)/100)*1.07</f>
        <v>0.45866085000000012</v>
      </c>
      <c r="Q803" s="1905"/>
    </row>
    <row r="804" spans="2:17" ht="30">
      <c r="B804" s="1886"/>
      <c r="C804" s="1305">
        <v>0.375</v>
      </c>
      <c r="D804" s="1307" t="s">
        <v>4863</v>
      </c>
      <c r="E804" s="1205">
        <v>0.25</v>
      </c>
      <c r="F804" s="1205">
        <v>2.76</v>
      </c>
      <c r="G804" s="1205">
        <v>3.6</v>
      </c>
      <c r="H804" s="1889"/>
      <c r="I804" s="1206">
        <f>(ROUND(((G804))/E804,0))+1</f>
        <v>15</v>
      </c>
      <c r="J804" s="1206"/>
      <c r="K804" s="1206"/>
      <c r="L804" s="1206"/>
      <c r="M804" s="1205">
        <f>F804</f>
        <v>2.76</v>
      </c>
      <c r="N804" s="1205"/>
      <c r="O804" s="1206">
        <f>ROUND(PI()*((C804*0.0254)^2)/4*7.85*2204.6,2)</f>
        <v>1.23</v>
      </c>
      <c r="P804" s="1224">
        <f t="shared" si="92"/>
        <v>0.54486540000000006</v>
      </c>
      <c r="Q804" s="1905"/>
    </row>
    <row r="805" spans="2:17" ht="30">
      <c r="B805" s="1887"/>
      <c r="C805" s="1305">
        <v>0.375</v>
      </c>
      <c r="D805" s="1307" t="s">
        <v>4863</v>
      </c>
      <c r="E805" s="1205">
        <v>0.25</v>
      </c>
      <c r="F805" s="1205">
        <v>4.78</v>
      </c>
      <c r="G805" s="1205">
        <f>1.5*2</f>
        <v>3</v>
      </c>
      <c r="H805" s="1890"/>
      <c r="I805" s="1206">
        <f>(ROUND(((G805))/E805,0))+1</f>
        <v>13</v>
      </c>
      <c r="J805" s="1206"/>
      <c r="K805" s="1206"/>
      <c r="L805" s="1206"/>
      <c r="M805" s="1205">
        <f>F805</f>
        <v>4.78</v>
      </c>
      <c r="N805" s="1205"/>
      <c r="O805" s="1206">
        <f>ROUND(PI()*((C805*0.0254)^2)/4*7.85*2204.6,2)</f>
        <v>1.23</v>
      </c>
      <c r="P805" s="1224">
        <f t="shared" si="92"/>
        <v>0.81782454000000004</v>
      </c>
      <c r="Q805" s="1906"/>
    </row>
    <row r="806" spans="2:17" ht="15.75">
      <c r="B806" s="1883">
        <f>H802*B802</f>
        <v>2.0928</v>
      </c>
      <c r="C806" s="1883"/>
      <c r="D806" s="1883"/>
      <c r="E806" s="1883"/>
      <c r="F806" s="1883"/>
      <c r="G806" s="1883"/>
      <c r="H806" s="1883"/>
      <c r="I806" s="1883"/>
      <c r="J806" s="1883"/>
      <c r="K806" s="1883"/>
      <c r="L806" s="1883"/>
      <c r="M806" s="1883"/>
      <c r="N806" s="1883"/>
      <c r="O806" s="1883"/>
      <c r="P806" s="1883"/>
      <c r="Q806" s="1883"/>
    </row>
    <row r="807" spans="2:17">
      <c r="G807" s="1492" t="s">
        <v>5181</v>
      </c>
      <c r="H807" s="728">
        <f>B806*1</f>
        <v>2.0928</v>
      </c>
      <c r="I807" s="1492" t="s">
        <v>1806</v>
      </c>
      <c r="P807" s="891">
        <f>SUM(P802:P805)*1</f>
        <v>2.4480249660000002</v>
      </c>
    </row>
    <row r="809" spans="2:17" ht="15.75" thickBot="1">
      <c r="B809" s="1903" t="s">
        <v>5040</v>
      </c>
      <c r="C809" s="1903"/>
      <c r="D809" s="1903"/>
      <c r="E809" s="1903"/>
      <c r="F809" s="1903"/>
      <c r="G809" s="1903"/>
      <c r="H809" s="1903"/>
      <c r="I809" s="1903"/>
      <c r="J809" s="1903"/>
      <c r="K809" s="1903"/>
      <c r="L809" s="1903"/>
      <c r="M809" s="1903"/>
      <c r="N809" s="1903"/>
      <c r="O809" s="1903"/>
      <c r="P809" s="1903"/>
      <c r="Q809" s="1199" t="s">
        <v>4848</v>
      </c>
    </row>
    <row r="810" spans="2:17" ht="39" thickBot="1">
      <c r="B810" s="1304" t="s">
        <v>4849</v>
      </c>
      <c r="C810" s="1200" t="s">
        <v>4850</v>
      </c>
      <c r="D810" s="1201" t="s">
        <v>4851</v>
      </c>
      <c r="E810" s="1201" t="s">
        <v>4852</v>
      </c>
      <c r="F810" s="1201" t="s">
        <v>4853</v>
      </c>
      <c r="G810" s="1202" t="s">
        <v>4854</v>
      </c>
      <c r="H810" s="1201" t="s">
        <v>4855</v>
      </c>
      <c r="I810" s="1202" t="s">
        <v>4856</v>
      </c>
      <c r="J810" s="1202" t="s">
        <v>4857</v>
      </c>
      <c r="K810" s="1202" t="s">
        <v>4994</v>
      </c>
      <c r="L810" s="1202" t="s">
        <v>4858</v>
      </c>
      <c r="M810" s="1202" t="s">
        <v>4859</v>
      </c>
      <c r="N810" s="1202" t="s">
        <v>4995</v>
      </c>
      <c r="O810" s="1202" t="s">
        <v>4860</v>
      </c>
      <c r="P810" s="1201" t="s">
        <v>4</v>
      </c>
      <c r="Q810" s="1203" t="s">
        <v>4861</v>
      </c>
    </row>
    <row r="811" spans="2:17" ht="30">
      <c r="B811" s="1885">
        <v>0.12</v>
      </c>
      <c r="C811" s="1305">
        <v>0.375</v>
      </c>
      <c r="D811" s="1307" t="s">
        <v>4862</v>
      </c>
      <c r="E811" s="1205">
        <v>0.25</v>
      </c>
      <c r="F811" s="1205">
        <v>4.78</v>
      </c>
      <c r="G811" s="1205">
        <v>1.84</v>
      </c>
      <c r="H811" s="1888">
        <v>3.31</v>
      </c>
      <c r="I811" s="1206">
        <f>(ROUND(((G811))/E811,0))+1</f>
        <v>8</v>
      </c>
      <c r="J811" s="1206"/>
      <c r="K811" s="1206"/>
      <c r="L811" s="1206">
        <v>2</v>
      </c>
      <c r="M811" s="1205">
        <f>F811</f>
        <v>4.78</v>
      </c>
      <c r="N811" s="1205">
        <v>2.2000000000000002</v>
      </c>
      <c r="O811" s="1206">
        <f>ROUND(PI()*((C811*0.0254)^2)/4*7.85*2204.6,2)</f>
        <v>1.23</v>
      </c>
      <c r="P811" s="1224">
        <f>+((M811*I811*O811)/100)*1.07+((L811*N811*O811)/100)*1.07</f>
        <v>0.56118504000000002</v>
      </c>
      <c r="Q811" s="1904">
        <f>SUM(P811:P814)/(H811*B811)</f>
        <v>1.4128525679758308</v>
      </c>
    </row>
    <row r="812" spans="2:17" ht="15.75">
      <c r="B812" s="1886"/>
      <c r="C812" s="1305"/>
      <c r="D812" s="1307"/>
      <c r="E812" s="1205"/>
      <c r="F812" s="1205"/>
      <c r="G812" s="1205"/>
      <c r="H812" s="1889"/>
      <c r="I812" s="1206"/>
      <c r="J812" s="1206"/>
      <c r="K812" s="1206"/>
      <c r="L812" s="1206"/>
      <c r="M812" s="1205"/>
      <c r="N812" s="1205"/>
      <c r="O812" s="1206"/>
      <c r="P812" s="1205"/>
      <c r="Q812" s="1905"/>
    </row>
    <row r="813" spans="2:17" ht="15.75">
      <c r="B813" s="1886"/>
      <c r="C813" s="1305"/>
      <c r="D813" s="1307"/>
      <c r="E813" s="1205"/>
      <c r="F813" s="1205"/>
      <c r="G813" s="1205"/>
      <c r="H813" s="1889"/>
      <c r="I813" s="1206"/>
      <c r="J813" s="1206"/>
      <c r="K813" s="1206"/>
      <c r="L813" s="1206"/>
      <c r="M813" s="1205"/>
      <c r="N813" s="1205"/>
      <c r="O813" s="1206"/>
      <c r="P813" s="1205"/>
      <c r="Q813" s="1905"/>
    </row>
    <row r="814" spans="2:17" ht="15.75">
      <c r="B814" s="1887"/>
      <c r="C814" s="1305"/>
      <c r="D814" s="1307"/>
      <c r="E814" s="1205"/>
      <c r="F814" s="1205"/>
      <c r="G814" s="1205"/>
      <c r="H814" s="1890"/>
      <c r="I814" s="1206"/>
      <c r="J814" s="1206"/>
      <c r="K814" s="1206"/>
      <c r="L814" s="1206"/>
      <c r="M814" s="1205"/>
      <c r="N814" s="1205"/>
      <c r="O814" s="1206"/>
      <c r="P814" s="1205"/>
      <c r="Q814" s="1906"/>
    </row>
    <row r="815" spans="2:17" ht="15.75">
      <c r="B815" s="1883">
        <f>H811*B811</f>
        <v>0.3972</v>
      </c>
      <c r="C815" s="1883"/>
      <c r="D815" s="1883"/>
      <c r="E815" s="1883"/>
      <c r="F815" s="1883"/>
      <c r="G815" s="1883"/>
      <c r="H815" s="1883"/>
      <c r="I815" s="1883"/>
      <c r="J815" s="1883"/>
      <c r="K815" s="1883"/>
      <c r="L815" s="1883"/>
      <c r="M815" s="1883"/>
      <c r="N815" s="1883"/>
      <c r="O815" s="1883"/>
      <c r="P815" s="1883"/>
      <c r="Q815" s="1883"/>
    </row>
    <row r="816" spans="2:17">
      <c r="G816" s="1492" t="s">
        <v>5181</v>
      </c>
      <c r="H816" s="728">
        <f>B815*1</f>
        <v>0.3972</v>
      </c>
      <c r="I816" s="1492" t="s">
        <v>1806</v>
      </c>
      <c r="P816" s="891">
        <f>SUM(P811:P814)</f>
        <v>0.56118504000000002</v>
      </c>
    </row>
    <row r="817" spans="2:17" ht="15.75" thickBot="1">
      <c r="B817" s="1903" t="s">
        <v>5175</v>
      </c>
      <c r="C817" s="1903"/>
      <c r="D817" s="1903"/>
      <c r="E817" s="1903"/>
      <c r="F817" s="1903"/>
      <c r="G817" s="1903"/>
      <c r="H817" s="1903"/>
      <c r="I817" s="1903"/>
      <c r="J817" s="1903"/>
      <c r="K817" s="1903"/>
      <c r="L817" s="1903"/>
      <c r="M817" s="1903"/>
      <c r="N817" s="1903"/>
      <c r="O817" s="1903"/>
      <c r="P817" s="1903"/>
      <c r="Q817" s="1199" t="s">
        <v>4848</v>
      </c>
    </row>
    <row r="818" spans="2:17" ht="26.25" thickBot="1">
      <c r="B818" s="1304" t="s">
        <v>4849</v>
      </c>
      <c r="C818" s="1200" t="s">
        <v>4850</v>
      </c>
      <c r="D818" s="1201" t="s">
        <v>4851</v>
      </c>
      <c r="E818" s="1201" t="s">
        <v>4852</v>
      </c>
      <c r="F818" s="1201" t="s">
        <v>4853</v>
      </c>
      <c r="G818" s="1202" t="s">
        <v>4854</v>
      </c>
      <c r="H818" s="1201" t="s">
        <v>4855</v>
      </c>
      <c r="I818" s="1202" t="s">
        <v>4856</v>
      </c>
      <c r="J818" s="1202"/>
      <c r="K818" s="1202"/>
      <c r="L818" s="1202"/>
      <c r="M818" s="1202" t="s">
        <v>4859</v>
      </c>
      <c r="N818" s="1202"/>
      <c r="O818" s="1202" t="s">
        <v>4860</v>
      </c>
      <c r="P818" s="1201" t="s">
        <v>4</v>
      </c>
      <c r="Q818" s="1203" t="s">
        <v>4861</v>
      </c>
    </row>
    <row r="819" spans="2:17" ht="30">
      <c r="B819" s="1885">
        <v>0.12</v>
      </c>
      <c r="C819" s="1305">
        <v>0.375</v>
      </c>
      <c r="D819" s="1307" t="s">
        <v>4862</v>
      </c>
      <c r="E819" s="1205">
        <v>0.25</v>
      </c>
      <c r="F819" s="1205">
        <v>9.25</v>
      </c>
      <c r="G819" s="1205">
        <v>3.11</v>
      </c>
      <c r="H819" s="1888">
        <v>22.8</v>
      </c>
      <c r="I819" s="1206">
        <f>(ROUND(((G819))/E819,0))+1</f>
        <v>13</v>
      </c>
      <c r="J819" s="1206"/>
      <c r="K819" s="1206"/>
      <c r="L819" s="1206"/>
      <c r="M819" s="1205">
        <f>F819+0.476</f>
        <v>9.7259999999999991</v>
      </c>
      <c r="N819" s="1205"/>
      <c r="O819" s="1206">
        <f>ROUND(PI()*((C819*0.0254)^2)/4*7.85*2204.6,2)</f>
        <v>1.23</v>
      </c>
      <c r="P819" s="1224">
        <f>+((M819*I819*O819)/100)*1.07</f>
        <v>1.664050518</v>
      </c>
      <c r="Q819" s="1904">
        <f>SUM(P819:P823)/(H819*B819)</f>
        <v>1.8118791030701757</v>
      </c>
    </row>
    <row r="820" spans="2:17" ht="30">
      <c r="B820" s="1886"/>
      <c r="C820" s="1305">
        <v>0.375</v>
      </c>
      <c r="D820" s="1307" t="s">
        <v>4862</v>
      </c>
      <c r="E820" s="1205">
        <v>0.25</v>
      </c>
      <c r="F820" s="1205">
        <v>9.2200000000000006</v>
      </c>
      <c r="G820" s="1205">
        <v>3.11</v>
      </c>
      <c r="H820" s="1889"/>
      <c r="I820" s="1206">
        <f>(ROUND(((G820))/E820,0))+1</f>
        <v>13</v>
      </c>
      <c r="J820" s="1206"/>
      <c r="K820" s="1206"/>
      <c r="L820" s="1206"/>
      <c r="M820" s="1205">
        <f>F820+0.476</f>
        <v>9.6960000000000015</v>
      </c>
      <c r="N820" s="1205"/>
      <c r="O820" s="1206">
        <f>ROUND(PI()*((C820*0.0254)^2)/4*7.85*2204.6,2)</f>
        <v>1.23</v>
      </c>
      <c r="P820" s="1224">
        <f>+((M820*I820*O820)/100)*1.07</f>
        <v>1.6589177280000005</v>
      </c>
      <c r="Q820" s="1905"/>
    </row>
    <row r="821" spans="2:17" ht="30">
      <c r="B821" s="1886"/>
      <c r="C821" s="1305">
        <v>0.375</v>
      </c>
      <c r="D821" s="1307" t="s">
        <v>4863</v>
      </c>
      <c r="E821" s="1205">
        <v>0.25</v>
      </c>
      <c r="F821" s="1205">
        <v>3.11</v>
      </c>
      <c r="G821" s="1205">
        <v>6.8</v>
      </c>
      <c r="H821" s="1889"/>
      <c r="I821" s="1206">
        <f>(ROUND(((G821))/E821,0))+1</f>
        <v>28</v>
      </c>
      <c r="J821" s="1206">
        <v>14</v>
      </c>
      <c r="K821" s="1206"/>
      <c r="L821" s="1206"/>
      <c r="M821" s="1205">
        <f>F821+2*0.1+((1/3)*2.76)+0.04</f>
        <v>4.2700000000000005</v>
      </c>
      <c r="N821" s="1205"/>
      <c r="O821" s="1206">
        <f>ROUND(PI()*((C821*0.0254)^2)/4*7.85*2204.6,2)</f>
        <v>1.23</v>
      </c>
      <c r="P821" s="1224">
        <f>+((M821*J821*O821)/100)*1.07</f>
        <v>0.78676458000000016</v>
      </c>
      <c r="Q821" s="1905"/>
    </row>
    <row r="822" spans="2:17" ht="30">
      <c r="B822" s="1886"/>
      <c r="C822" s="1305">
        <v>0.375</v>
      </c>
      <c r="D822" s="1307" t="s">
        <v>4863</v>
      </c>
      <c r="E822" s="1205">
        <v>0.25</v>
      </c>
      <c r="F822" s="1205">
        <v>3.11</v>
      </c>
      <c r="G822" s="1205">
        <v>6.8</v>
      </c>
      <c r="H822" s="1889"/>
      <c r="I822" s="1206">
        <f>(ROUND(((G822))/E822,0))+1</f>
        <v>28</v>
      </c>
      <c r="J822" s="1206">
        <v>14</v>
      </c>
      <c r="K822" s="1206"/>
      <c r="L822" s="1206"/>
      <c r="M822" s="1205">
        <f>F822+2*0.1+((1/3)*3.75)+0.04</f>
        <v>4.6000000000000005</v>
      </c>
      <c r="N822" s="1205"/>
      <c r="O822" s="1206">
        <f>ROUND(PI()*((C822*0.0254)^2)/4*7.85*2204.6,2)</f>
        <v>1.23</v>
      </c>
      <c r="P822" s="1224">
        <f>+((M822*J822*O822)/100)*1.07</f>
        <v>0.84756840000000011</v>
      </c>
      <c r="Q822" s="1905"/>
    </row>
    <row r="823" spans="2:17" ht="15.75">
      <c r="B823" s="1887"/>
      <c r="C823" s="1305"/>
      <c r="D823" s="1307"/>
      <c r="E823" s="1205"/>
      <c r="F823" s="1205"/>
      <c r="G823" s="1205"/>
      <c r="H823" s="1890"/>
      <c r="I823" s="1206"/>
      <c r="J823" s="1206"/>
      <c r="K823" s="1206"/>
      <c r="L823" s="1206"/>
      <c r="M823" s="1205"/>
      <c r="N823" s="1205"/>
      <c r="O823" s="1206"/>
      <c r="P823" s="1205"/>
      <c r="Q823" s="1906"/>
    </row>
    <row r="824" spans="2:17" ht="15.75">
      <c r="B824" s="1883">
        <f>H819*B819</f>
        <v>2.7359999999999998</v>
      </c>
      <c r="C824" s="1883"/>
      <c r="D824" s="1883"/>
      <c r="E824" s="1883"/>
      <c r="F824" s="1883"/>
      <c r="G824" s="1883"/>
      <c r="H824" s="1883"/>
      <c r="I824" s="1883"/>
      <c r="J824" s="1883"/>
      <c r="K824" s="1883"/>
      <c r="L824" s="1883"/>
      <c r="M824" s="1883"/>
      <c r="N824" s="1883"/>
      <c r="O824" s="1883"/>
      <c r="P824" s="1883"/>
      <c r="Q824" s="1883"/>
    </row>
    <row r="825" spans="2:17">
      <c r="G825" s="1492" t="s">
        <v>5181</v>
      </c>
      <c r="H825" s="728">
        <f>B824*1</f>
        <v>2.7359999999999998</v>
      </c>
      <c r="I825" s="1492" t="s">
        <v>1806</v>
      </c>
      <c r="P825" s="891">
        <f>SUM(P819:P823)</f>
        <v>4.9573012260000002</v>
      </c>
    </row>
    <row r="828" spans="2:17" ht="15.75" thickBot="1">
      <c r="B828" s="1903" t="s">
        <v>5176</v>
      </c>
      <c r="C828" s="1903"/>
      <c r="D828" s="1903"/>
      <c r="E828" s="1903"/>
      <c r="F828" s="1903"/>
      <c r="G828" s="1903"/>
      <c r="H828" s="1903"/>
      <c r="I828" s="1903"/>
      <c r="J828" s="1903"/>
      <c r="K828" s="1903"/>
      <c r="L828" s="1903"/>
      <c r="M828" s="1903"/>
      <c r="N828" s="1903"/>
      <c r="O828" s="1903"/>
      <c r="P828" s="1903"/>
      <c r="Q828" s="1199" t="s">
        <v>4848</v>
      </c>
    </row>
    <row r="829" spans="2:17" ht="26.25" thickBot="1">
      <c r="B829" s="1304" t="s">
        <v>4849</v>
      </c>
      <c r="C829" s="1200" t="s">
        <v>4850</v>
      </c>
      <c r="D829" s="1201" t="s">
        <v>4851</v>
      </c>
      <c r="E829" s="1201" t="s">
        <v>4852</v>
      </c>
      <c r="F829" s="1201" t="s">
        <v>4853</v>
      </c>
      <c r="G829" s="1202" t="s">
        <v>4854</v>
      </c>
      <c r="H829" s="1201" t="s">
        <v>4855</v>
      </c>
      <c r="I829" s="1202" t="s">
        <v>4856</v>
      </c>
      <c r="J829" s="1202"/>
      <c r="K829" s="1202"/>
      <c r="L829" s="1202"/>
      <c r="M829" s="1202" t="s">
        <v>4859</v>
      </c>
      <c r="N829" s="1202"/>
      <c r="O829" s="1202" t="s">
        <v>4860</v>
      </c>
      <c r="P829" s="1201" t="s">
        <v>4</v>
      </c>
      <c r="Q829" s="1203" t="s">
        <v>4861</v>
      </c>
    </row>
    <row r="830" spans="2:17" ht="30">
      <c r="B830" s="1885">
        <v>0.12</v>
      </c>
      <c r="C830" s="1305">
        <v>0.375</v>
      </c>
      <c r="D830" s="1307" t="s">
        <v>4862</v>
      </c>
      <c r="E830" s="1205">
        <v>0.25</v>
      </c>
      <c r="F830" s="1205">
        <v>5.2450000000000001</v>
      </c>
      <c r="G830" s="1205">
        <v>0.4</v>
      </c>
      <c r="H830" s="1888">
        <v>2.11</v>
      </c>
      <c r="I830" s="1206">
        <f>(ROUND(((G830))/E830,0))+1</f>
        <v>3</v>
      </c>
      <c r="J830" s="1206"/>
      <c r="K830" s="1206"/>
      <c r="L830" s="1206"/>
      <c r="M830" s="1205">
        <f>F830-0.02*2</f>
        <v>5.2050000000000001</v>
      </c>
      <c r="N830" s="1205"/>
      <c r="O830" s="1206">
        <f>ROUND(PI()*((C830*0.0254)^2)/4*7.85*2204.6,2)</f>
        <v>1.23</v>
      </c>
      <c r="P830" s="1224">
        <f>+((M830*I830*O830)/100)*1.07</f>
        <v>0.20550901500000002</v>
      </c>
      <c r="Q830" s="1904">
        <f>SUM(P830:P833)/(H830*B830)</f>
        <v>3.2572435426540283</v>
      </c>
    </row>
    <row r="831" spans="2:17" ht="30">
      <c r="B831" s="1886"/>
      <c r="C831" s="1305">
        <v>0.375</v>
      </c>
      <c r="D831" s="1307" t="s">
        <v>4863</v>
      </c>
      <c r="E831" s="1205">
        <v>0.25</v>
      </c>
      <c r="F831" s="1205">
        <v>1.88</v>
      </c>
      <c r="G831" s="1205">
        <v>4.83</v>
      </c>
      <c r="H831" s="1889"/>
      <c r="I831" s="1206">
        <f>(ROUND(((G831))/E831,0))+1</f>
        <v>20</v>
      </c>
      <c r="J831" s="1206"/>
      <c r="K831" s="1206"/>
      <c r="L831" s="1206"/>
      <c r="M831" s="1205">
        <f>F831-0.02+2*0.1</f>
        <v>2.06</v>
      </c>
      <c r="N831" s="1205"/>
      <c r="O831" s="1206">
        <f>ROUND(PI()*((C831*0.0254)^2)/4*7.85*2204.6,2)</f>
        <v>1.23</v>
      </c>
      <c r="P831" s="1224">
        <f>+((M831*I831*O831)/100)*1.07</f>
        <v>0.54223319999999997</v>
      </c>
      <c r="Q831" s="1905"/>
    </row>
    <row r="832" spans="2:17" ht="30">
      <c r="B832" s="1886"/>
      <c r="C832" s="1305">
        <v>0.375</v>
      </c>
      <c r="D832" s="1307" t="s">
        <v>4863</v>
      </c>
      <c r="E832" s="1205">
        <v>0.25</v>
      </c>
      <c r="F832" s="1205">
        <v>1.77</v>
      </c>
      <c r="G832" s="1205">
        <v>0.4</v>
      </c>
      <c r="H832" s="1889"/>
      <c r="I832" s="1206">
        <f>(ROUND(((G832))/E832,0))+1</f>
        <v>3</v>
      </c>
      <c r="J832" s="1206"/>
      <c r="K832" s="1206"/>
      <c r="L832" s="1206"/>
      <c r="M832" s="1205">
        <f>F832-0.02+2*0.1</f>
        <v>1.95</v>
      </c>
      <c r="N832" s="1205"/>
      <c r="O832" s="1206">
        <f>ROUND(PI()*((C832*0.0254)^2)/4*7.85*2204.6,2)</f>
        <v>1.23</v>
      </c>
      <c r="P832" s="1224">
        <f>+((M832*I832*O832)/100)*1.07</f>
        <v>7.6991850000000001E-2</v>
      </c>
      <c r="Q832" s="1905"/>
    </row>
    <row r="833" spans="2:17" ht="15.75">
      <c r="B833" s="1887"/>
      <c r="C833" s="1305"/>
      <c r="D833" s="1307"/>
      <c r="E833" s="1205"/>
      <c r="F833" s="1205"/>
      <c r="G833" s="1205"/>
      <c r="H833" s="1890"/>
      <c r="I833" s="1206"/>
      <c r="J833" s="1206"/>
      <c r="K833" s="1206"/>
      <c r="L833" s="1206"/>
      <c r="M833" s="1205"/>
      <c r="N833" s="1205"/>
      <c r="O833" s="1206"/>
      <c r="P833" s="1205"/>
      <c r="Q833" s="1906"/>
    </row>
    <row r="834" spans="2:17" ht="15.75">
      <c r="B834" s="1883">
        <f>H830*B830</f>
        <v>0.25319999999999998</v>
      </c>
      <c r="C834" s="1883"/>
      <c r="D834" s="1883"/>
      <c r="E834" s="1883"/>
      <c r="F834" s="1883"/>
      <c r="G834" s="1883"/>
      <c r="H834" s="1883"/>
      <c r="I834" s="1883"/>
      <c r="J834" s="1883"/>
      <c r="K834" s="1883"/>
      <c r="L834" s="1883"/>
      <c r="M834" s="1883"/>
      <c r="N834" s="1883"/>
      <c r="O834" s="1883"/>
      <c r="P834" s="1883"/>
      <c r="Q834" s="1883"/>
    </row>
    <row r="835" spans="2:17">
      <c r="G835" s="1492"/>
      <c r="I835" s="1492"/>
      <c r="P835" s="891">
        <f>SUM(P830:P833)</f>
        <v>0.82473406499999991</v>
      </c>
    </row>
    <row r="838" spans="2:17" ht="15.75" thickBot="1">
      <c r="B838" s="1903" t="s">
        <v>5266</v>
      </c>
      <c r="C838" s="1903"/>
      <c r="D838" s="1903"/>
      <c r="E838" s="1903"/>
      <c r="F838" s="1903"/>
      <c r="G838" s="1903"/>
      <c r="H838" s="1903"/>
      <c r="I838" s="1903"/>
      <c r="J838" s="1903"/>
      <c r="K838" s="1903"/>
      <c r="L838" s="1903"/>
      <c r="M838" s="1903"/>
      <c r="N838" s="1903"/>
      <c r="O838" s="1903"/>
      <c r="P838" s="1903"/>
      <c r="Q838" s="1199" t="s">
        <v>4848</v>
      </c>
    </row>
    <row r="839" spans="2:17" ht="39" thickBot="1">
      <c r="B839" s="1304" t="s">
        <v>4849</v>
      </c>
      <c r="C839" s="1200" t="s">
        <v>4850</v>
      </c>
      <c r="D839" s="1201" t="s">
        <v>4851</v>
      </c>
      <c r="E839" s="1201" t="s">
        <v>4852</v>
      </c>
      <c r="F839" s="1201" t="s">
        <v>4853</v>
      </c>
      <c r="G839" s="1202" t="s">
        <v>4854</v>
      </c>
      <c r="H839" s="1201" t="s">
        <v>4855</v>
      </c>
      <c r="I839" s="1202" t="s">
        <v>4856</v>
      </c>
      <c r="J839" s="1202" t="s">
        <v>4857</v>
      </c>
      <c r="K839" s="1202" t="s">
        <v>4085</v>
      </c>
      <c r="L839" s="1202" t="s">
        <v>4858</v>
      </c>
      <c r="M839" s="1202" t="s">
        <v>5174</v>
      </c>
      <c r="N839" s="1202"/>
      <c r="O839" s="1202" t="s">
        <v>4860</v>
      </c>
      <c r="P839" s="1201" t="s">
        <v>4</v>
      </c>
      <c r="Q839" s="1203" t="s">
        <v>4861</v>
      </c>
    </row>
    <row r="840" spans="2:17" ht="45">
      <c r="B840" s="1885"/>
      <c r="C840" s="1305">
        <v>0.5</v>
      </c>
      <c r="D840" s="1490" t="s">
        <v>5173</v>
      </c>
      <c r="E840" s="1205"/>
      <c r="F840" s="1205"/>
      <c r="G840" s="1205"/>
      <c r="H840" s="1888"/>
      <c r="I840" s="1206"/>
      <c r="J840" s="1206"/>
      <c r="K840" s="1206"/>
      <c r="L840" s="1206"/>
      <c r="M840" s="1205"/>
      <c r="N840" s="1205"/>
      <c r="O840" s="1206"/>
      <c r="P840" s="1224"/>
      <c r="Q840" s="1904">
        <f>SUM(P840:P848)/B849</f>
        <v>3.1491206553104343</v>
      </c>
    </row>
    <row r="841" spans="2:17" ht="45">
      <c r="B841" s="1886"/>
      <c r="C841" s="1305">
        <v>0.5</v>
      </c>
      <c r="D841" s="1490" t="s">
        <v>5173</v>
      </c>
      <c r="E841" s="1205"/>
      <c r="F841" s="1205">
        <v>2.58</v>
      </c>
      <c r="G841" s="1205"/>
      <c r="H841" s="1889"/>
      <c r="I841" s="1206">
        <v>2</v>
      </c>
      <c r="J841" s="1206"/>
      <c r="K841" s="1206"/>
      <c r="L841" s="1206"/>
      <c r="M841" s="1205">
        <f>F841-2*$G$659+0.6</f>
        <v>3.14</v>
      </c>
      <c r="N841" s="1205"/>
      <c r="O841" s="1206">
        <f>ROUND(PI()*((C841*0.0254)^2)/4*7.85*2204.6,2)</f>
        <v>2.19</v>
      </c>
      <c r="P841" s="1224">
        <f>+((M841*I841*O841)/100)*1.07</f>
        <v>0.14715924</v>
      </c>
      <c r="Q841" s="1905"/>
    </row>
    <row r="842" spans="2:17" ht="45">
      <c r="B842" s="1886"/>
      <c r="C842" s="1305">
        <v>0.5</v>
      </c>
      <c r="D842" s="1490" t="s">
        <v>5173</v>
      </c>
      <c r="E842" s="1205"/>
      <c r="F842" s="1205">
        <v>3.25</v>
      </c>
      <c r="G842" s="1205"/>
      <c r="H842" s="1889"/>
      <c r="I842" s="1206">
        <v>2</v>
      </c>
      <c r="J842" s="1206"/>
      <c r="K842" s="1206"/>
      <c r="L842" s="1206"/>
      <c r="M842" s="1205">
        <f>F842-2*$G$659+0.6</f>
        <v>3.81</v>
      </c>
      <c r="N842" s="1205"/>
      <c r="O842" s="1206">
        <f>ROUND(PI()*((C842*0.0254)^2)/4*7.85*2204.6,2)</f>
        <v>2.19</v>
      </c>
      <c r="P842" s="1205">
        <f>((I842*M842*O842)/100)*1.07</f>
        <v>0.17855946</v>
      </c>
      <c r="Q842" s="1905"/>
    </row>
    <row r="843" spans="2:17" ht="45">
      <c r="B843" s="1886"/>
      <c r="C843" s="1305">
        <v>0.5</v>
      </c>
      <c r="D843" s="1490" t="s">
        <v>5173</v>
      </c>
      <c r="E843" s="1205"/>
      <c r="F843" s="1205">
        <v>3.75</v>
      </c>
      <c r="G843" s="1205"/>
      <c r="H843" s="1889"/>
      <c r="I843" s="1206">
        <f>8*2</f>
        <v>16</v>
      </c>
      <c r="J843" s="1206"/>
      <c r="K843" s="1206"/>
      <c r="L843" s="1206"/>
      <c r="M843" s="1205">
        <f>F843-2*$G$659+0.6</f>
        <v>4.3099999999999996</v>
      </c>
      <c r="N843" s="1205"/>
      <c r="O843" s="1206">
        <f t="shared" ref="O843:O844" si="93">ROUND(PI()*((C843*0.0254)^2)/4*7.85*2204.6,2)</f>
        <v>2.19</v>
      </c>
      <c r="P843" s="1205">
        <f>((I843*M843*O843)/100)*1.07</f>
        <v>1.6159396799999999</v>
      </c>
      <c r="Q843" s="1905"/>
    </row>
    <row r="844" spans="2:17" ht="26.25">
      <c r="B844" s="1886"/>
      <c r="C844" s="1305">
        <v>0.375</v>
      </c>
      <c r="D844" s="1473" t="s">
        <v>5163</v>
      </c>
      <c r="E844" s="1205">
        <v>0.5</v>
      </c>
      <c r="F844" s="1205">
        <f>0.15+0.15+0.15+0.05+0.1*2</f>
        <v>0.7</v>
      </c>
      <c r="G844" s="1477">
        <f>ROUND(35.48+1,2)</f>
        <v>36.479999999999997</v>
      </c>
      <c r="H844" s="1889"/>
      <c r="I844" s="1479">
        <f>(ROUND((G844)/0.5,0))</f>
        <v>73</v>
      </c>
      <c r="J844" s="1206"/>
      <c r="K844" s="1206"/>
      <c r="L844" s="1206"/>
      <c r="M844" s="1205">
        <f>F844-0.02*2-0.02*2</f>
        <v>0.61999999999999988</v>
      </c>
      <c r="N844" s="1205"/>
      <c r="O844" s="1206">
        <f t="shared" si="93"/>
        <v>1.23</v>
      </c>
      <c r="P844" s="1205">
        <f>((I844*M844*O844)/100)*1.07</f>
        <v>0.59566685999999991</v>
      </c>
      <c r="Q844" s="1905"/>
    </row>
    <row r="845" spans="2:17" ht="15.75">
      <c r="B845" s="1886"/>
      <c r="C845" s="1305"/>
      <c r="D845" s="1473"/>
      <c r="E845" s="1205"/>
      <c r="F845" s="1205"/>
      <c r="G845" s="1205"/>
      <c r="H845" s="1889"/>
      <c r="I845" s="1206"/>
      <c r="J845" s="1206"/>
      <c r="K845" s="1206"/>
      <c r="L845" s="1206"/>
      <c r="M845" s="1205"/>
      <c r="N845" s="1205"/>
      <c r="O845" s="1206"/>
      <c r="P845" s="1477"/>
      <c r="Q845" s="1905"/>
    </row>
    <row r="846" spans="2:17" ht="15.75">
      <c r="B846" s="1886"/>
      <c r="C846" s="1305"/>
      <c r="D846" s="1473"/>
      <c r="E846" s="1205"/>
      <c r="F846" s="1205"/>
      <c r="G846" s="1205"/>
      <c r="H846" s="1889"/>
      <c r="I846" s="1206"/>
      <c r="J846" s="1206"/>
      <c r="K846" s="1206"/>
      <c r="L846" s="1206"/>
      <c r="M846" s="1205"/>
      <c r="N846" s="1205"/>
      <c r="O846" s="1206"/>
      <c r="P846" s="1205"/>
      <c r="Q846" s="1905"/>
    </row>
    <row r="847" spans="2:17" ht="15.75">
      <c r="B847" s="1886"/>
      <c r="C847" s="1305"/>
      <c r="D847" s="1473"/>
      <c r="E847" s="1477"/>
      <c r="F847" s="1205"/>
      <c r="G847" s="1205"/>
      <c r="H847" s="1889"/>
      <c r="I847" s="1206"/>
      <c r="J847" s="1206"/>
      <c r="K847" s="1206"/>
      <c r="L847" s="1206"/>
      <c r="M847" s="1205"/>
      <c r="N847" s="1205"/>
      <c r="O847" s="1479"/>
      <c r="P847" s="1477"/>
      <c r="Q847" s="1905"/>
    </row>
    <row r="848" spans="2:17" ht="15.75">
      <c r="B848" s="1887"/>
      <c r="C848" s="1305"/>
      <c r="D848" s="1307"/>
      <c r="E848" s="1205"/>
      <c r="F848" s="1205"/>
      <c r="G848" s="1205"/>
      <c r="H848" s="1890"/>
      <c r="I848" s="1206"/>
      <c r="J848" s="1206"/>
      <c r="K848" s="1206"/>
      <c r="L848" s="1206"/>
      <c r="M848" s="1205"/>
      <c r="N848" s="1205"/>
      <c r="O848" s="1206"/>
      <c r="P848" s="1205"/>
      <c r="Q848" s="1906"/>
    </row>
    <row r="849" spans="2:17" ht="15.75">
      <c r="B849" s="1883">
        <f>H850</f>
        <v>0.80572499999999991</v>
      </c>
      <c r="C849" s="1883"/>
      <c r="D849" s="1883"/>
      <c r="E849" s="1883"/>
      <c r="F849" s="1883"/>
      <c r="G849" s="1883"/>
      <c r="H849" s="1883"/>
      <c r="I849" s="1883"/>
      <c r="J849" s="1883"/>
      <c r="K849" s="1883"/>
      <c r="L849" s="1883"/>
      <c r="M849" s="1883"/>
      <c r="N849" s="1883"/>
      <c r="O849" s="1883"/>
      <c r="P849" s="1883"/>
      <c r="Q849" s="1883"/>
    </row>
    <row r="850" spans="2:17">
      <c r="H850" s="728">
        <f>8*3.75*0.15*0.15+3.24*0.15*0.15+2.57*0.15*0.15</f>
        <v>0.80572499999999991</v>
      </c>
      <c r="M850" s="783">
        <f>P841+P842+P843</f>
        <v>1.9416583799999998</v>
      </c>
      <c r="P850" s="891">
        <f>SUM(P840:P848)</f>
        <v>2.5373252399999995</v>
      </c>
    </row>
    <row r="851" spans="2:17">
      <c r="G851" s="1492" t="s">
        <v>5181</v>
      </c>
      <c r="H851" s="728">
        <f>B849*1</f>
        <v>0.80572499999999991</v>
      </c>
      <c r="I851" s="1492" t="s">
        <v>1806</v>
      </c>
      <c r="M851" s="783">
        <f>P844</f>
        <v>0.59566685999999991</v>
      </c>
      <c r="P851" s="728">
        <f>P850/H850</f>
        <v>3.1491206553104343</v>
      </c>
    </row>
    <row r="852" spans="2:17">
      <c r="H852" s="728">
        <f>H851*1.05</f>
        <v>0.84601124999999999</v>
      </c>
      <c r="L852" s="1583" t="s">
        <v>5271</v>
      </c>
      <c r="M852" s="728">
        <f>M851/H851</f>
        <v>0.73929300940147069</v>
      </c>
      <c r="N852" s="1583" t="s">
        <v>5270</v>
      </c>
    </row>
    <row r="853" spans="2:17">
      <c r="L853" s="1583" t="s">
        <v>5272</v>
      </c>
      <c r="M853" s="728">
        <f>M850/H850</f>
        <v>2.409827645908964</v>
      </c>
      <c r="N853" s="1583" t="s">
        <v>5270</v>
      </c>
    </row>
    <row r="854" spans="2:17" ht="15.75" thickBot="1">
      <c r="B854" s="1903" t="s">
        <v>5267</v>
      </c>
      <c r="C854" s="1903"/>
      <c r="D854" s="1903"/>
      <c r="E854" s="1903"/>
      <c r="F854" s="1903"/>
      <c r="G854" s="1903"/>
      <c r="H854" s="1903"/>
      <c r="I854" s="1903"/>
      <c r="J854" s="1903"/>
      <c r="K854" s="1903"/>
      <c r="L854" s="1903"/>
      <c r="M854" s="1903"/>
      <c r="N854" s="1903"/>
      <c r="O854" s="1903"/>
      <c r="P854" s="1903"/>
      <c r="Q854" s="1199" t="s">
        <v>4848</v>
      </c>
    </row>
    <row r="855" spans="2:17" ht="39" thickBot="1">
      <c r="B855" s="1304" t="s">
        <v>4849</v>
      </c>
      <c r="C855" s="1200" t="s">
        <v>4850</v>
      </c>
      <c r="D855" s="1201" t="s">
        <v>4851</v>
      </c>
      <c r="E855" s="1201" t="s">
        <v>4852</v>
      </c>
      <c r="F855" s="1201" t="s">
        <v>4853</v>
      </c>
      <c r="G855" s="1202" t="s">
        <v>4854</v>
      </c>
      <c r="H855" s="1201" t="s">
        <v>4855</v>
      </c>
      <c r="I855" s="1202" t="s">
        <v>4856</v>
      </c>
      <c r="J855" s="1202" t="s">
        <v>4857</v>
      </c>
      <c r="K855" s="1202" t="s">
        <v>4085</v>
      </c>
      <c r="L855" s="1202" t="s">
        <v>4858</v>
      </c>
      <c r="M855" s="1202" t="s">
        <v>5174</v>
      </c>
      <c r="N855" s="1202"/>
      <c r="O855" s="1202" t="s">
        <v>4860</v>
      </c>
      <c r="P855" s="1201" t="s">
        <v>4</v>
      </c>
      <c r="Q855" s="1203" t="s">
        <v>4861</v>
      </c>
    </row>
    <row r="856" spans="2:17" ht="15.75">
      <c r="B856" s="1885"/>
      <c r="C856" s="1305"/>
      <c r="D856" s="1490"/>
      <c r="E856" s="1205"/>
      <c r="F856" s="1205"/>
      <c r="G856" s="1205"/>
      <c r="H856" s="1888"/>
      <c r="I856" s="1206"/>
      <c r="J856" s="1206"/>
      <c r="K856" s="1206"/>
      <c r="L856" s="1206"/>
      <c r="M856" s="1205"/>
      <c r="N856" s="1205"/>
      <c r="O856" s="1206"/>
      <c r="P856" s="1224"/>
      <c r="Q856" s="1904">
        <f>SUM(P856:P863)/B864</f>
        <v>5.8094014110010246</v>
      </c>
    </row>
    <row r="857" spans="2:17" ht="15.75">
      <c r="B857" s="1886"/>
      <c r="C857" s="1305"/>
      <c r="D857" s="1490"/>
      <c r="E857" s="1205"/>
      <c r="F857" s="1205"/>
      <c r="G857" s="1205"/>
      <c r="H857" s="1889"/>
      <c r="I857" s="1206"/>
      <c r="J857" s="1206"/>
      <c r="K857" s="1206"/>
      <c r="L857" s="1206"/>
      <c r="M857" s="1205"/>
      <c r="N857" s="1205"/>
      <c r="O857" s="1206"/>
      <c r="P857" s="1205"/>
      <c r="Q857" s="1905"/>
    </row>
    <row r="858" spans="2:17" ht="15.75">
      <c r="B858" s="1886"/>
      <c r="C858" s="1305"/>
      <c r="D858" s="1490"/>
      <c r="E858" s="1205"/>
      <c r="F858" s="1205"/>
      <c r="G858" s="1205"/>
      <c r="H858" s="1889"/>
      <c r="I858" s="1206"/>
      <c r="J858" s="1206"/>
      <c r="K858" s="1206"/>
      <c r="L858" s="1206"/>
      <c r="M858" s="1205"/>
      <c r="N858" s="1205"/>
      <c r="O858" s="1206"/>
      <c r="P858" s="1205"/>
      <c r="Q858" s="1905"/>
    </row>
    <row r="859" spans="2:17" ht="15.75">
      <c r="B859" s="1886"/>
      <c r="C859" s="1305"/>
      <c r="D859" s="1473"/>
      <c r="E859" s="1205"/>
      <c r="F859" s="1205"/>
      <c r="G859" s="1477"/>
      <c r="H859" s="1889"/>
      <c r="I859" s="1479"/>
      <c r="J859" s="1206"/>
      <c r="K859" s="1206"/>
      <c r="L859" s="1206"/>
      <c r="M859" s="1205"/>
      <c r="N859" s="1205"/>
      <c r="O859" s="1206"/>
      <c r="P859" s="1205"/>
      <c r="Q859" s="1905"/>
    </row>
    <row r="860" spans="2:17" ht="15.75">
      <c r="B860" s="1886"/>
      <c r="C860" s="1305">
        <v>0.5</v>
      </c>
      <c r="D860" s="1473" t="s">
        <v>5269</v>
      </c>
      <c r="E860" s="1205">
        <v>0.15</v>
      </c>
      <c r="F860" s="1205">
        <v>8.2799999999999994</v>
      </c>
      <c r="G860" s="1205">
        <v>5.0999999999999996</v>
      </c>
      <c r="H860" s="1889"/>
      <c r="I860" s="1206">
        <f>(ROUND(((G860))/E860,0))+1</f>
        <v>35</v>
      </c>
      <c r="J860" s="1206"/>
      <c r="K860" s="1206"/>
      <c r="L860" s="1206"/>
      <c r="M860" s="1205">
        <f>F860-0.02*2+0.635</f>
        <v>8.875</v>
      </c>
      <c r="N860" s="1205"/>
      <c r="O860" s="1206">
        <f t="shared" ref="O860:O861" si="94">ROUND(PI()*((C860*0.0254)^2)/4*7.85*2204.6,2)</f>
        <v>2.19</v>
      </c>
      <c r="P860" s="1477">
        <f>+((M860*I860*O860)/100)*1.07</f>
        <v>7.2788756249999995</v>
      </c>
      <c r="Q860" s="1905"/>
    </row>
    <row r="861" spans="2:17" ht="15.75">
      <c r="B861" s="1886"/>
      <c r="C861" s="1305">
        <v>0.5</v>
      </c>
      <c r="D861" s="1473" t="s">
        <v>5269</v>
      </c>
      <c r="E861" s="1205">
        <v>0.15</v>
      </c>
      <c r="F861" s="1205">
        <v>7.15</v>
      </c>
      <c r="G861" s="1205">
        <v>1.7</v>
      </c>
      <c r="H861" s="1889"/>
      <c r="I861" s="1206">
        <f>(ROUND(((G861))/E861,0))+1</f>
        <v>12</v>
      </c>
      <c r="J861" s="1206"/>
      <c r="K861" s="1206"/>
      <c r="L861" s="1206"/>
      <c r="M861" s="1205">
        <f>F861-0.02*2+0.635</f>
        <v>7.7450000000000001</v>
      </c>
      <c r="N861" s="1205"/>
      <c r="O861" s="1206">
        <f t="shared" si="94"/>
        <v>2.19</v>
      </c>
      <c r="P861" s="1205">
        <f t="shared" ref="P861" si="95">(((((I861*M861)*1.23/100)+((L861*1.23*N861)/100))*1.07))</f>
        <v>1.2231833400000001</v>
      </c>
      <c r="Q861" s="1905"/>
    </row>
    <row r="862" spans="2:17" ht="15.75">
      <c r="B862" s="1886"/>
      <c r="C862" s="1305"/>
      <c r="D862" s="1473"/>
      <c r="E862" s="1477"/>
      <c r="F862" s="1205"/>
      <c r="G862" s="1205"/>
      <c r="H862" s="1889"/>
      <c r="I862" s="1206"/>
      <c r="J862" s="1206"/>
      <c r="K862" s="1206"/>
      <c r="L862" s="1206"/>
      <c r="M862" s="1205"/>
      <c r="N862" s="1205"/>
      <c r="O862" s="1479"/>
      <c r="P862" s="1477"/>
      <c r="Q862" s="1905"/>
    </row>
    <row r="863" spans="2:17" ht="15.75">
      <c r="B863" s="1887"/>
      <c r="C863" s="1305"/>
      <c r="D863" s="1307"/>
      <c r="E863" s="1205"/>
      <c r="F863" s="1205"/>
      <c r="G863" s="1205"/>
      <c r="H863" s="1890"/>
      <c r="I863" s="1206"/>
      <c r="J863" s="1206"/>
      <c r="K863" s="1206"/>
      <c r="L863" s="1206"/>
      <c r="M863" s="1205"/>
      <c r="N863" s="1205"/>
      <c r="O863" s="1206"/>
      <c r="P863" s="1205"/>
      <c r="Q863" s="1906"/>
    </row>
    <row r="864" spans="2:17" ht="15.75">
      <c r="B864" s="1883">
        <f>H865</f>
        <v>1.4635</v>
      </c>
      <c r="C864" s="1883"/>
      <c r="D864" s="1883"/>
      <c r="E864" s="1883"/>
      <c r="F864" s="1883"/>
      <c r="G864" s="1883"/>
      <c r="H864" s="1883"/>
      <c r="I864" s="1883"/>
      <c r="J864" s="1883"/>
      <c r="K864" s="1883"/>
      <c r="L864" s="1883"/>
      <c r="M864" s="1883"/>
      <c r="N864" s="1883"/>
      <c r="O864" s="1883"/>
      <c r="P864" s="1883"/>
      <c r="Q864" s="1883"/>
    </row>
    <row r="865" spans="3:16">
      <c r="H865" s="728">
        <f>29.27*0.05</f>
        <v>1.4635</v>
      </c>
      <c r="P865" s="891">
        <f>SUM(P856:P863)</f>
        <v>8.5020589649999998</v>
      </c>
    </row>
    <row r="866" spans="3:16">
      <c r="G866" s="1492" t="s">
        <v>5181</v>
      </c>
      <c r="H866" s="728">
        <f>B864*1</f>
        <v>1.4635</v>
      </c>
      <c r="I866" s="1492" t="s">
        <v>1806</v>
      </c>
      <c r="P866" s="728">
        <f>P865/H865</f>
        <v>5.8094014110010246</v>
      </c>
    </row>
    <row r="867" spans="3:16">
      <c r="H867" s="728">
        <f>H866*1.05</f>
        <v>1.536675</v>
      </c>
      <c r="I867" s="728">
        <f>H867+H852</f>
        <v>2.3826862499999999</v>
      </c>
    </row>
    <row r="868" spans="3:16" ht="15.75" thickBot="1">
      <c r="C868" s="1583" t="s">
        <v>5268</v>
      </c>
    </row>
    <row r="869" spans="3:16">
      <c r="C869" s="1573"/>
      <c r="D869" s="1574"/>
      <c r="E869" s="1574"/>
      <c r="F869" s="1574"/>
      <c r="G869" s="1574"/>
      <c r="H869" s="1574"/>
      <c r="I869" s="1574"/>
      <c r="J869" s="1574"/>
      <c r="K869" s="1574"/>
      <c r="L869" s="1574"/>
      <c r="M869" s="1574"/>
      <c r="N869" s="1574"/>
      <c r="O869" s="1575"/>
    </row>
    <row r="870" spans="3:16" ht="27" thickBot="1">
      <c r="C870" s="1576">
        <v>0</v>
      </c>
      <c r="D870" s="1577" t="s">
        <v>5172</v>
      </c>
      <c r="E870" s="1578">
        <v>0.1</v>
      </c>
      <c r="F870" s="1579"/>
      <c r="G870" s="1579"/>
      <c r="H870" s="1580"/>
      <c r="I870" s="1580"/>
      <c r="J870" s="1580">
        <v>24</v>
      </c>
      <c r="K870" s="1580"/>
      <c r="L870" s="1579"/>
      <c r="M870" s="1579"/>
      <c r="N870" s="1581">
        <f>ROUND(PI()*((B870*0.0254)^2)/4*7.85*2204.6,2)*0+ROUND((5.4*100/(2.5*40)),2)</f>
        <v>5.4</v>
      </c>
      <c r="O870" s="1582">
        <f>(J870*N870)/100</f>
        <v>1.2960000000000003</v>
      </c>
    </row>
    <row r="886" spans="2:11" ht="15.75" thickBot="1">
      <c r="B886" s="1902" t="s">
        <v>5171</v>
      </c>
      <c r="C886" s="1902"/>
      <c r="D886" s="1902"/>
      <c r="E886" s="1902"/>
      <c r="F886" s="1902"/>
      <c r="G886" s="1902"/>
      <c r="H886" s="1902"/>
      <c r="I886" s="1902"/>
      <c r="J886" s="1902"/>
      <c r="K886" s="1902"/>
    </row>
    <row r="887" spans="2:11" ht="15.75" thickBot="1">
      <c r="B887" s="1474" t="s">
        <v>4849</v>
      </c>
      <c r="C887" s="1474" t="s">
        <v>4850</v>
      </c>
      <c r="D887" s="1475" t="s">
        <v>4851</v>
      </c>
      <c r="E887" s="1475" t="s">
        <v>4855</v>
      </c>
      <c r="F887" s="1475" t="s">
        <v>4852</v>
      </c>
      <c r="G887" s="1475" t="s">
        <v>4875</v>
      </c>
      <c r="H887" s="1475" t="s">
        <v>4860</v>
      </c>
      <c r="I887" s="1475" t="s">
        <v>4956</v>
      </c>
      <c r="J887" s="1475" t="s">
        <v>4</v>
      </c>
      <c r="K887" s="1476" t="s">
        <v>4861</v>
      </c>
    </row>
    <row r="888" spans="2:11" ht="26.25">
      <c r="B888" s="1477">
        <v>0.05</v>
      </c>
      <c r="C888" s="1478">
        <v>0</v>
      </c>
      <c r="D888" s="1473" t="s">
        <v>5172</v>
      </c>
      <c r="E888" s="1479">
        <f>ROUND(7.8*7.2,2)</f>
        <v>56.16</v>
      </c>
      <c r="F888" s="1477">
        <v>0.1</v>
      </c>
      <c r="G888" s="1479"/>
      <c r="H888" s="1479">
        <f>ROUND(PI()*((C888*0.0254)^2)/4*7.85*2204.6,2)*0+ROUND((5.4*100/(2.5*40)),2)</f>
        <v>5.4</v>
      </c>
      <c r="I888" s="1477">
        <f>ROUND(5.3+0.1*SQRT(2)+0.1+0.1+1.25,2)*0</f>
        <v>0</v>
      </c>
      <c r="J888" s="1477">
        <f>+(G888*H888*I888)/100*0+(E888*H888/100)</f>
        <v>3.0326400000000002</v>
      </c>
      <c r="K888" s="1480"/>
    </row>
    <row r="889" spans="2:11" ht="39">
      <c r="B889" s="1477">
        <v>0.15</v>
      </c>
      <c r="C889" s="1478">
        <v>0.5</v>
      </c>
      <c r="D889" s="1473" t="s">
        <v>5162</v>
      </c>
      <c r="E889" s="1479">
        <f>ROUND(0.5*0.15*11*ROUND(6.35/0.5,0),2)</f>
        <v>10.73</v>
      </c>
      <c r="F889" s="1477"/>
      <c r="G889" s="1479">
        <f>4*ROUND(6.35/0.65,0)</f>
        <v>40</v>
      </c>
      <c r="H889" s="1479">
        <f t="shared" ref="H889:H897" si="96">ROUND(PI()*((C889*0.0254)^2)/4*7.85*2204.6,2)</f>
        <v>2.19</v>
      </c>
      <c r="I889" s="1477">
        <f>ROUND(7.625*1.05,2)</f>
        <v>8.01</v>
      </c>
      <c r="J889" s="1477">
        <f t="shared" ref="J889:J897" si="97">+(G889*H889*I889)/100</f>
        <v>7.0167599999999997</v>
      </c>
      <c r="K889" s="1480"/>
    </row>
    <row r="890" spans="2:11" ht="26.25">
      <c r="B890" s="1477">
        <v>0.15</v>
      </c>
      <c r="C890" s="1478">
        <v>0.375</v>
      </c>
      <c r="D890" s="1473" t="s">
        <v>5163</v>
      </c>
      <c r="E890" s="1479">
        <f>ROUND(0.5*0.15*11*ROUND(6.35/0.5,0),2)</f>
        <v>10.73</v>
      </c>
      <c r="F890" s="1477">
        <v>0.5</v>
      </c>
      <c r="G890" s="1479">
        <f>(ROUND(((7.875))/F890,0))*ROUND(6.35/0.65,0)</f>
        <v>160</v>
      </c>
      <c r="H890" s="1479">
        <f t="shared" si="96"/>
        <v>1.23</v>
      </c>
      <c r="I890" s="1477">
        <f>ROUND(0.15+0.15+0.1+0.1+0.1,2)</f>
        <v>0.6</v>
      </c>
      <c r="J890" s="1477">
        <f t="shared" si="97"/>
        <v>1.1808000000000001</v>
      </c>
      <c r="K890" s="1480"/>
    </row>
    <row r="891" spans="2:11" ht="39">
      <c r="B891" s="1477">
        <v>0.15</v>
      </c>
      <c r="C891" s="1478">
        <v>0.5</v>
      </c>
      <c r="D891" s="1473" t="s">
        <v>5164</v>
      </c>
      <c r="E891" s="1479">
        <f>ROUND(0.5*0.15*11*ROUND(7/0.5,0),2)</f>
        <v>11.55</v>
      </c>
      <c r="F891" s="1477"/>
      <c r="G891" s="1479">
        <f>4*ROUND(7/0.65,0)</f>
        <v>44</v>
      </c>
      <c r="H891" s="1479">
        <f t="shared" si="96"/>
        <v>2.19</v>
      </c>
      <c r="I891" s="1477">
        <f>ROUND(7.1*1.05,2)</f>
        <v>7.46</v>
      </c>
      <c r="J891" s="1477">
        <f t="shared" si="97"/>
        <v>7.1884559999999995</v>
      </c>
      <c r="K891" s="1480"/>
    </row>
    <row r="892" spans="2:11" ht="26.25">
      <c r="B892" s="1477">
        <v>0.15</v>
      </c>
      <c r="C892" s="1478">
        <v>0.375</v>
      </c>
      <c r="D892" s="1473" t="s">
        <v>5165</v>
      </c>
      <c r="E892" s="1479">
        <f>ROUND(0.5*0.15*11*ROUND(7/0.5,0),2)</f>
        <v>11.55</v>
      </c>
      <c r="F892" s="1477">
        <v>0.5</v>
      </c>
      <c r="G892" s="1479">
        <f>(ROUND(((7.1))/F892,0))*ROUND(7/0.65,0)</f>
        <v>154</v>
      </c>
      <c r="H892" s="1479">
        <f t="shared" si="96"/>
        <v>1.23</v>
      </c>
      <c r="I892" s="1477">
        <f>ROUND(0.15+0.15+0.1+0.1+0.1,2)</f>
        <v>0.6</v>
      </c>
      <c r="J892" s="1477">
        <f t="shared" si="97"/>
        <v>1.13652</v>
      </c>
      <c r="K892" s="1480"/>
    </row>
    <row r="893" spans="2:11" ht="26.25">
      <c r="B893" s="1477">
        <v>0.15</v>
      </c>
      <c r="C893" s="1478">
        <v>0.5</v>
      </c>
      <c r="D893" s="1473" t="s">
        <v>5166</v>
      </c>
      <c r="E893" s="1477">
        <f>ROUND(0.5*0.15*7.35*2,2)</f>
        <v>1.1000000000000001</v>
      </c>
      <c r="F893" s="1477">
        <v>0.2</v>
      </c>
      <c r="G893" s="1479">
        <f>(ROUND((7.85)/F893,0))*2</f>
        <v>78</v>
      </c>
      <c r="H893" s="1479">
        <f t="shared" si="96"/>
        <v>2.19</v>
      </c>
      <c r="I893" s="1477">
        <f>ROUND(2.9+0.075+0.075,2)</f>
        <v>3.05</v>
      </c>
      <c r="J893" s="1477">
        <f t="shared" si="97"/>
        <v>5.2100099999999996</v>
      </c>
      <c r="K893" s="1481"/>
    </row>
    <row r="894" spans="2:11" ht="39">
      <c r="B894" s="1477">
        <v>0.15</v>
      </c>
      <c r="C894" s="1478">
        <v>0.5</v>
      </c>
      <c r="D894" s="1473" t="s">
        <v>5167</v>
      </c>
      <c r="E894" s="1479">
        <f>ROUND(0.5*0.15*7.835*2,2)</f>
        <v>1.18</v>
      </c>
      <c r="F894" s="1477"/>
      <c r="G894" s="1479">
        <f>3*2</f>
        <v>6</v>
      </c>
      <c r="H894" s="1479">
        <f t="shared" si="96"/>
        <v>2.19</v>
      </c>
      <c r="I894" s="1477">
        <f>ROUND(7.1*1.05,2)</f>
        <v>7.46</v>
      </c>
      <c r="J894" s="1477">
        <f t="shared" si="97"/>
        <v>0.980244</v>
      </c>
      <c r="K894" s="1480"/>
    </row>
    <row r="895" spans="2:11" ht="26.25">
      <c r="B895" s="1477">
        <v>0.15</v>
      </c>
      <c r="C895" s="1478">
        <v>0.375</v>
      </c>
      <c r="D895" s="1473" t="s">
        <v>5168</v>
      </c>
      <c r="E895" s="1479">
        <f>ROUND(0.5*0.15*7.835*2,2)</f>
        <v>1.18</v>
      </c>
      <c r="F895" s="1477">
        <v>0.5</v>
      </c>
      <c r="G895" s="1479">
        <f>(ROUND((7)/F895,0))*2</f>
        <v>28</v>
      </c>
      <c r="H895" s="1479">
        <f t="shared" si="96"/>
        <v>1.23</v>
      </c>
      <c r="I895" s="1477">
        <f>ROUND(0.15+0.45+0.1+0.1+0.1,2)</f>
        <v>0.9</v>
      </c>
      <c r="J895" s="1477">
        <f t="shared" si="97"/>
        <v>0.30996000000000001</v>
      </c>
      <c r="K895" s="1480"/>
    </row>
    <row r="896" spans="2:11" ht="39">
      <c r="B896" s="1477">
        <v>0.15</v>
      </c>
      <c r="C896" s="1478">
        <v>0.5</v>
      </c>
      <c r="D896" s="1473" t="s">
        <v>5169</v>
      </c>
      <c r="E896" s="1477">
        <f>ROUND(0.5*0.15*7.35*2,2)</f>
        <v>1.1000000000000001</v>
      </c>
      <c r="F896" s="1477"/>
      <c r="G896" s="1479">
        <f>3*2</f>
        <v>6</v>
      </c>
      <c r="H896" s="1479">
        <f t="shared" si="96"/>
        <v>2.19</v>
      </c>
      <c r="I896" s="1477">
        <f>ROUND(7.85*1.05,2)</f>
        <v>8.24</v>
      </c>
      <c r="J896" s="1477">
        <f t="shared" si="97"/>
        <v>1.0827359999999999</v>
      </c>
      <c r="K896" s="1480"/>
    </row>
    <row r="897" spans="1:16" ht="26.25">
      <c r="B897" s="1477">
        <v>0.15</v>
      </c>
      <c r="C897" s="1478">
        <v>0.375</v>
      </c>
      <c r="D897" s="1473" t="s">
        <v>5170</v>
      </c>
      <c r="E897" s="1477">
        <f>ROUND(0.5*0.15*7.35*2,2)</f>
        <v>1.1000000000000001</v>
      </c>
      <c r="F897" s="1477">
        <v>0.5</v>
      </c>
      <c r="G897" s="1479">
        <f>(ROUND((7.85)/F897,0))*2</f>
        <v>32</v>
      </c>
      <c r="H897" s="1479">
        <f t="shared" si="96"/>
        <v>1.23</v>
      </c>
      <c r="I897" s="1477">
        <f>ROUND(0.15+0.45+0.1+0.1+0.1,2)</f>
        <v>0.9</v>
      </c>
      <c r="J897" s="1477">
        <f t="shared" si="97"/>
        <v>0.35424</v>
      </c>
      <c r="K897" s="1481">
        <f>ROUND(SUM(J888:J897)/(G898),2)</f>
        <v>4.2300000000000004</v>
      </c>
    </row>
    <row r="898" spans="1:16" ht="15.75" thickBot="1">
      <c r="B898" s="1487">
        <f>+AVERAGE(B888:B897)</f>
        <v>0.13999999999999999</v>
      </c>
      <c r="C898" s="1488"/>
      <c r="D898" s="1488"/>
      <c r="E898" s="1489">
        <f>+ROUND(AVERAGE(E888:E897),2)</f>
        <v>10.64</v>
      </c>
      <c r="F898" s="1484"/>
      <c r="G898" s="1483">
        <f>+ROUND(B888*E888,2)+ROUND(B889*E889,2)+ROUND(B896*E896,2)+ROUND(B894*E894,2)+ROUND(B891*E891,2)</f>
        <v>6.5</v>
      </c>
      <c r="H898" s="1482"/>
      <c r="I898" s="1482"/>
      <c r="J898" s="1485">
        <f>SUM(J888:J897)</f>
        <v>27.492366000000001</v>
      </c>
      <c r="K898" s="1486"/>
    </row>
    <row r="901" spans="1:16">
      <c r="A901" s="1907" t="s">
        <v>5190</v>
      </c>
      <c r="B901" s="1907"/>
      <c r="C901" s="1907"/>
      <c r="D901" s="1907"/>
      <c r="E901" s="1907"/>
      <c r="F901" s="1907"/>
      <c r="G901" s="1907"/>
      <c r="H901" s="1907"/>
      <c r="I901" s="1907"/>
      <c r="J901" s="1907"/>
      <c r="K901" s="1907"/>
      <c r="L901" s="1907"/>
      <c r="M901" s="1907"/>
      <c r="N901" s="1907"/>
      <c r="O901" s="1907"/>
      <c r="P901" s="1907"/>
    </row>
    <row r="904" spans="1:16" ht="18.75">
      <c r="A904" s="1227" t="s">
        <v>4883</v>
      </c>
      <c r="B904" s="1227"/>
      <c r="C904" s="1227"/>
      <c r="D904" s="1227"/>
      <c r="E904" s="1227"/>
      <c r="F904" s="1227"/>
      <c r="G904" s="1227"/>
      <c r="H904" s="1227"/>
      <c r="I904" s="1227"/>
    </row>
    <row r="905" spans="1:16" ht="15.75">
      <c r="B905" s="1900" t="s">
        <v>4982</v>
      </c>
      <c r="C905" s="1900"/>
      <c r="D905" s="1900"/>
      <c r="E905" s="1228"/>
      <c r="F905" s="1901" t="s">
        <v>4885</v>
      </c>
      <c r="G905" s="1901"/>
      <c r="H905" s="1901"/>
      <c r="I905" s="1901"/>
    </row>
    <row r="906" spans="1:16" ht="15.75">
      <c r="B906" s="1900" t="s">
        <v>4983</v>
      </c>
      <c r="C906" s="1900"/>
      <c r="D906" s="1900"/>
    </row>
    <row r="908" spans="1:16" ht="15.75">
      <c r="C908" s="1296" t="s">
        <v>4984</v>
      </c>
      <c r="D908" s="1297">
        <v>2</v>
      </c>
      <c r="F908" s="1298" t="s">
        <v>4985</v>
      </c>
      <c r="G908" s="1299">
        <v>0.1</v>
      </c>
      <c r="J908" s="1300" t="s">
        <v>4986</v>
      </c>
      <c r="K908" s="1301">
        <v>0.03</v>
      </c>
      <c r="M908" s="1300" t="s">
        <v>4987</v>
      </c>
      <c r="N908" s="1301">
        <v>0.04</v>
      </c>
    </row>
    <row r="909" spans="1:16">
      <c r="B909" s="728" t="s">
        <v>4988</v>
      </c>
      <c r="C909" s="1296" t="s">
        <v>4989</v>
      </c>
      <c r="D909" s="1302">
        <v>2</v>
      </c>
      <c r="F909" s="1298" t="s">
        <v>4990</v>
      </c>
      <c r="G909" s="1298">
        <v>0.02</v>
      </c>
      <c r="J909" s="1144"/>
      <c r="K909" s="892"/>
    </row>
    <row r="910" spans="1:16" ht="15.75">
      <c r="C910" s="1296" t="s">
        <v>4991</v>
      </c>
      <c r="D910" s="1302">
        <v>1</v>
      </c>
      <c r="E910" s="1303">
        <v>0.47599999999999998</v>
      </c>
      <c r="J910" s="1144"/>
      <c r="K910" s="892"/>
      <c r="L910" s="892"/>
    </row>
    <row r="912" spans="1:16" ht="15.75" thickBot="1">
      <c r="A912" s="1891" t="s">
        <v>5191</v>
      </c>
      <c r="B912" s="1891"/>
      <c r="C912" s="1891"/>
      <c r="D912" s="1891"/>
      <c r="E912" s="1891"/>
      <c r="F912" s="1891"/>
      <c r="G912" s="1891"/>
      <c r="H912" s="1891"/>
      <c r="I912" s="1891"/>
      <c r="J912" s="1891"/>
      <c r="K912" s="1891"/>
      <c r="L912" s="1891"/>
      <c r="M912" s="1891"/>
      <c r="N912" s="1891"/>
      <c r="O912" s="1891"/>
      <c r="P912" s="1199" t="s">
        <v>4993</v>
      </c>
    </row>
    <row r="913" spans="1:16" ht="26.25" thickBot="1">
      <c r="A913" s="1304" t="s">
        <v>4849</v>
      </c>
      <c r="B913" s="1200" t="s">
        <v>4850</v>
      </c>
      <c r="C913" s="1201" t="s">
        <v>4851</v>
      </c>
      <c r="D913" s="1201" t="s">
        <v>4852</v>
      </c>
      <c r="E913" s="1201" t="s">
        <v>4853</v>
      </c>
      <c r="F913" s="1202" t="s">
        <v>4854</v>
      </c>
      <c r="G913" s="1201" t="s">
        <v>4855</v>
      </c>
      <c r="H913" s="1202" t="s">
        <v>4856</v>
      </c>
      <c r="I913" s="1202"/>
      <c r="J913" s="1202"/>
      <c r="K913" s="1202" t="s">
        <v>4858</v>
      </c>
      <c r="L913" s="1202" t="s">
        <v>4859</v>
      </c>
      <c r="M913" s="1202" t="s">
        <v>4995</v>
      </c>
      <c r="N913" s="1202" t="s">
        <v>4860</v>
      </c>
      <c r="O913" s="1201" t="s">
        <v>4</v>
      </c>
      <c r="P913" s="1203" t="s">
        <v>4861</v>
      </c>
    </row>
    <row r="914" spans="1:16" ht="15.75" customHeight="1">
      <c r="A914" s="1885">
        <v>0.15</v>
      </c>
      <c r="B914" s="1305">
        <v>0.375</v>
      </c>
      <c r="C914" s="1204" t="s">
        <v>4862</v>
      </c>
      <c r="D914" s="1205">
        <v>0.15</v>
      </c>
      <c r="E914" s="1205">
        <v>5.0999999999999996</v>
      </c>
      <c r="F914" s="1205">
        <v>8.11</v>
      </c>
      <c r="G914" s="1888">
        <f>5.1*8.71</f>
        <v>44.420999999999999</v>
      </c>
      <c r="H914" s="1206">
        <f>(ROUND(((F914))/D914,0))+1</f>
        <v>55</v>
      </c>
      <c r="I914" s="1206"/>
      <c r="J914" s="1206"/>
      <c r="K914" s="1206">
        <v>2</v>
      </c>
      <c r="L914" s="1205">
        <f>E914+(2*$G$658)+$N$658-2*$G$659</f>
        <v>5.3</v>
      </c>
      <c r="M914" s="1205">
        <f>E914</f>
        <v>5.0999999999999996</v>
      </c>
      <c r="N914" s="1206">
        <f>ROUND(PI()*((B914*0.0254)^2)/4*7.85*2204.6,2)</f>
        <v>1.23</v>
      </c>
      <c r="O914" s="1224">
        <f>+((L914*H914*N914)/100)*1.07+((K914*M914*M914)/100)*1.07</f>
        <v>4.3930455000000004</v>
      </c>
      <c r="P914" s="1892">
        <f>SUM(O914:O917)/(G914*A914)</f>
        <v>1.4304226145291643</v>
      </c>
    </row>
    <row r="915" spans="1:16" ht="15.75" customHeight="1">
      <c r="A915" s="1886"/>
      <c r="B915" s="1305">
        <v>0.375</v>
      </c>
      <c r="C915" s="1204" t="s">
        <v>4863</v>
      </c>
      <c r="D915" s="1205">
        <v>0.2</v>
      </c>
      <c r="E915" s="1205">
        <v>8.6999999999999993</v>
      </c>
      <c r="F915" s="1205">
        <v>4.5</v>
      </c>
      <c r="G915" s="1889"/>
      <c r="H915" s="1206">
        <f>(ROUND(((F915))/D915,0))+1</f>
        <v>24</v>
      </c>
      <c r="I915" s="1206"/>
      <c r="J915" s="1206"/>
      <c r="K915" s="1206">
        <v>2</v>
      </c>
      <c r="L915" s="1205">
        <f>E915+(2*$G$658)+$N$658-2*$G$659+1*E910</f>
        <v>9.3759999999999977</v>
      </c>
      <c r="M915" s="1205">
        <f>E915</f>
        <v>8.6999999999999993</v>
      </c>
      <c r="N915" s="1206">
        <f>ROUND(PI()*((B915*0.0254)^2)/4*7.85*2204.6,2)</f>
        <v>1.23</v>
      </c>
      <c r="O915" s="1224">
        <f>+((L915*H915*N915)/100)*1.07+((K915*M915*M915)/100)*1.07</f>
        <v>4.5813068639999992</v>
      </c>
      <c r="P915" s="1893"/>
    </row>
    <row r="916" spans="1:16" ht="15.75" customHeight="1">
      <c r="A916" s="1886"/>
      <c r="B916" s="1305">
        <v>0.5</v>
      </c>
      <c r="C916" s="1204" t="s">
        <v>4862</v>
      </c>
      <c r="D916" s="1205"/>
      <c r="E916" s="1205">
        <v>2.77</v>
      </c>
      <c r="F916" s="1205"/>
      <c r="G916" s="1889"/>
      <c r="H916" s="1206">
        <v>4</v>
      </c>
      <c r="I916" s="1207"/>
      <c r="J916" s="1206"/>
      <c r="K916" s="1206"/>
      <c r="L916" s="1205">
        <f>E916+(2*$G$658)+$N$658-2*$G$659+1*E911</f>
        <v>2.97</v>
      </c>
      <c r="M916" s="1205"/>
      <c r="N916" s="1206">
        <f t="shared" ref="N916:N917" si="98">ROUND(PI()*((B916*0.0254)^2)/4*7.85*2204.6,2)</f>
        <v>2.19</v>
      </c>
      <c r="O916" s="1224">
        <f>+((L916*H916*N916)/100)*1.07</f>
        <v>0.27838404000000005</v>
      </c>
      <c r="P916" s="1893"/>
    </row>
    <row r="917" spans="1:16" ht="15.75" customHeight="1">
      <c r="A917" s="1887"/>
      <c r="B917" s="1305">
        <v>0.5</v>
      </c>
      <c r="C917" s="1204" t="s">
        <v>4863</v>
      </c>
      <c r="D917" s="1205"/>
      <c r="E917" s="1205">
        <v>2.77</v>
      </c>
      <c r="F917" s="1205"/>
      <c r="G917" s="1890"/>
      <c r="H917" s="1206">
        <v>4</v>
      </c>
      <c r="I917" s="1207"/>
      <c r="J917" s="1206"/>
      <c r="K917" s="1206"/>
      <c r="L917" s="1205">
        <f>E917+(2*$G$658)+$N$658-2*$G$659+1*E912</f>
        <v>2.97</v>
      </c>
      <c r="M917" s="1205"/>
      <c r="N917" s="1206">
        <f t="shared" si="98"/>
        <v>2.19</v>
      </c>
      <c r="O917" s="1224">
        <f>+((L917*H917*N917)/100)*1.07+((K917*M917*M917)/100)*1.07</f>
        <v>0.27838404000000005</v>
      </c>
      <c r="P917" s="1894"/>
    </row>
    <row r="918" spans="1:16" ht="15.75">
      <c r="A918" s="1883">
        <f>G914*A914</f>
        <v>6.6631499999999999</v>
      </c>
      <c r="B918" s="1883"/>
      <c r="C918" s="1883"/>
      <c r="D918" s="1883"/>
      <c r="E918" s="1883"/>
      <c r="F918" s="1883"/>
      <c r="G918" s="1883"/>
      <c r="H918" s="1883"/>
      <c r="I918" s="1883"/>
      <c r="J918" s="1883"/>
      <c r="K918" s="1883"/>
      <c r="L918" s="1883"/>
      <c r="M918" s="1883"/>
      <c r="N918" s="1883"/>
      <c r="O918" s="1883"/>
      <c r="P918" s="1883"/>
    </row>
    <row r="919" spans="1:16" ht="15.75" thickBot="1">
      <c r="O919" s="891">
        <f>SUM(O914:O917)*2</f>
        <v>19.062240888000002</v>
      </c>
    </row>
    <row r="920" spans="1:16">
      <c r="B920" s="1494"/>
      <c r="C920" s="1495"/>
      <c r="D920" s="1509"/>
      <c r="E920" s="1496"/>
    </row>
    <row r="921" spans="1:16">
      <c r="B921" s="1497" t="s">
        <v>4997</v>
      </c>
      <c r="C921" s="1498"/>
      <c r="D921" s="1510">
        <f>E951</f>
        <v>62.851199999999992</v>
      </c>
      <c r="E921" s="1499" t="s">
        <v>1806</v>
      </c>
    </row>
    <row r="922" spans="1:16">
      <c r="B922" s="1497" t="s">
        <v>4996</v>
      </c>
      <c r="C922" s="1498"/>
      <c r="D922" s="1510">
        <f>A918*2</f>
        <v>13.3263</v>
      </c>
      <c r="E922" s="1499" t="s">
        <v>1806</v>
      </c>
    </row>
    <row r="923" spans="1:16">
      <c r="B923" s="1497" t="s">
        <v>4998</v>
      </c>
      <c r="C923" s="1498"/>
      <c r="D923" s="1510">
        <f>H1079</f>
        <v>0.65857500000000002</v>
      </c>
      <c r="E923" s="1499" t="s">
        <v>1806</v>
      </c>
    </row>
    <row r="924" spans="1:16">
      <c r="B924" s="1497" t="s">
        <v>5178</v>
      </c>
      <c r="C924" s="1498"/>
      <c r="D924" s="1510">
        <f>H954</f>
        <v>0</v>
      </c>
      <c r="E924" s="1499" t="s">
        <v>1806</v>
      </c>
    </row>
    <row r="925" spans="1:16">
      <c r="B925" s="1497" t="s">
        <v>5179</v>
      </c>
      <c r="C925" s="1498"/>
      <c r="D925" s="1510">
        <f>H955</f>
        <v>2.2320000000000002</v>
      </c>
      <c r="E925" s="1499" t="s">
        <v>1806</v>
      </c>
    </row>
    <row r="926" spans="1:16" ht="45.75" thickBot="1">
      <c r="B926" s="1500" t="s">
        <v>5180</v>
      </c>
      <c r="C926" s="1501"/>
      <c r="D926" s="1511">
        <f>H956</f>
        <v>0</v>
      </c>
      <c r="E926" s="1502" t="s">
        <v>1806</v>
      </c>
    </row>
    <row r="927" spans="1:16">
      <c r="B927" s="892"/>
      <c r="E927" s="892"/>
    </row>
    <row r="928" spans="1:16">
      <c r="C928" s="892" t="s">
        <v>4639</v>
      </c>
      <c r="D928" s="892" t="s">
        <v>4516</v>
      </c>
      <c r="E928" s="892" t="s">
        <v>4640</v>
      </c>
      <c r="H928" s="892" t="s">
        <v>4639</v>
      </c>
      <c r="I928" s="892" t="s">
        <v>4516</v>
      </c>
      <c r="J928" s="892" t="s">
        <v>4640</v>
      </c>
    </row>
    <row r="929" spans="2:10">
      <c r="B929" s="755"/>
      <c r="C929" s="755"/>
      <c r="D929" s="755"/>
      <c r="E929" s="1306"/>
      <c r="G929" s="1506" t="s">
        <v>4999</v>
      </c>
      <c r="H929" s="1507">
        <v>0.2</v>
      </c>
      <c r="I929" s="1508">
        <f>B1356</f>
        <v>0.375</v>
      </c>
      <c r="J929" s="892">
        <f>I929</f>
        <v>0.375</v>
      </c>
    </row>
    <row r="930" spans="2:10">
      <c r="B930" s="1493" t="s">
        <v>4075</v>
      </c>
      <c r="C930" s="755">
        <v>0.12</v>
      </c>
      <c r="D930" s="1525">
        <f>H984</f>
        <v>20.75</v>
      </c>
      <c r="E930" s="1306">
        <f t="shared" ref="E930:E936" si="99">C930*D930</f>
        <v>2.4899999999999998</v>
      </c>
      <c r="G930" s="807"/>
      <c r="H930" s="1498"/>
      <c r="I930" s="1503"/>
      <c r="J930" s="892"/>
    </row>
    <row r="931" spans="2:10">
      <c r="B931" s="1493" t="s">
        <v>5000</v>
      </c>
      <c r="C931" s="755">
        <v>0.12</v>
      </c>
      <c r="D931" s="1525">
        <f>D943</f>
        <v>39.799999999999997</v>
      </c>
      <c r="E931" s="1306">
        <f t="shared" ref="E931:E935" si="100">C931*D931</f>
        <v>4.7759999999999998</v>
      </c>
      <c r="G931" s="807"/>
      <c r="H931" s="1498"/>
      <c r="I931" s="1503"/>
      <c r="J931" s="892"/>
    </row>
    <row r="932" spans="2:10">
      <c r="B932" s="1493" t="s">
        <v>5001</v>
      </c>
      <c r="C932" s="755">
        <v>0.12</v>
      </c>
      <c r="D932" s="1526">
        <f>H1016</f>
        <v>23.3</v>
      </c>
      <c r="E932" s="1306">
        <f t="shared" ref="E932:E933" si="101">C932*D932</f>
        <v>2.7959999999999998</v>
      </c>
      <c r="G932" s="807"/>
      <c r="H932" s="1498"/>
      <c r="I932" s="1503"/>
      <c r="J932" s="892"/>
    </row>
    <row r="933" spans="2:10">
      <c r="B933" s="1493" t="s">
        <v>5002</v>
      </c>
      <c r="C933" s="755">
        <v>0.12</v>
      </c>
      <c r="D933" s="1526">
        <f>H1052</f>
        <v>22.8</v>
      </c>
      <c r="E933" s="1306">
        <f t="shared" si="101"/>
        <v>2.7359999999999998</v>
      </c>
      <c r="G933" s="807"/>
      <c r="H933" s="1498"/>
      <c r="I933" s="1503"/>
      <c r="J933" s="892"/>
    </row>
    <row r="934" spans="2:10">
      <c r="B934" s="1493" t="s">
        <v>5004</v>
      </c>
      <c r="C934" s="755">
        <v>0.12</v>
      </c>
      <c r="D934" s="1526">
        <f>H1016</f>
        <v>23.3</v>
      </c>
      <c r="E934" s="1306">
        <f t="shared" ref="E934" si="102">C934*D934</f>
        <v>2.7959999999999998</v>
      </c>
      <c r="G934" s="807"/>
      <c r="H934" s="1498"/>
      <c r="I934" s="1503"/>
      <c r="J934" s="892"/>
    </row>
    <row r="935" spans="2:10">
      <c r="B935" s="1493" t="s">
        <v>5006</v>
      </c>
      <c r="C935" s="755">
        <v>0.12</v>
      </c>
      <c r="D935" s="1526">
        <f>D931</f>
        <v>39.799999999999997</v>
      </c>
      <c r="E935" s="1306">
        <f t="shared" si="100"/>
        <v>4.7759999999999998</v>
      </c>
      <c r="G935" s="807"/>
      <c r="H935" s="1498"/>
      <c r="I935" s="1503"/>
      <c r="J935" s="892"/>
    </row>
    <row r="936" spans="2:10">
      <c r="B936" s="1493" t="s">
        <v>5008</v>
      </c>
      <c r="C936" s="755">
        <v>0.12</v>
      </c>
      <c r="D936" s="1526">
        <f>D930</f>
        <v>20.75</v>
      </c>
      <c r="E936" s="1306">
        <f t="shared" si="99"/>
        <v>2.4899999999999998</v>
      </c>
      <c r="G936" s="807"/>
      <c r="H936" s="1498"/>
      <c r="I936" s="1503"/>
      <c r="J936" s="892"/>
    </row>
    <row r="937" spans="2:10">
      <c r="B937" s="1493" t="s">
        <v>5003</v>
      </c>
      <c r="C937" s="755">
        <v>0.12</v>
      </c>
      <c r="D937" s="1526">
        <f>G963</f>
        <v>141.35</v>
      </c>
      <c r="E937" s="1306">
        <f t="shared" ref="E937:E950" si="103">C937*D937</f>
        <v>16.962</v>
      </c>
      <c r="G937" s="730"/>
      <c r="H937" s="730"/>
      <c r="I937" s="730"/>
      <c r="J937" s="730"/>
    </row>
    <row r="938" spans="2:10">
      <c r="B938" s="755" t="s">
        <v>5014</v>
      </c>
      <c r="C938" s="755">
        <v>0.12</v>
      </c>
      <c r="D938" s="1526">
        <f>D930</f>
        <v>20.75</v>
      </c>
      <c r="E938" s="1306">
        <f t="shared" si="103"/>
        <v>2.4899999999999998</v>
      </c>
      <c r="G938" s="730"/>
      <c r="H938" s="730"/>
      <c r="I938" s="730"/>
      <c r="J938" s="730"/>
    </row>
    <row r="939" spans="2:10">
      <c r="B939" s="755" t="s">
        <v>5015</v>
      </c>
      <c r="C939" s="755">
        <v>0.12</v>
      </c>
      <c r="D939" s="1526">
        <f>H995</f>
        <v>39.799999999999997</v>
      </c>
      <c r="E939" s="1306">
        <f t="shared" si="103"/>
        <v>4.7759999999999998</v>
      </c>
      <c r="G939" s="730"/>
      <c r="H939" s="730"/>
      <c r="I939" s="730"/>
      <c r="J939" s="730"/>
    </row>
    <row r="940" spans="2:10">
      <c r="B940" s="1493" t="s">
        <v>5005</v>
      </c>
      <c r="C940" s="755">
        <v>0.12</v>
      </c>
      <c r="D940" s="1526">
        <f>H1005</f>
        <v>19.899999999999999</v>
      </c>
      <c r="E940" s="1306">
        <f t="shared" si="103"/>
        <v>2.3879999999999999</v>
      </c>
      <c r="G940" s="730"/>
      <c r="H940" s="730"/>
      <c r="I940" s="730"/>
      <c r="J940" s="730"/>
    </row>
    <row r="941" spans="2:10">
      <c r="B941" s="1493" t="s">
        <v>5016</v>
      </c>
      <c r="C941" s="755">
        <v>0.12</v>
      </c>
      <c r="D941" s="1526">
        <f>H1035</f>
        <v>17.440000000000001</v>
      </c>
      <c r="E941" s="1306">
        <f t="shared" si="103"/>
        <v>2.0928</v>
      </c>
      <c r="G941" s="730"/>
      <c r="H941" s="730"/>
      <c r="I941" s="730"/>
      <c r="J941" s="730"/>
    </row>
    <row r="942" spans="2:10">
      <c r="B942" s="1493" t="s">
        <v>5007</v>
      </c>
      <c r="C942" s="755">
        <v>0.12</v>
      </c>
      <c r="D942" s="1526">
        <f>H1044</f>
        <v>3.31</v>
      </c>
      <c r="E942" s="1306">
        <f t="shared" ref="E942" si="104">C942*D942</f>
        <v>0.3972</v>
      </c>
      <c r="G942" s="730"/>
      <c r="H942" s="730"/>
      <c r="I942" s="730"/>
      <c r="J942" s="730"/>
    </row>
    <row r="943" spans="2:10">
      <c r="B943" s="1493" t="s">
        <v>5009</v>
      </c>
      <c r="C943" s="755">
        <v>0.12</v>
      </c>
      <c r="D943" s="1526">
        <f>H995</f>
        <v>39.799999999999997</v>
      </c>
      <c r="E943" s="1306">
        <f t="shared" ref="E943" si="105">C943*D943</f>
        <v>4.7759999999999998</v>
      </c>
      <c r="G943" s="730"/>
      <c r="H943" s="730"/>
      <c r="I943" s="730"/>
      <c r="J943" s="730"/>
    </row>
    <row r="944" spans="2:10">
      <c r="B944" s="755" t="s">
        <v>5017</v>
      </c>
      <c r="C944" s="755">
        <v>0.12</v>
      </c>
      <c r="D944" s="1526">
        <f>D940</f>
        <v>19.899999999999999</v>
      </c>
      <c r="E944" s="1306">
        <f t="shared" si="103"/>
        <v>2.3879999999999999</v>
      </c>
      <c r="G944" s="730"/>
      <c r="H944" s="730"/>
      <c r="I944" s="730"/>
      <c r="J944" s="730"/>
    </row>
    <row r="945" spans="2:12">
      <c r="B945" s="755" t="s">
        <v>5019</v>
      </c>
      <c r="C945" s="755">
        <v>0.12</v>
      </c>
      <c r="D945" s="1526">
        <f>D938</f>
        <v>20.75</v>
      </c>
      <c r="E945" s="1306">
        <f t="shared" si="103"/>
        <v>2.4899999999999998</v>
      </c>
      <c r="G945" s="730"/>
      <c r="H945" s="730"/>
      <c r="I945" s="730"/>
      <c r="J945" s="730"/>
    </row>
    <row r="946" spans="2:12" ht="14.25" customHeight="1">
      <c r="B946" s="1493" t="s">
        <v>5011</v>
      </c>
      <c r="C946" s="755">
        <v>0.12</v>
      </c>
      <c r="D946" s="1526">
        <f>H1026</f>
        <v>10.26</v>
      </c>
      <c r="E946" s="1306">
        <f t="shared" si="103"/>
        <v>1.2311999999999999</v>
      </c>
      <c r="G946" s="730"/>
      <c r="H946" s="730"/>
      <c r="I946" s="730"/>
      <c r="J946" s="730"/>
    </row>
    <row r="947" spans="2:12">
      <c r="B947" s="755" t="s">
        <v>5024</v>
      </c>
      <c r="C947" s="755">
        <v>0.12</v>
      </c>
      <c r="D947" s="1004"/>
      <c r="E947" s="1306">
        <f t="shared" si="103"/>
        <v>0</v>
      </c>
      <c r="J947" s="892" t="s">
        <v>4833</v>
      </c>
    </row>
    <row r="948" spans="2:12" ht="15.75" thickBot="1">
      <c r="B948" s="1493" t="s">
        <v>5013</v>
      </c>
      <c r="C948" s="755">
        <v>0.12</v>
      </c>
      <c r="D948" s="1004"/>
      <c r="E948" s="1306">
        <f t="shared" si="103"/>
        <v>0</v>
      </c>
      <c r="J948" s="892"/>
    </row>
    <row r="949" spans="2:12">
      <c r="B949" s="755" t="s">
        <v>5025</v>
      </c>
      <c r="C949" s="755">
        <v>0.12</v>
      </c>
      <c r="D949" s="1004"/>
      <c r="E949" s="1306">
        <f t="shared" si="103"/>
        <v>0</v>
      </c>
      <c r="G949" s="890"/>
      <c r="I949" s="783"/>
      <c r="K949" s="1898" t="s">
        <v>5185</v>
      </c>
      <c r="L949" s="1899"/>
    </row>
    <row r="950" spans="2:12">
      <c r="B950" s="1493" t="s">
        <v>5026</v>
      </c>
      <c r="C950" s="755">
        <v>0.12</v>
      </c>
      <c r="D950" s="1004"/>
      <c r="E950" s="1306">
        <f t="shared" si="103"/>
        <v>0</v>
      </c>
      <c r="G950" s="890"/>
      <c r="H950" s="892"/>
      <c r="I950" s="783"/>
      <c r="K950" s="1512"/>
      <c r="L950" s="1513"/>
    </row>
    <row r="951" spans="2:12" ht="30">
      <c r="B951" s="1133"/>
      <c r="C951" s="1133"/>
      <c r="D951" s="1133"/>
      <c r="E951" s="1196">
        <f>SUM(E929:E950)</f>
        <v>62.851199999999992</v>
      </c>
      <c r="F951" s="783">
        <f>A967+H991+H1001+H1012+H1023+H1032+H1040+H1049+H1058</f>
        <v>62.851199999999984</v>
      </c>
      <c r="G951" s="890" t="s">
        <v>5020</v>
      </c>
      <c r="H951" s="891">
        <f>F951</f>
        <v>62.851199999999984</v>
      </c>
      <c r="I951" s="783"/>
      <c r="J951" s="783">
        <f>O968+P991+P1001+P1012+P1023+P1032+P1040+P1049+P1058</f>
        <v>88.273643454000009</v>
      </c>
      <c r="K951" s="1524">
        <f>J951/H951</f>
        <v>1.4044862063731485</v>
      </c>
      <c r="L951" s="1515" t="s">
        <v>4836</v>
      </c>
    </row>
    <row r="952" spans="2:12" ht="30">
      <c r="B952" s="1498"/>
      <c r="C952" s="1498"/>
      <c r="D952" s="1498"/>
      <c r="E952" s="1196"/>
      <c r="F952" s="783"/>
      <c r="G952" s="890" t="s">
        <v>5186</v>
      </c>
      <c r="H952" s="892">
        <f>H1078</f>
        <v>0.65857500000000002</v>
      </c>
      <c r="I952" s="783"/>
      <c r="J952" s="783">
        <f>P1078</f>
        <v>1.5217390200000001</v>
      </c>
      <c r="K952" s="1524">
        <f>J952/H952</f>
        <v>2.3106540940667348</v>
      </c>
      <c r="L952" s="1515" t="s">
        <v>4836</v>
      </c>
    </row>
    <row r="953" spans="2:12" ht="30">
      <c r="B953" s="1498"/>
      <c r="C953" s="1498"/>
      <c r="D953" s="1498"/>
      <c r="E953" s="1196"/>
      <c r="F953" s="783"/>
      <c r="G953" s="890" t="s">
        <v>4996</v>
      </c>
      <c r="H953" s="892">
        <f>A918*2</f>
        <v>13.3263</v>
      </c>
      <c r="I953" s="783"/>
      <c r="J953" s="783">
        <f>O919</f>
        <v>19.062240888000002</v>
      </c>
      <c r="K953" s="1514">
        <f>J953/H953</f>
        <v>1.4304226145291643</v>
      </c>
      <c r="L953" s="1515" t="s">
        <v>4836</v>
      </c>
    </row>
    <row r="954" spans="2:12">
      <c r="G954" s="892"/>
      <c r="H954" s="892"/>
      <c r="I954" s="892"/>
      <c r="J954" s="783"/>
      <c r="K954" s="1514"/>
      <c r="L954" s="1515"/>
    </row>
    <row r="955" spans="2:12">
      <c r="G955" s="892" t="s">
        <v>5179</v>
      </c>
      <c r="H955" s="1505">
        <f>A976*2</f>
        <v>2.2320000000000002</v>
      </c>
      <c r="I955" s="892" t="s">
        <v>1806</v>
      </c>
      <c r="J955" s="783">
        <f>O977</f>
        <v>10.8118257</v>
      </c>
      <c r="K955" s="1514">
        <f>J955/H955</f>
        <v>4.8440079301075265</v>
      </c>
      <c r="L955" s="1515" t="s">
        <v>4836</v>
      </c>
    </row>
    <row r="956" spans="2:12" ht="15.75" thickBot="1">
      <c r="G956" s="890"/>
      <c r="H956" s="891"/>
      <c r="I956" s="892"/>
      <c r="J956" s="783"/>
      <c r="K956" s="1516"/>
      <c r="L956" s="1517"/>
    </row>
    <row r="958" spans="2:12">
      <c r="B958" s="807"/>
      <c r="C958" s="807"/>
      <c r="D958" s="1503"/>
      <c r="E958" s="1504"/>
    </row>
    <row r="959" spans="2:12">
      <c r="B959" s="807"/>
      <c r="C959" s="807"/>
      <c r="D959" s="807"/>
      <c r="E959" s="807"/>
    </row>
    <row r="961" spans="1:16" ht="15.75" thickBot="1">
      <c r="A961" s="1891" t="s">
        <v>5197</v>
      </c>
      <c r="B961" s="1891"/>
      <c r="C961" s="1891"/>
      <c r="D961" s="1891"/>
      <c r="E961" s="1891"/>
      <c r="F961" s="1891"/>
      <c r="G961" s="1891"/>
      <c r="H961" s="1891"/>
      <c r="I961" s="1891"/>
      <c r="J961" s="1891"/>
      <c r="K961" s="1891"/>
      <c r="L961" s="1891"/>
      <c r="M961" s="1891"/>
      <c r="N961" s="1891"/>
      <c r="O961" s="1891"/>
      <c r="P961" s="1199" t="s">
        <v>4848</v>
      </c>
    </row>
    <row r="962" spans="1:16" ht="26.25" thickBot="1">
      <c r="A962" s="1304" t="s">
        <v>4849</v>
      </c>
      <c r="B962" s="1200" t="s">
        <v>4850</v>
      </c>
      <c r="C962" s="1201" t="s">
        <v>4851</v>
      </c>
      <c r="D962" s="1201" t="s">
        <v>4852</v>
      </c>
      <c r="E962" s="1201" t="s">
        <v>4853</v>
      </c>
      <c r="F962" s="1202" t="s">
        <v>4854</v>
      </c>
      <c r="G962" s="1201" t="s">
        <v>4855</v>
      </c>
      <c r="H962" s="1202" t="s">
        <v>4856</v>
      </c>
      <c r="I962" s="1202" t="s">
        <v>4857</v>
      </c>
      <c r="J962" s="1202" t="s">
        <v>4994</v>
      </c>
      <c r="K962" s="1202" t="s">
        <v>4858</v>
      </c>
      <c r="L962" s="1202" t="s">
        <v>4859</v>
      </c>
      <c r="M962" s="1202" t="s">
        <v>4995</v>
      </c>
      <c r="N962" s="1202" t="s">
        <v>4860</v>
      </c>
      <c r="O962" s="1201" t="s">
        <v>4</v>
      </c>
      <c r="P962" s="1203" t="s">
        <v>4861</v>
      </c>
    </row>
    <row r="963" spans="1:16" ht="15.75">
      <c r="A963" s="1885">
        <v>0.12</v>
      </c>
      <c r="B963" s="1305">
        <v>0.375</v>
      </c>
      <c r="C963" s="1204" t="s">
        <v>4862</v>
      </c>
      <c r="D963" s="1205">
        <v>0.25</v>
      </c>
      <c r="E963" s="1205">
        <v>47.51</v>
      </c>
      <c r="F963" s="1205">
        <v>2.76</v>
      </c>
      <c r="G963" s="1888">
        <v>141.35</v>
      </c>
      <c r="H963" s="1206">
        <f>(ROUND(((F963))/D963,0))+1</f>
        <v>12</v>
      </c>
      <c r="I963" s="1206"/>
      <c r="J963" s="1206"/>
      <c r="K963" s="1206">
        <v>2</v>
      </c>
      <c r="L963" s="1205">
        <f>E963+(2*$G$658)+$N$658-2*$G$659+8*E910</f>
        <v>51.518000000000001</v>
      </c>
      <c r="M963" s="1205">
        <v>2.9</v>
      </c>
      <c r="N963" s="1206">
        <f>ROUND(PI()*((B963*0.0254)^2)/4*7.85*2204.6,2)</f>
        <v>1.23</v>
      </c>
      <c r="O963" s="1224">
        <f>+((L963*H963*N963)/100)*1.07+((K963*M963*N963)/100)*1.07</f>
        <v>8.2126745760000013</v>
      </c>
      <c r="P963" s="1892">
        <f>SUM(O963:O966)/(G963*A963)</f>
        <v>1.828935178988327</v>
      </c>
    </row>
    <row r="964" spans="1:16" ht="15.75">
      <c r="A964" s="1886"/>
      <c r="B964" s="1305">
        <v>0.375</v>
      </c>
      <c r="C964" s="1204" t="s">
        <v>4863</v>
      </c>
      <c r="D964" s="1205">
        <v>0.25</v>
      </c>
      <c r="E964" s="1205">
        <v>4.57</v>
      </c>
      <c r="F964" s="1205">
        <v>47.11</v>
      </c>
      <c r="G964" s="1889"/>
      <c r="H964" s="1206">
        <f>(ROUND(((F964))/D964,0))+1</f>
        <v>189</v>
      </c>
      <c r="I964" s="1206">
        <v>95</v>
      </c>
      <c r="J964" s="1206"/>
      <c r="K964" s="1206"/>
      <c r="L964" s="1205">
        <f>E964</f>
        <v>4.57</v>
      </c>
      <c r="M964" s="1205"/>
      <c r="N964" s="1206">
        <f>ROUND(PI()*((B964*0.0254)^2)/4*7.85*2204.6,2)</f>
        <v>1.23</v>
      </c>
      <c r="O964" s="1224">
        <f>+((L964*H964*N964)/100)*1.07+((K964*M964*N964)/100)*1.07</f>
        <v>11.367550529999999</v>
      </c>
      <c r="P964" s="1893"/>
    </row>
    <row r="965" spans="1:16" ht="15.75">
      <c r="A965" s="1886"/>
      <c r="B965" s="1305">
        <v>0.375</v>
      </c>
      <c r="C965" s="1204" t="s">
        <v>4863</v>
      </c>
      <c r="D965" s="1205">
        <v>0.25</v>
      </c>
      <c r="E965" s="1205">
        <v>4.5999999999999996</v>
      </c>
      <c r="F965" s="1205">
        <v>47.11</v>
      </c>
      <c r="G965" s="1889"/>
      <c r="H965" s="1206">
        <f>(ROUND(((F965))/D965,0))+1</f>
        <v>189</v>
      </c>
      <c r="I965" s="1206">
        <v>94</v>
      </c>
      <c r="J965" s="1206"/>
      <c r="K965" s="1206"/>
      <c r="L965" s="1205">
        <f>E965</f>
        <v>4.5999999999999996</v>
      </c>
      <c r="M965" s="1205"/>
      <c r="N965" s="1206">
        <f>ROUND(PI()*((B965*0.0254)^2)/4*7.85*2204.6,2)</f>
        <v>1.23</v>
      </c>
      <c r="O965" s="1224">
        <f>+((L965*H965*N965)/100)*1.07+((K965*M965*N965)/100)*1.07</f>
        <v>11.4421734</v>
      </c>
      <c r="P965" s="1893"/>
    </row>
    <row r="966" spans="1:16" ht="15.75">
      <c r="A966" s="1887"/>
      <c r="B966" s="1305"/>
      <c r="C966" s="1204"/>
      <c r="D966" s="1205"/>
      <c r="E966" s="1205"/>
      <c r="F966" s="1205"/>
      <c r="G966" s="1890"/>
      <c r="H966" s="1206"/>
      <c r="I966" s="1207"/>
      <c r="J966" s="1206"/>
      <c r="K966" s="1206"/>
      <c r="L966" s="1205"/>
      <c r="M966" s="1206"/>
      <c r="N966" s="1206"/>
      <c r="O966" s="1205"/>
      <c r="P966" s="1894"/>
    </row>
    <row r="967" spans="1:16" ht="15.75">
      <c r="A967" s="1883">
        <f>G963*A963</f>
        <v>16.962</v>
      </c>
      <c r="B967" s="1883"/>
      <c r="C967" s="1883"/>
      <c r="D967" s="1883"/>
      <c r="E967" s="1883"/>
      <c r="F967" s="1883"/>
      <c r="G967" s="1883"/>
      <c r="H967" s="1883"/>
      <c r="I967" s="1883"/>
      <c r="J967" s="1883"/>
      <c r="K967" s="1883"/>
      <c r="L967" s="1883"/>
      <c r="M967" s="1883"/>
      <c r="N967" s="1883"/>
      <c r="O967" s="1883"/>
      <c r="P967" s="1883"/>
    </row>
    <row r="968" spans="1:16">
      <c r="G968" s="1492" t="s">
        <v>5181</v>
      </c>
      <c r="H968" s="728">
        <f>B967*4</f>
        <v>0</v>
      </c>
      <c r="I968" s="1492" t="s">
        <v>1806</v>
      </c>
      <c r="O968" s="891">
        <f>SUM(O963:O966)</f>
        <v>31.022398506000002</v>
      </c>
    </row>
    <row r="970" spans="1:16" ht="15.75" thickBot="1">
      <c r="A970" s="1891" t="s">
        <v>5196</v>
      </c>
      <c r="B970" s="1891"/>
      <c r="C970" s="1891"/>
      <c r="D970" s="1891"/>
      <c r="E970" s="1891"/>
      <c r="F970" s="1891"/>
      <c r="G970" s="1891"/>
      <c r="H970" s="1891"/>
      <c r="I970" s="1891"/>
      <c r="J970" s="1891"/>
      <c r="K970" s="1891"/>
      <c r="L970" s="1891"/>
      <c r="M970" s="1891"/>
      <c r="N970" s="1891"/>
      <c r="O970" s="1891"/>
      <c r="P970" s="1199" t="s">
        <v>4993</v>
      </c>
    </row>
    <row r="971" spans="1:16" ht="26.25" thickBot="1">
      <c r="A971" s="1304" t="s">
        <v>4849</v>
      </c>
      <c r="B971" s="1200" t="s">
        <v>4850</v>
      </c>
      <c r="C971" s="1201" t="s">
        <v>4851</v>
      </c>
      <c r="D971" s="1201" t="s">
        <v>4852</v>
      </c>
      <c r="E971" s="1201" t="s">
        <v>4853</v>
      </c>
      <c r="F971" s="1202" t="s">
        <v>4854</v>
      </c>
      <c r="G971" s="1201" t="s">
        <v>4855</v>
      </c>
      <c r="H971" s="1202" t="s">
        <v>4856</v>
      </c>
      <c r="I971" s="1202" t="s">
        <v>4857</v>
      </c>
      <c r="J971" s="1202" t="s">
        <v>4994</v>
      </c>
      <c r="K971" s="1202" t="s">
        <v>4858</v>
      </c>
      <c r="L971" s="1202" t="s">
        <v>4859</v>
      </c>
      <c r="M971" s="1202" t="s">
        <v>4995</v>
      </c>
      <c r="N971" s="1202" t="s">
        <v>4860</v>
      </c>
      <c r="O971" s="1201" t="s">
        <v>4</v>
      </c>
      <c r="P971" s="1203" t="s">
        <v>4861</v>
      </c>
    </row>
    <row r="972" spans="1:16" ht="15.75" customHeight="1">
      <c r="A972" s="1885">
        <v>0.15</v>
      </c>
      <c r="B972" s="1305">
        <v>0.5</v>
      </c>
      <c r="C972" s="1307" t="s">
        <v>4862</v>
      </c>
      <c r="D972" s="1205">
        <v>0.1</v>
      </c>
      <c r="E972" s="1205">
        <v>3.75</v>
      </c>
      <c r="F972" s="1205">
        <v>5.2</v>
      </c>
      <c r="G972" s="1888">
        <v>7.44</v>
      </c>
      <c r="H972" s="1206">
        <f>(ROUND(((F972))/D972,0))+1</f>
        <v>53</v>
      </c>
      <c r="I972" s="1206"/>
      <c r="J972" s="1206"/>
      <c r="K972" s="1206"/>
      <c r="L972" s="1205">
        <f>E972+0.1*2+N908-0.02</f>
        <v>3.97</v>
      </c>
      <c r="M972" s="1205"/>
      <c r="N972" s="1206">
        <f>ROUND(PI()*((B972*0.0254)^2)/4*7.85*2204.6,2)</f>
        <v>2.19</v>
      </c>
      <c r="O972" s="1224">
        <f>+((L972*H972*N972)/100)*1.07</f>
        <v>4.9305375299999996</v>
      </c>
      <c r="P972" s="1892">
        <f>SUM(O972:O975)/(G972*A972)</f>
        <v>4.8440079301075265</v>
      </c>
    </row>
    <row r="973" spans="1:16" ht="15.75" customHeight="1">
      <c r="A973" s="1886"/>
      <c r="B973" s="1305">
        <v>0.375</v>
      </c>
      <c r="C973" s="1307" t="s">
        <v>4863</v>
      </c>
      <c r="D973" s="1205">
        <v>0.25</v>
      </c>
      <c r="E973" s="1205">
        <v>5.2</v>
      </c>
      <c r="F973" s="1205">
        <v>1.42</v>
      </c>
      <c r="G973" s="1889"/>
      <c r="H973" s="1206">
        <f>(ROUND(((F973))/D973,0))+1</f>
        <v>7</v>
      </c>
      <c r="I973" s="1206"/>
      <c r="J973" s="1206"/>
      <c r="K973" s="1206"/>
      <c r="L973" s="1205">
        <f>E973-0.02*2</f>
        <v>5.16</v>
      </c>
      <c r="M973" s="1205"/>
      <c r="N973" s="1206">
        <f>ROUND(PI()*((B973*0.0254)^2)/4*7.85*2204.6,2)</f>
        <v>1.23</v>
      </c>
      <c r="O973" s="1224">
        <f>+((L973*H973*N973)/100)*1.07</f>
        <v>0.4753753200000001</v>
      </c>
      <c r="P973" s="1893"/>
    </row>
    <row r="974" spans="1:16" ht="15.75" customHeight="1">
      <c r="A974" s="1886"/>
      <c r="B974" s="1305"/>
      <c r="C974" s="1204"/>
      <c r="D974" s="1205"/>
      <c r="E974" s="1205"/>
      <c r="F974" s="1205"/>
      <c r="G974" s="1889"/>
      <c r="H974" s="1206"/>
      <c r="I974" s="1207"/>
      <c r="J974" s="1206"/>
      <c r="K974" s="1206"/>
      <c r="L974" s="1205"/>
      <c r="M974" s="1206"/>
      <c r="N974" s="1206"/>
      <c r="O974" s="1205"/>
      <c r="P974" s="1893"/>
    </row>
    <row r="975" spans="1:16" ht="15.75" customHeight="1">
      <c r="A975" s="1887"/>
      <c r="B975" s="1305"/>
      <c r="C975" s="1204"/>
      <c r="D975" s="1205"/>
      <c r="E975" s="1205"/>
      <c r="F975" s="1205"/>
      <c r="G975" s="1890"/>
      <c r="H975" s="1206"/>
      <c r="I975" s="1207"/>
      <c r="J975" s="1206"/>
      <c r="K975" s="1206"/>
      <c r="L975" s="1205"/>
      <c r="M975" s="1206"/>
      <c r="N975" s="1206"/>
      <c r="O975" s="1205"/>
      <c r="P975" s="1894"/>
    </row>
    <row r="976" spans="1:16" ht="15.75">
      <c r="A976" s="1883">
        <f>G972*A972</f>
        <v>1.1160000000000001</v>
      </c>
      <c r="B976" s="1883"/>
      <c r="C976" s="1883"/>
      <c r="D976" s="1883"/>
      <c r="E976" s="1883"/>
      <c r="F976" s="1883"/>
      <c r="G976" s="1883"/>
      <c r="H976" s="1883"/>
      <c r="I976" s="1883"/>
      <c r="J976" s="1883"/>
      <c r="K976" s="1883"/>
      <c r="L976" s="1883"/>
      <c r="M976" s="1883"/>
      <c r="N976" s="1883"/>
      <c r="O976" s="1883"/>
      <c r="P976" s="1883"/>
    </row>
    <row r="977" spans="2:17">
      <c r="O977" s="891">
        <f>SUM(O972:O975)*2</f>
        <v>10.8118257</v>
      </c>
    </row>
    <row r="979" spans="2:17">
      <c r="P979" s="891"/>
    </row>
    <row r="982" spans="2:17" ht="15.75" thickBot="1">
      <c r="B982" s="1891" t="s">
        <v>5198</v>
      </c>
      <c r="C982" s="1891"/>
      <c r="D982" s="1891"/>
      <c r="E982" s="1891"/>
      <c r="F982" s="1891"/>
      <c r="G982" s="1891"/>
      <c r="H982" s="1891"/>
      <c r="I982" s="1891"/>
      <c r="J982" s="1891"/>
      <c r="K982" s="1891"/>
      <c r="L982" s="1891"/>
      <c r="M982" s="1891"/>
      <c r="N982" s="1891"/>
      <c r="O982" s="1891"/>
      <c r="P982" s="1891"/>
      <c r="Q982" s="1199" t="s">
        <v>5030</v>
      </c>
    </row>
    <row r="983" spans="2:17" ht="39" thickBot="1">
      <c r="B983" s="1304" t="s">
        <v>4849</v>
      </c>
      <c r="C983" s="1200" t="s">
        <v>4850</v>
      </c>
      <c r="D983" s="1201" t="s">
        <v>4851</v>
      </c>
      <c r="E983" s="1201" t="s">
        <v>4852</v>
      </c>
      <c r="F983" s="1201" t="s">
        <v>4853</v>
      </c>
      <c r="G983" s="1202" t="s">
        <v>4854</v>
      </c>
      <c r="H983" s="1201" t="s">
        <v>4855</v>
      </c>
      <c r="I983" s="1202" t="s">
        <v>4856</v>
      </c>
      <c r="J983" s="1202" t="s">
        <v>4857</v>
      </c>
      <c r="K983" s="1202" t="s">
        <v>4994</v>
      </c>
      <c r="L983" s="1202" t="s">
        <v>4858</v>
      </c>
      <c r="M983" s="1202" t="s">
        <v>4859</v>
      </c>
      <c r="N983" s="1202" t="s">
        <v>4995</v>
      </c>
      <c r="O983" s="1202" t="s">
        <v>4860</v>
      </c>
      <c r="P983" s="1201" t="s">
        <v>4</v>
      </c>
      <c r="Q983" s="1203" t="s">
        <v>4861</v>
      </c>
    </row>
    <row r="984" spans="2:17" ht="30" customHeight="1">
      <c r="B984" s="1885">
        <v>0.12</v>
      </c>
      <c r="C984" s="1305">
        <v>0.375</v>
      </c>
      <c r="D984" s="1307" t="s">
        <v>4862</v>
      </c>
      <c r="E984" s="1205">
        <v>0.25</v>
      </c>
      <c r="F984" s="1205">
        <v>3.7</v>
      </c>
      <c r="G984" s="1205">
        <v>1.5</v>
      </c>
      <c r="H984" s="1888">
        <v>20.75</v>
      </c>
      <c r="I984" s="1206">
        <f t="shared" ref="I984:I989" si="106">(ROUND(((G984))/E984,0))+1</f>
        <v>7</v>
      </c>
      <c r="J984" s="1206"/>
      <c r="K984" s="1206"/>
      <c r="L984" s="1206">
        <v>1</v>
      </c>
      <c r="M984" s="1205">
        <f>F984+(2*$G$658)+$N$658-2*$G$659</f>
        <v>3.9000000000000004</v>
      </c>
      <c r="N984" s="1205">
        <v>3.7</v>
      </c>
      <c r="O984" s="1206">
        <f t="shared" ref="O984:O989" si="107">ROUND(PI()*((C984*0.0254)^2)/4*7.85*2204.6,2)</f>
        <v>1.23</v>
      </c>
      <c r="P984" s="1224">
        <f>+((M984*I984*O984)/100)*1.07+((L984*N984*O984)/100)*1.07</f>
        <v>0.4079910000000001</v>
      </c>
      <c r="Q984" s="1892">
        <f>SUM(P984:P989)/(H984*B984)</f>
        <v>1.299852243373494</v>
      </c>
    </row>
    <row r="985" spans="2:17" ht="30" customHeight="1">
      <c r="B985" s="1886"/>
      <c r="C985" s="1305">
        <v>0.375</v>
      </c>
      <c r="D985" s="1307" t="s">
        <v>5034</v>
      </c>
      <c r="E985" s="1205">
        <v>0.25</v>
      </c>
      <c r="F985" s="1205">
        <v>5.65</v>
      </c>
      <c r="G985" s="1205">
        <v>3</v>
      </c>
      <c r="H985" s="1889"/>
      <c r="I985" s="1206">
        <f t="shared" si="106"/>
        <v>13</v>
      </c>
      <c r="J985" s="1206">
        <v>7</v>
      </c>
      <c r="K985" s="1206"/>
      <c r="L985" s="1206">
        <v>1</v>
      </c>
      <c r="M985" s="1205">
        <f>F985</f>
        <v>5.65</v>
      </c>
      <c r="N985" s="1205">
        <f>1.5+1.65</f>
        <v>3.15</v>
      </c>
      <c r="O985" s="1206">
        <f t="shared" si="107"/>
        <v>1.23</v>
      </c>
      <c r="P985" s="1224">
        <f>+((M985*J985*O985)/100)*1.07+((L985*N985*O985)/100)*1.07</f>
        <v>0.56197470000000016</v>
      </c>
      <c r="Q985" s="1893"/>
    </row>
    <row r="986" spans="2:17" ht="30" customHeight="1">
      <c r="B986" s="1886"/>
      <c r="C986" s="1305">
        <v>0.375</v>
      </c>
      <c r="D986" s="1307" t="s">
        <v>4863</v>
      </c>
      <c r="E986" s="1205">
        <v>0.25</v>
      </c>
      <c r="F986" s="1205">
        <v>8.83</v>
      </c>
      <c r="G986" s="1205">
        <v>3</v>
      </c>
      <c r="H986" s="1889"/>
      <c r="I986" s="1206">
        <f t="shared" si="106"/>
        <v>13</v>
      </c>
      <c r="J986" s="1206">
        <v>6</v>
      </c>
      <c r="K986" s="1206"/>
      <c r="L986" s="1206"/>
      <c r="M986" s="1205">
        <f>8.83+0.476</f>
        <v>9.3060000000000009</v>
      </c>
      <c r="N986" s="1205"/>
      <c r="O986" s="1206">
        <f t="shared" si="107"/>
        <v>1.23</v>
      </c>
      <c r="P986" s="1224">
        <f>+((M986*J986*O986)/100)*1.07</f>
        <v>0.73485759600000011</v>
      </c>
      <c r="Q986" s="1893"/>
    </row>
    <row r="987" spans="2:17" ht="30" customHeight="1">
      <c r="B987" s="1886"/>
      <c r="C987" s="1305">
        <v>0.375</v>
      </c>
      <c r="D987" s="1307" t="s">
        <v>4863</v>
      </c>
      <c r="E987" s="1205">
        <v>0.25</v>
      </c>
      <c r="F987" s="1205">
        <v>4.8499999999999996</v>
      </c>
      <c r="G987" s="1205">
        <v>3.3</v>
      </c>
      <c r="H987" s="1889"/>
      <c r="I987" s="1206">
        <f t="shared" si="106"/>
        <v>14</v>
      </c>
      <c r="J987" s="1206">
        <v>7</v>
      </c>
      <c r="K987" s="1206"/>
      <c r="L987" s="1206">
        <v>1</v>
      </c>
      <c r="M987" s="1205">
        <f>F987</f>
        <v>4.8499999999999996</v>
      </c>
      <c r="N987" s="1205">
        <v>2.89</v>
      </c>
      <c r="O987" s="1206">
        <f t="shared" si="107"/>
        <v>1.23</v>
      </c>
      <c r="P987" s="1224">
        <f>+((M987*J987*O987)/100)*1.07+((L987*N987*O987)/100)*1.07</f>
        <v>0.48485123999999996</v>
      </c>
      <c r="Q987" s="1893"/>
    </row>
    <row r="988" spans="2:17" ht="30" customHeight="1">
      <c r="B988" s="1886"/>
      <c r="C988" s="1305">
        <v>0.375</v>
      </c>
      <c r="D988" s="1307" t="s">
        <v>4863</v>
      </c>
      <c r="E988" s="1205">
        <v>0.25</v>
      </c>
      <c r="F988" s="1205">
        <v>5.78</v>
      </c>
      <c r="G988" s="1205">
        <v>3.3</v>
      </c>
      <c r="H988" s="1889"/>
      <c r="I988" s="1206">
        <f t="shared" si="106"/>
        <v>14</v>
      </c>
      <c r="J988" s="1206">
        <v>7</v>
      </c>
      <c r="K988" s="1206"/>
      <c r="L988" s="1206">
        <v>1</v>
      </c>
      <c r="M988" s="1205">
        <f>F988</f>
        <v>5.78</v>
      </c>
      <c r="N988" s="1205">
        <v>5.14</v>
      </c>
      <c r="O988" s="1206">
        <f t="shared" si="107"/>
        <v>1.23</v>
      </c>
      <c r="P988" s="1224">
        <f>+((M988*J988*O988)/100)*1.07+((L988*N988*O988)/100)*1.07</f>
        <v>0.60014159999999994</v>
      </c>
      <c r="Q988" s="1893"/>
    </row>
    <row r="989" spans="2:17" ht="30" customHeight="1">
      <c r="B989" s="1887"/>
      <c r="C989" s="1305">
        <v>0.375</v>
      </c>
      <c r="D989" s="1307" t="s">
        <v>4863</v>
      </c>
      <c r="E989" s="1205">
        <v>0.25</v>
      </c>
      <c r="F989" s="1205">
        <v>4.8499999999999996</v>
      </c>
      <c r="G989" s="1205">
        <v>1.55</v>
      </c>
      <c r="H989" s="1890"/>
      <c r="I989" s="1206">
        <f t="shared" si="106"/>
        <v>7</v>
      </c>
      <c r="J989" s="1206"/>
      <c r="K989" s="1206"/>
      <c r="L989" s="1206"/>
      <c r="M989" s="1205">
        <f>F989</f>
        <v>4.8499999999999996</v>
      </c>
      <c r="N989" s="1205"/>
      <c r="O989" s="1206">
        <f t="shared" si="107"/>
        <v>1.23</v>
      </c>
      <c r="P989" s="1224">
        <f>+((M989*I989*O989)/100)*1.07</f>
        <v>0.44681594999999996</v>
      </c>
      <c r="Q989" s="1894"/>
    </row>
    <row r="990" spans="2:17" ht="15.75">
      <c r="B990" s="1883">
        <f>H984*B984</f>
        <v>2.4899999999999998</v>
      </c>
      <c r="C990" s="1883"/>
      <c r="D990" s="1883"/>
      <c r="E990" s="1883"/>
      <c r="F990" s="1883"/>
      <c r="G990" s="1883"/>
      <c r="H990" s="1883"/>
      <c r="I990" s="1883"/>
      <c r="J990" s="1883"/>
      <c r="K990" s="1883"/>
      <c r="L990" s="1883"/>
      <c r="M990" s="1883"/>
      <c r="N990" s="1883"/>
      <c r="O990" s="1883"/>
      <c r="P990" s="1883"/>
      <c r="Q990" s="1883"/>
    </row>
    <row r="991" spans="2:17">
      <c r="G991" s="1492" t="s">
        <v>5181</v>
      </c>
      <c r="H991" s="728">
        <f>B990*4</f>
        <v>9.9599999999999991</v>
      </c>
      <c r="I991" s="1492" t="s">
        <v>1806</v>
      </c>
      <c r="P991" s="891">
        <f>SUM(P984:P989)*4</f>
        <v>12.946528343999999</v>
      </c>
    </row>
    <row r="993" spans="2:17" ht="15.75" thickBot="1">
      <c r="B993" s="1891" t="s">
        <v>5199</v>
      </c>
      <c r="C993" s="1891"/>
      <c r="D993" s="1891"/>
      <c r="E993" s="1891"/>
      <c r="F993" s="1891"/>
      <c r="G993" s="1891"/>
      <c r="H993" s="1891"/>
      <c r="I993" s="1891"/>
      <c r="J993" s="1891"/>
      <c r="K993" s="1891"/>
      <c r="L993" s="1891"/>
      <c r="M993" s="1891"/>
      <c r="N993" s="1891"/>
      <c r="O993" s="1891"/>
      <c r="P993" s="1891"/>
      <c r="Q993" s="1199" t="s">
        <v>5030</v>
      </c>
    </row>
    <row r="994" spans="2:17" ht="39" thickBot="1">
      <c r="B994" s="1304" t="s">
        <v>4849</v>
      </c>
      <c r="C994" s="1200" t="s">
        <v>4850</v>
      </c>
      <c r="D994" s="1201" t="s">
        <v>4851</v>
      </c>
      <c r="E994" s="1201" t="s">
        <v>4852</v>
      </c>
      <c r="F994" s="1201" t="s">
        <v>4853</v>
      </c>
      <c r="G994" s="1202" t="s">
        <v>4854</v>
      </c>
      <c r="H994" s="1201" t="s">
        <v>4855</v>
      </c>
      <c r="I994" s="1202" t="s">
        <v>4856</v>
      </c>
      <c r="J994" s="1202" t="s">
        <v>4857</v>
      </c>
      <c r="K994" s="1202" t="s">
        <v>4994</v>
      </c>
      <c r="L994" s="1202" t="s">
        <v>4858</v>
      </c>
      <c r="M994" s="1202" t="s">
        <v>4859</v>
      </c>
      <c r="N994" s="1202" t="s">
        <v>4995</v>
      </c>
      <c r="O994" s="1202" t="s">
        <v>4860</v>
      </c>
      <c r="P994" s="1201" t="s">
        <v>4</v>
      </c>
      <c r="Q994" s="1203" t="s">
        <v>4861</v>
      </c>
    </row>
    <row r="995" spans="2:17" ht="30" customHeight="1">
      <c r="B995" s="1885">
        <v>0.12</v>
      </c>
      <c r="C995" s="1305">
        <v>0.375</v>
      </c>
      <c r="D995" s="1307" t="s">
        <v>4862</v>
      </c>
      <c r="E995" s="1205">
        <v>0.25</v>
      </c>
      <c r="F995" s="1205">
        <v>7</v>
      </c>
      <c r="G995" s="1205">
        <v>1.5</v>
      </c>
      <c r="H995" s="1888">
        <v>39.799999999999997</v>
      </c>
      <c r="I995" s="1206">
        <f>(ROUND(((G995))/E995,0))+1</f>
        <v>7</v>
      </c>
      <c r="J995" s="1206"/>
      <c r="K995" s="1206"/>
      <c r="L995" s="1206">
        <v>1</v>
      </c>
      <c r="M995" s="1205">
        <f>F995+(2*$G$658)+$N$658-2*$G$659+1*E907</f>
        <v>7.2</v>
      </c>
      <c r="N995" s="1205">
        <v>7</v>
      </c>
      <c r="O995" s="1206">
        <f>ROUND(PI()*((C995*0.0254)^2)/4*7.85*2204.6,2)</f>
        <v>1.23</v>
      </c>
      <c r="P995" s="1224">
        <f>+((M995*I995*O995)/100)*1.07+((L995*N995*O995)/100)*1.07</f>
        <v>0.75544140000000004</v>
      </c>
      <c r="Q995" s="1892">
        <f>SUM(P995:P999)/(H995*B995)</f>
        <v>1.1012747826633165</v>
      </c>
    </row>
    <row r="996" spans="2:17" ht="30" customHeight="1">
      <c r="B996" s="1886"/>
      <c r="C996" s="1305">
        <v>0.375</v>
      </c>
      <c r="D996" s="1307" t="s">
        <v>5034</v>
      </c>
      <c r="E996" s="1205">
        <v>0.25</v>
      </c>
      <c r="F996" s="1205">
        <v>10.11</v>
      </c>
      <c r="G996" s="1205">
        <v>2.6</v>
      </c>
      <c r="H996" s="1889"/>
      <c r="I996" s="1206">
        <f>(ROUND(((G996))/E996,0))+1</f>
        <v>11</v>
      </c>
      <c r="J996" s="1206"/>
      <c r="K996" s="1206"/>
      <c r="L996" s="1206">
        <v>1</v>
      </c>
      <c r="M996" s="1205">
        <f>F996+G905*2-0.02*2+0.476</f>
        <v>10.545999999999999</v>
      </c>
      <c r="N996" s="1205">
        <f>9.88+0.476</f>
        <v>10.356000000000002</v>
      </c>
      <c r="O996" s="1206">
        <f>ROUND(PI()*((C996*0.0254)^2)/4*7.85*2204.6,2)</f>
        <v>1.23</v>
      </c>
      <c r="P996" s="1224">
        <f>+((M996*I996*O996)/100)*1.07+((L996*N996*O996)/100)*1.07</f>
        <v>1.6630502819999999</v>
      </c>
      <c r="Q996" s="1893"/>
    </row>
    <row r="997" spans="2:17" ht="30" customHeight="1">
      <c r="B997" s="1886"/>
      <c r="C997" s="1305">
        <v>0.375</v>
      </c>
      <c r="D997" s="1307" t="s">
        <v>4863</v>
      </c>
      <c r="E997" s="1205">
        <v>0.25</v>
      </c>
      <c r="F997" s="1205">
        <v>4.8499999999999996</v>
      </c>
      <c r="G997" s="1205">
        <v>6.6</v>
      </c>
      <c r="H997" s="1889"/>
      <c r="I997" s="1206">
        <f>(ROUND(((G997))/E997,0))+1</f>
        <v>27</v>
      </c>
      <c r="J997" s="1206">
        <v>13</v>
      </c>
      <c r="K997" s="1206"/>
      <c r="L997" s="1206">
        <v>1</v>
      </c>
      <c r="M997" s="1205">
        <f>F997</f>
        <v>4.8499999999999996</v>
      </c>
      <c r="N997" s="1205">
        <f>1.5+1.7</f>
        <v>3.2</v>
      </c>
      <c r="O997" s="1206">
        <f>ROUND(PI()*((C997*0.0254)^2)/4*7.85*2204.6,2)</f>
        <v>1.23</v>
      </c>
      <c r="P997" s="1224">
        <f>+((M997*J997*O997)/100)*1.07+((L997*N997*O997)/100)*1.07</f>
        <v>0.87191625000000006</v>
      </c>
      <c r="Q997" s="1893"/>
    </row>
    <row r="998" spans="2:17" ht="30" customHeight="1">
      <c r="B998" s="1886"/>
      <c r="C998" s="1305">
        <v>0.375</v>
      </c>
      <c r="D998" s="1307" t="s">
        <v>4863</v>
      </c>
      <c r="E998" s="1205">
        <v>0.25</v>
      </c>
      <c r="F998" s="1205">
        <v>5.77</v>
      </c>
      <c r="G998" s="1205">
        <v>6.6</v>
      </c>
      <c r="H998" s="1889"/>
      <c r="I998" s="1206">
        <f>(ROUND(((G998))/E998,0))+1</f>
        <v>27</v>
      </c>
      <c r="J998" s="1206">
        <v>14</v>
      </c>
      <c r="K998" s="1206"/>
      <c r="L998" s="1206"/>
      <c r="M998" s="1205">
        <f>F998</f>
        <v>5.77</v>
      </c>
      <c r="N998" s="1205"/>
      <c r="O998" s="1206">
        <f>ROUND(PI()*((C998*0.0254)^2)/4*7.85*2204.6,2)</f>
        <v>1.23</v>
      </c>
      <c r="P998" s="1224">
        <f>+((M998*J998*O998)/100)*1.07+((L998*N998*O998)/100)*1.07</f>
        <v>1.06314558</v>
      </c>
      <c r="Q998" s="1893"/>
    </row>
    <row r="999" spans="2:17" ht="30" customHeight="1">
      <c r="B999" s="1887"/>
      <c r="C999" s="1305">
        <v>0.375</v>
      </c>
      <c r="D999" s="1307" t="s">
        <v>4863</v>
      </c>
      <c r="E999" s="1205">
        <v>0.25</v>
      </c>
      <c r="F999" s="1205">
        <v>4.8499999999999996</v>
      </c>
      <c r="G999" s="1205">
        <f>1.55*2</f>
        <v>3.1</v>
      </c>
      <c r="H999" s="1890"/>
      <c r="I999" s="1206">
        <f>(ROUND(((G999))/E999,0))+1</f>
        <v>13</v>
      </c>
      <c r="J999" s="1206"/>
      <c r="K999" s="1206"/>
      <c r="L999" s="1206">
        <v>2</v>
      </c>
      <c r="M999" s="1205">
        <f>F999</f>
        <v>4.8499999999999996</v>
      </c>
      <c r="N999" s="1205">
        <v>2.9</v>
      </c>
      <c r="O999" s="1206">
        <f>ROUND(PI()*((C999*0.0254)^2)/4*7.85*2204.6,2)</f>
        <v>1.23</v>
      </c>
      <c r="P999" s="1224">
        <f>+((M999*I999*O999)/100)*1.07+((L999*N999*O999)/100)*1.07</f>
        <v>0.90613485000000005</v>
      </c>
      <c r="Q999" s="1893"/>
    </row>
    <row r="1000" spans="2:17" ht="15.75">
      <c r="B1000" s="1883">
        <f>H995*B995</f>
        <v>4.7759999999999998</v>
      </c>
      <c r="C1000" s="1883"/>
      <c r="D1000" s="1883"/>
      <c r="E1000" s="1883"/>
      <c r="F1000" s="1883"/>
      <c r="G1000" s="1883"/>
      <c r="H1000" s="1883"/>
      <c r="I1000" s="1883"/>
      <c r="J1000" s="1883"/>
      <c r="K1000" s="1883"/>
      <c r="L1000" s="1883"/>
      <c r="M1000" s="1883"/>
      <c r="N1000" s="1883"/>
      <c r="O1000" s="1883"/>
      <c r="P1000" s="1883"/>
      <c r="Q1000" s="1883"/>
    </row>
    <row r="1001" spans="2:17">
      <c r="G1001" s="1492" t="s">
        <v>5181</v>
      </c>
      <c r="H1001" s="728">
        <f>B1000*4</f>
        <v>19.103999999999999</v>
      </c>
      <c r="I1001" s="1492" t="s">
        <v>1806</v>
      </c>
      <c r="P1001" s="891">
        <f>SUM(P995:P999)*4</f>
        <v>21.038753447999998</v>
      </c>
    </row>
    <row r="1003" spans="2:17" ht="15.75" thickBot="1">
      <c r="B1003" s="1891" t="s">
        <v>5200</v>
      </c>
      <c r="C1003" s="1891"/>
      <c r="D1003" s="1891"/>
      <c r="E1003" s="1891"/>
      <c r="F1003" s="1891"/>
      <c r="G1003" s="1891"/>
      <c r="H1003" s="1891"/>
      <c r="I1003" s="1891"/>
      <c r="J1003" s="1891"/>
      <c r="K1003" s="1891"/>
      <c r="L1003" s="1891"/>
      <c r="M1003" s="1891"/>
      <c r="N1003" s="1891"/>
      <c r="O1003" s="1891"/>
      <c r="P1003" s="1891"/>
      <c r="Q1003" s="1199" t="s">
        <v>4993</v>
      </c>
    </row>
    <row r="1004" spans="2:17" ht="39" thickBot="1">
      <c r="B1004" s="1304" t="s">
        <v>4849</v>
      </c>
      <c r="C1004" s="1200" t="s">
        <v>4850</v>
      </c>
      <c r="D1004" s="1201" t="s">
        <v>4851</v>
      </c>
      <c r="E1004" s="1201" t="s">
        <v>4852</v>
      </c>
      <c r="F1004" s="1201" t="s">
        <v>4853</v>
      </c>
      <c r="G1004" s="1202" t="s">
        <v>4854</v>
      </c>
      <c r="H1004" s="1201" t="s">
        <v>4855</v>
      </c>
      <c r="I1004" s="1202" t="s">
        <v>4856</v>
      </c>
      <c r="J1004" s="1202" t="s">
        <v>4857</v>
      </c>
      <c r="K1004" s="1202" t="s">
        <v>4994</v>
      </c>
      <c r="L1004" s="1202" t="s">
        <v>4858</v>
      </c>
      <c r="M1004" s="1202" t="s">
        <v>4859</v>
      </c>
      <c r="N1004" s="1202" t="s">
        <v>4995</v>
      </c>
      <c r="O1004" s="1202" t="s">
        <v>4860</v>
      </c>
      <c r="P1004" s="1201" t="s">
        <v>4</v>
      </c>
      <c r="Q1004" s="1203" t="s">
        <v>4861</v>
      </c>
    </row>
    <row r="1005" spans="2:17" ht="30" customHeight="1">
      <c r="B1005" s="1885">
        <v>0.12</v>
      </c>
      <c r="C1005" s="1305">
        <v>0.375</v>
      </c>
      <c r="D1005" s="1307" t="s">
        <v>4862</v>
      </c>
      <c r="E1005" s="1205">
        <v>0.25</v>
      </c>
      <c r="F1005" s="1205">
        <v>3.7</v>
      </c>
      <c r="G1005" s="1205">
        <v>1.5</v>
      </c>
      <c r="H1005" s="1888">
        <v>19.899999999999999</v>
      </c>
      <c r="I1005" s="1206">
        <f t="shared" ref="I1005:I1010" si="108">(ROUND(((G1005))/E1005,0))+1</f>
        <v>7</v>
      </c>
      <c r="J1005" s="1206"/>
      <c r="K1005" s="1206"/>
      <c r="L1005" s="1206">
        <v>1</v>
      </c>
      <c r="M1005" s="1205">
        <f>F1005+(2*$G$658)+$N$658-2*$G$659+1*E916</f>
        <v>6.67</v>
      </c>
      <c r="N1005" s="1205">
        <v>3.7</v>
      </c>
      <c r="O1005" s="1206">
        <f t="shared" ref="O1005:O1010" si="109">ROUND(PI()*((C1005*0.0254)^2)/4*7.85*2204.6,2)</f>
        <v>1.23</v>
      </c>
      <c r="P1005" s="1224">
        <f>+((M1005*I1005*O1005)/100)*1.07+((L1005*N1005*O1005)/100)*1.07</f>
        <v>0.66318279000000002</v>
      </c>
      <c r="Q1005" s="1892">
        <f>SUM(P1005:P1010)/(H1005*B1005)</f>
        <v>1.5148377135678393</v>
      </c>
    </row>
    <row r="1006" spans="2:17" ht="30" customHeight="1">
      <c r="B1006" s="1886"/>
      <c r="C1006" s="1305">
        <v>0.375</v>
      </c>
      <c r="D1006" s="1307" t="s">
        <v>5034</v>
      </c>
      <c r="E1006" s="1205">
        <v>0.25</v>
      </c>
      <c r="F1006" s="1205">
        <v>8.85</v>
      </c>
      <c r="G1006" s="1205">
        <v>2.6</v>
      </c>
      <c r="H1006" s="1889"/>
      <c r="I1006" s="1206">
        <f t="shared" si="108"/>
        <v>11</v>
      </c>
      <c r="J1006" s="1206">
        <v>5</v>
      </c>
      <c r="K1006" s="1206"/>
      <c r="L1006" s="1206">
        <v>1</v>
      </c>
      <c r="M1006" s="1205">
        <f>F1006+0.476</f>
        <v>9.3260000000000005</v>
      </c>
      <c r="N1006" s="1205">
        <v>3.5</v>
      </c>
      <c r="O1006" s="1206">
        <f t="shared" si="109"/>
        <v>1.23</v>
      </c>
      <c r="P1006" s="1224">
        <f>+((M1006*J1006*O1006)/100)*1.07+((L1006*N1006*O1006)/100)*1.07</f>
        <v>0.65976093000000002</v>
      </c>
      <c r="Q1006" s="1893"/>
    </row>
    <row r="1007" spans="2:17" ht="30" customHeight="1">
      <c r="B1007" s="1886"/>
      <c r="C1007" s="1305">
        <v>0.375</v>
      </c>
      <c r="D1007" s="1307" t="s">
        <v>4863</v>
      </c>
      <c r="E1007" s="1205">
        <v>0.25</v>
      </c>
      <c r="F1007" s="1205">
        <v>7.27</v>
      </c>
      <c r="G1007" s="1205">
        <v>2.6</v>
      </c>
      <c r="H1007" s="1889"/>
      <c r="I1007" s="1206">
        <f t="shared" si="108"/>
        <v>11</v>
      </c>
      <c r="J1007" s="1206">
        <v>6</v>
      </c>
      <c r="K1007" s="1206"/>
      <c r="L1007" s="1206">
        <v>1</v>
      </c>
      <c r="M1007" s="1205">
        <f>F1007+0.476</f>
        <v>7.7459999999999996</v>
      </c>
      <c r="N1007" s="1205">
        <v>2.9</v>
      </c>
      <c r="O1007" s="1206">
        <f t="shared" si="109"/>
        <v>1.23</v>
      </c>
      <c r="P1007" s="1224">
        <f>+((M1007*J1007*O1007)/100)*1.07+((L1007*N1007*O1007)/100)*1.07</f>
        <v>0.64983753599999994</v>
      </c>
      <c r="Q1007" s="1893"/>
    </row>
    <row r="1008" spans="2:17" ht="30" customHeight="1">
      <c r="B1008" s="1886"/>
      <c r="C1008" s="1305">
        <v>0.375</v>
      </c>
      <c r="D1008" s="1307" t="s">
        <v>4863</v>
      </c>
      <c r="E1008" s="1205">
        <v>0.25</v>
      </c>
      <c r="F1008" s="1205">
        <v>4.8499999999999996</v>
      </c>
      <c r="G1008" s="1205">
        <v>1.6</v>
      </c>
      <c r="H1008" s="1889"/>
      <c r="I1008" s="1206">
        <f t="shared" si="108"/>
        <v>7</v>
      </c>
      <c r="J1008" s="1206"/>
      <c r="K1008" s="1206"/>
      <c r="L1008" s="1206"/>
      <c r="M1008" s="1205">
        <f>F1008+0.476</f>
        <v>5.3259999999999996</v>
      </c>
      <c r="N1008" s="1205"/>
      <c r="O1008" s="1206">
        <f t="shared" si="109"/>
        <v>1.23</v>
      </c>
      <c r="P1008" s="1224">
        <f>+((M1008*I1008*O1008)/100)*1.07+((L1008*N1008*O1008)/100)*1.07</f>
        <v>0.490668402</v>
      </c>
      <c r="Q1008" s="1893"/>
    </row>
    <row r="1009" spans="2:17" ht="30" customHeight="1">
      <c r="B1009" s="1886"/>
      <c r="C1009" s="1305">
        <v>0.375</v>
      </c>
      <c r="D1009" s="1307" t="s">
        <v>4863</v>
      </c>
      <c r="E1009" s="1205">
        <v>0.25</v>
      </c>
      <c r="F1009" s="1205">
        <v>5.79</v>
      </c>
      <c r="G1009" s="1205">
        <v>3.3</v>
      </c>
      <c r="H1009" s="1889"/>
      <c r="I1009" s="1206">
        <f t="shared" si="108"/>
        <v>14</v>
      </c>
      <c r="J1009" s="1206">
        <v>7</v>
      </c>
      <c r="K1009" s="1206"/>
      <c r="L1009" s="1206"/>
      <c r="M1009" s="1205">
        <f>F1009+0.476</f>
        <v>6.266</v>
      </c>
      <c r="N1009" s="1205"/>
      <c r="O1009" s="1206">
        <f t="shared" si="109"/>
        <v>1.23</v>
      </c>
      <c r="P1009" s="1224">
        <f>+((M1009*J1009*O1009)/100)*1.07+((L1009*N1009*O1009)/100)*1.07</f>
        <v>0.57726778200000006</v>
      </c>
      <c r="Q1009" s="1893"/>
    </row>
    <row r="1010" spans="2:17" ht="30" customHeight="1">
      <c r="B1010" s="1887"/>
      <c r="C1010" s="1305">
        <v>0.375</v>
      </c>
      <c r="D1010" s="1307" t="s">
        <v>4863</v>
      </c>
      <c r="E1010" s="1205">
        <v>0.25</v>
      </c>
      <c r="F1010" s="1205">
        <v>4.9000000000000004</v>
      </c>
      <c r="G1010" s="1205">
        <v>3.3</v>
      </c>
      <c r="H1010" s="1890"/>
      <c r="I1010" s="1206">
        <f t="shared" si="108"/>
        <v>14</v>
      </c>
      <c r="J1010" s="1206">
        <v>7</v>
      </c>
      <c r="K1010" s="1206"/>
      <c r="L1010" s="1206">
        <v>1</v>
      </c>
      <c r="M1010" s="1205">
        <f>4.56+((1/3)*3)+G905*2+N905-1*G906</f>
        <v>5.56</v>
      </c>
      <c r="N1010" s="1205">
        <v>5.07</v>
      </c>
      <c r="O1010" s="1206">
        <f t="shared" si="109"/>
        <v>1.23</v>
      </c>
      <c r="P1010" s="1205">
        <f>(((((J1010*M1010*1.23)/100)+((K1010*1.23*N1010)/100))*1.07))+((L1010*F1010*1.23)/100)*1.07</f>
        <v>0.57671501999999986</v>
      </c>
      <c r="Q1010" s="1894"/>
    </row>
    <row r="1011" spans="2:17" ht="15.75">
      <c r="B1011" s="1883">
        <f>H1005*B1005</f>
        <v>2.3879999999999999</v>
      </c>
      <c r="C1011" s="1883"/>
      <c r="D1011" s="1883"/>
      <c r="E1011" s="1883"/>
      <c r="F1011" s="1883"/>
      <c r="G1011" s="1883"/>
      <c r="H1011" s="1883"/>
      <c r="I1011" s="1883"/>
      <c r="J1011" s="1883"/>
      <c r="K1011" s="1883"/>
      <c r="L1011" s="1883"/>
      <c r="M1011" s="1883"/>
      <c r="N1011" s="1883"/>
      <c r="O1011" s="1883"/>
      <c r="P1011" s="1883"/>
      <c r="Q1011" s="1883"/>
    </row>
    <row r="1012" spans="2:17">
      <c r="G1012" s="1492" t="s">
        <v>5181</v>
      </c>
      <c r="H1012" s="728">
        <f>B1011*2</f>
        <v>4.7759999999999998</v>
      </c>
      <c r="I1012" s="1492" t="s">
        <v>1806</v>
      </c>
      <c r="P1012" s="891">
        <f>SUM(P1005:P1010)*2</f>
        <v>7.2348649199999997</v>
      </c>
    </row>
    <row r="1014" spans="2:17" ht="15.75" thickBot="1">
      <c r="B1014" s="1891" t="s">
        <v>5201</v>
      </c>
      <c r="C1014" s="1891"/>
      <c r="D1014" s="1891"/>
      <c r="E1014" s="1891"/>
      <c r="F1014" s="1891"/>
      <c r="G1014" s="1891"/>
      <c r="H1014" s="1891"/>
      <c r="I1014" s="1891"/>
      <c r="J1014" s="1891"/>
      <c r="K1014" s="1891"/>
      <c r="L1014" s="1891"/>
      <c r="M1014" s="1891"/>
      <c r="N1014" s="1891"/>
      <c r="O1014" s="1891"/>
      <c r="P1014" s="1891"/>
      <c r="Q1014" s="1199" t="s">
        <v>4993</v>
      </c>
    </row>
    <row r="1015" spans="2:17" ht="39" thickBot="1">
      <c r="B1015" s="1304" t="s">
        <v>4849</v>
      </c>
      <c r="C1015" s="1200" t="s">
        <v>4850</v>
      </c>
      <c r="D1015" s="1201" t="s">
        <v>4851</v>
      </c>
      <c r="E1015" s="1201" t="s">
        <v>4852</v>
      </c>
      <c r="F1015" s="1201" t="s">
        <v>4853</v>
      </c>
      <c r="G1015" s="1202" t="s">
        <v>4854</v>
      </c>
      <c r="H1015" s="1201" t="s">
        <v>4855</v>
      </c>
      <c r="I1015" s="1202" t="s">
        <v>4856</v>
      </c>
      <c r="J1015" s="1202" t="s">
        <v>4857</v>
      </c>
      <c r="K1015" s="1202" t="s">
        <v>4994</v>
      </c>
      <c r="L1015" s="1202" t="s">
        <v>4858</v>
      </c>
      <c r="M1015" s="1202" t="s">
        <v>4859</v>
      </c>
      <c r="N1015" s="1202" t="s">
        <v>4995</v>
      </c>
      <c r="O1015" s="1202" t="s">
        <v>4860</v>
      </c>
      <c r="P1015" s="1201" t="s">
        <v>4</v>
      </c>
      <c r="Q1015" s="1203" t="s">
        <v>4861</v>
      </c>
    </row>
    <row r="1016" spans="2:17" ht="30" customHeight="1">
      <c r="B1016" s="1885">
        <v>0.12</v>
      </c>
      <c r="C1016" s="1305">
        <v>0.375</v>
      </c>
      <c r="D1016" s="1307" t="s">
        <v>4862</v>
      </c>
      <c r="E1016" s="1205">
        <v>0.25</v>
      </c>
      <c r="F1016" s="1205">
        <v>3.7</v>
      </c>
      <c r="G1016" s="1205">
        <v>1.5</v>
      </c>
      <c r="H1016" s="1888">
        <v>23.3</v>
      </c>
      <c r="I1016" s="1206">
        <f t="shared" ref="I1016:I1021" si="110">(ROUND(((G1016))/E1016,0))+1</f>
        <v>7</v>
      </c>
      <c r="J1016" s="1206"/>
      <c r="K1016" s="1206"/>
      <c r="L1016" s="1206">
        <v>1</v>
      </c>
      <c r="M1016" s="1205">
        <f>F1016</f>
        <v>3.7</v>
      </c>
      <c r="N1016" s="1205">
        <v>3.7</v>
      </c>
      <c r="O1016" s="1206">
        <f t="shared" ref="O1016:O1021" si="111">ROUND(PI()*((C1016*0.0254)^2)/4*7.85*2204.6,2)</f>
        <v>1.23</v>
      </c>
      <c r="P1016" s="1224">
        <f>+((M1016*I1016*O1016)/100)*1.07+((L1016*N1016*O1016)/100)*1.07</f>
        <v>0.38956560000000007</v>
      </c>
      <c r="Q1016" s="1892">
        <f>SUM(P1016:P1021)/(H1016*B1016)</f>
        <v>1.2855510407725323</v>
      </c>
    </row>
    <row r="1017" spans="2:17" ht="30" customHeight="1">
      <c r="B1017" s="1886"/>
      <c r="C1017" s="1305">
        <v>0.375</v>
      </c>
      <c r="D1017" s="1307" t="s">
        <v>5034</v>
      </c>
      <c r="E1017" s="1205">
        <v>0.25</v>
      </c>
      <c r="F1017" s="1205">
        <v>8.85</v>
      </c>
      <c r="G1017" s="1205">
        <v>2.6</v>
      </c>
      <c r="H1017" s="1889"/>
      <c r="I1017" s="1206">
        <f t="shared" si="110"/>
        <v>11</v>
      </c>
      <c r="J1017" s="1206">
        <v>5</v>
      </c>
      <c r="K1017" s="1206"/>
      <c r="L1017" s="1206">
        <v>1</v>
      </c>
      <c r="M1017" s="1205">
        <f>F1017+0.476</f>
        <v>9.3260000000000005</v>
      </c>
      <c r="N1017" s="1205">
        <v>3.5</v>
      </c>
      <c r="O1017" s="1206">
        <f t="shared" si="111"/>
        <v>1.23</v>
      </c>
      <c r="P1017" s="1224">
        <f>+((M1017*J1017*O1017)/100)*1.07+((L1017*N1017*O1017)/100)*1.07</f>
        <v>0.65976093000000002</v>
      </c>
      <c r="Q1017" s="1893"/>
    </row>
    <row r="1018" spans="2:17" ht="30" customHeight="1">
      <c r="B1018" s="1886"/>
      <c r="C1018" s="1305">
        <v>0.375</v>
      </c>
      <c r="D1018" s="1307" t="s">
        <v>4863</v>
      </c>
      <c r="E1018" s="1205">
        <v>0.25</v>
      </c>
      <c r="F1018" s="1205">
        <v>7.9</v>
      </c>
      <c r="G1018" s="1205">
        <v>2.6</v>
      </c>
      <c r="H1018" s="1889"/>
      <c r="I1018" s="1206">
        <f t="shared" si="110"/>
        <v>11</v>
      </c>
      <c r="J1018" s="1206">
        <v>6</v>
      </c>
      <c r="K1018" s="1206"/>
      <c r="L1018" s="1206">
        <v>1</v>
      </c>
      <c r="M1018" s="1205">
        <f>F1018+0.476</f>
        <v>8.3760000000000012</v>
      </c>
      <c r="N1018" s="1205">
        <v>2.9</v>
      </c>
      <c r="O1018" s="1206">
        <f t="shared" si="111"/>
        <v>1.23</v>
      </c>
      <c r="P1018" s="1224">
        <f>+((M1018*J1018*O1018)/100)*1.07+((L1018*N1018*O1018)/100)*1.07</f>
        <v>0.69958611600000009</v>
      </c>
      <c r="Q1018" s="1893"/>
    </row>
    <row r="1019" spans="2:17" ht="30" customHeight="1">
      <c r="B1019" s="1886"/>
      <c r="C1019" s="1305">
        <v>0.375</v>
      </c>
      <c r="D1019" s="1307" t="s">
        <v>4863</v>
      </c>
      <c r="E1019" s="1205">
        <v>0.25</v>
      </c>
      <c r="F1019" s="1205">
        <v>4.87</v>
      </c>
      <c r="G1019" s="1205">
        <v>1.6</v>
      </c>
      <c r="H1019" s="1889"/>
      <c r="I1019" s="1206">
        <f t="shared" si="110"/>
        <v>7</v>
      </c>
      <c r="J1019" s="1206"/>
      <c r="K1019" s="1206"/>
      <c r="L1019" s="1206"/>
      <c r="M1019" s="1205">
        <f>F1019+0.476</f>
        <v>5.3460000000000001</v>
      </c>
      <c r="N1019" s="1205"/>
      <c r="O1019" s="1206">
        <f t="shared" si="111"/>
        <v>1.23</v>
      </c>
      <c r="P1019" s="1224">
        <f>+((M1019*I1019*O1019)/100)*1.07+((L1019*N1019*O1019)/100)*1.07</f>
        <v>0.49251094199999995</v>
      </c>
      <c r="Q1019" s="1893"/>
    </row>
    <row r="1020" spans="2:17" ht="31.5" customHeight="1">
      <c r="B1020" s="1886"/>
      <c r="C1020" s="1305">
        <v>0.375</v>
      </c>
      <c r="D1020" s="1307" t="s">
        <v>4863</v>
      </c>
      <c r="E1020" s="1205">
        <v>0.25</v>
      </c>
      <c r="F1020" s="1205">
        <v>5.76</v>
      </c>
      <c r="G1020" s="1205">
        <v>3.3</v>
      </c>
      <c r="H1020" s="1889"/>
      <c r="I1020" s="1206">
        <f t="shared" si="110"/>
        <v>14</v>
      </c>
      <c r="J1020" s="1206">
        <v>7</v>
      </c>
      <c r="K1020" s="1206"/>
      <c r="L1020" s="1206"/>
      <c r="M1020" s="1205">
        <f>F1020+0.476</f>
        <v>6.2359999999999998</v>
      </c>
      <c r="N1020" s="1205"/>
      <c r="O1020" s="1206">
        <f t="shared" si="111"/>
        <v>1.23</v>
      </c>
      <c r="P1020" s="1224">
        <f>+((M1020*J1020*O1020)/100)*1.07+((L1020*N1020*O1020)/100)*1.07</f>
        <v>0.57450397200000014</v>
      </c>
      <c r="Q1020" s="1893"/>
    </row>
    <row r="1021" spans="2:17" ht="31.5" customHeight="1">
      <c r="B1021" s="1887"/>
      <c r="C1021" s="1305">
        <v>0.375</v>
      </c>
      <c r="D1021" s="1307" t="s">
        <v>4863</v>
      </c>
      <c r="E1021" s="1205">
        <v>0.25</v>
      </c>
      <c r="F1021" s="1205">
        <v>4.9000000000000004</v>
      </c>
      <c r="G1021" s="1205">
        <v>3.3</v>
      </c>
      <c r="H1021" s="1890"/>
      <c r="I1021" s="1206">
        <f t="shared" si="110"/>
        <v>14</v>
      </c>
      <c r="J1021" s="1206">
        <v>7</v>
      </c>
      <c r="K1021" s="1206"/>
      <c r="L1021" s="1206">
        <v>1</v>
      </c>
      <c r="M1021" s="1205">
        <f>4.56+((1/3)*3)+G916*2+N916-1*G917</f>
        <v>7.75</v>
      </c>
      <c r="N1021" s="1205">
        <v>5.07</v>
      </c>
      <c r="O1021" s="1206">
        <f t="shared" si="111"/>
        <v>1.23</v>
      </c>
      <c r="P1021" s="1205">
        <f>(((((J1021*M1021*1.23)/100)+((K1021*1.23*N1021)/100))*1.07))+((L1021*F1021*1.23)/100)*1.07</f>
        <v>0.77847314999999995</v>
      </c>
      <c r="Q1021" s="1894"/>
    </row>
    <row r="1022" spans="2:17" ht="15.75">
      <c r="B1022" s="1883">
        <f>H1016*B1016</f>
        <v>2.7959999999999998</v>
      </c>
      <c r="C1022" s="1883"/>
      <c r="D1022" s="1883"/>
      <c r="E1022" s="1883"/>
      <c r="F1022" s="1883"/>
      <c r="G1022" s="1883"/>
      <c r="H1022" s="1883"/>
      <c r="I1022" s="1883"/>
      <c r="J1022" s="1883"/>
      <c r="K1022" s="1883"/>
      <c r="L1022" s="1883"/>
      <c r="M1022" s="1883"/>
      <c r="N1022" s="1883"/>
      <c r="O1022" s="1883"/>
      <c r="P1022" s="1883"/>
      <c r="Q1022" s="1883"/>
    </row>
    <row r="1023" spans="2:17">
      <c r="G1023" s="1492" t="s">
        <v>5181</v>
      </c>
      <c r="H1023" s="728">
        <f>B1022*2</f>
        <v>5.5919999999999996</v>
      </c>
      <c r="I1023" s="1492" t="s">
        <v>1806</v>
      </c>
      <c r="P1023" s="891">
        <f>SUM(P1016:P1021)*2</f>
        <v>7.1888014199999999</v>
      </c>
    </row>
    <row r="1024" spans="2:17" ht="15.75" thickBot="1">
      <c r="B1024" s="1891" t="s">
        <v>5041</v>
      </c>
      <c r="C1024" s="1891"/>
      <c r="D1024" s="1891"/>
      <c r="E1024" s="1891"/>
      <c r="F1024" s="1891"/>
      <c r="G1024" s="1891"/>
      <c r="H1024" s="1891"/>
      <c r="I1024" s="1891"/>
      <c r="J1024" s="1891"/>
      <c r="K1024" s="1891"/>
      <c r="L1024" s="1891"/>
      <c r="M1024" s="1891"/>
      <c r="N1024" s="1891"/>
      <c r="O1024" s="1891"/>
      <c r="P1024" s="1891"/>
      <c r="Q1024" s="1199" t="s">
        <v>4848</v>
      </c>
    </row>
    <row r="1025" spans="2:17" ht="39" thickBot="1">
      <c r="B1025" s="1304" t="s">
        <v>4849</v>
      </c>
      <c r="C1025" s="1200" t="s">
        <v>4850</v>
      </c>
      <c r="D1025" s="1201" t="s">
        <v>4851</v>
      </c>
      <c r="E1025" s="1201" t="s">
        <v>4852</v>
      </c>
      <c r="F1025" s="1201" t="s">
        <v>4853</v>
      </c>
      <c r="G1025" s="1202" t="s">
        <v>4854</v>
      </c>
      <c r="H1025" s="1201" t="s">
        <v>4855</v>
      </c>
      <c r="I1025" s="1202" t="s">
        <v>4856</v>
      </c>
      <c r="J1025" s="1202" t="s">
        <v>4857</v>
      </c>
      <c r="K1025" s="1202" t="s">
        <v>4994</v>
      </c>
      <c r="L1025" s="1202" t="s">
        <v>4858</v>
      </c>
      <c r="M1025" s="1202" t="s">
        <v>4859</v>
      </c>
      <c r="N1025" s="1202" t="s">
        <v>4995</v>
      </c>
      <c r="O1025" s="1202" t="s">
        <v>4860</v>
      </c>
      <c r="P1025" s="1201" t="s">
        <v>4</v>
      </c>
      <c r="Q1025" s="1203" t="s">
        <v>4861</v>
      </c>
    </row>
    <row r="1026" spans="2:17" ht="30" customHeight="1">
      <c r="B1026" s="1885">
        <v>0.12</v>
      </c>
      <c r="C1026" s="1305">
        <v>0.375</v>
      </c>
      <c r="D1026" s="1307" t="s">
        <v>4862</v>
      </c>
      <c r="E1026" s="1205">
        <v>0.25</v>
      </c>
      <c r="F1026" s="1205">
        <v>4.29</v>
      </c>
      <c r="G1026" s="1205">
        <v>2.4</v>
      </c>
      <c r="H1026" s="1888">
        <v>10.26</v>
      </c>
      <c r="I1026" s="1206">
        <f>(ROUND(((G1026))/E1026,0))+1</f>
        <v>11</v>
      </c>
      <c r="J1026" s="1206"/>
      <c r="K1026" s="1206"/>
      <c r="L1026" s="1206">
        <v>2</v>
      </c>
      <c r="M1026" s="1205">
        <f>F1026</f>
        <v>4.29</v>
      </c>
      <c r="N1026" s="1205">
        <v>3.9</v>
      </c>
      <c r="O1026" s="1206">
        <f>ROUND(PI()*((C1026*0.0254)^2)/4*7.85*2204.6,2)</f>
        <v>1.23</v>
      </c>
      <c r="P1026" s="1224">
        <f>+((M1026*J1026*O1026)/100)*1.07+((L1026*N1026*O1026)/100)*1.07</f>
        <v>0.10265580000000001</v>
      </c>
      <c r="Q1026" s="1892">
        <f>SUM(P1026:P1030)/(H1026*B1026)</f>
        <v>0.74185623781676424</v>
      </c>
    </row>
    <row r="1027" spans="2:17" ht="30" customHeight="1">
      <c r="B1027" s="1886"/>
      <c r="C1027" s="1305">
        <v>0.375</v>
      </c>
      <c r="D1027" s="1307" t="s">
        <v>5034</v>
      </c>
      <c r="E1027" s="1205">
        <v>0.25</v>
      </c>
      <c r="F1027" s="1205">
        <v>3.07</v>
      </c>
      <c r="G1027" s="1205">
        <v>3.6</v>
      </c>
      <c r="H1027" s="1889"/>
      <c r="I1027" s="1206">
        <f>(ROUND(((G1027))/E1027,0))+1</f>
        <v>15</v>
      </c>
      <c r="J1027" s="1206">
        <v>8</v>
      </c>
      <c r="K1027" s="1206"/>
      <c r="L1027" s="1206">
        <v>2</v>
      </c>
      <c r="M1027" s="1205">
        <f t="shared" ref="M1027:M1028" si="112">F1027</f>
        <v>3.07</v>
      </c>
      <c r="N1027" s="1205">
        <v>2.7</v>
      </c>
      <c r="O1027" s="1206">
        <f>ROUND(PI()*((C1027*0.0254)^2)/4*7.85*2204.6,2)</f>
        <v>1.23</v>
      </c>
      <c r="P1027" s="1224">
        <f>+((M1027*J1027*O1027)/100)*1.07+((L1027*N1027*O1027)/100)*1.07</f>
        <v>0.39430356</v>
      </c>
      <c r="Q1027" s="1893"/>
    </row>
    <row r="1028" spans="2:17" ht="30" customHeight="1">
      <c r="B1028" s="1886"/>
      <c r="C1028" s="1305">
        <v>0.375</v>
      </c>
      <c r="D1028" s="1307" t="s">
        <v>5034</v>
      </c>
      <c r="E1028" s="1205">
        <v>0.25</v>
      </c>
      <c r="F1028" s="1205">
        <v>4.5199999999999996</v>
      </c>
      <c r="G1028" s="1205">
        <v>3.6</v>
      </c>
      <c r="H1028" s="1889"/>
      <c r="I1028" s="1206">
        <f>(ROUND(((G1028))/E1028,0))+1</f>
        <v>15</v>
      </c>
      <c r="J1028" s="1206">
        <v>7</v>
      </c>
      <c r="K1028" s="1206"/>
      <c r="L1028" s="1206"/>
      <c r="M1028" s="1205">
        <f t="shared" si="112"/>
        <v>4.5199999999999996</v>
      </c>
      <c r="N1028" s="1205"/>
      <c r="O1028" s="1206">
        <f>ROUND(PI()*((C1028*0.0254)^2)/4*7.85*2204.6,2)</f>
        <v>1.23</v>
      </c>
      <c r="P1028" s="1224">
        <f>+((M1028*J1028*O1028)/100)*1.07+((L1028*N1028*O1028)/100)*1.07</f>
        <v>0.41641403999999999</v>
      </c>
      <c r="Q1028" s="1893"/>
    </row>
    <row r="1029" spans="2:17" ht="15.75" customHeight="1">
      <c r="B1029" s="1886"/>
      <c r="C1029" s="1305"/>
      <c r="D1029" s="1307"/>
      <c r="E1029" s="1205"/>
      <c r="F1029" s="1205"/>
      <c r="G1029" s="1205"/>
      <c r="H1029" s="1889"/>
      <c r="I1029" s="1206"/>
      <c r="J1029" s="1206"/>
      <c r="K1029" s="1206"/>
      <c r="L1029" s="1206"/>
      <c r="M1029" s="1205"/>
      <c r="N1029" s="1205"/>
      <c r="O1029" s="1206"/>
      <c r="P1029" s="1205"/>
      <c r="Q1029" s="1893"/>
    </row>
    <row r="1030" spans="2:17" ht="15.75" customHeight="1">
      <c r="B1030" s="1887"/>
      <c r="C1030" s="1305"/>
      <c r="D1030" s="1307"/>
      <c r="E1030" s="1205"/>
      <c r="F1030" s="1205"/>
      <c r="G1030" s="1205"/>
      <c r="H1030" s="1890"/>
      <c r="I1030" s="1206"/>
      <c r="J1030" s="1206"/>
      <c r="K1030" s="1206"/>
      <c r="L1030" s="1206"/>
      <c r="M1030" s="1205"/>
      <c r="N1030" s="1205"/>
      <c r="O1030" s="1206"/>
      <c r="P1030" s="1205"/>
      <c r="Q1030" s="1893"/>
    </row>
    <row r="1031" spans="2:17" ht="15.75">
      <c r="B1031" s="1883">
        <f>H1026*B1026</f>
        <v>1.2311999999999999</v>
      </c>
      <c r="C1031" s="1883"/>
      <c r="D1031" s="1883"/>
      <c r="E1031" s="1883"/>
      <c r="F1031" s="1883"/>
      <c r="G1031" s="1883"/>
      <c r="H1031" s="1883"/>
      <c r="I1031" s="1883"/>
      <c r="J1031" s="1883"/>
      <c r="K1031" s="1883"/>
      <c r="L1031" s="1883"/>
      <c r="M1031" s="1883"/>
      <c r="N1031" s="1883"/>
      <c r="O1031" s="1883"/>
      <c r="P1031" s="1883"/>
      <c r="Q1031" s="1883"/>
    </row>
    <row r="1032" spans="2:17">
      <c r="G1032" s="1492" t="s">
        <v>5181</v>
      </c>
      <c r="H1032" s="728">
        <f>B1031*1</f>
        <v>1.2311999999999999</v>
      </c>
      <c r="I1032" s="1492" t="s">
        <v>1806</v>
      </c>
      <c r="P1032" s="891">
        <f>SUM(P1026:P1030)*1</f>
        <v>0.9133734</v>
      </c>
    </row>
    <row r="1033" spans="2:17" ht="15.75" thickBot="1">
      <c r="B1033" s="1891" t="s">
        <v>5202</v>
      </c>
      <c r="C1033" s="1891"/>
      <c r="D1033" s="1891"/>
      <c r="E1033" s="1891"/>
      <c r="F1033" s="1891"/>
      <c r="G1033" s="1891"/>
      <c r="H1033" s="1891"/>
      <c r="I1033" s="1891"/>
      <c r="J1033" s="1891"/>
      <c r="K1033" s="1891"/>
      <c r="L1033" s="1891"/>
      <c r="M1033" s="1891"/>
      <c r="N1033" s="1891"/>
      <c r="O1033" s="1891"/>
      <c r="P1033" s="1891"/>
      <c r="Q1033" s="1199" t="s">
        <v>4848</v>
      </c>
    </row>
    <row r="1034" spans="2:17" ht="39" thickBot="1">
      <c r="B1034" s="1304" t="s">
        <v>4849</v>
      </c>
      <c r="C1034" s="1200" t="s">
        <v>4850</v>
      </c>
      <c r="D1034" s="1201" t="s">
        <v>4851</v>
      </c>
      <c r="E1034" s="1201" t="s">
        <v>4852</v>
      </c>
      <c r="F1034" s="1201" t="s">
        <v>4853</v>
      </c>
      <c r="G1034" s="1202" t="s">
        <v>4854</v>
      </c>
      <c r="H1034" s="1201" t="s">
        <v>4855</v>
      </c>
      <c r="I1034" s="1202" t="s">
        <v>4856</v>
      </c>
      <c r="J1034" s="1202" t="s">
        <v>4857</v>
      </c>
      <c r="K1034" s="1202" t="s">
        <v>4994</v>
      </c>
      <c r="L1034" s="1202" t="s">
        <v>4858</v>
      </c>
      <c r="M1034" s="1202" t="s">
        <v>4859</v>
      </c>
      <c r="N1034" s="1202" t="s">
        <v>4995</v>
      </c>
      <c r="O1034" s="1202" t="s">
        <v>4860</v>
      </c>
      <c r="P1034" s="1201" t="s">
        <v>4</v>
      </c>
      <c r="Q1034" s="1203" t="s">
        <v>4861</v>
      </c>
    </row>
    <row r="1035" spans="2:17" ht="30" customHeight="1">
      <c r="B1035" s="1885">
        <v>0.12</v>
      </c>
      <c r="C1035" s="1305">
        <v>0.375</v>
      </c>
      <c r="D1035" s="1307" t="s">
        <v>4862</v>
      </c>
      <c r="E1035" s="1205">
        <v>0.25</v>
      </c>
      <c r="F1035" s="1205">
        <v>7.3</v>
      </c>
      <c r="G1035" s="1205">
        <v>1.27</v>
      </c>
      <c r="H1035" s="1888">
        <f>16.94+0.5</f>
        <v>17.440000000000001</v>
      </c>
      <c r="I1035" s="1206">
        <f>(ROUND(((G1035))/E1035,0))+1</f>
        <v>6</v>
      </c>
      <c r="J1035" s="1206"/>
      <c r="K1035" s="1206"/>
      <c r="L1035" s="1206"/>
      <c r="M1035" s="1205">
        <f>F1035+(2*$G$658)-2*$G$659+1*E907</f>
        <v>7.46</v>
      </c>
      <c r="N1035" s="1205"/>
      <c r="O1035" s="1206">
        <f>ROUND(PI()*((C1035*0.0254)^2)/4*7.85*2204.6,2)</f>
        <v>1.23</v>
      </c>
      <c r="P1035" s="1224">
        <f>+((M1035*I1035*O1035)/100)*1.07</f>
        <v>0.58908636000000003</v>
      </c>
      <c r="Q1035" s="1892">
        <f>SUM(P1035:P1038)/(H1035*B1035)</f>
        <v>1.1517761611238533</v>
      </c>
    </row>
    <row r="1036" spans="2:17" ht="30" customHeight="1">
      <c r="B1036" s="1886"/>
      <c r="C1036" s="1305">
        <v>0.375</v>
      </c>
      <c r="D1036" s="1307" t="s">
        <v>5034</v>
      </c>
      <c r="E1036" s="1205">
        <v>0.25</v>
      </c>
      <c r="F1036" s="1205">
        <v>1.85</v>
      </c>
      <c r="G1036" s="1205">
        <v>4</v>
      </c>
      <c r="H1036" s="1889"/>
      <c r="I1036" s="1206">
        <f>(ROUND(((G1036))/E1036,0))+1</f>
        <v>17</v>
      </c>
      <c r="J1036" s="1206"/>
      <c r="K1036" s="1206"/>
      <c r="L1036" s="1206"/>
      <c r="M1036" s="1205">
        <f>F1036+(2*$G$658)-2*$G$659+1*E908+0.04</f>
        <v>2.0500000000000003</v>
      </c>
      <c r="N1036" s="1205"/>
      <c r="O1036" s="1206">
        <f>ROUND(PI()*((C1036*0.0254)^2)/4*7.85*2204.6,2)</f>
        <v>1.23</v>
      </c>
      <c r="P1036" s="1224">
        <f t="shared" ref="P1036:P1038" si="113">+((M1036*I1036*O1036)/100)*1.07</f>
        <v>0.45866085000000012</v>
      </c>
      <c r="Q1036" s="1893"/>
    </row>
    <row r="1037" spans="2:17" ht="30" customHeight="1">
      <c r="B1037" s="1886"/>
      <c r="C1037" s="1305">
        <v>0.375</v>
      </c>
      <c r="D1037" s="1307" t="s">
        <v>4863</v>
      </c>
      <c r="E1037" s="1205">
        <v>0.25</v>
      </c>
      <c r="F1037" s="1205">
        <v>2.76</v>
      </c>
      <c r="G1037" s="1205">
        <v>3.6</v>
      </c>
      <c r="H1037" s="1889"/>
      <c r="I1037" s="1206">
        <f>(ROUND(((G1037))/E1037,0))+1</f>
        <v>15</v>
      </c>
      <c r="J1037" s="1206"/>
      <c r="K1037" s="1206"/>
      <c r="L1037" s="1206"/>
      <c r="M1037" s="1205">
        <f>F1037</f>
        <v>2.76</v>
      </c>
      <c r="N1037" s="1205"/>
      <c r="O1037" s="1206">
        <f>ROUND(PI()*((C1037*0.0254)^2)/4*7.85*2204.6,2)</f>
        <v>1.23</v>
      </c>
      <c r="P1037" s="1224">
        <f t="shared" si="113"/>
        <v>0.54486540000000006</v>
      </c>
      <c r="Q1037" s="1893"/>
    </row>
    <row r="1038" spans="2:17" ht="30" customHeight="1">
      <c r="B1038" s="1887"/>
      <c r="C1038" s="1305">
        <v>0.375</v>
      </c>
      <c r="D1038" s="1307" t="s">
        <v>4863</v>
      </c>
      <c r="E1038" s="1205">
        <v>0.25</v>
      </c>
      <c r="F1038" s="1205">
        <v>4.78</v>
      </c>
      <c r="G1038" s="1205">
        <f>1.5*2</f>
        <v>3</v>
      </c>
      <c r="H1038" s="1890"/>
      <c r="I1038" s="1206">
        <f>(ROUND(((G1038))/E1038,0))+1</f>
        <v>13</v>
      </c>
      <c r="J1038" s="1206"/>
      <c r="K1038" s="1206"/>
      <c r="L1038" s="1206"/>
      <c r="M1038" s="1205">
        <f>F1038</f>
        <v>4.78</v>
      </c>
      <c r="N1038" s="1205"/>
      <c r="O1038" s="1206">
        <f>ROUND(PI()*((C1038*0.0254)^2)/4*7.85*2204.6,2)</f>
        <v>1.23</v>
      </c>
      <c r="P1038" s="1224">
        <f t="shared" si="113"/>
        <v>0.81782454000000004</v>
      </c>
      <c r="Q1038" s="1893"/>
    </row>
    <row r="1039" spans="2:17" ht="15.75">
      <c r="B1039" s="1883">
        <f>H1035*B1035</f>
        <v>2.0928</v>
      </c>
      <c r="C1039" s="1883"/>
      <c r="D1039" s="1883"/>
      <c r="E1039" s="1883"/>
      <c r="F1039" s="1883"/>
      <c r="G1039" s="1883"/>
      <c r="H1039" s="1883"/>
      <c r="I1039" s="1883"/>
      <c r="J1039" s="1883"/>
      <c r="K1039" s="1883"/>
      <c r="L1039" s="1883"/>
      <c r="M1039" s="1883"/>
      <c r="N1039" s="1883"/>
      <c r="O1039" s="1883"/>
      <c r="P1039" s="1883"/>
      <c r="Q1039" s="1883"/>
    </row>
    <row r="1040" spans="2:17">
      <c r="G1040" s="1492" t="s">
        <v>5181</v>
      </c>
      <c r="H1040" s="728">
        <f>B1039*1</f>
        <v>2.0928</v>
      </c>
      <c r="I1040" s="1492" t="s">
        <v>1806</v>
      </c>
      <c r="P1040" s="891">
        <f>SUM(P1035:P1038)*1</f>
        <v>2.4104371500000004</v>
      </c>
    </row>
    <row r="1042" spans="2:17" ht="15.75" thickBot="1">
      <c r="B1042" s="1891" t="s">
        <v>5203</v>
      </c>
      <c r="C1042" s="1891"/>
      <c r="D1042" s="1891"/>
      <c r="E1042" s="1891"/>
      <c r="F1042" s="1891"/>
      <c r="G1042" s="1891"/>
      <c r="H1042" s="1891"/>
      <c r="I1042" s="1891"/>
      <c r="J1042" s="1891"/>
      <c r="K1042" s="1891"/>
      <c r="L1042" s="1891"/>
      <c r="M1042" s="1891"/>
      <c r="N1042" s="1891"/>
      <c r="O1042" s="1891"/>
      <c r="P1042" s="1891"/>
      <c r="Q1042" s="1199" t="s">
        <v>4848</v>
      </c>
    </row>
    <row r="1043" spans="2:17" ht="39" thickBot="1">
      <c r="B1043" s="1304" t="s">
        <v>4849</v>
      </c>
      <c r="C1043" s="1200" t="s">
        <v>4850</v>
      </c>
      <c r="D1043" s="1201" t="s">
        <v>4851</v>
      </c>
      <c r="E1043" s="1201" t="s">
        <v>4852</v>
      </c>
      <c r="F1043" s="1201" t="s">
        <v>4853</v>
      </c>
      <c r="G1043" s="1202" t="s">
        <v>4854</v>
      </c>
      <c r="H1043" s="1201" t="s">
        <v>4855</v>
      </c>
      <c r="I1043" s="1202" t="s">
        <v>4856</v>
      </c>
      <c r="J1043" s="1202" t="s">
        <v>4857</v>
      </c>
      <c r="K1043" s="1202" t="s">
        <v>4994</v>
      </c>
      <c r="L1043" s="1202" t="s">
        <v>4858</v>
      </c>
      <c r="M1043" s="1202" t="s">
        <v>4859</v>
      </c>
      <c r="N1043" s="1202" t="s">
        <v>4995</v>
      </c>
      <c r="O1043" s="1202" t="s">
        <v>4860</v>
      </c>
      <c r="P1043" s="1201" t="s">
        <v>4</v>
      </c>
      <c r="Q1043" s="1203" t="s">
        <v>4861</v>
      </c>
    </row>
    <row r="1044" spans="2:17" ht="30" customHeight="1">
      <c r="B1044" s="1885">
        <v>0.12</v>
      </c>
      <c r="C1044" s="1305">
        <v>0.375</v>
      </c>
      <c r="D1044" s="1307" t="s">
        <v>4862</v>
      </c>
      <c r="E1044" s="1205">
        <v>0.25</v>
      </c>
      <c r="F1044" s="1205">
        <v>4.78</v>
      </c>
      <c r="G1044" s="1205">
        <v>1.84</v>
      </c>
      <c r="H1044" s="1888">
        <v>3.31</v>
      </c>
      <c r="I1044" s="1206">
        <f>(ROUND(((G1044))/E1044,0))+1</f>
        <v>8</v>
      </c>
      <c r="J1044" s="1206"/>
      <c r="K1044" s="1206"/>
      <c r="L1044" s="1206">
        <v>2</v>
      </c>
      <c r="M1044" s="1205">
        <f>F1044</f>
        <v>4.78</v>
      </c>
      <c r="N1044" s="1205">
        <v>2.2000000000000002</v>
      </c>
      <c r="O1044" s="1206">
        <f>ROUND(PI()*((C1044*0.0254)^2)/4*7.85*2204.6,2)</f>
        <v>1.23</v>
      </c>
      <c r="P1044" s="1224">
        <f>+((M1044*I1044*O1044)/100)*1.07+((L1044*N1044*O1044)/100)*1.07</f>
        <v>0.56118504000000002</v>
      </c>
      <c r="Q1044" s="1892">
        <f>SUM(P1044:P1047)/(H1044*B1044)</f>
        <v>1.4128525679758308</v>
      </c>
    </row>
    <row r="1045" spans="2:17" ht="15.75" customHeight="1">
      <c r="B1045" s="1886"/>
      <c r="C1045" s="1305"/>
      <c r="D1045" s="1307"/>
      <c r="E1045" s="1205"/>
      <c r="F1045" s="1205"/>
      <c r="G1045" s="1205"/>
      <c r="H1045" s="1889"/>
      <c r="I1045" s="1206"/>
      <c r="J1045" s="1206"/>
      <c r="K1045" s="1206"/>
      <c r="L1045" s="1206"/>
      <c r="M1045" s="1205"/>
      <c r="N1045" s="1205"/>
      <c r="O1045" s="1206"/>
      <c r="P1045" s="1205"/>
      <c r="Q1045" s="1893"/>
    </row>
    <row r="1046" spans="2:17" ht="15.75" customHeight="1">
      <c r="B1046" s="1886"/>
      <c r="C1046" s="1305"/>
      <c r="D1046" s="1307"/>
      <c r="E1046" s="1205"/>
      <c r="F1046" s="1205"/>
      <c r="G1046" s="1205"/>
      <c r="H1046" s="1889"/>
      <c r="I1046" s="1206"/>
      <c r="J1046" s="1206"/>
      <c r="K1046" s="1206"/>
      <c r="L1046" s="1206"/>
      <c r="M1046" s="1205"/>
      <c r="N1046" s="1205"/>
      <c r="O1046" s="1206"/>
      <c r="P1046" s="1205"/>
      <c r="Q1046" s="1893"/>
    </row>
    <row r="1047" spans="2:17" ht="15.75" customHeight="1">
      <c r="B1047" s="1887"/>
      <c r="C1047" s="1305"/>
      <c r="D1047" s="1307"/>
      <c r="E1047" s="1205"/>
      <c r="F1047" s="1205"/>
      <c r="G1047" s="1205"/>
      <c r="H1047" s="1890"/>
      <c r="I1047" s="1206"/>
      <c r="J1047" s="1206"/>
      <c r="K1047" s="1206"/>
      <c r="L1047" s="1206"/>
      <c r="M1047" s="1205"/>
      <c r="N1047" s="1205"/>
      <c r="O1047" s="1206"/>
      <c r="P1047" s="1205"/>
      <c r="Q1047" s="1893"/>
    </row>
    <row r="1048" spans="2:17" ht="15.75">
      <c r="B1048" s="1883">
        <f>H1044*B1044</f>
        <v>0.3972</v>
      </c>
      <c r="C1048" s="1883"/>
      <c r="D1048" s="1883"/>
      <c r="E1048" s="1883"/>
      <c r="F1048" s="1883"/>
      <c r="G1048" s="1883"/>
      <c r="H1048" s="1883"/>
      <c r="I1048" s="1883"/>
      <c r="J1048" s="1883"/>
      <c r="K1048" s="1883"/>
      <c r="L1048" s="1883"/>
      <c r="M1048" s="1883"/>
      <c r="N1048" s="1883"/>
      <c r="O1048" s="1883"/>
      <c r="P1048" s="1883"/>
      <c r="Q1048" s="1883"/>
    </row>
    <row r="1049" spans="2:17">
      <c r="G1049" s="1492" t="s">
        <v>5181</v>
      </c>
      <c r="H1049" s="728">
        <f>B1048*1</f>
        <v>0.3972</v>
      </c>
      <c r="I1049" s="1492" t="s">
        <v>1806</v>
      </c>
      <c r="P1049" s="891">
        <f>SUM(P1044:P1047)</f>
        <v>0.56118504000000002</v>
      </c>
    </row>
    <row r="1050" spans="2:17" ht="15.75" thickBot="1">
      <c r="B1050" s="1891" t="s">
        <v>5204</v>
      </c>
      <c r="C1050" s="1891"/>
      <c r="D1050" s="1891"/>
      <c r="E1050" s="1891"/>
      <c r="F1050" s="1891"/>
      <c r="G1050" s="1891"/>
      <c r="H1050" s="1891"/>
      <c r="I1050" s="1891"/>
      <c r="J1050" s="1891"/>
      <c r="K1050" s="1891"/>
      <c r="L1050" s="1891"/>
      <c r="M1050" s="1891"/>
      <c r="N1050" s="1891"/>
      <c r="O1050" s="1891"/>
      <c r="P1050" s="1891"/>
      <c r="Q1050" s="1199" t="s">
        <v>4848</v>
      </c>
    </row>
    <row r="1051" spans="2:17" ht="26.25" thickBot="1">
      <c r="B1051" s="1304" t="s">
        <v>4849</v>
      </c>
      <c r="C1051" s="1200" t="s">
        <v>4850</v>
      </c>
      <c r="D1051" s="1201" t="s">
        <v>4851</v>
      </c>
      <c r="E1051" s="1201" t="s">
        <v>4852</v>
      </c>
      <c r="F1051" s="1201" t="s">
        <v>4853</v>
      </c>
      <c r="G1051" s="1202" t="s">
        <v>4854</v>
      </c>
      <c r="H1051" s="1201" t="s">
        <v>4855</v>
      </c>
      <c r="I1051" s="1202" t="s">
        <v>4856</v>
      </c>
      <c r="J1051" s="1202"/>
      <c r="K1051" s="1202"/>
      <c r="L1051" s="1202"/>
      <c r="M1051" s="1202" t="s">
        <v>4859</v>
      </c>
      <c r="N1051" s="1202"/>
      <c r="O1051" s="1202" t="s">
        <v>4860</v>
      </c>
      <c r="P1051" s="1201" t="s">
        <v>4</v>
      </c>
      <c r="Q1051" s="1203" t="s">
        <v>4861</v>
      </c>
    </row>
    <row r="1052" spans="2:17" ht="30" customHeight="1">
      <c r="B1052" s="1885">
        <v>0.12</v>
      </c>
      <c r="C1052" s="1305">
        <v>0.375</v>
      </c>
      <c r="D1052" s="1307" t="s">
        <v>4862</v>
      </c>
      <c r="E1052" s="1205">
        <v>0.25</v>
      </c>
      <c r="F1052" s="1205">
        <v>9.25</v>
      </c>
      <c r="G1052" s="1205">
        <v>3.11</v>
      </c>
      <c r="H1052" s="1888">
        <v>22.8</v>
      </c>
      <c r="I1052" s="1206">
        <f>(ROUND(((G1052))/E1052,0))+1</f>
        <v>13</v>
      </c>
      <c r="J1052" s="1206"/>
      <c r="K1052" s="1206"/>
      <c r="L1052" s="1206"/>
      <c r="M1052" s="1205">
        <f>F1052+0.476</f>
        <v>9.7259999999999991</v>
      </c>
      <c r="N1052" s="1205"/>
      <c r="O1052" s="1206">
        <f>ROUND(PI()*((C1052*0.0254)^2)/4*7.85*2204.6,2)</f>
        <v>1.23</v>
      </c>
      <c r="P1052" s="1224">
        <f>+((M1052*I1052*O1052)/100)*1.07</f>
        <v>1.664050518</v>
      </c>
      <c r="Q1052" s="1892">
        <f>SUM(P1052:P1056)/(H1052*B1052)</f>
        <v>1.8118791030701757</v>
      </c>
    </row>
    <row r="1053" spans="2:17" ht="30" customHeight="1">
      <c r="B1053" s="1886"/>
      <c r="C1053" s="1305">
        <v>0.375</v>
      </c>
      <c r="D1053" s="1307" t="s">
        <v>4862</v>
      </c>
      <c r="E1053" s="1205">
        <v>0.25</v>
      </c>
      <c r="F1053" s="1205">
        <v>9.2200000000000006</v>
      </c>
      <c r="G1053" s="1205">
        <v>3.11</v>
      </c>
      <c r="H1053" s="1889"/>
      <c r="I1053" s="1206">
        <f>(ROUND(((G1053))/E1053,0))+1</f>
        <v>13</v>
      </c>
      <c r="J1053" s="1206"/>
      <c r="K1053" s="1206"/>
      <c r="L1053" s="1206"/>
      <c r="M1053" s="1205">
        <f>F1053+0.476</f>
        <v>9.6960000000000015</v>
      </c>
      <c r="N1053" s="1205"/>
      <c r="O1053" s="1206">
        <f>ROUND(PI()*((C1053*0.0254)^2)/4*7.85*2204.6,2)</f>
        <v>1.23</v>
      </c>
      <c r="P1053" s="1224">
        <f>+((M1053*I1053*O1053)/100)*1.07</f>
        <v>1.6589177280000005</v>
      </c>
      <c r="Q1053" s="1893"/>
    </row>
    <row r="1054" spans="2:17" ht="30" customHeight="1">
      <c r="B1054" s="1886"/>
      <c r="C1054" s="1305">
        <v>0.375</v>
      </c>
      <c r="D1054" s="1307" t="s">
        <v>4863</v>
      </c>
      <c r="E1054" s="1205">
        <v>0.25</v>
      </c>
      <c r="F1054" s="1205">
        <v>3.11</v>
      </c>
      <c r="G1054" s="1205">
        <v>6.8</v>
      </c>
      <c r="H1054" s="1889"/>
      <c r="I1054" s="1206">
        <f>(ROUND(((G1054))/E1054,0))+1</f>
        <v>28</v>
      </c>
      <c r="J1054" s="1206">
        <v>14</v>
      </c>
      <c r="K1054" s="1206"/>
      <c r="L1054" s="1206"/>
      <c r="M1054" s="1205">
        <f>F1054+2*0.1+((1/3)*2.76)+0.04</f>
        <v>4.2700000000000005</v>
      </c>
      <c r="N1054" s="1205"/>
      <c r="O1054" s="1206">
        <f>ROUND(PI()*((C1054*0.0254)^2)/4*7.85*2204.6,2)</f>
        <v>1.23</v>
      </c>
      <c r="P1054" s="1224">
        <f>+((M1054*J1054*O1054)/100)*1.07</f>
        <v>0.78676458000000016</v>
      </c>
      <c r="Q1054" s="1893"/>
    </row>
    <row r="1055" spans="2:17" ht="30" customHeight="1">
      <c r="B1055" s="1886"/>
      <c r="C1055" s="1305">
        <v>0.375</v>
      </c>
      <c r="D1055" s="1307" t="s">
        <v>4863</v>
      </c>
      <c r="E1055" s="1205">
        <v>0.25</v>
      </c>
      <c r="F1055" s="1205">
        <v>3.11</v>
      </c>
      <c r="G1055" s="1205">
        <v>6.8</v>
      </c>
      <c r="H1055" s="1889"/>
      <c r="I1055" s="1206">
        <f>(ROUND(((G1055))/E1055,0))+1</f>
        <v>28</v>
      </c>
      <c r="J1055" s="1206">
        <v>14</v>
      </c>
      <c r="K1055" s="1206"/>
      <c r="L1055" s="1206"/>
      <c r="M1055" s="1205">
        <f>F1055+2*0.1+((1/3)*3.75)+0.04</f>
        <v>4.6000000000000005</v>
      </c>
      <c r="N1055" s="1205"/>
      <c r="O1055" s="1206">
        <f>ROUND(PI()*((C1055*0.0254)^2)/4*7.85*2204.6,2)</f>
        <v>1.23</v>
      </c>
      <c r="P1055" s="1224">
        <f>+((M1055*J1055*O1055)/100)*1.07</f>
        <v>0.84756840000000011</v>
      </c>
      <c r="Q1055" s="1893"/>
    </row>
    <row r="1056" spans="2:17" ht="15.75" customHeight="1">
      <c r="B1056" s="1887"/>
      <c r="C1056" s="1305"/>
      <c r="D1056" s="1307"/>
      <c r="E1056" s="1205"/>
      <c r="F1056" s="1205"/>
      <c r="G1056" s="1205"/>
      <c r="H1056" s="1890"/>
      <c r="I1056" s="1206"/>
      <c r="J1056" s="1206"/>
      <c r="K1056" s="1206"/>
      <c r="L1056" s="1206"/>
      <c r="M1056" s="1205"/>
      <c r="N1056" s="1205"/>
      <c r="O1056" s="1206"/>
      <c r="P1056" s="1205"/>
      <c r="Q1056" s="1894"/>
    </row>
    <row r="1057" spans="2:17" ht="15.75">
      <c r="B1057" s="1883">
        <f>H1052*B1052</f>
        <v>2.7359999999999998</v>
      </c>
      <c r="C1057" s="1883"/>
      <c r="D1057" s="1883"/>
      <c r="E1057" s="1883"/>
      <c r="F1057" s="1883"/>
      <c r="G1057" s="1883"/>
      <c r="H1057" s="1883"/>
      <c r="I1057" s="1883"/>
      <c r="J1057" s="1883"/>
      <c r="K1057" s="1883"/>
      <c r="L1057" s="1883"/>
      <c r="M1057" s="1883"/>
      <c r="N1057" s="1883"/>
      <c r="O1057" s="1883"/>
      <c r="P1057" s="1883"/>
      <c r="Q1057" s="1883"/>
    </row>
    <row r="1058" spans="2:17">
      <c r="G1058" s="1492" t="s">
        <v>5181</v>
      </c>
      <c r="H1058" s="728">
        <f>B1057*1</f>
        <v>2.7359999999999998</v>
      </c>
      <c r="I1058" s="1492" t="s">
        <v>1806</v>
      </c>
      <c r="P1058" s="891">
        <f>SUM(P1052:P1056)</f>
        <v>4.9573012260000002</v>
      </c>
    </row>
    <row r="1063" spans="2:17" ht="15.75" thickBot="1">
      <c r="B1063" s="1891" t="s">
        <v>5273</v>
      </c>
      <c r="C1063" s="1891"/>
      <c r="D1063" s="1891"/>
      <c r="E1063" s="1891"/>
      <c r="F1063" s="1891"/>
      <c r="G1063" s="1891"/>
      <c r="H1063" s="1891"/>
      <c r="I1063" s="1891"/>
      <c r="J1063" s="1891"/>
      <c r="K1063" s="1891"/>
      <c r="L1063" s="1891"/>
      <c r="M1063" s="1891"/>
      <c r="N1063" s="1891"/>
      <c r="O1063" s="1891"/>
      <c r="P1063" s="1891"/>
      <c r="Q1063" s="1199" t="s">
        <v>4848</v>
      </c>
    </row>
    <row r="1064" spans="2:17" ht="39" thickBot="1">
      <c r="B1064" s="1304" t="s">
        <v>4849</v>
      </c>
      <c r="C1064" s="1200" t="s">
        <v>4850</v>
      </c>
      <c r="D1064" s="1201" t="s">
        <v>4851</v>
      </c>
      <c r="E1064" s="1201" t="s">
        <v>4852</v>
      </c>
      <c r="F1064" s="1201" t="s">
        <v>4853</v>
      </c>
      <c r="G1064" s="1202" t="s">
        <v>4854</v>
      </c>
      <c r="H1064" s="1201" t="s">
        <v>4855</v>
      </c>
      <c r="I1064" s="1202" t="s">
        <v>4856</v>
      </c>
      <c r="J1064" s="1202" t="s">
        <v>4857</v>
      </c>
      <c r="K1064" s="1202" t="s">
        <v>4085</v>
      </c>
      <c r="L1064" s="1202" t="s">
        <v>4858</v>
      </c>
      <c r="M1064" s="1202" t="s">
        <v>5174</v>
      </c>
      <c r="N1064" s="1202"/>
      <c r="O1064" s="1202" t="s">
        <v>4860</v>
      </c>
      <c r="P1064" s="1201" t="s">
        <v>4</v>
      </c>
      <c r="Q1064" s="1203" t="s">
        <v>4861</v>
      </c>
    </row>
    <row r="1065" spans="2:17" ht="45">
      <c r="B1065" s="1885"/>
      <c r="C1065" s="1305">
        <v>0.5</v>
      </c>
      <c r="D1065" s="1490" t="s">
        <v>5173</v>
      </c>
      <c r="E1065" s="1205"/>
      <c r="F1065" s="1205">
        <v>3.6</v>
      </c>
      <c r="G1065" s="1205"/>
      <c r="H1065" s="1888"/>
      <c r="I1065" s="1206">
        <v>2</v>
      </c>
      <c r="J1065" s="1206"/>
      <c r="K1065" s="1206"/>
      <c r="L1065" s="1206"/>
      <c r="M1065" s="1205">
        <f>F1065-2*$G$659+0.6</f>
        <v>4.16</v>
      </c>
      <c r="N1065" s="1205"/>
      <c r="O1065" s="1206">
        <f>ROUND(PI()*((C1065*0.0254)^2)/4*7.85*2204.6,2)</f>
        <v>2.19</v>
      </c>
      <c r="P1065" s="1224">
        <f>+((M1065*I1065*O1065)/100)*1.07</f>
        <v>0.19496256000000001</v>
      </c>
      <c r="Q1065" s="1880">
        <f>SUM(P1065:P1076)/B1077</f>
        <v>2.3106540940667348</v>
      </c>
    </row>
    <row r="1066" spans="2:17" ht="45">
      <c r="B1066" s="1886"/>
      <c r="C1066" s="1305">
        <v>0.5</v>
      </c>
      <c r="D1066" s="1490" t="s">
        <v>5173</v>
      </c>
      <c r="E1066" s="1205"/>
      <c r="F1066" s="1205">
        <v>3.11</v>
      </c>
      <c r="G1066" s="1205"/>
      <c r="H1066" s="1889"/>
      <c r="I1066" s="1206">
        <v>2</v>
      </c>
      <c r="J1066" s="1206"/>
      <c r="K1066" s="1206"/>
      <c r="L1066" s="1206"/>
      <c r="M1066" s="1205">
        <f>F1066-2*$G$659+0.6</f>
        <v>3.67</v>
      </c>
      <c r="N1066" s="1205"/>
      <c r="O1066" s="1206">
        <f t="shared" ref="O1066:O1071" si="114">ROUND(PI()*((C1066*0.0254)^2)/4*7.85*2204.6,2)</f>
        <v>2.19</v>
      </c>
      <c r="P1066" s="1224">
        <f t="shared" ref="P1066:P1071" si="115">+((M1066*I1066*O1066)/100)*1.07</f>
        <v>0.17199822000000001</v>
      </c>
      <c r="Q1066" s="1881"/>
    </row>
    <row r="1067" spans="2:17" ht="45">
      <c r="B1067" s="1886"/>
      <c r="C1067" s="1305">
        <v>0.5</v>
      </c>
      <c r="D1067" s="1490" t="s">
        <v>5173</v>
      </c>
      <c r="E1067" s="1205"/>
      <c r="F1067" s="1205">
        <v>2.62</v>
      </c>
      <c r="G1067" s="1205"/>
      <c r="H1067" s="1889"/>
      <c r="I1067" s="1206">
        <v>2</v>
      </c>
      <c r="J1067" s="1206"/>
      <c r="K1067" s="1206"/>
      <c r="L1067" s="1206"/>
      <c r="M1067" s="1205">
        <f t="shared" ref="M1067:M1070" si="116">F1067-2*$G$659+0.6</f>
        <v>3.18</v>
      </c>
      <c r="N1067" s="1205"/>
      <c r="O1067" s="1206">
        <f t="shared" si="114"/>
        <v>2.19</v>
      </c>
      <c r="P1067" s="1224">
        <f t="shared" si="115"/>
        <v>0.14903388000000001</v>
      </c>
      <c r="Q1067" s="1881"/>
    </row>
    <row r="1068" spans="2:17" ht="45">
      <c r="B1068" s="1886"/>
      <c r="C1068" s="1305">
        <v>0.5</v>
      </c>
      <c r="D1068" s="1490" t="s">
        <v>5173</v>
      </c>
      <c r="E1068" s="1205"/>
      <c r="F1068" s="1205">
        <v>2.13</v>
      </c>
      <c r="G1068" s="1205"/>
      <c r="H1068" s="1889"/>
      <c r="I1068" s="1206">
        <v>2</v>
      </c>
      <c r="J1068" s="1206"/>
      <c r="K1068" s="1206"/>
      <c r="L1068" s="1206"/>
      <c r="M1068" s="1205">
        <f t="shared" si="116"/>
        <v>2.69</v>
      </c>
      <c r="N1068" s="1205"/>
      <c r="O1068" s="1206">
        <f t="shared" si="114"/>
        <v>2.19</v>
      </c>
      <c r="P1068" s="1224">
        <f t="shared" si="115"/>
        <v>0.12606954000000001</v>
      </c>
      <c r="Q1068" s="1881"/>
    </row>
    <row r="1069" spans="2:17" ht="45">
      <c r="B1069" s="1886"/>
      <c r="C1069" s="1305">
        <v>0.5</v>
      </c>
      <c r="D1069" s="1490" t="s">
        <v>5173</v>
      </c>
      <c r="E1069" s="1205"/>
      <c r="F1069" s="1205">
        <v>1.65</v>
      </c>
      <c r="G1069" s="1205"/>
      <c r="H1069" s="1889"/>
      <c r="I1069" s="1206">
        <v>2</v>
      </c>
      <c r="J1069" s="1206"/>
      <c r="K1069" s="1206"/>
      <c r="L1069" s="1206"/>
      <c r="M1069" s="1205">
        <f t="shared" si="116"/>
        <v>2.21</v>
      </c>
      <c r="N1069" s="1205"/>
      <c r="O1069" s="1206">
        <f t="shared" si="114"/>
        <v>2.19</v>
      </c>
      <c r="P1069" s="1224">
        <f t="shared" si="115"/>
        <v>0.10357386</v>
      </c>
      <c r="Q1069" s="1881"/>
    </row>
    <row r="1070" spans="2:17" ht="45">
      <c r="B1070" s="1886"/>
      <c r="C1070" s="1305">
        <v>0.5</v>
      </c>
      <c r="D1070" s="1490" t="s">
        <v>5173</v>
      </c>
      <c r="E1070" s="1205"/>
      <c r="F1070" s="1205">
        <v>1.1599999999999999</v>
      </c>
      <c r="G1070" s="1205"/>
      <c r="H1070" s="1889"/>
      <c r="I1070" s="1206">
        <v>2</v>
      </c>
      <c r="J1070" s="1206"/>
      <c r="K1070" s="1206"/>
      <c r="L1070" s="1206"/>
      <c r="M1070" s="1205">
        <f t="shared" si="116"/>
        <v>1.7199999999999998</v>
      </c>
      <c r="N1070" s="1205"/>
      <c r="O1070" s="1206">
        <f t="shared" si="114"/>
        <v>2.19</v>
      </c>
      <c r="P1070" s="1224">
        <f t="shared" si="115"/>
        <v>8.060951999999999E-2</v>
      </c>
      <c r="Q1070" s="1881"/>
    </row>
    <row r="1071" spans="2:17" ht="45">
      <c r="B1071" s="1886"/>
      <c r="C1071" s="1305">
        <v>0.5</v>
      </c>
      <c r="D1071" s="1490" t="s">
        <v>5173</v>
      </c>
      <c r="E1071" s="1205"/>
      <c r="F1071" s="1205">
        <v>3.75</v>
      </c>
      <c r="G1071" s="1205"/>
      <c r="H1071" s="1889"/>
      <c r="I1071" s="1206">
        <f>4*2</f>
        <v>8</v>
      </c>
      <c r="J1071" s="1206"/>
      <c r="K1071" s="1206"/>
      <c r="L1071" s="1206"/>
      <c r="M1071" s="1205">
        <f t="shared" ref="M1071" si="117">F1071-2*$G$659</f>
        <v>3.71</v>
      </c>
      <c r="N1071" s="1205"/>
      <c r="O1071" s="1206">
        <f t="shared" si="114"/>
        <v>2.19</v>
      </c>
      <c r="P1071" s="1224">
        <f t="shared" si="115"/>
        <v>0.69549144000000007</v>
      </c>
      <c r="Q1071" s="1881"/>
    </row>
    <row r="1072" spans="2:17" ht="15.75">
      <c r="B1072" s="1886"/>
      <c r="C1072" s="1305"/>
      <c r="D1072" s="1473"/>
      <c r="E1072" s="1205"/>
      <c r="F1072" s="1205"/>
      <c r="G1072" s="1477"/>
      <c r="H1072" s="1889"/>
      <c r="I1072" s="1479"/>
      <c r="J1072" s="1206"/>
      <c r="K1072" s="1206"/>
      <c r="L1072" s="1206"/>
      <c r="M1072" s="1205"/>
      <c r="N1072" s="1205"/>
      <c r="O1072" s="1206"/>
      <c r="P1072" s="1205"/>
      <c r="Q1072" s="1881"/>
    </row>
    <row r="1073" spans="2:17" ht="15.75">
      <c r="B1073" s="1886"/>
      <c r="C1073" s="1305"/>
      <c r="D1073" s="1473"/>
      <c r="E1073" s="1205"/>
      <c r="F1073" s="1205"/>
      <c r="G1073" s="1205"/>
      <c r="H1073" s="1889"/>
      <c r="I1073" s="1206"/>
      <c r="J1073" s="1206"/>
      <c r="K1073" s="1206"/>
      <c r="L1073" s="1206"/>
      <c r="M1073" s="1205"/>
      <c r="N1073" s="1205"/>
      <c r="O1073" s="1206"/>
      <c r="P1073" s="1477"/>
      <c r="Q1073" s="1881"/>
    </row>
    <row r="1074" spans="2:17" ht="15.75">
      <c r="B1074" s="1886"/>
      <c r="C1074" s="1305"/>
      <c r="D1074" s="1473"/>
      <c r="E1074" s="1205"/>
      <c r="F1074" s="1205"/>
      <c r="G1074" s="1205"/>
      <c r="H1074" s="1889"/>
      <c r="I1074" s="1206"/>
      <c r="J1074" s="1206"/>
      <c r="K1074" s="1206"/>
      <c r="L1074" s="1206"/>
      <c r="M1074" s="1205"/>
      <c r="N1074" s="1205"/>
      <c r="O1074" s="1206"/>
      <c r="P1074" s="1205"/>
      <c r="Q1074" s="1881"/>
    </row>
    <row r="1075" spans="2:17" ht="15.75">
      <c r="B1075" s="1886"/>
      <c r="C1075" s="1305"/>
      <c r="D1075" s="1473"/>
      <c r="E1075" s="1477"/>
      <c r="F1075" s="1205"/>
      <c r="G1075" s="1205"/>
      <c r="H1075" s="1889"/>
      <c r="I1075" s="1206"/>
      <c r="J1075" s="1206"/>
      <c r="K1075" s="1206"/>
      <c r="L1075" s="1206"/>
      <c r="M1075" s="1205"/>
      <c r="N1075" s="1205"/>
      <c r="O1075" s="1479"/>
      <c r="P1075" s="1477"/>
      <c r="Q1075" s="1881"/>
    </row>
    <row r="1076" spans="2:17" ht="15.75">
      <c r="B1076" s="1887"/>
      <c r="C1076" s="1305"/>
      <c r="D1076" s="1307"/>
      <c r="E1076" s="1205"/>
      <c r="F1076" s="1205"/>
      <c r="G1076" s="1205"/>
      <c r="H1076" s="1890"/>
      <c r="I1076" s="1206"/>
      <c r="J1076" s="1206"/>
      <c r="K1076" s="1206"/>
      <c r="L1076" s="1206"/>
      <c r="M1076" s="1205"/>
      <c r="N1076" s="1205"/>
      <c r="O1076" s="1206"/>
      <c r="P1076" s="1205"/>
      <c r="Q1076" s="1882"/>
    </row>
    <row r="1077" spans="2:17" ht="15.75">
      <c r="B1077" s="1883">
        <f>H1078</f>
        <v>0.65857500000000002</v>
      </c>
      <c r="C1077" s="1883"/>
      <c r="D1077" s="1883"/>
      <c r="E1077" s="1883"/>
      <c r="F1077" s="1883"/>
      <c r="G1077" s="1883"/>
      <c r="H1077" s="1883"/>
      <c r="I1077" s="1883"/>
      <c r="J1077" s="1883"/>
      <c r="K1077" s="1883"/>
      <c r="L1077" s="1883"/>
      <c r="M1077" s="1883"/>
      <c r="N1077" s="1883"/>
      <c r="O1077" s="1883"/>
      <c r="P1077" s="1883"/>
      <c r="Q1077" s="1883"/>
    </row>
    <row r="1078" spans="2:17">
      <c r="H1078" s="728">
        <f>4*3.75*0.15*0.15+3.6*0.15*0.15+3.11*0.15*0.15+2.62*0.15*0.15+2.13*0.15*0.15+1.65*0.15*0.15+1.16*0.15*0.15</f>
        <v>0.65857500000000002</v>
      </c>
      <c r="P1078" s="891">
        <f>SUM(P1065:P1076)</f>
        <v>1.5217390200000001</v>
      </c>
    </row>
    <row r="1079" spans="2:17">
      <c r="G1079" s="1492" t="s">
        <v>5181</v>
      </c>
      <c r="H1079" s="728">
        <f>B1077*1</f>
        <v>0.65857500000000002</v>
      </c>
      <c r="I1079" s="1492" t="s">
        <v>1806</v>
      </c>
      <c r="L1079" s="1583" t="s">
        <v>5271</v>
      </c>
      <c r="M1079" s="728">
        <f>P1071/H1078</f>
        <v>1.0560550279011502</v>
      </c>
      <c r="N1079" s="1583" t="s">
        <v>5270</v>
      </c>
      <c r="P1079" s="728">
        <f>P1078/H1078</f>
        <v>2.3106540940667348</v>
      </c>
    </row>
    <row r="1080" spans="2:17">
      <c r="L1080" s="1583" t="s">
        <v>5272</v>
      </c>
      <c r="M1080" s="728">
        <f>(P1065+P1066+P1067+P1068+P1069+P1070)/H1079</f>
        <v>1.2545990661655848</v>
      </c>
      <c r="N1080" s="1583" t="s">
        <v>5270</v>
      </c>
    </row>
    <row r="1082" spans="2:17" ht="15.75" thickBot="1">
      <c r="B1082" s="1891" t="s">
        <v>5274</v>
      </c>
      <c r="C1082" s="1891"/>
      <c r="D1082" s="1891"/>
      <c r="E1082" s="1891"/>
      <c r="F1082" s="1891"/>
      <c r="G1082" s="1891"/>
      <c r="H1082" s="1891"/>
      <c r="I1082" s="1891"/>
      <c r="J1082" s="1891"/>
      <c r="K1082" s="1891"/>
      <c r="L1082" s="1891"/>
      <c r="M1082" s="1891"/>
      <c r="N1082" s="1891"/>
      <c r="O1082" s="1891"/>
      <c r="P1082" s="1891"/>
      <c r="Q1082" s="1199" t="s">
        <v>4848</v>
      </c>
    </row>
    <row r="1083" spans="2:17" ht="39" thickBot="1">
      <c r="B1083" s="1304" t="s">
        <v>4849</v>
      </c>
      <c r="C1083" s="1200" t="s">
        <v>4850</v>
      </c>
      <c r="D1083" s="1201" t="s">
        <v>4851</v>
      </c>
      <c r="E1083" s="1201" t="s">
        <v>4852</v>
      </c>
      <c r="F1083" s="1201" t="s">
        <v>4853</v>
      </c>
      <c r="G1083" s="1202" t="s">
        <v>4854</v>
      </c>
      <c r="H1083" s="1201" t="s">
        <v>4855</v>
      </c>
      <c r="I1083" s="1202" t="s">
        <v>4856</v>
      </c>
      <c r="J1083" s="1202" t="s">
        <v>4857</v>
      </c>
      <c r="K1083" s="1202" t="s">
        <v>4085</v>
      </c>
      <c r="L1083" s="1202" t="s">
        <v>4858</v>
      </c>
      <c r="M1083" s="1202" t="s">
        <v>5174</v>
      </c>
      <c r="N1083" s="1202"/>
      <c r="O1083" s="1202" t="s">
        <v>4860</v>
      </c>
      <c r="P1083" s="1201" t="s">
        <v>4</v>
      </c>
      <c r="Q1083" s="1203" t="s">
        <v>4861</v>
      </c>
    </row>
    <row r="1084" spans="2:17" ht="15.75">
      <c r="B1084" s="1885"/>
      <c r="C1084" s="1305"/>
      <c r="D1084" s="1490"/>
      <c r="E1084" s="1205"/>
      <c r="F1084" s="1205"/>
      <c r="G1084" s="1205"/>
      <c r="H1084" s="1888"/>
      <c r="I1084" s="1206"/>
      <c r="J1084" s="1206"/>
      <c r="K1084" s="1206"/>
      <c r="L1084" s="1206"/>
      <c r="M1084" s="1205"/>
      <c r="N1084" s="1205"/>
      <c r="O1084" s="1206"/>
      <c r="P1084" s="1224"/>
      <c r="Q1084" s="1880">
        <f>SUM(P1084:P1095)/B1096</f>
        <v>5.3038420073439392</v>
      </c>
    </row>
    <row r="1085" spans="2:17" ht="15.75">
      <c r="B1085" s="1886"/>
      <c r="C1085" s="1305"/>
      <c r="D1085" s="1490"/>
      <c r="E1085" s="1205"/>
      <c r="F1085" s="1205"/>
      <c r="G1085" s="1205"/>
      <c r="H1085" s="1889"/>
      <c r="I1085" s="1206"/>
      <c r="J1085" s="1206"/>
      <c r="K1085" s="1206"/>
      <c r="L1085" s="1206"/>
      <c r="M1085" s="1205"/>
      <c r="N1085" s="1205"/>
      <c r="O1085" s="1206"/>
      <c r="P1085" s="1224"/>
      <c r="Q1085" s="1881"/>
    </row>
    <row r="1086" spans="2:17" ht="15.75">
      <c r="B1086" s="1886"/>
      <c r="C1086" s="1305"/>
      <c r="D1086" s="1490"/>
      <c r="E1086" s="1205"/>
      <c r="F1086" s="1205"/>
      <c r="G1086" s="1205"/>
      <c r="H1086" s="1889"/>
      <c r="I1086" s="1206"/>
      <c r="J1086" s="1206"/>
      <c r="K1086" s="1206"/>
      <c r="L1086" s="1206"/>
      <c r="M1086" s="1205"/>
      <c r="N1086" s="1205"/>
      <c r="O1086" s="1206"/>
      <c r="P1086" s="1224"/>
      <c r="Q1086" s="1881"/>
    </row>
    <row r="1087" spans="2:17" ht="15.75">
      <c r="B1087" s="1886"/>
      <c r="C1087" s="1305"/>
      <c r="D1087" s="1490"/>
      <c r="E1087" s="1205"/>
      <c r="F1087" s="1205"/>
      <c r="G1087" s="1205"/>
      <c r="H1087" s="1889"/>
      <c r="I1087" s="1206"/>
      <c r="J1087" s="1206"/>
      <c r="K1087" s="1206"/>
      <c r="L1087" s="1206"/>
      <c r="M1087" s="1205"/>
      <c r="N1087" s="1205"/>
      <c r="O1087" s="1206"/>
      <c r="P1087" s="1224"/>
      <c r="Q1087" s="1881"/>
    </row>
    <row r="1088" spans="2:17" ht="15.75">
      <c r="B1088" s="1886"/>
      <c r="C1088" s="1305"/>
      <c r="D1088" s="1490"/>
      <c r="E1088" s="1205"/>
      <c r="F1088" s="1205"/>
      <c r="G1088" s="1205"/>
      <c r="H1088" s="1889"/>
      <c r="I1088" s="1206"/>
      <c r="J1088" s="1206"/>
      <c r="K1088" s="1206"/>
      <c r="L1088" s="1206"/>
      <c r="M1088" s="1205"/>
      <c r="N1088" s="1205"/>
      <c r="O1088" s="1206"/>
      <c r="P1088" s="1224"/>
      <c r="Q1088" s="1881"/>
    </row>
    <row r="1089" spans="2:17" ht="15.75">
      <c r="B1089" s="1886"/>
      <c r="C1089" s="1305"/>
      <c r="D1089" s="1490"/>
      <c r="E1089" s="1205"/>
      <c r="F1089" s="1205"/>
      <c r="G1089" s="1205"/>
      <c r="H1089" s="1889"/>
      <c r="I1089" s="1206"/>
      <c r="J1089" s="1206"/>
      <c r="K1089" s="1206"/>
      <c r="L1089" s="1206"/>
      <c r="M1089" s="1205"/>
      <c r="N1089" s="1205"/>
      <c r="O1089" s="1206"/>
      <c r="P1089" s="1224"/>
      <c r="Q1089" s="1881"/>
    </row>
    <row r="1090" spans="2:17" ht="15.75">
      <c r="B1090" s="1886"/>
      <c r="C1090" s="1305"/>
      <c r="D1090" s="1490"/>
      <c r="E1090" s="1205"/>
      <c r="F1090" s="1205"/>
      <c r="G1090" s="1205"/>
      <c r="H1090" s="1889"/>
      <c r="I1090" s="1206"/>
      <c r="J1090" s="1206"/>
      <c r="K1090" s="1206"/>
      <c r="L1090" s="1206"/>
      <c r="M1090" s="1205"/>
      <c r="N1090" s="1205"/>
      <c r="O1090" s="1206"/>
      <c r="P1090" s="1224"/>
      <c r="Q1090" s="1881"/>
    </row>
    <row r="1091" spans="2:17" ht="15.75">
      <c r="B1091" s="1886"/>
      <c r="C1091" s="1305"/>
      <c r="D1091" s="1473"/>
      <c r="E1091" s="1205"/>
      <c r="F1091" s="1205"/>
      <c r="G1091" s="1477"/>
      <c r="H1091" s="1889"/>
      <c r="I1091" s="1479"/>
      <c r="J1091" s="1206"/>
      <c r="K1091" s="1206"/>
      <c r="L1091" s="1206"/>
      <c r="M1091" s="1205"/>
      <c r="N1091" s="1205"/>
      <c r="O1091" s="1206"/>
      <c r="P1091" s="1205"/>
      <c r="Q1091" s="1881"/>
    </row>
    <row r="1092" spans="2:17" ht="39">
      <c r="B1092" s="1886"/>
      <c r="C1092" s="1305">
        <v>0.5</v>
      </c>
      <c r="D1092" s="1473" t="s">
        <v>5167</v>
      </c>
      <c r="E1092" s="1205">
        <v>0.15</v>
      </c>
      <c r="F1092" s="1205">
        <v>7.88</v>
      </c>
      <c r="G1092" s="1205">
        <v>2.8</v>
      </c>
      <c r="H1092" s="1889"/>
      <c r="I1092" s="1206">
        <f>(ROUND(((G1092))/E1092,0))+1</f>
        <v>20</v>
      </c>
      <c r="J1092" s="1206"/>
      <c r="K1092" s="1206"/>
      <c r="L1092" s="1206"/>
      <c r="M1092" s="1205">
        <f>F1092-0.02*2+0.635</f>
        <v>8.4749999999999996</v>
      </c>
      <c r="N1092" s="1205"/>
      <c r="O1092" s="1206">
        <f t="shared" ref="O1092:O1093" si="118">ROUND(PI()*((C1092*0.0254)^2)/4*7.85*2204.6,2)</f>
        <v>2.19</v>
      </c>
      <c r="P1092" s="1477">
        <f>+((M1092*I1092*O1092)/100)*1.07</f>
        <v>3.9718934999999997</v>
      </c>
      <c r="Q1092" s="1881"/>
    </row>
    <row r="1093" spans="2:17" ht="39">
      <c r="B1093" s="1886"/>
      <c r="C1093" s="1305">
        <v>0.5</v>
      </c>
      <c r="D1093" s="1473" t="s">
        <v>5167</v>
      </c>
      <c r="E1093" s="1205">
        <v>0.15</v>
      </c>
      <c r="F1093" s="1205">
        <v>6.2649999999999997</v>
      </c>
      <c r="G1093" s="1205">
        <v>4.04</v>
      </c>
      <c r="H1093" s="1889"/>
      <c r="I1093" s="1206">
        <f>(ROUND(((G1093))/E1093,0))+1</f>
        <v>28</v>
      </c>
      <c r="J1093" s="1206"/>
      <c r="K1093" s="1206"/>
      <c r="L1093" s="1206"/>
      <c r="M1093" s="1205">
        <f>F1093-0.02*2+0.635</f>
        <v>6.8599999999999994</v>
      </c>
      <c r="N1093" s="1205"/>
      <c r="O1093" s="1206">
        <f t="shared" si="118"/>
        <v>2.19</v>
      </c>
      <c r="P1093" s="1205">
        <f t="shared" ref="P1093" si="119">(((((I1093*M1093)*1.23/100)+((L1093*1.23*N1093)/100))*1.07))</f>
        <v>2.5279648799999999</v>
      </c>
      <c r="Q1093" s="1881"/>
    </row>
    <row r="1094" spans="2:17" ht="15.75">
      <c r="B1094" s="1886"/>
      <c r="C1094" s="1305"/>
      <c r="D1094" s="1473"/>
      <c r="E1094" s="1477"/>
      <c r="F1094" s="1205"/>
      <c r="G1094" s="1205"/>
      <c r="H1094" s="1889"/>
      <c r="I1094" s="1206"/>
      <c r="J1094" s="1206"/>
      <c r="K1094" s="1206"/>
      <c r="L1094" s="1206"/>
      <c r="M1094" s="1205"/>
      <c r="N1094" s="1205"/>
      <c r="O1094" s="1479"/>
      <c r="P1094" s="1477"/>
      <c r="Q1094" s="1881"/>
    </row>
    <row r="1095" spans="2:17" ht="15.75">
      <c r="B1095" s="1887"/>
      <c r="C1095" s="1305"/>
      <c r="D1095" s="1307"/>
      <c r="E1095" s="1205"/>
      <c r="F1095" s="1205"/>
      <c r="G1095" s="1205"/>
      <c r="H1095" s="1890"/>
      <c r="I1095" s="1206"/>
      <c r="J1095" s="1206"/>
      <c r="K1095" s="1206"/>
      <c r="L1095" s="1206"/>
      <c r="M1095" s="1205"/>
      <c r="N1095" s="1205"/>
      <c r="O1095" s="1206"/>
      <c r="P1095" s="1205"/>
      <c r="Q1095" s="1882"/>
    </row>
    <row r="1096" spans="2:17" ht="15.75">
      <c r="B1096" s="1883">
        <f>H1097</f>
        <v>1.2255000000000003</v>
      </c>
      <c r="C1096" s="1883"/>
      <c r="D1096" s="1883"/>
      <c r="E1096" s="1883"/>
      <c r="F1096" s="1883"/>
      <c r="G1096" s="1883"/>
      <c r="H1096" s="1883"/>
      <c r="I1096" s="1883"/>
      <c r="J1096" s="1883"/>
      <c r="K1096" s="1883"/>
      <c r="L1096" s="1883"/>
      <c r="M1096" s="1883"/>
      <c r="N1096" s="1883"/>
      <c r="O1096" s="1883"/>
      <c r="P1096" s="1883"/>
      <c r="Q1096" s="1883"/>
    </row>
    <row r="1097" spans="2:17">
      <c r="H1097" s="728">
        <f>24.51*0.05</f>
        <v>1.2255000000000003</v>
      </c>
      <c r="P1097" s="891">
        <f>SUM(P1084:P1095)</f>
        <v>6.4998583799999992</v>
      </c>
    </row>
    <row r="1098" spans="2:17">
      <c r="G1098" s="1492" t="s">
        <v>5181</v>
      </c>
      <c r="H1098" s="728">
        <f>B1096*1</f>
        <v>1.2255000000000003</v>
      </c>
      <c r="I1098" s="1492" t="s">
        <v>1806</v>
      </c>
      <c r="P1098" s="728">
        <f>P1097/H1097</f>
        <v>5.3038420073439392</v>
      </c>
      <c r="Q1098" s="783"/>
    </row>
    <row r="1099" spans="2:17">
      <c r="K1099" s="1583"/>
      <c r="M1099" s="1583"/>
    </row>
    <row r="1100" spans="2:17">
      <c r="K1100" s="1583"/>
      <c r="M1100" s="1583"/>
    </row>
    <row r="1103" spans="2:17" ht="15.75" thickBot="1">
      <c r="C1103" s="1583" t="s">
        <v>5275</v>
      </c>
    </row>
    <row r="1104" spans="2:17">
      <c r="C1104" s="1573"/>
      <c r="D1104" s="1574"/>
      <c r="E1104" s="1574"/>
      <c r="F1104" s="1574"/>
      <c r="G1104" s="1574"/>
      <c r="H1104" s="1574"/>
      <c r="I1104" s="1574"/>
      <c r="J1104" s="1574"/>
      <c r="K1104" s="1574"/>
      <c r="L1104" s="1574"/>
      <c r="M1104" s="1574"/>
      <c r="N1104" s="1574"/>
      <c r="O1104" s="1574"/>
      <c r="P1104" s="1575"/>
    </row>
    <row r="1105" spans="2:17" ht="27" thickBot="1">
      <c r="C1105" s="1576">
        <v>0</v>
      </c>
      <c r="D1105" s="1577" t="s">
        <v>5172</v>
      </c>
      <c r="E1105" s="1578">
        <v>0.1</v>
      </c>
      <c r="F1105" s="1579"/>
      <c r="G1105" s="1579"/>
      <c r="H1105" s="1584"/>
      <c r="I1105" s="1580"/>
      <c r="J1105" s="1580"/>
      <c r="K1105" s="1580">
        <v>24</v>
      </c>
      <c r="L1105" s="1580"/>
      <c r="M1105" s="1579"/>
      <c r="N1105" s="1579"/>
      <c r="O1105" s="1581">
        <f>ROUND(PI()*((C1105*0.0254)^2)/4*7.85*2204.6,2)*0+ROUND((5.4*100/(2.5*40)),2)</f>
        <v>5.4</v>
      </c>
      <c r="P1105" s="1582">
        <f>(K1105*O1105)/100</f>
        <v>1.2960000000000003</v>
      </c>
    </row>
    <row r="1113" spans="2:17" ht="15.75" thickBot="1">
      <c r="B1113" s="1884" t="s">
        <v>5276</v>
      </c>
      <c r="C1113" s="1884"/>
      <c r="D1113" s="1884"/>
      <c r="E1113" s="1884"/>
      <c r="F1113" s="1884"/>
      <c r="G1113" s="1884"/>
      <c r="H1113" s="1884"/>
      <c r="I1113" s="1884"/>
      <c r="J1113" s="1884"/>
      <c r="K1113" s="1884"/>
      <c r="L1113" s="1884"/>
      <c r="M1113" s="1884"/>
      <c r="N1113" s="1884"/>
      <c r="O1113" s="1884"/>
      <c r="P1113" s="1884"/>
      <c r="Q1113" s="1199" t="s">
        <v>4848</v>
      </c>
    </row>
    <row r="1114" spans="2:17" ht="39" thickBot="1">
      <c r="B1114" s="1304" t="s">
        <v>4849</v>
      </c>
      <c r="C1114" s="1200" t="s">
        <v>4850</v>
      </c>
      <c r="D1114" s="1201" t="s">
        <v>4851</v>
      </c>
      <c r="E1114" s="1201" t="s">
        <v>4852</v>
      </c>
      <c r="F1114" s="1201" t="s">
        <v>4853</v>
      </c>
      <c r="G1114" s="1202" t="s">
        <v>4854</v>
      </c>
      <c r="H1114" s="1201" t="s">
        <v>4855</v>
      </c>
      <c r="I1114" s="1202" t="s">
        <v>4856</v>
      </c>
      <c r="J1114" s="1202" t="s">
        <v>4857</v>
      </c>
      <c r="K1114" s="1202" t="s">
        <v>4085</v>
      </c>
      <c r="L1114" s="1202" t="s">
        <v>4858</v>
      </c>
      <c r="M1114" s="1202" t="s">
        <v>5174</v>
      </c>
      <c r="N1114" s="1202"/>
      <c r="O1114" s="1202" t="s">
        <v>4860</v>
      </c>
      <c r="P1114" s="1201" t="s">
        <v>4</v>
      </c>
      <c r="Q1114" s="1203" t="s">
        <v>4861</v>
      </c>
    </row>
    <row r="1115" spans="2:17" ht="45">
      <c r="B1115" s="1885"/>
      <c r="C1115" s="1305">
        <v>0.5</v>
      </c>
      <c r="D1115" s="1490" t="s">
        <v>5173</v>
      </c>
      <c r="E1115" s="1205"/>
      <c r="F1115" s="1205">
        <v>1.28</v>
      </c>
      <c r="G1115" s="1205"/>
      <c r="H1115" s="1888"/>
      <c r="I1115" s="1206">
        <v>2</v>
      </c>
      <c r="J1115" s="1206"/>
      <c r="K1115" s="1206"/>
      <c r="L1115" s="1206"/>
      <c r="M1115" s="1205">
        <f>F1115-2*$G$659+0.6</f>
        <v>1.8399999999999999</v>
      </c>
      <c r="N1115" s="1205"/>
      <c r="O1115" s="1206">
        <f>ROUND(PI()*((C1115*0.0254)^2)/4*7.85*2204.6,2)</f>
        <v>2.19</v>
      </c>
      <c r="P1115" s="1224">
        <f>+((M1115*I1115*O1115)/100)*1.07</f>
        <v>8.6233439999999981E-2</v>
      </c>
      <c r="Q1115" s="1880">
        <f>SUM(P1115:P1129)/B1130</f>
        <v>3.3100992420992426</v>
      </c>
    </row>
    <row r="1116" spans="2:17" ht="45">
      <c r="B1116" s="1886"/>
      <c r="C1116" s="1305">
        <v>0.5</v>
      </c>
      <c r="D1116" s="1490" t="s">
        <v>5173</v>
      </c>
      <c r="E1116" s="1205"/>
      <c r="F1116" s="1205">
        <v>1.93</v>
      </c>
      <c r="G1116" s="1205"/>
      <c r="H1116" s="1889"/>
      <c r="I1116" s="1206">
        <v>2</v>
      </c>
      <c r="J1116" s="1206"/>
      <c r="K1116" s="1206"/>
      <c r="L1116" s="1206"/>
      <c r="M1116" s="1205">
        <f t="shared" ref="M1116:M1124" si="120">F1116-2*$G$659+0.6</f>
        <v>2.4899999999999998</v>
      </c>
      <c r="N1116" s="1205"/>
      <c r="O1116" s="1206">
        <f t="shared" ref="O1116:O1125" si="121">ROUND(PI()*((C1116*0.0254)^2)/4*7.85*2204.6,2)</f>
        <v>2.19</v>
      </c>
      <c r="P1116" s="1224">
        <f t="shared" ref="P1116:P1120" si="122">+((M1116*I1116*O1116)/100)*1.07</f>
        <v>0.11669633999999998</v>
      </c>
      <c r="Q1116" s="1881"/>
    </row>
    <row r="1117" spans="2:17" ht="45">
      <c r="B1117" s="1886"/>
      <c r="C1117" s="1305">
        <v>0.5</v>
      </c>
      <c r="D1117" s="1490" t="s">
        <v>5173</v>
      </c>
      <c r="E1117" s="1205"/>
      <c r="F1117" s="1205">
        <v>2.56</v>
      </c>
      <c r="G1117" s="1205"/>
      <c r="H1117" s="1889"/>
      <c r="I1117" s="1206">
        <v>2</v>
      </c>
      <c r="J1117" s="1206"/>
      <c r="K1117" s="1206"/>
      <c r="L1117" s="1206"/>
      <c r="M1117" s="1205">
        <f t="shared" si="120"/>
        <v>3.12</v>
      </c>
      <c r="N1117" s="1205"/>
      <c r="O1117" s="1206">
        <f t="shared" si="121"/>
        <v>2.19</v>
      </c>
      <c r="P1117" s="1224">
        <f t="shared" si="122"/>
        <v>0.14622192000000001</v>
      </c>
      <c r="Q1117" s="1881"/>
    </row>
    <row r="1118" spans="2:17" ht="45">
      <c r="B1118" s="1886"/>
      <c r="C1118" s="1305">
        <v>0.5</v>
      </c>
      <c r="D1118" s="1490" t="s">
        <v>5173</v>
      </c>
      <c r="E1118" s="1205"/>
      <c r="F1118" s="1205">
        <v>3.24</v>
      </c>
      <c r="G1118" s="1205"/>
      <c r="H1118" s="1889"/>
      <c r="I1118" s="1206">
        <v>2</v>
      </c>
      <c r="J1118" s="1206"/>
      <c r="K1118" s="1206"/>
      <c r="L1118" s="1206"/>
      <c r="M1118" s="1205">
        <f t="shared" si="120"/>
        <v>3.8000000000000003</v>
      </c>
      <c r="N1118" s="1205"/>
      <c r="O1118" s="1206">
        <f t="shared" si="121"/>
        <v>2.19</v>
      </c>
      <c r="P1118" s="1224">
        <f t="shared" si="122"/>
        <v>0.17809080000000005</v>
      </c>
      <c r="Q1118" s="1881"/>
    </row>
    <row r="1119" spans="2:17" ht="45">
      <c r="B1119" s="1886"/>
      <c r="C1119" s="1305">
        <v>0.5</v>
      </c>
      <c r="D1119" s="1490" t="s">
        <v>5173</v>
      </c>
      <c r="E1119" s="1205"/>
      <c r="F1119" s="1205">
        <v>3.58</v>
      </c>
      <c r="G1119" s="1205"/>
      <c r="H1119" s="1889"/>
      <c r="I1119" s="1206">
        <v>2</v>
      </c>
      <c r="J1119" s="1206"/>
      <c r="K1119" s="1206"/>
      <c r="L1119" s="1206"/>
      <c r="M1119" s="1205">
        <f t="shared" si="120"/>
        <v>4.1399999999999997</v>
      </c>
      <c r="N1119" s="1205"/>
      <c r="O1119" s="1206">
        <f t="shared" si="121"/>
        <v>2.19</v>
      </c>
      <c r="P1119" s="1224">
        <f t="shared" si="122"/>
        <v>0.19402524000000002</v>
      </c>
      <c r="Q1119" s="1881"/>
    </row>
    <row r="1120" spans="2:17" ht="45">
      <c r="B1120" s="1886"/>
      <c r="C1120" s="1305">
        <v>0.5</v>
      </c>
      <c r="D1120" s="1490" t="s">
        <v>5173</v>
      </c>
      <c r="E1120" s="1205"/>
      <c r="F1120" s="1205">
        <v>3.11</v>
      </c>
      <c r="G1120" s="1205"/>
      <c r="H1120" s="1889"/>
      <c r="I1120" s="1206">
        <v>2</v>
      </c>
      <c r="J1120" s="1206"/>
      <c r="K1120" s="1206"/>
      <c r="L1120" s="1206"/>
      <c r="M1120" s="1205">
        <f t="shared" si="120"/>
        <v>3.67</v>
      </c>
      <c r="N1120" s="1205"/>
      <c r="O1120" s="1206">
        <f t="shared" si="121"/>
        <v>2.19</v>
      </c>
      <c r="P1120" s="1224">
        <f t="shared" si="122"/>
        <v>0.17199822000000001</v>
      </c>
      <c r="Q1120" s="1881"/>
    </row>
    <row r="1121" spans="2:17" ht="45">
      <c r="B1121" s="1886"/>
      <c r="C1121" s="1305">
        <v>0.5</v>
      </c>
      <c r="D1121" s="1490" t="s">
        <v>5173</v>
      </c>
      <c r="E1121" s="1205"/>
      <c r="F1121" s="1205">
        <v>2.62</v>
      </c>
      <c r="G1121" s="1205"/>
      <c r="H1121" s="1889"/>
      <c r="I1121" s="1206">
        <v>2</v>
      </c>
      <c r="J1121" s="1206"/>
      <c r="K1121" s="1206"/>
      <c r="L1121" s="1206"/>
      <c r="M1121" s="1205">
        <f t="shared" si="120"/>
        <v>3.18</v>
      </c>
      <c r="N1121" s="1205"/>
      <c r="O1121" s="1206">
        <f t="shared" ref="O1121:O1124" si="123">ROUND(PI()*((C1121*0.0254)^2)/4*7.85*2204.6,2)</f>
        <v>2.19</v>
      </c>
      <c r="P1121" s="1224">
        <f t="shared" ref="P1121:P1124" si="124">+((M1121*I1121*O1121)/100)*1.07</f>
        <v>0.14903388000000001</v>
      </c>
      <c r="Q1121" s="1881"/>
    </row>
    <row r="1122" spans="2:17" ht="45">
      <c r="B1122" s="1886"/>
      <c r="C1122" s="1305">
        <v>0.5</v>
      </c>
      <c r="D1122" s="1490" t="s">
        <v>5173</v>
      </c>
      <c r="E1122" s="1205"/>
      <c r="F1122" s="1205">
        <v>2.13</v>
      </c>
      <c r="G1122" s="1205"/>
      <c r="H1122" s="1889"/>
      <c r="I1122" s="1206">
        <v>2</v>
      </c>
      <c r="J1122" s="1206"/>
      <c r="K1122" s="1206"/>
      <c r="L1122" s="1206"/>
      <c r="M1122" s="1205">
        <f t="shared" si="120"/>
        <v>2.69</v>
      </c>
      <c r="N1122" s="1205"/>
      <c r="O1122" s="1206">
        <f t="shared" si="123"/>
        <v>2.19</v>
      </c>
      <c r="P1122" s="1224">
        <f t="shared" si="124"/>
        <v>0.12606954000000001</v>
      </c>
      <c r="Q1122" s="1881"/>
    </row>
    <row r="1123" spans="2:17" ht="45">
      <c r="B1123" s="1886"/>
      <c r="C1123" s="1305">
        <v>0.5</v>
      </c>
      <c r="D1123" s="1490" t="s">
        <v>5173</v>
      </c>
      <c r="E1123" s="1205"/>
      <c r="F1123" s="1205">
        <v>1.65</v>
      </c>
      <c r="G1123" s="1205"/>
      <c r="H1123" s="1889"/>
      <c r="I1123" s="1206">
        <v>2</v>
      </c>
      <c r="J1123" s="1206"/>
      <c r="K1123" s="1206"/>
      <c r="L1123" s="1206"/>
      <c r="M1123" s="1205">
        <f t="shared" si="120"/>
        <v>2.21</v>
      </c>
      <c r="N1123" s="1205"/>
      <c r="O1123" s="1206">
        <f t="shared" si="123"/>
        <v>2.19</v>
      </c>
      <c r="P1123" s="1224">
        <f t="shared" si="124"/>
        <v>0.10357386</v>
      </c>
      <c r="Q1123" s="1881"/>
    </row>
    <row r="1124" spans="2:17" ht="45">
      <c r="B1124" s="1886"/>
      <c r="C1124" s="1305">
        <v>0.5</v>
      </c>
      <c r="D1124" s="1490" t="s">
        <v>5173</v>
      </c>
      <c r="E1124" s="1205"/>
      <c r="F1124" s="1205">
        <v>1.1599999999999999</v>
      </c>
      <c r="G1124" s="1205"/>
      <c r="H1124" s="1889"/>
      <c r="I1124" s="1206">
        <v>2</v>
      </c>
      <c r="J1124" s="1206"/>
      <c r="K1124" s="1206"/>
      <c r="L1124" s="1206"/>
      <c r="M1124" s="1205">
        <f t="shared" si="120"/>
        <v>1.7199999999999998</v>
      </c>
      <c r="N1124" s="1205"/>
      <c r="O1124" s="1206">
        <f t="shared" si="123"/>
        <v>2.19</v>
      </c>
      <c r="P1124" s="1224">
        <f t="shared" si="124"/>
        <v>8.060951999999999E-2</v>
      </c>
      <c r="Q1124" s="1881"/>
    </row>
    <row r="1125" spans="2:17" ht="26.25">
      <c r="B1125" s="1886"/>
      <c r="C1125" s="1305">
        <v>0.375</v>
      </c>
      <c r="D1125" s="1473" t="s">
        <v>5163</v>
      </c>
      <c r="E1125" s="1205">
        <v>0.5</v>
      </c>
      <c r="F1125" s="1205">
        <f>0.15+0.15+0.15+0.05+0.1*2</f>
        <v>0.7</v>
      </c>
      <c r="G1125" s="1477">
        <v>23.31</v>
      </c>
      <c r="H1125" s="1889"/>
      <c r="I1125" s="1479">
        <f>(ROUND((G1125)/0.5,0))</f>
        <v>47</v>
      </c>
      <c r="J1125" s="1206"/>
      <c r="K1125" s="1206"/>
      <c r="L1125" s="1206"/>
      <c r="M1125" s="1205">
        <f>F1125-0.02*2-0.02*2</f>
        <v>0.61999999999999988</v>
      </c>
      <c r="N1125" s="1205"/>
      <c r="O1125" s="1206">
        <f t="shared" si="121"/>
        <v>1.23</v>
      </c>
      <c r="P1125" s="1205">
        <f>((I1125*M1125*O1125)/100)*1.07</f>
        <v>0.38351153999999993</v>
      </c>
      <c r="Q1125" s="1881"/>
    </row>
    <row r="1126" spans="2:17" ht="15.75">
      <c r="B1126" s="1886"/>
      <c r="C1126" s="1305"/>
      <c r="D1126" s="1473"/>
      <c r="E1126" s="1205"/>
      <c r="F1126" s="1205"/>
      <c r="G1126" s="1205"/>
      <c r="H1126" s="1889"/>
      <c r="I1126" s="1206"/>
      <c r="J1126" s="1206"/>
      <c r="K1126" s="1206"/>
      <c r="L1126" s="1206"/>
      <c r="M1126" s="1205"/>
      <c r="N1126" s="1205"/>
      <c r="O1126" s="1206"/>
      <c r="P1126" s="1477"/>
      <c r="Q1126" s="1881"/>
    </row>
    <row r="1127" spans="2:17" ht="15.75">
      <c r="B1127" s="1886"/>
      <c r="C1127" s="1305"/>
      <c r="D1127" s="1473"/>
      <c r="E1127" s="1205"/>
      <c r="F1127" s="1205"/>
      <c r="G1127" s="1205"/>
      <c r="H1127" s="1889"/>
      <c r="I1127" s="1206"/>
      <c r="J1127" s="1206"/>
      <c r="K1127" s="1206"/>
      <c r="L1127" s="1206"/>
      <c r="M1127" s="1205"/>
      <c r="N1127" s="1205"/>
      <c r="O1127" s="1206"/>
      <c r="P1127" s="1205"/>
      <c r="Q1127" s="1881"/>
    </row>
    <row r="1128" spans="2:17" ht="15.75">
      <c r="B1128" s="1886"/>
      <c r="C1128" s="1305"/>
      <c r="D1128" s="1473"/>
      <c r="E1128" s="1477"/>
      <c r="F1128" s="1205"/>
      <c r="G1128" s="1205"/>
      <c r="H1128" s="1889"/>
      <c r="I1128" s="1206"/>
      <c r="J1128" s="1206"/>
      <c r="K1128" s="1206"/>
      <c r="L1128" s="1206"/>
      <c r="M1128" s="1205"/>
      <c r="N1128" s="1205"/>
      <c r="O1128" s="1479"/>
      <c r="P1128" s="1477"/>
      <c r="Q1128" s="1881"/>
    </row>
    <row r="1129" spans="2:17" ht="15.75">
      <c r="B1129" s="1887"/>
      <c r="C1129" s="1305"/>
      <c r="D1129" s="1307"/>
      <c r="E1129" s="1205"/>
      <c r="F1129" s="1205"/>
      <c r="G1129" s="1205"/>
      <c r="H1129" s="1890"/>
      <c r="I1129" s="1206"/>
      <c r="J1129" s="1206"/>
      <c r="K1129" s="1206"/>
      <c r="L1129" s="1206"/>
      <c r="M1129" s="1205"/>
      <c r="N1129" s="1205"/>
      <c r="O1129" s="1206"/>
      <c r="P1129" s="1205"/>
      <c r="Q1129" s="1882"/>
    </row>
    <row r="1130" spans="2:17" ht="15.75">
      <c r="B1130" s="1883">
        <f>H1131</f>
        <v>0.52447499999999991</v>
      </c>
      <c r="C1130" s="1883"/>
      <c r="D1130" s="1883"/>
      <c r="E1130" s="1883"/>
      <c r="F1130" s="1883"/>
      <c r="G1130" s="1883"/>
      <c r="H1130" s="1883"/>
      <c r="I1130" s="1883"/>
      <c r="J1130" s="1883"/>
      <c r="K1130" s="1883"/>
      <c r="L1130" s="1883"/>
      <c r="M1130" s="1883"/>
      <c r="N1130" s="1883"/>
      <c r="O1130" s="1883"/>
      <c r="P1130" s="1883"/>
      <c r="Q1130" s="1883"/>
    </row>
    <row r="1131" spans="2:17">
      <c r="H1131" s="728">
        <f>23.31*0.15*0.15</f>
        <v>0.52447499999999991</v>
      </c>
      <c r="P1131" s="891">
        <f>SUM(P1115:P1129)</f>
        <v>1.7360643</v>
      </c>
    </row>
    <row r="1132" spans="2:17">
      <c r="G1132" s="1492" t="s">
        <v>5181</v>
      </c>
      <c r="H1132" s="728">
        <f>B1130*1</f>
        <v>0.52447499999999991</v>
      </c>
      <c r="I1132" s="1492" t="s">
        <v>1806</v>
      </c>
      <c r="P1132" s="728">
        <f>P1131/H1131</f>
        <v>3.3100992420992426</v>
      </c>
    </row>
    <row r="1133" spans="2:17">
      <c r="L1133" s="1583" t="s">
        <v>5271</v>
      </c>
      <c r="M1133" s="728">
        <f>P1125/H1132</f>
        <v>0.7312294008294008</v>
      </c>
      <c r="N1133" s="1583" t="s">
        <v>5270</v>
      </c>
    </row>
    <row r="1134" spans="2:17">
      <c r="L1134" s="1583" t="s">
        <v>5272</v>
      </c>
      <c r="M1134" s="728">
        <f>(P1115+P1116+P1117+P1118+P1119+P1120+P1121+P1122+P1123+P1124)/H1132</f>
        <v>2.5788698412698419</v>
      </c>
      <c r="N1134" s="1583" t="s">
        <v>5270</v>
      </c>
    </row>
    <row r="1136" spans="2:17" ht="15.75" thickBot="1">
      <c r="B1136" s="1884" t="s">
        <v>5277</v>
      </c>
      <c r="C1136" s="1884"/>
      <c r="D1136" s="1884"/>
      <c r="E1136" s="1884"/>
      <c r="F1136" s="1884"/>
      <c r="G1136" s="1884"/>
      <c r="H1136" s="1884"/>
      <c r="I1136" s="1884"/>
      <c r="J1136" s="1884"/>
      <c r="K1136" s="1884"/>
      <c r="L1136" s="1884"/>
      <c r="M1136" s="1884"/>
      <c r="N1136" s="1884"/>
      <c r="O1136" s="1884"/>
      <c r="P1136" s="1884"/>
      <c r="Q1136" s="1199" t="s">
        <v>4848</v>
      </c>
    </row>
    <row r="1137" spans="2:17" ht="39" thickBot="1">
      <c r="B1137" s="1304" t="s">
        <v>4849</v>
      </c>
      <c r="C1137" s="1200" t="s">
        <v>4850</v>
      </c>
      <c r="D1137" s="1201" t="s">
        <v>4851</v>
      </c>
      <c r="E1137" s="1201" t="s">
        <v>4852</v>
      </c>
      <c r="F1137" s="1201" t="s">
        <v>4853</v>
      </c>
      <c r="G1137" s="1202" t="s">
        <v>4854</v>
      </c>
      <c r="H1137" s="1201" t="s">
        <v>4855</v>
      </c>
      <c r="I1137" s="1202" t="s">
        <v>4856</v>
      </c>
      <c r="J1137" s="1202" t="s">
        <v>4857</v>
      </c>
      <c r="K1137" s="1202" t="s">
        <v>4085</v>
      </c>
      <c r="L1137" s="1202" t="s">
        <v>4858</v>
      </c>
      <c r="M1137" s="1202" t="s">
        <v>5174</v>
      </c>
      <c r="N1137" s="1202"/>
      <c r="O1137" s="1202" t="s">
        <v>4860</v>
      </c>
      <c r="P1137" s="1201" t="s">
        <v>4</v>
      </c>
      <c r="Q1137" s="1203" t="s">
        <v>4861</v>
      </c>
    </row>
    <row r="1138" spans="2:17" ht="15.75">
      <c r="B1138" s="1885"/>
      <c r="C1138" s="1305"/>
      <c r="D1138" s="1490"/>
      <c r="E1138" s="1205"/>
      <c r="F1138" s="1205"/>
      <c r="G1138" s="1205"/>
      <c r="H1138" s="1888"/>
      <c r="I1138" s="1206"/>
      <c r="J1138" s="1206"/>
      <c r="K1138" s="1206"/>
      <c r="L1138" s="1206"/>
      <c r="M1138" s="1205"/>
      <c r="N1138" s="1205"/>
      <c r="O1138" s="1206"/>
      <c r="P1138" s="1224"/>
      <c r="Q1138" s="1880">
        <f>SUM(P1138:P1152)/B1153</f>
        <v>5.8401874077976812</v>
      </c>
    </row>
    <row r="1139" spans="2:17" ht="15.75">
      <c r="B1139" s="1886"/>
      <c r="C1139" s="1305"/>
      <c r="D1139" s="1490"/>
      <c r="E1139" s="1205"/>
      <c r="F1139" s="1205"/>
      <c r="G1139" s="1205"/>
      <c r="H1139" s="1889"/>
      <c r="I1139" s="1206"/>
      <c r="J1139" s="1206"/>
      <c r="K1139" s="1206"/>
      <c r="L1139" s="1206"/>
      <c r="M1139" s="1205"/>
      <c r="N1139" s="1205"/>
      <c r="O1139" s="1206"/>
      <c r="P1139" s="1224"/>
      <c r="Q1139" s="1881"/>
    </row>
    <row r="1140" spans="2:17" ht="15.75">
      <c r="B1140" s="1886"/>
      <c r="C1140" s="1305"/>
      <c r="D1140" s="1490"/>
      <c r="E1140" s="1205"/>
      <c r="F1140" s="1205"/>
      <c r="G1140" s="1205"/>
      <c r="H1140" s="1889"/>
      <c r="I1140" s="1206"/>
      <c r="J1140" s="1206"/>
      <c r="K1140" s="1206"/>
      <c r="L1140" s="1206"/>
      <c r="M1140" s="1205"/>
      <c r="N1140" s="1205"/>
      <c r="O1140" s="1206"/>
      <c r="P1140" s="1224"/>
      <c r="Q1140" s="1881"/>
    </row>
    <row r="1141" spans="2:17" ht="15.75">
      <c r="B1141" s="1886"/>
      <c r="C1141" s="1305"/>
      <c r="D1141" s="1490"/>
      <c r="E1141" s="1205"/>
      <c r="F1141" s="1205"/>
      <c r="G1141" s="1205"/>
      <c r="H1141" s="1889"/>
      <c r="I1141" s="1206"/>
      <c r="J1141" s="1206"/>
      <c r="K1141" s="1206"/>
      <c r="L1141" s="1206"/>
      <c r="M1141" s="1205"/>
      <c r="N1141" s="1205"/>
      <c r="O1141" s="1206"/>
      <c r="P1141" s="1224"/>
      <c r="Q1141" s="1881"/>
    </row>
    <row r="1142" spans="2:17" ht="15.75">
      <c r="B1142" s="1886"/>
      <c r="C1142" s="1305"/>
      <c r="D1142" s="1490"/>
      <c r="E1142" s="1205"/>
      <c r="F1142" s="1205"/>
      <c r="G1142" s="1205"/>
      <c r="H1142" s="1889"/>
      <c r="I1142" s="1206"/>
      <c r="J1142" s="1206"/>
      <c r="K1142" s="1206"/>
      <c r="L1142" s="1206"/>
      <c r="M1142" s="1205"/>
      <c r="N1142" s="1205"/>
      <c r="O1142" s="1206"/>
      <c r="P1142" s="1224"/>
      <c r="Q1142" s="1881"/>
    </row>
    <row r="1143" spans="2:17" ht="15.75">
      <c r="B1143" s="1886"/>
      <c r="C1143" s="1305"/>
      <c r="D1143" s="1490"/>
      <c r="E1143" s="1205"/>
      <c r="F1143" s="1205"/>
      <c r="G1143" s="1205"/>
      <c r="H1143" s="1889"/>
      <c r="I1143" s="1206"/>
      <c r="J1143" s="1206"/>
      <c r="K1143" s="1206"/>
      <c r="L1143" s="1206"/>
      <c r="M1143" s="1205"/>
      <c r="N1143" s="1205"/>
      <c r="O1143" s="1206"/>
      <c r="P1143" s="1224"/>
      <c r="Q1143" s="1881"/>
    </row>
    <row r="1144" spans="2:17" ht="15.75">
      <c r="B1144" s="1886"/>
      <c r="C1144" s="1305"/>
      <c r="D1144" s="1490"/>
      <c r="E1144" s="1205"/>
      <c r="F1144" s="1205"/>
      <c r="G1144" s="1205"/>
      <c r="H1144" s="1889"/>
      <c r="I1144" s="1206"/>
      <c r="J1144" s="1206"/>
      <c r="K1144" s="1206"/>
      <c r="L1144" s="1206"/>
      <c r="M1144" s="1205"/>
      <c r="N1144" s="1205"/>
      <c r="O1144" s="1206"/>
      <c r="P1144" s="1224"/>
      <c r="Q1144" s="1881"/>
    </row>
    <row r="1145" spans="2:17" ht="15.75">
      <c r="B1145" s="1886"/>
      <c r="C1145" s="1305"/>
      <c r="D1145" s="1490"/>
      <c r="E1145" s="1205"/>
      <c r="F1145" s="1205"/>
      <c r="G1145" s="1205"/>
      <c r="H1145" s="1889"/>
      <c r="I1145" s="1206"/>
      <c r="J1145" s="1206"/>
      <c r="K1145" s="1206"/>
      <c r="L1145" s="1206"/>
      <c r="M1145" s="1205"/>
      <c r="N1145" s="1205"/>
      <c r="O1145" s="1206"/>
      <c r="P1145" s="1224"/>
      <c r="Q1145" s="1881"/>
    </row>
    <row r="1146" spans="2:17" ht="15.75">
      <c r="B1146" s="1886"/>
      <c r="C1146" s="1305"/>
      <c r="D1146" s="1490"/>
      <c r="E1146" s="1205"/>
      <c r="F1146" s="1205"/>
      <c r="G1146" s="1205"/>
      <c r="H1146" s="1889"/>
      <c r="I1146" s="1206"/>
      <c r="J1146" s="1206"/>
      <c r="K1146" s="1206"/>
      <c r="L1146" s="1206"/>
      <c r="M1146" s="1205"/>
      <c r="N1146" s="1205"/>
      <c r="O1146" s="1206"/>
      <c r="P1146" s="1224"/>
      <c r="Q1146" s="1881"/>
    </row>
    <row r="1147" spans="2:17" ht="15.75">
      <c r="B1147" s="1886"/>
      <c r="C1147" s="1305"/>
      <c r="D1147" s="1490"/>
      <c r="E1147" s="1205"/>
      <c r="F1147" s="1205"/>
      <c r="G1147" s="1205"/>
      <c r="H1147" s="1889"/>
      <c r="I1147" s="1206"/>
      <c r="J1147" s="1206"/>
      <c r="K1147" s="1206"/>
      <c r="L1147" s="1206"/>
      <c r="M1147" s="1205"/>
      <c r="N1147" s="1205"/>
      <c r="O1147" s="1206"/>
      <c r="P1147" s="1224"/>
      <c r="Q1147" s="1881"/>
    </row>
    <row r="1148" spans="2:17" ht="15.75">
      <c r="B1148" s="1886"/>
      <c r="C1148" s="1305"/>
      <c r="D1148" s="1473"/>
      <c r="E1148" s="1205"/>
      <c r="F1148" s="1205"/>
      <c r="G1148" s="1477"/>
      <c r="H1148" s="1889"/>
      <c r="I1148" s="1479"/>
      <c r="J1148" s="1206"/>
      <c r="K1148" s="1206"/>
      <c r="L1148" s="1206"/>
      <c r="M1148" s="1205"/>
      <c r="N1148" s="1205"/>
      <c r="O1148" s="1206"/>
      <c r="P1148" s="1205"/>
      <c r="Q1148" s="1881"/>
    </row>
    <row r="1149" spans="2:17" ht="15.75">
      <c r="B1149" s="1886"/>
      <c r="C1149" s="1305">
        <v>0.5</v>
      </c>
      <c r="D1149" s="1473" t="s">
        <v>5278</v>
      </c>
      <c r="E1149" s="1205">
        <v>0.15</v>
      </c>
      <c r="F1149" s="1205">
        <v>5.6950000000000003</v>
      </c>
      <c r="G1149" s="1205">
        <v>2.9</v>
      </c>
      <c r="H1149" s="1889"/>
      <c r="I1149" s="1206">
        <f>(ROUND(((G1149))/E1149,0))+1</f>
        <v>20</v>
      </c>
      <c r="J1149" s="1206"/>
      <c r="K1149" s="1206"/>
      <c r="L1149" s="1206"/>
      <c r="M1149" s="1205">
        <f>F1149-0.02*2+2*0.25+0.476</f>
        <v>6.6310000000000002</v>
      </c>
      <c r="N1149" s="1205"/>
      <c r="O1149" s="1206">
        <f t="shared" ref="O1149:O1150" si="125">ROUND(PI()*((C1149*0.0254)^2)/4*7.85*2204.6,2)</f>
        <v>2.19</v>
      </c>
      <c r="P1149" s="1477">
        <f>+((M1149*I1149*O1149)/100)*1.07</f>
        <v>3.1076844600000002</v>
      </c>
      <c r="Q1149" s="1881"/>
    </row>
    <row r="1150" spans="2:17" ht="15.75">
      <c r="B1150" s="1886"/>
      <c r="C1150" s="1305">
        <v>0.5</v>
      </c>
      <c r="D1150" s="1473" t="s">
        <v>5278</v>
      </c>
      <c r="E1150" s="1205">
        <v>0.15</v>
      </c>
      <c r="F1150" s="1205">
        <v>6.02</v>
      </c>
      <c r="G1150" s="1205">
        <v>3.8</v>
      </c>
      <c r="H1150" s="1889"/>
      <c r="I1150" s="1206">
        <f>(ROUND(((G1150))/E1150,0))+1</f>
        <v>26</v>
      </c>
      <c r="J1150" s="1206"/>
      <c r="K1150" s="1206"/>
      <c r="L1150" s="1206"/>
      <c r="M1150" s="1205">
        <f>F1150-0.02*2+2*0.25+0.635</f>
        <v>7.1149999999999993</v>
      </c>
      <c r="N1150" s="1205"/>
      <c r="O1150" s="1206">
        <f t="shared" si="125"/>
        <v>2.19</v>
      </c>
      <c r="P1150" s="1205">
        <f t="shared" ref="P1150" si="126">(((((I1150*M1150)*1.23/100)+((L1150*1.23*N1150)/100))*1.07))</f>
        <v>2.4346533899999998</v>
      </c>
      <c r="Q1150" s="1881"/>
    </row>
    <row r="1151" spans="2:17" ht="15.75">
      <c r="B1151" s="1886"/>
      <c r="C1151" s="1305"/>
      <c r="D1151" s="1473"/>
      <c r="E1151" s="1477"/>
      <c r="F1151" s="1205"/>
      <c r="G1151" s="1205"/>
      <c r="H1151" s="1889"/>
      <c r="I1151" s="1206"/>
      <c r="J1151" s="1206"/>
      <c r="K1151" s="1206"/>
      <c r="L1151" s="1206"/>
      <c r="M1151" s="1205"/>
      <c r="N1151" s="1205"/>
      <c r="O1151" s="1479"/>
      <c r="P1151" s="1477"/>
      <c r="Q1151" s="1881"/>
    </row>
    <row r="1152" spans="2:17" ht="15.75">
      <c r="B1152" s="1887"/>
      <c r="C1152" s="1305"/>
      <c r="D1152" s="1307"/>
      <c r="E1152" s="1205"/>
      <c r="F1152" s="1205"/>
      <c r="G1152" s="1205"/>
      <c r="H1152" s="1890"/>
      <c r="I1152" s="1206"/>
      <c r="J1152" s="1206"/>
      <c r="K1152" s="1206"/>
      <c r="L1152" s="1206"/>
      <c r="M1152" s="1205"/>
      <c r="N1152" s="1205"/>
      <c r="O1152" s="1206"/>
      <c r="P1152" s="1205"/>
      <c r="Q1152" s="1882"/>
    </row>
    <row r="1153" spans="2:17" ht="15.75">
      <c r="B1153" s="1883">
        <f>H1154</f>
        <v>0.94900000000000007</v>
      </c>
      <c r="C1153" s="1883"/>
      <c r="D1153" s="1883"/>
      <c r="E1153" s="1883"/>
      <c r="F1153" s="1883"/>
      <c r="G1153" s="1883"/>
      <c r="H1153" s="1883"/>
      <c r="I1153" s="1883"/>
      <c r="J1153" s="1883"/>
      <c r="K1153" s="1883"/>
      <c r="L1153" s="1883"/>
      <c r="M1153" s="1883"/>
      <c r="N1153" s="1883"/>
      <c r="O1153" s="1883"/>
      <c r="P1153" s="1883"/>
      <c r="Q1153" s="1883"/>
    </row>
    <row r="1154" spans="2:17">
      <c r="H1154" s="728">
        <f>18.98*0.05</f>
        <v>0.94900000000000007</v>
      </c>
      <c r="P1154" s="891">
        <f>SUM(P1138:P1152)</f>
        <v>5.54233785</v>
      </c>
    </row>
    <row r="1155" spans="2:17">
      <c r="G1155" s="1492" t="s">
        <v>5181</v>
      </c>
      <c r="H1155" s="728">
        <f>B1153*1</f>
        <v>0.94900000000000007</v>
      </c>
      <c r="I1155" s="1492" t="s">
        <v>1806</v>
      </c>
      <c r="P1155" s="728">
        <f>P1154/H1154</f>
        <v>5.8401874077976812</v>
      </c>
    </row>
    <row r="1192" spans="7:12">
      <c r="J1192" s="892" t="s">
        <v>4833</v>
      </c>
    </row>
    <row r="1193" spans="7:12" ht="15.75" thickBot="1">
      <c r="J1193" s="892"/>
    </row>
    <row r="1194" spans="7:12">
      <c r="G1194" s="890"/>
      <c r="I1194" s="783"/>
      <c r="K1194" s="1898" t="s">
        <v>5185</v>
      </c>
      <c r="L1194" s="1899"/>
    </row>
    <row r="1195" spans="7:12">
      <c r="G1195" s="890"/>
      <c r="H1195" s="892"/>
      <c r="I1195" s="783"/>
      <c r="K1195" s="1512"/>
      <c r="L1195" s="1513"/>
    </row>
    <row r="1196" spans="7:12" ht="30">
      <c r="G1196" s="890" t="s">
        <v>5209</v>
      </c>
      <c r="H1196" s="891">
        <f>H1132</f>
        <v>0.52447499999999991</v>
      </c>
      <c r="I1196" s="783"/>
      <c r="J1196" s="783">
        <f>P1131</f>
        <v>1.7360643</v>
      </c>
      <c r="K1196" s="1524">
        <f>J1196/H1196</f>
        <v>3.3100992420992426</v>
      </c>
      <c r="L1196" s="1515" t="s">
        <v>4836</v>
      </c>
    </row>
    <row r="1203" spans="1:16" ht="15.75">
      <c r="C1203" s="1296" t="s">
        <v>4984</v>
      </c>
      <c r="D1203" s="1297">
        <v>2</v>
      </c>
      <c r="F1203" s="1298" t="s">
        <v>4985</v>
      </c>
      <c r="G1203" s="1299">
        <v>0.1</v>
      </c>
      <c r="J1203" s="1300" t="s">
        <v>4986</v>
      </c>
      <c r="K1203" s="1301">
        <v>0.03</v>
      </c>
      <c r="M1203" s="1300" t="s">
        <v>4987</v>
      </c>
      <c r="N1203" s="1301">
        <v>0.04</v>
      </c>
    </row>
    <row r="1204" spans="1:16">
      <c r="B1204" s="728" t="s">
        <v>4988</v>
      </c>
      <c r="C1204" s="1296" t="s">
        <v>4989</v>
      </c>
      <c r="D1204" s="1302">
        <v>2</v>
      </c>
      <c r="F1204" s="1298" t="s">
        <v>4990</v>
      </c>
      <c r="G1204" s="1298">
        <v>0.02</v>
      </c>
      <c r="J1204" s="1144"/>
      <c r="K1204" s="892"/>
    </row>
    <row r="1205" spans="1:16" ht="15.75">
      <c r="C1205" s="1296" t="s">
        <v>4991</v>
      </c>
      <c r="D1205" s="1302">
        <v>1</v>
      </c>
      <c r="E1205" s="1303">
        <v>0.47599999999999998</v>
      </c>
      <c r="J1205" s="1144"/>
      <c r="K1205" s="892"/>
      <c r="L1205" s="892"/>
    </row>
    <row r="1207" spans="1:16" ht="15.75" thickBot="1">
      <c r="A1207" s="1949" t="s">
        <v>4992</v>
      </c>
      <c r="B1207" s="1949"/>
      <c r="C1207" s="1949"/>
      <c r="D1207" s="1949"/>
      <c r="E1207" s="1949"/>
      <c r="F1207" s="1949"/>
      <c r="G1207" s="1949"/>
      <c r="H1207" s="1949"/>
      <c r="I1207" s="1949"/>
      <c r="J1207" s="1949"/>
      <c r="K1207" s="1949"/>
      <c r="L1207" s="1949"/>
      <c r="M1207" s="1949"/>
      <c r="N1207" s="1949"/>
      <c r="O1207" s="1949"/>
      <c r="P1207" s="1199" t="s">
        <v>4993</v>
      </c>
    </row>
    <row r="1208" spans="1:16" ht="26.25" thickBot="1">
      <c r="A1208" s="1304" t="s">
        <v>4849</v>
      </c>
      <c r="B1208" s="1200" t="s">
        <v>4850</v>
      </c>
      <c r="C1208" s="1201" t="s">
        <v>4851</v>
      </c>
      <c r="D1208" s="1201" t="s">
        <v>4852</v>
      </c>
      <c r="E1208" s="1201" t="s">
        <v>4853</v>
      </c>
      <c r="F1208" s="1202" t="s">
        <v>4854</v>
      </c>
      <c r="G1208" s="1201" t="s">
        <v>4855</v>
      </c>
      <c r="H1208" s="1202" t="s">
        <v>4856</v>
      </c>
      <c r="I1208" s="1202"/>
      <c r="J1208" s="1202"/>
      <c r="K1208" s="1202" t="s">
        <v>4858</v>
      </c>
      <c r="L1208" s="1202" t="s">
        <v>4859</v>
      </c>
      <c r="M1208" s="1202" t="s">
        <v>4995</v>
      </c>
      <c r="N1208" s="1202" t="s">
        <v>4860</v>
      </c>
      <c r="O1208" s="1201" t="s">
        <v>4</v>
      </c>
      <c r="P1208" s="1203" t="s">
        <v>4861</v>
      </c>
    </row>
    <row r="1209" spans="1:16" ht="15.75" customHeight="1">
      <c r="A1209" s="1885">
        <v>0.15</v>
      </c>
      <c r="B1209" s="1305">
        <v>0.375</v>
      </c>
      <c r="C1209" s="1204" t="s">
        <v>4862</v>
      </c>
      <c r="D1209" s="1205">
        <v>0.15</v>
      </c>
      <c r="E1209" s="1205">
        <f>5.1+0.5</f>
        <v>5.6</v>
      </c>
      <c r="F1209" s="1205">
        <v>8.11</v>
      </c>
      <c r="G1209" s="1888">
        <f>5.1*8.71</f>
        <v>44.420999999999999</v>
      </c>
      <c r="H1209" s="1206">
        <f>(ROUND(((F1209))/D1209,0))+1</f>
        <v>55</v>
      </c>
      <c r="I1209" s="1206"/>
      <c r="J1209" s="1206"/>
      <c r="K1209" s="1206">
        <v>2</v>
      </c>
      <c r="L1209" s="1205">
        <f>E1209+(2*$G$658)+$N$658-2*$G$659</f>
        <v>5.8</v>
      </c>
      <c r="M1209" s="1205">
        <f>E1209</f>
        <v>5.6</v>
      </c>
      <c r="N1209" s="1206">
        <f>ROUND(PI()*((B1209*0.0254)^2)/4*7.85*2204.6,2)</f>
        <v>1.23</v>
      </c>
      <c r="O1209" s="1224">
        <f>+((L1209*H1209*N1209)/100)*1.07+((K1209*M1209*M1209)/100)*1.07</f>
        <v>4.8694630000000005</v>
      </c>
      <c r="P1209" s="1904">
        <f>SUM(O1209:O1212)/(G1209*A1209)</f>
        <v>1.4554024652003932</v>
      </c>
    </row>
    <row r="1210" spans="1:16" ht="15.75" customHeight="1">
      <c r="A1210" s="1886"/>
      <c r="B1210" s="1305">
        <v>0.375</v>
      </c>
      <c r="C1210" s="1204" t="s">
        <v>4863</v>
      </c>
      <c r="D1210" s="1205">
        <v>0.2</v>
      </c>
      <c r="E1210" s="1205">
        <v>8.6999999999999993</v>
      </c>
      <c r="F1210" s="1205">
        <f>4.5+0.5</f>
        <v>5</v>
      </c>
      <c r="G1210" s="1889"/>
      <c r="H1210" s="1206">
        <f>(ROUND(((F1210))/D1210,0))+1</f>
        <v>26</v>
      </c>
      <c r="I1210" s="1206"/>
      <c r="J1210" s="1206"/>
      <c r="K1210" s="1206">
        <v>2</v>
      </c>
      <c r="L1210" s="1205">
        <f>E1210+(2*$G$658)+$N$658-2*$G$659+1*E1205</f>
        <v>9.3759999999999977</v>
      </c>
      <c r="M1210" s="1205">
        <f>E1210</f>
        <v>8.6999999999999993</v>
      </c>
      <c r="N1210" s="1206">
        <f>ROUND(PI()*((B1210*0.0254)^2)/4*7.85*2204.6,2)</f>
        <v>1.23</v>
      </c>
      <c r="O1210" s="1224">
        <f>+((L1210*H1210*N1210)/100)*1.07+((K1210*M1210*M1210)/100)*1.07</f>
        <v>4.8281019359999986</v>
      </c>
      <c r="P1210" s="1905"/>
    </row>
    <row r="1211" spans="1:16" ht="15.75" customHeight="1">
      <c r="A1211" s="1886"/>
      <c r="B1211" s="1305"/>
      <c r="C1211" s="1204"/>
      <c r="D1211" s="1205"/>
      <c r="E1211" s="1205"/>
      <c r="F1211" s="1205"/>
      <c r="G1211" s="1889"/>
      <c r="H1211" s="1206"/>
      <c r="I1211" s="1207"/>
      <c r="J1211" s="1206"/>
      <c r="K1211" s="1206"/>
      <c r="L1211" s="1205"/>
      <c r="M1211" s="1206"/>
      <c r="N1211" s="1206"/>
      <c r="O1211" s="1205"/>
      <c r="P1211" s="1905"/>
    </row>
    <row r="1212" spans="1:16" ht="15.75" customHeight="1">
      <c r="A1212" s="1887"/>
      <c r="B1212" s="1305"/>
      <c r="C1212" s="1204"/>
      <c r="D1212" s="1205"/>
      <c r="E1212" s="1205"/>
      <c r="F1212" s="1205"/>
      <c r="G1212" s="1890"/>
      <c r="H1212" s="1206"/>
      <c r="I1212" s="1207"/>
      <c r="J1212" s="1206"/>
      <c r="K1212" s="1206"/>
      <c r="L1212" s="1205"/>
      <c r="M1212" s="1206"/>
      <c r="N1212" s="1206"/>
      <c r="O1212" s="1205"/>
      <c r="P1212" s="1906"/>
    </row>
    <row r="1213" spans="1:16" ht="15.75">
      <c r="A1213" s="1883">
        <f>G1209*A1209</f>
        <v>6.6631499999999999</v>
      </c>
      <c r="B1213" s="1883"/>
      <c r="C1213" s="1883"/>
      <c r="D1213" s="1883"/>
      <c r="E1213" s="1883"/>
      <c r="F1213" s="1883"/>
      <c r="G1213" s="1883"/>
      <c r="H1213" s="1883"/>
      <c r="I1213" s="1883"/>
      <c r="J1213" s="1883"/>
      <c r="K1213" s="1883"/>
      <c r="L1213" s="1883"/>
      <c r="M1213" s="1883"/>
      <c r="N1213" s="1883"/>
      <c r="O1213" s="1883"/>
      <c r="P1213" s="1883"/>
    </row>
    <row r="1214" spans="1:16">
      <c r="O1214" s="891">
        <f>SUM(O1209:O1212)*2</f>
        <v>19.395129871999998</v>
      </c>
    </row>
    <row r="1217" spans="1:16" ht="15.75" thickBot="1">
      <c r="A1217" s="1949" t="s">
        <v>5213</v>
      </c>
      <c r="B1217" s="1949"/>
      <c r="C1217" s="1949"/>
      <c r="D1217" s="1949"/>
      <c r="E1217" s="1949"/>
      <c r="F1217" s="1949"/>
      <c r="G1217" s="1949"/>
      <c r="H1217" s="1949"/>
      <c r="I1217" s="1949"/>
      <c r="J1217" s="1949"/>
      <c r="K1217" s="1949"/>
      <c r="L1217" s="1949"/>
      <c r="M1217" s="1949"/>
      <c r="N1217" s="1949"/>
      <c r="O1217" s="1949"/>
      <c r="P1217" s="1199" t="s">
        <v>4848</v>
      </c>
    </row>
    <row r="1218" spans="1:16" ht="26.25" thickBot="1">
      <c r="A1218" s="1304" t="s">
        <v>4849</v>
      </c>
      <c r="B1218" s="1200" t="s">
        <v>4850</v>
      </c>
      <c r="C1218" s="1201" t="s">
        <v>4851</v>
      </c>
      <c r="D1218" s="1201" t="s">
        <v>4852</v>
      </c>
      <c r="E1218" s="1201" t="s">
        <v>4853</v>
      </c>
      <c r="F1218" s="1202" t="s">
        <v>4854</v>
      </c>
      <c r="G1218" s="1201" t="s">
        <v>4855</v>
      </c>
      <c r="H1218" s="1202" t="s">
        <v>4856</v>
      </c>
      <c r="I1218" s="1202" t="s">
        <v>4857</v>
      </c>
      <c r="J1218" s="1202" t="s">
        <v>4994</v>
      </c>
      <c r="K1218" s="1202" t="s">
        <v>4858</v>
      </c>
      <c r="L1218" s="1202" t="s">
        <v>4859</v>
      </c>
      <c r="M1218" s="1202" t="s">
        <v>4995</v>
      </c>
      <c r="N1218" s="1202" t="s">
        <v>4860</v>
      </c>
      <c r="O1218" s="1201" t="s">
        <v>4</v>
      </c>
      <c r="P1218" s="1203" t="s">
        <v>4861</v>
      </c>
    </row>
    <row r="1219" spans="1:16" ht="15.75">
      <c r="A1219" s="1885">
        <v>0.12</v>
      </c>
      <c r="B1219" s="1305">
        <v>0.375</v>
      </c>
      <c r="C1219" s="1204" t="s">
        <v>4862</v>
      </c>
      <c r="D1219" s="1205">
        <v>0.25</v>
      </c>
      <c r="E1219" s="1205">
        <f>7.3+0.5</f>
        <v>7.8</v>
      </c>
      <c r="F1219" s="1205">
        <v>1.5</v>
      </c>
      <c r="G1219" s="1888">
        <v>22.31</v>
      </c>
      <c r="H1219" s="1206">
        <f>(ROUND(((F1219))/D1219,0))+1</f>
        <v>7</v>
      </c>
      <c r="I1219" s="1206"/>
      <c r="J1219" s="1206"/>
      <c r="K1219" s="1206">
        <v>1</v>
      </c>
      <c r="L1219" s="1205">
        <f>E1219+(2*$G$658)+$N$658-2*$G$659+0.476</f>
        <v>8.4759999999999991</v>
      </c>
      <c r="M1219" s="1205">
        <f>E1219</f>
        <v>7.8</v>
      </c>
      <c r="N1219" s="1206">
        <f>ROUND(PI()*((B1219*0.0254)^2)/4*7.85*2204.6,2)</f>
        <v>1.23</v>
      </c>
      <c r="O1219" s="1224">
        <f>+((L1219*H1219*N1219)/100)*1.07+((K1219*M1219*M1219)/100)*1.07</f>
        <v>1.4318564519999999</v>
      </c>
      <c r="P1219" s="1957">
        <f>SUM(O1219:O1222)/(G1219*A1219)</f>
        <v>1.736881776482893</v>
      </c>
    </row>
    <row r="1220" spans="1:16" ht="15.75">
      <c r="A1220" s="1886"/>
      <c r="B1220" s="1305">
        <v>0.375</v>
      </c>
      <c r="C1220" s="1204" t="s">
        <v>4863</v>
      </c>
      <c r="D1220" s="1205">
        <v>0.25</v>
      </c>
      <c r="E1220" s="1205">
        <f>3.3+0.5</f>
        <v>3.8</v>
      </c>
      <c r="F1220" s="1205">
        <f>2.55*2</f>
        <v>5.0999999999999996</v>
      </c>
      <c r="G1220" s="1889"/>
      <c r="H1220" s="1206">
        <f>(ROUND(((F1220))/D1220,0))+1</f>
        <v>21</v>
      </c>
      <c r="I1220" s="1206"/>
      <c r="J1220" s="1206"/>
      <c r="K1220" s="1206"/>
      <c r="L1220" s="1205">
        <f>E1220+(2*$G$658)+0.04</f>
        <v>4.04</v>
      </c>
      <c r="M1220" s="1205"/>
      <c r="N1220" s="1206">
        <f>ROUND(PI()*((B1220*0.0254)^2)/4*7.85*2204.6,2)</f>
        <v>1.23</v>
      </c>
      <c r="O1220" s="1224">
        <f>+((L1220*H1220*N1220)/100)*1.07+((K1220*M1220*M1220)/100)*1.07</f>
        <v>1.1165792399999999</v>
      </c>
      <c r="P1220" s="1958"/>
    </row>
    <row r="1221" spans="1:16" ht="15.75">
      <c r="A1221" s="1886"/>
      <c r="B1221" s="1305">
        <v>0.375</v>
      </c>
      <c r="C1221" s="1204" t="s">
        <v>4862</v>
      </c>
      <c r="D1221" s="1205">
        <v>0.25</v>
      </c>
      <c r="E1221" s="1205">
        <f>3.08+0.5</f>
        <v>3.58</v>
      </c>
      <c r="F1221" s="1205">
        <v>3.9</v>
      </c>
      <c r="G1221" s="1889"/>
      <c r="H1221" s="1206">
        <f>(ROUND(((F1221))/D1221,0))+1</f>
        <v>17</v>
      </c>
      <c r="I1221" s="1207"/>
      <c r="J1221" s="1206"/>
      <c r="K1221" s="1206">
        <v>2</v>
      </c>
      <c r="L1221" s="1205">
        <f>E1221</f>
        <v>3.58</v>
      </c>
      <c r="M1221" s="1205">
        <v>4.4000000000000004</v>
      </c>
      <c r="N1221" s="1206">
        <f>ROUND(PI()*((B1221*0.0254)^2)/4*7.85*2204.6,2)</f>
        <v>1.23</v>
      </c>
      <c r="O1221" s="1224">
        <f>+((L1221*H1221*N1221)/100)*1.07+((K1221*M1221*M1221)/100)*1.07</f>
        <v>1.2152824600000001</v>
      </c>
      <c r="P1221" s="1958"/>
    </row>
    <row r="1222" spans="1:16" ht="15.75">
      <c r="A1222" s="1887"/>
      <c r="B1222" s="1305">
        <v>0.375</v>
      </c>
      <c r="C1222" s="1204" t="s">
        <v>4863</v>
      </c>
      <c r="D1222" s="1205">
        <v>0.25</v>
      </c>
      <c r="E1222" s="1205">
        <f>4.68+0.5</f>
        <v>5.18</v>
      </c>
      <c r="F1222" s="1205">
        <f>1.5*2</f>
        <v>3</v>
      </c>
      <c r="G1222" s="1890"/>
      <c r="H1222" s="1206">
        <f>(ROUND(((F1222))/D1222,0))+1</f>
        <v>13</v>
      </c>
      <c r="I1222" s="1207"/>
      <c r="J1222" s="1206"/>
      <c r="K1222" s="1206"/>
      <c r="L1222" s="1205">
        <f>E1222</f>
        <v>5.18</v>
      </c>
      <c r="M1222" s="1205"/>
      <c r="N1222" s="1206">
        <f>ROUND(PI()*((B1222*0.0254)^2)/4*7.85*2204.6,2)</f>
        <v>1.23</v>
      </c>
      <c r="O1222" s="1224">
        <f>+((L1222*H1222*N1222)/100)*1.07+((K1222*M1222*M1222)/100)*1.07</f>
        <v>0.88626174000000013</v>
      </c>
      <c r="P1222" s="1959"/>
    </row>
    <row r="1223" spans="1:16" ht="15.75">
      <c r="A1223" s="1883">
        <f>G1219*A1219</f>
        <v>2.6771999999999996</v>
      </c>
      <c r="B1223" s="1883"/>
      <c r="C1223" s="1883"/>
      <c r="D1223" s="1883"/>
      <c r="E1223" s="1883"/>
      <c r="F1223" s="1883"/>
      <c r="G1223" s="1883"/>
      <c r="H1223" s="1883"/>
      <c r="I1223" s="1883"/>
      <c r="J1223" s="1883"/>
      <c r="K1223" s="1883"/>
      <c r="L1223" s="1883"/>
      <c r="M1223" s="1883"/>
      <c r="N1223" s="1883"/>
      <c r="O1223" s="1883"/>
      <c r="P1223" s="1883"/>
    </row>
    <row r="1224" spans="1:16">
      <c r="O1224" s="891">
        <f>SUM(O1219:O1222)</f>
        <v>4.6499798920000002</v>
      </c>
    </row>
    <row r="1227" spans="1:16" ht="15.75" thickBot="1">
      <c r="A1227" s="1949" t="s">
        <v>5212</v>
      </c>
      <c r="B1227" s="1949"/>
      <c r="C1227" s="1949"/>
      <c r="D1227" s="1949"/>
      <c r="E1227" s="1949"/>
      <c r="F1227" s="1949"/>
      <c r="G1227" s="1949"/>
      <c r="H1227" s="1949"/>
      <c r="I1227" s="1949"/>
      <c r="J1227" s="1949"/>
      <c r="K1227" s="1949"/>
      <c r="L1227" s="1949"/>
      <c r="M1227" s="1949"/>
      <c r="N1227" s="1949"/>
      <c r="O1227" s="1949"/>
      <c r="P1227" s="1199" t="s">
        <v>4848</v>
      </c>
    </row>
    <row r="1228" spans="1:16" ht="26.25" thickBot="1">
      <c r="A1228" s="1304" t="s">
        <v>4849</v>
      </c>
      <c r="B1228" s="1200" t="s">
        <v>4850</v>
      </c>
      <c r="C1228" s="1201" t="s">
        <v>4851</v>
      </c>
      <c r="D1228" s="1201" t="s">
        <v>4852</v>
      </c>
      <c r="E1228" s="1201" t="s">
        <v>4853</v>
      </c>
      <c r="F1228" s="1202" t="s">
        <v>4854</v>
      </c>
      <c r="G1228" s="1201" t="s">
        <v>4855</v>
      </c>
      <c r="H1228" s="1202" t="s">
        <v>4856</v>
      </c>
      <c r="I1228" s="1202" t="s">
        <v>4857</v>
      </c>
      <c r="J1228" s="1202" t="s">
        <v>4994</v>
      </c>
      <c r="K1228" s="1202" t="s">
        <v>4858</v>
      </c>
      <c r="L1228" s="1202" t="s">
        <v>4859</v>
      </c>
      <c r="M1228" s="1202" t="s">
        <v>4995</v>
      </c>
      <c r="N1228" s="1202" t="s">
        <v>4860</v>
      </c>
      <c r="O1228" s="1201" t="s">
        <v>4</v>
      </c>
      <c r="P1228" s="1203" t="s">
        <v>4861</v>
      </c>
    </row>
    <row r="1229" spans="1:16" ht="15.75">
      <c r="A1229" s="1885">
        <v>0.12</v>
      </c>
      <c r="B1229" s="1305">
        <v>0.375</v>
      </c>
      <c r="C1229" s="1204" t="s">
        <v>4862</v>
      </c>
      <c r="D1229" s="1205">
        <v>0.25</v>
      </c>
      <c r="E1229" s="1205">
        <v>5.98</v>
      </c>
      <c r="F1229" s="1205">
        <v>2.4</v>
      </c>
      <c r="G1229" s="1888">
        <v>9.85</v>
      </c>
      <c r="H1229" s="1206">
        <f>(ROUND(((F1229))/D1229,0))+1</f>
        <v>11</v>
      </c>
      <c r="I1229" s="1206">
        <v>6</v>
      </c>
      <c r="J1229" s="1206"/>
      <c r="K1229" s="1206">
        <v>1</v>
      </c>
      <c r="L1229" s="1205">
        <f>E1229</f>
        <v>5.98</v>
      </c>
      <c r="M1229" s="1205">
        <f>E1229</f>
        <v>5.98</v>
      </c>
      <c r="N1229" s="1206">
        <f>ROUND(PI()*((B1229*0.0254)^2)/4*7.85*2204.6,2)</f>
        <v>1.23</v>
      </c>
      <c r="O1229" s="1224">
        <f>+((L1229*I1229*N1229)/100)*1.07+((K1229*M1229*M1229)/100)*1.07</f>
        <v>0.85485296000000011</v>
      </c>
      <c r="P1229" s="1957">
        <f>SUM(O1229:O1233)/(G1229*A1229)</f>
        <v>1.7859042301184433</v>
      </c>
    </row>
    <row r="1230" spans="1:16" ht="15.75">
      <c r="A1230" s="1886"/>
      <c r="B1230" s="1305">
        <v>0.375</v>
      </c>
      <c r="C1230" s="1204" t="s">
        <v>4863</v>
      </c>
      <c r="D1230" s="1205">
        <v>0.25</v>
      </c>
      <c r="E1230" s="1205">
        <v>5.95</v>
      </c>
      <c r="F1230" s="1205">
        <v>2.4</v>
      </c>
      <c r="G1230" s="1889"/>
      <c r="H1230" s="1206">
        <f>(ROUND(((F1230))/D1230,0))+1</f>
        <v>11</v>
      </c>
      <c r="I1230" s="1206">
        <v>5</v>
      </c>
      <c r="J1230" s="1206"/>
      <c r="K1230" s="1206"/>
      <c r="L1230" s="1205">
        <f>E1230</f>
        <v>5.95</v>
      </c>
      <c r="M1230" s="1205"/>
      <c r="N1230" s="1206">
        <f t="shared" ref="N1230:N1232" si="127">ROUND(PI()*((B1230*0.0254)^2)/4*7.85*2204.6,2)</f>
        <v>1.23</v>
      </c>
      <c r="O1230" s="1224">
        <f>+((L1230*I1230*N1230)/100)*1.07+((K1230*M1230*M1230)/100)*1.07</f>
        <v>0.39153975000000002</v>
      </c>
      <c r="P1230" s="1958"/>
    </row>
    <row r="1231" spans="1:16" ht="15.75">
      <c r="A1231" s="1886"/>
      <c r="B1231" s="1305">
        <v>0.375</v>
      </c>
      <c r="C1231" s="1204" t="s">
        <v>4862</v>
      </c>
      <c r="D1231" s="1205">
        <v>0.25</v>
      </c>
      <c r="E1231" s="1205">
        <f>3.1+0.5</f>
        <v>3.6</v>
      </c>
      <c r="F1231" s="1205">
        <v>3.6</v>
      </c>
      <c r="G1231" s="1889"/>
      <c r="H1231" s="1206">
        <f>(ROUND(((F1231))/D1231,0))+1</f>
        <v>15</v>
      </c>
      <c r="I1231" s="1207">
        <v>8</v>
      </c>
      <c r="J1231" s="1206"/>
      <c r="K1231" s="1206">
        <v>1</v>
      </c>
      <c r="L1231" s="1205">
        <f>E1231</f>
        <v>3.6</v>
      </c>
      <c r="M1231" s="1205"/>
      <c r="N1231" s="1206">
        <f t="shared" si="127"/>
        <v>1.23</v>
      </c>
      <c r="O1231" s="1224">
        <f>+((L1231*I1231*N1231)/100)*1.07+((K1231*M1231*M1231)/100)*1.07</f>
        <v>0.37903680000000001</v>
      </c>
      <c r="P1231" s="1958"/>
    </row>
    <row r="1232" spans="1:16" ht="15.75">
      <c r="A1232" s="1886"/>
      <c r="B1232" s="1305">
        <v>0.375</v>
      </c>
      <c r="C1232" s="1204" t="s">
        <v>4862</v>
      </c>
      <c r="D1232" s="1205">
        <v>0.25</v>
      </c>
      <c r="E1232" s="1205">
        <f>4.77+0.5</f>
        <v>5.27</v>
      </c>
      <c r="F1232" s="1205">
        <v>3.6</v>
      </c>
      <c r="G1232" s="1889"/>
      <c r="H1232" s="1206">
        <f>(ROUND(((F1232))/D1232,0))+1</f>
        <v>15</v>
      </c>
      <c r="I1232" s="1207">
        <v>7</v>
      </c>
      <c r="J1232" s="1206"/>
      <c r="K1232" s="1206"/>
      <c r="L1232" s="1205">
        <f>E1232</f>
        <v>5.27</v>
      </c>
      <c r="M1232" s="1205"/>
      <c r="N1232" s="1206">
        <f t="shared" si="127"/>
        <v>1.23</v>
      </c>
      <c r="O1232" s="1224">
        <f>+((L1232*I1232*N1232)/100)*1.07+((K1232*M1232*M1232)/100)*1.07</f>
        <v>0.48550928999999998</v>
      </c>
      <c r="P1232" s="1958"/>
    </row>
    <row r="1233" spans="1:16" ht="15.75">
      <c r="A1233" s="1887"/>
      <c r="B1233" s="1305">
        <v>0.375</v>
      </c>
      <c r="C1233" s="1204" t="s">
        <v>4863</v>
      </c>
      <c r="D1233" s="1205"/>
      <c r="E1233" s="1205"/>
      <c r="F1233" s="1205"/>
      <c r="G1233" s="1890"/>
      <c r="H1233" s="1206"/>
      <c r="I1233" s="1207"/>
      <c r="J1233" s="1206"/>
      <c r="K1233" s="1206"/>
      <c r="L1233" s="1205"/>
      <c r="M1233" s="1205"/>
      <c r="N1233" s="1206"/>
      <c r="O1233" s="1205"/>
      <c r="P1233" s="1959"/>
    </row>
    <row r="1234" spans="1:16" ht="15.75">
      <c r="A1234" s="1883">
        <f>G1229*A1229</f>
        <v>1.1819999999999999</v>
      </c>
      <c r="B1234" s="1883"/>
      <c r="C1234" s="1883"/>
      <c r="D1234" s="1883"/>
      <c r="E1234" s="1883"/>
      <c r="F1234" s="1883"/>
      <c r="G1234" s="1883"/>
      <c r="H1234" s="1883"/>
      <c r="I1234" s="1883"/>
      <c r="J1234" s="1883"/>
      <c r="K1234" s="1883"/>
      <c r="L1234" s="1883"/>
      <c r="M1234" s="1883"/>
      <c r="N1234" s="1883"/>
      <c r="O1234" s="1883"/>
      <c r="P1234" s="1883"/>
    </row>
    <row r="1235" spans="1:16">
      <c r="O1235" s="891">
        <f>SUM(O1229:O1233)</f>
        <v>2.1109388</v>
      </c>
    </row>
    <row r="1236" spans="1:16">
      <c r="B1236" s="892" t="s">
        <v>4996</v>
      </c>
      <c r="D1236" s="728">
        <f>A1213*2+A1259</f>
        <v>14.6313</v>
      </c>
      <c r="E1236" s="892" t="s">
        <v>1806</v>
      </c>
      <c r="F1236" s="728" t="s">
        <v>5018</v>
      </c>
      <c r="H1236" s="783">
        <f>O1214+O1255+O1256</f>
        <v>21.173413375999999</v>
      </c>
      <c r="I1236" s="728">
        <f>H1236/D1236</f>
        <v>1.4471313810802868</v>
      </c>
      <c r="J1236" s="728" t="s">
        <v>4836</v>
      </c>
    </row>
    <row r="1237" spans="1:16">
      <c r="B1237" s="892" t="s">
        <v>4997</v>
      </c>
      <c r="D1237" s="783">
        <f>A1223+A1234+A1250</f>
        <v>5.3831999999999995</v>
      </c>
      <c r="E1237" s="892" t="s">
        <v>1806</v>
      </c>
      <c r="F1237" s="728" t="s">
        <v>5020</v>
      </c>
      <c r="H1237" s="783">
        <f>O1224+O1235+O1251</f>
        <v>7.8748130880000007</v>
      </c>
      <c r="I1237" s="783">
        <f>H1237/D1237</f>
        <v>1.4628498082924657</v>
      </c>
      <c r="J1237" s="728" t="s">
        <v>4836</v>
      </c>
    </row>
    <row r="1238" spans="1:16">
      <c r="B1238" s="892"/>
      <c r="E1238" s="892"/>
    </row>
    <row r="1240" spans="1:16" ht="15.75" thickBot="1">
      <c r="A1240" s="1949" t="s">
        <v>5413</v>
      </c>
      <c r="B1240" s="1949"/>
      <c r="C1240" s="1949"/>
      <c r="D1240" s="1949"/>
      <c r="E1240" s="1949"/>
      <c r="F1240" s="1949"/>
      <c r="G1240" s="1949"/>
      <c r="H1240" s="1949"/>
      <c r="I1240" s="1949"/>
      <c r="J1240" s="1949"/>
      <c r="K1240" s="1949"/>
      <c r="L1240" s="1949"/>
      <c r="M1240" s="1949"/>
      <c r="N1240" s="1949"/>
      <c r="O1240" s="1949"/>
      <c r="P1240" s="1199" t="s">
        <v>4848</v>
      </c>
    </row>
    <row r="1241" spans="1:16" ht="26.25" thickBot="1">
      <c r="A1241" s="1304" t="s">
        <v>4849</v>
      </c>
      <c r="B1241" s="1200" t="s">
        <v>4850</v>
      </c>
      <c r="C1241" s="1201" t="s">
        <v>4851</v>
      </c>
      <c r="D1241" s="1201" t="s">
        <v>4852</v>
      </c>
      <c r="E1241" s="1201" t="s">
        <v>4853</v>
      </c>
      <c r="F1241" s="1202" t="s">
        <v>4854</v>
      </c>
      <c r="G1241" s="1201" t="s">
        <v>4855</v>
      </c>
      <c r="H1241" s="1202" t="s">
        <v>4856</v>
      </c>
      <c r="I1241" s="1202"/>
      <c r="J1241" s="1202"/>
      <c r="K1241" s="1202"/>
      <c r="L1241" s="1202" t="s">
        <v>4859</v>
      </c>
      <c r="M1241" s="1202"/>
      <c r="N1241" s="1202" t="s">
        <v>4860</v>
      </c>
      <c r="O1241" s="1201" t="s">
        <v>4</v>
      </c>
      <c r="P1241" s="1203" t="s">
        <v>4861</v>
      </c>
    </row>
    <row r="1242" spans="1:16" ht="15.75">
      <c r="A1242" s="1885">
        <v>0.12</v>
      </c>
      <c r="B1242" s="1305"/>
      <c r="C1242" s="1307"/>
      <c r="D1242" s="1205"/>
      <c r="E1242" s="1205"/>
      <c r="F1242" s="1205"/>
      <c r="G1242" s="1888">
        <f>5.4*0.5*2+7.3*0.5*2</f>
        <v>12.7</v>
      </c>
      <c r="H1242" s="1206"/>
      <c r="I1242" s="1206"/>
      <c r="J1242" s="1206"/>
      <c r="K1242" s="1206"/>
      <c r="L1242" s="1205">
        <f>E1242-0.02*1+1.8+0.2</f>
        <v>1.98</v>
      </c>
      <c r="M1242" s="1205"/>
      <c r="N1242" s="1206">
        <f t="shared" ref="N1242:N1249" si="128">ROUND(PI()*((B1242*0.0254)^2)/4*7.85*2204.6,2)</f>
        <v>0</v>
      </c>
      <c r="O1242" s="1224">
        <f t="shared" ref="O1242:O1249" si="129">+((L1242*H1242*N1242)/100)*1.07</f>
        <v>0</v>
      </c>
      <c r="P1242" s="1904">
        <f>SUM(O1242:O1249)/(G1242*A1242)</f>
        <v>0.73090183464566938</v>
      </c>
    </row>
    <row r="1243" spans="1:16" ht="15.75">
      <c r="A1243" s="1886"/>
      <c r="B1243" s="1305">
        <v>0.375</v>
      </c>
      <c r="C1243" s="1307" t="s">
        <v>4863</v>
      </c>
      <c r="D1243" s="1205">
        <v>0.25</v>
      </c>
      <c r="E1243" s="1205">
        <v>5.4</v>
      </c>
      <c r="F1243" s="1205">
        <v>0.5</v>
      </c>
      <c r="G1243" s="1889"/>
      <c r="H1243" s="1206">
        <f>(ROUND(((F1243))/D1243,0))+1</f>
        <v>3</v>
      </c>
      <c r="I1243" s="1206"/>
      <c r="J1243" s="1206"/>
      <c r="K1243" s="1206"/>
      <c r="L1243" s="1205">
        <f>E1243-0.02</f>
        <v>5.3800000000000008</v>
      </c>
      <c r="M1243" s="1205"/>
      <c r="N1243" s="1206">
        <f t="shared" si="128"/>
        <v>1.23</v>
      </c>
      <c r="O1243" s="1224">
        <f t="shared" si="129"/>
        <v>0.21241854000000002</v>
      </c>
      <c r="P1243" s="1905"/>
    </row>
    <row r="1244" spans="1:16" ht="15.75">
      <c r="A1244" s="1886"/>
      <c r="B1244" s="1305"/>
      <c r="C1244" s="1307"/>
      <c r="D1244" s="1205"/>
      <c r="E1244" s="1205"/>
      <c r="F1244" s="1205"/>
      <c r="G1244" s="1889"/>
      <c r="H1244" s="1206"/>
      <c r="I1244" s="1206"/>
      <c r="J1244" s="1206"/>
      <c r="K1244" s="1206"/>
      <c r="L1244" s="1205">
        <f>E1244-0.02*1+1.8+0.2</f>
        <v>1.98</v>
      </c>
      <c r="M1244" s="1205"/>
      <c r="N1244" s="1206">
        <f t="shared" si="128"/>
        <v>0</v>
      </c>
      <c r="O1244" s="1224">
        <f t="shared" si="129"/>
        <v>0</v>
      </c>
      <c r="P1244" s="1905"/>
    </row>
    <row r="1245" spans="1:16" ht="15.75">
      <c r="A1245" s="1886"/>
      <c r="B1245" s="1305">
        <v>0.375</v>
      </c>
      <c r="C1245" s="1307" t="s">
        <v>4863</v>
      </c>
      <c r="D1245" s="1205">
        <v>0.25</v>
      </c>
      <c r="E1245" s="1205">
        <v>5.4</v>
      </c>
      <c r="F1245" s="1205">
        <v>0.5</v>
      </c>
      <c r="G1245" s="1889"/>
      <c r="H1245" s="1206">
        <f>(ROUND(((F1245))/D1245,0))+1</f>
        <v>3</v>
      </c>
      <c r="I1245" s="1206"/>
      <c r="J1245" s="1206"/>
      <c r="K1245" s="1206"/>
      <c r="L1245" s="1205">
        <f>E1245-0.02*2</f>
        <v>5.36</v>
      </c>
      <c r="M1245" s="1205"/>
      <c r="N1245" s="1206">
        <f t="shared" si="128"/>
        <v>1.23</v>
      </c>
      <c r="O1245" s="1224">
        <f t="shared" si="129"/>
        <v>0.21162888000000002</v>
      </c>
      <c r="P1245" s="1905"/>
    </row>
    <row r="1246" spans="1:16" ht="15.75">
      <c r="A1246" s="1886"/>
      <c r="B1246" s="1305">
        <v>0.375</v>
      </c>
      <c r="C1246" s="1307" t="s">
        <v>4862</v>
      </c>
      <c r="D1246" s="1205">
        <v>0.25</v>
      </c>
      <c r="E1246" s="1205">
        <v>8.3000000000000007</v>
      </c>
      <c r="F1246" s="1205">
        <v>0.5</v>
      </c>
      <c r="G1246" s="1889"/>
      <c r="H1246" s="1206">
        <f t="shared" ref="H1246:H1248" si="130">(ROUND(((F1246))/D1246,0))+1</f>
        <v>3</v>
      </c>
      <c r="I1246" s="1206"/>
      <c r="J1246" s="1206"/>
      <c r="K1246" s="1206"/>
      <c r="L1246" s="1205">
        <f>E1246-0.02*2+0.476</f>
        <v>8.7360000000000007</v>
      </c>
      <c r="M1246" s="1205"/>
      <c r="N1246" s="1206">
        <f t="shared" si="128"/>
        <v>1.23</v>
      </c>
      <c r="O1246" s="1224">
        <f t="shared" si="129"/>
        <v>0.34492348800000006</v>
      </c>
      <c r="P1246" s="1905"/>
    </row>
    <row r="1247" spans="1:16" ht="15.75">
      <c r="A1247" s="1886"/>
      <c r="B1247" s="1305"/>
      <c r="C1247" s="1307"/>
      <c r="D1247" s="1205"/>
      <c r="E1247" s="1205"/>
      <c r="F1247" s="1205"/>
      <c r="G1247" s="1889"/>
      <c r="H1247" s="1206"/>
      <c r="I1247" s="1206"/>
      <c r="J1247" s="1206"/>
      <c r="K1247" s="1206"/>
      <c r="L1247" s="1205">
        <f>E1247-0.02*1+1.8+0.2</f>
        <v>1.98</v>
      </c>
      <c r="M1247" s="1205"/>
      <c r="N1247" s="1206">
        <f t="shared" si="128"/>
        <v>0</v>
      </c>
      <c r="O1247" s="1224">
        <f t="shared" si="129"/>
        <v>0</v>
      </c>
      <c r="P1247" s="1905"/>
    </row>
    <row r="1248" spans="1:16" ht="15.75">
      <c r="A1248" s="1886"/>
      <c r="B1248" s="1305">
        <v>0.375</v>
      </c>
      <c r="C1248" s="1307" t="s">
        <v>4862</v>
      </c>
      <c r="D1248" s="1205">
        <v>0.25</v>
      </c>
      <c r="E1248" s="1205">
        <v>8.3000000000000007</v>
      </c>
      <c r="F1248" s="1205">
        <v>0.5</v>
      </c>
      <c r="G1248" s="1889"/>
      <c r="H1248" s="1206">
        <f t="shared" si="130"/>
        <v>3</v>
      </c>
      <c r="I1248" s="1206"/>
      <c r="J1248" s="1206"/>
      <c r="K1248" s="1206"/>
      <c r="L1248" s="1205">
        <f>E1248-0.02*2+0.476</f>
        <v>8.7360000000000007</v>
      </c>
      <c r="M1248" s="1205"/>
      <c r="N1248" s="1206">
        <f t="shared" si="128"/>
        <v>1.23</v>
      </c>
      <c r="O1248" s="1224">
        <f t="shared" si="129"/>
        <v>0.34492348800000006</v>
      </c>
      <c r="P1248" s="1905"/>
    </row>
    <row r="1249" spans="1:16" ht="15.75">
      <c r="A1249" s="1887"/>
      <c r="B1249" s="1305"/>
      <c r="C1249" s="1307"/>
      <c r="D1249" s="1205"/>
      <c r="E1249" s="1205"/>
      <c r="F1249" s="1205"/>
      <c r="G1249" s="1890"/>
      <c r="H1249" s="1206"/>
      <c r="I1249" s="1206"/>
      <c r="J1249" s="1206"/>
      <c r="K1249" s="1206"/>
      <c r="L1249" s="1205">
        <f>E1249-0.02*1+1.8+0.2</f>
        <v>1.98</v>
      </c>
      <c r="M1249" s="1205"/>
      <c r="N1249" s="1206">
        <f t="shared" si="128"/>
        <v>0</v>
      </c>
      <c r="O1249" s="1224">
        <f t="shared" si="129"/>
        <v>0</v>
      </c>
      <c r="P1249" s="1906"/>
    </row>
    <row r="1250" spans="1:16" ht="15.75">
      <c r="A1250" s="1883">
        <f>G1242*A1242</f>
        <v>1.5239999999999998</v>
      </c>
      <c r="B1250" s="1883"/>
      <c r="C1250" s="1883"/>
      <c r="D1250" s="1883"/>
      <c r="E1250" s="1883"/>
      <c r="F1250" s="1883"/>
      <c r="G1250" s="1883"/>
      <c r="H1250" s="1883"/>
      <c r="I1250" s="1883"/>
      <c r="J1250" s="1883"/>
      <c r="K1250" s="1883"/>
      <c r="L1250" s="1883"/>
      <c r="M1250" s="1883"/>
      <c r="N1250" s="1883"/>
      <c r="O1250" s="1883"/>
      <c r="P1250" s="1883"/>
    </row>
    <row r="1251" spans="1:16">
      <c r="F1251" s="1492"/>
      <c r="H1251" s="1492"/>
      <c r="O1251" s="891">
        <f>SUM(O1242:O1249)</f>
        <v>1.1138943960000001</v>
      </c>
    </row>
    <row r="1252" spans="1:16">
      <c r="F1252" s="1492"/>
      <c r="H1252" s="1492"/>
      <c r="O1252" s="891"/>
    </row>
    <row r="1253" spans="1:16" ht="15.75" thickBot="1">
      <c r="A1253" s="1949" t="s">
        <v>5413</v>
      </c>
      <c r="B1253" s="1949"/>
      <c r="C1253" s="1949"/>
      <c r="D1253" s="1949"/>
      <c r="E1253" s="1949"/>
      <c r="F1253" s="1949"/>
      <c r="G1253" s="1949"/>
      <c r="H1253" s="1949"/>
      <c r="I1253" s="1949"/>
      <c r="J1253" s="1949"/>
      <c r="K1253" s="1949"/>
      <c r="L1253" s="1949"/>
      <c r="M1253" s="1949"/>
      <c r="N1253" s="1949"/>
      <c r="O1253" s="1949"/>
      <c r="P1253" s="1199" t="s">
        <v>4848</v>
      </c>
    </row>
    <row r="1254" spans="1:16" ht="26.25" thickBot="1">
      <c r="A1254" s="1304" t="s">
        <v>4849</v>
      </c>
      <c r="B1254" s="1200" t="s">
        <v>4850</v>
      </c>
      <c r="C1254" s="1201" t="s">
        <v>4851</v>
      </c>
      <c r="D1254" s="1201" t="s">
        <v>4852</v>
      </c>
      <c r="E1254" s="1201" t="s">
        <v>4853</v>
      </c>
      <c r="F1254" s="1202" t="s">
        <v>4854</v>
      </c>
      <c r="G1254" s="1201" t="s">
        <v>4855</v>
      </c>
      <c r="H1254" s="1202" t="s">
        <v>4856</v>
      </c>
      <c r="I1254" s="1202"/>
      <c r="J1254" s="1202"/>
      <c r="K1254" s="1202"/>
      <c r="L1254" s="1202" t="s">
        <v>4859</v>
      </c>
      <c r="M1254" s="1202"/>
      <c r="N1254" s="1202" t="s">
        <v>4860</v>
      </c>
      <c r="O1254" s="1201" t="s">
        <v>4</v>
      </c>
      <c r="P1254" s="1203" t="s">
        <v>4861</v>
      </c>
    </row>
    <row r="1255" spans="1:16" ht="15.75">
      <c r="A1255" s="1885">
        <v>0.15</v>
      </c>
      <c r="B1255" s="1305">
        <v>0.5</v>
      </c>
      <c r="C1255" s="1307" t="s">
        <v>4862</v>
      </c>
      <c r="D1255" s="1205">
        <v>0.2</v>
      </c>
      <c r="E1255" s="1205">
        <v>9.0500000000000007</v>
      </c>
      <c r="F1255" s="1205">
        <v>0.5</v>
      </c>
      <c r="G1255" s="1888">
        <f>8.7*0.5*2</f>
        <v>8.6999999999999993</v>
      </c>
      <c r="H1255" s="1206">
        <f>(ROUND(((F1255))/D1255,0))+1</f>
        <v>4</v>
      </c>
      <c r="I1255" s="1206"/>
      <c r="J1255" s="1206"/>
      <c r="K1255" s="1206"/>
      <c r="L1255" s="1205">
        <f>E1255-0.02*2+0.476</f>
        <v>9.4860000000000007</v>
      </c>
      <c r="M1255" s="1205"/>
      <c r="N1255" s="1206">
        <f>ROUND(PI()*((B1255*0.0254)^2)/4*7.85*2204.6,2)</f>
        <v>2.19</v>
      </c>
      <c r="O1255" s="1224">
        <f>+((L1255*H1255*N1255)/100)*1.07</f>
        <v>0.88914175200000012</v>
      </c>
      <c r="P1255" s="1904">
        <f>SUM(O1255:O1258)/(G1255*A1255)</f>
        <v>1.3626693517241382</v>
      </c>
    </row>
    <row r="1256" spans="1:16" ht="15.75">
      <c r="A1256" s="1886"/>
      <c r="B1256" s="1305">
        <v>0.5</v>
      </c>
      <c r="C1256" s="1307" t="s">
        <v>4862</v>
      </c>
      <c r="D1256" s="1205">
        <v>0.2</v>
      </c>
      <c r="E1256" s="1205">
        <v>9.0500000000000007</v>
      </c>
      <c r="F1256" s="1205">
        <v>0.5</v>
      </c>
      <c r="G1256" s="1889"/>
      <c r="H1256" s="1206">
        <f>(ROUND(((F1256))/D1256,0))+1</f>
        <v>4</v>
      </c>
      <c r="I1256" s="1206"/>
      <c r="J1256" s="1206"/>
      <c r="K1256" s="1206"/>
      <c r="L1256" s="1205">
        <f>E1256-0.02*2+0.476</f>
        <v>9.4860000000000007</v>
      </c>
      <c r="M1256" s="1205"/>
      <c r="N1256" s="1206">
        <f>ROUND(PI()*((B1256*0.0254)^2)/4*7.85*2204.6,2)</f>
        <v>2.19</v>
      </c>
      <c r="O1256" s="1224">
        <f>+((L1256*H1256*N1256)/100)*1.07</f>
        <v>0.88914175200000012</v>
      </c>
      <c r="P1256" s="1905"/>
    </row>
    <row r="1257" spans="1:16" ht="15.75">
      <c r="A1257" s="1886"/>
      <c r="B1257" s="1305"/>
      <c r="C1257" s="1307"/>
      <c r="D1257" s="1205"/>
      <c r="E1257" s="1205"/>
      <c r="F1257" s="1205"/>
      <c r="G1257" s="1889"/>
      <c r="H1257" s="1206"/>
      <c r="I1257" s="1206"/>
      <c r="J1257" s="1206"/>
      <c r="K1257" s="1206"/>
      <c r="L1257" s="1205"/>
      <c r="M1257" s="1205"/>
      <c r="N1257" s="1206"/>
      <c r="O1257" s="1224"/>
      <c r="P1257" s="1905"/>
    </row>
    <row r="1258" spans="1:16" ht="15.75">
      <c r="A1258" s="1887"/>
      <c r="B1258" s="1305"/>
      <c r="C1258" s="1307"/>
      <c r="D1258" s="1205"/>
      <c r="E1258" s="1205"/>
      <c r="F1258" s="1205"/>
      <c r="G1258" s="1890"/>
      <c r="H1258" s="1206"/>
      <c r="I1258" s="1206"/>
      <c r="J1258" s="1206"/>
      <c r="K1258" s="1206"/>
      <c r="L1258" s="1205"/>
      <c r="M1258" s="1205"/>
      <c r="N1258" s="1206"/>
      <c r="O1258" s="1205"/>
      <c r="P1258" s="1906"/>
    </row>
    <row r="1259" spans="1:16" ht="15.75">
      <c r="A1259" s="1883">
        <f>G1255*A1255</f>
        <v>1.3049999999999999</v>
      </c>
      <c r="B1259" s="1883"/>
      <c r="C1259" s="1883"/>
      <c r="D1259" s="1883"/>
      <c r="E1259" s="1883"/>
      <c r="F1259" s="1883"/>
      <c r="G1259" s="1883"/>
      <c r="H1259" s="1883"/>
      <c r="I1259" s="1883"/>
      <c r="J1259" s="1883"/>
      <c r="K1259" s="1883"/>
      <c r="L1259" s="1883"/>
      <c r="M1259" s="1883"/>
      <c r="N1259" s="1883"/>
      <c r="O1259" s="1883"/>
      <c r="P1259" s="1883"/>
    </row>
    <row r="1260" spans="1:16">
      <c r="F1260" s="1492"/>
      <c r="H1260" s="1492"/>
      <c r="O1260" s="891"/>
    </row>
    <row r="1262" spans="1:16" ht="15.75" thickBot="1">
      <c r="A1262" s="1949" t="s">
        <v>4798</v>
      </c>
      <c r="B1262" s="1949"/>
      <c r="C1262" s="1949"/>
      <c r="D1262" s="1949"/>
      <c r="E1262" s="1949"/>
      <c r="F1262" s="1949"/>
      <c r="G1262" s="1949"/>
      <c r="H1262" s="1949"/>
      <c r="I1262" s="1949"/>
      <c r="J1262" s="1949"/>
      <c r="K1262" s="1949"/>
      <c r="L1262" s="1949"/>
      <c r="M1262" s="1949"/>
      <c r="N1262" s="1949"/>
      <c r="O1262" s="1949"/>
      <c r="P1262" s="1641" t="s">
        <v>5414</v>
      </c>
    </row>
    <row r="1263" spans="1:16" ht="26.25" thickBot="1">
      <c r="A1263" s="1304" t="s">
        <v>4849</v>
      </c>
      <c r="B1263" s="1200" t="s">
        <v>4850</v>
      </c>
      <c r="C1263" s="1201" t="s">
        <v>4851</v>
      </c>
      <c r="D1263" s="1201" t="s">
        <v>4852</v>
      </c>
      <c r="E1263" s="1201" t="s">
        <v>4853</v>
      </c>
      <c r="F1263" s="1202" t="s">
        <v>4854</v>
      </c>
      <c r="G1263" s="1201" t="s">
        <v>4855</v>
      </c>
      <c r="H1263" s="1202" t="s">
        <v>4856</v>
      </c>
      <c r="I1263" s="1202" t="s">
        <v>4857</v>
      </c>
      <c r="J1263" s="1202" t="s">
        <v>4994</v>
      </c>
      <c r="K1263" s="1202" t="s">
        <v>4858</v>
      </c>
      <c r="L1263" s="1202" t="s">
        <v>4859</v>
      </c>
      <c r="M1263" s="1202" t="s">
        <v>4995</v>
      </c>
      <c r="N1263" s="1202" t="s">
        <v>4860</v>
      </c>
      <c r="O1263" s="1201" t="s">
        <v>4</v>
      </c>
      <c r="P1263" s="1203" t="s">
        <v>4861</v>
      </c>
    </row>
    <row r="1264" spans="1:16" ht="15.75">
      <c r="A1264" s="1885">
        <v>0.1</v>
      </c>
      <c r="B1264" s="1305">
        <v>0.375</v>
      </c>
      <c r="C1264" s="1204" t="s">
        <v>4862</v>
      </c>
      <c r="D1264" s="1205">
        <v>0.25</v>
      </c>
      <c r="E1264" s="1205">
        <v>2.62</v>
      </c>
      <c r="F1264" s="1205">
        <v>0.62</v>
      </c>
      <c r="G1264" s="1888">
        <f>0.62*2.62*2</f>
        <v>3.2488000000000001</v>
      </c>
      <c r="H1264" s="1206">
        <f>(ROUND(((F1264))/D1264,0))+1</f>
        <v>3</v>
      </c>
      <c r="I1264" s="1206"/>
      <c r="J1264" s="1206"/>
      <c r="K1264" s="1206"/>
      <c r="L1264" s="1205">
        <f>E1264+0.2-0.02*2</f>
        <v>2.7800000000000002</v>
      </c>
      <c r="M1264" s="1205"/>
      <c r="N1264" s="1206">
        <f>ROUND(PI()*((B1264*0.0254)^2)/4*7.85*2204.6,2)</f>
        <v>1.23</v>
      </c>
      <c r="O1264" s="1224">
        <f>+((L1264*H1264*N1264)/100)*1.07</f>
        <v>0.10976274000000001</v>
      </c>
      <c r="P1264" s="1957">
        <f>SUM(O1264:O1268)/(G1264*A1264)</f>
        <v>1.3708699827628663</v>
      </c>
    </row>
    <row r="1265" spans="1:16" ht="15.75">
      <c r="A1265" s="1886"/>
      <c r="B1265" s="1305">
        <v>0.375</v>
      </c>
      <c r="C1265" s="1204" t="s">
        <v>4863</v>
      </c>
      <c r="D1265" s="1205">
        <v>0.25</v>
      </c>
      <c r="E1265" s="1205">
        <v>0.62</v>
      </c>
      <c r="F1265" s="1205">
        <v>2.62</v>
      </c>
      <c r="G1265" s="1889"/>
      <c r="H1265" s="1206">
        <f>(ROUND(((F1265))/D1265,0))+1</f>
        <v>11</v>
      </c>
      <c r="I1265" s="1206"/>
      <c r="J1265" s="1206"/>
      <c r="K1265" s="1206"/>
      <c r="L1265" s="1205">
        <f>E1265-0.02*2+0.2</f>
        <v>0.78</v>
      </c>
      <c r="M1265" s="1205"/>
      <c r="N1265" s="1206">
        <f t="shared" ref="N1265:N1267" si="131">ROUND(PI()*((B1265*0.0254)^2)/4*7.85*2204.6,2)</f>
        <v>1.23</v>
      </c>
      <c r="O1265" s="1224">
        <f>+((L1265*H1265*N1265)/100)*1.07</f>
        <v>0.11292138000000002</v>
      </c>
      <c r="P1265" s="1958"/>
    </row>
    <row r="1266" spans="1:16" ht="15.75">
      <c r="A1266" s="1886"/>
      <c r="B1266" s="1305">
        <v>0.375</v>
      </c>
      <c r="C1266" s="1204" t="s">
        <v>4862</v>
      </c>
      <c r="D1266" s="1205">
        <v>0.25</v>
      </c>
      <c r="E1266" s="1205">
        <v>2.62</v>
      </c>
      <c r="F1266" s="1205">
        <v>0.62</v>
      </c>
      <c r="G1266" s="1889"/>
      <c r="H1266" s="1206">
        <f>(ROUND(((F1266))/D1266,0))+1</f>
        <v>3</v>
      </c>
      <c r="I1266" s="1207"/>
      <c r="J1266" s="1206"/>
      <c r="K1266" s="1206"/>
      <c r="L1266" s="1205">
        <f>E1266+0.2-0.02*2</f>
        <v>2.7800000000000002</v>
      </c>
      <c r="M1266" s="1205"/>
      <c r="N1266" s="1206">
        <f>ROUND(PI()*((B1266*0.0254)^2)/4*7.85*2204.6,2)</f>
        <v>1.23</v>
      </c>
      <c r="O1266" s="1224">
        <f>+((L1266*H1266*N1266)/100)*1.07</f>
        <v>0.10976274000000001</v>
      </c>
      <c r="P1266" s="1958"/>
    </row>
    <row r="1267" spans="1:16" ht="15.75">
      <c r="A1267" s="1886"/>
      <c r="B1267" s="1305">
        <v>0.375</v>
      </c>
      <c r="C1267" s="1204" t="s">
        <v>4862</v>
      </c>
      <c r="D1267" s="1205">
        <v>0.25</v>
      </c>
      <c r="E1267" s="1205">
        <v>0.62</v>
      </c>
      <c r="F1267" s="1205">
        <v>2.62</v>
      </c>
      <c r="G1267" s="1889"/>
      <c r="H1267" s="1206">
        <f>(ROUND(((F1267))/D1267,0))+1</f>
        <v>11</v>
      </c>
      <c r="I1267" s="1207"/>
      <c r="J1267" s="1206"/>
      <c r="K1267" s="1206"/>
      <c r="L1267" s="1205">
        <f>E1267-0.02*2+0.2</f>
        <v>0.78</v>
      </c>
      <c r="M1267" s="1205"/>
      <c r="N1267" s="1206">
        <f t="shared" si="131"/>
        <v>1.23</v>
      </c>
      <c r="O1267" s="1224">
        <f>+((L1267*H1267*N1267)/100)*1.07</f>
        <v>0.11292138000000002</v>
      </c>
      <c r="P1267" s="1958"/>
    </row>
    <row r="1268" spans="1:16" ht="15.75">
      <c r="A1268" s="1887"/>
      <c r="B1268" s="1305">
        <v>0.375</v>
      </c>
      <c r="C1268" s="1204" t="s">
        <v>4863</v>
      </c>
      <c r="D1268" s="1205"/>
      <c r="E1268" s="1205"/>
      <c r="F1268" s="1205"/>
      <c r="G1268" s="1890"/>
      <c r="H1268" s="1206"/>
      <c r="I1268" s="1207"/>
      <c r="J1268" s="1206"/>
      <c r="K1268" s="1206"/>
      <c r="L1268" s="1205"/>
      <c r="M1268" s="1205"/>
      <c r="N1268" s="1206"/>
      <c r="O1268" s="1205"/>
      <c r="P1268" s="1959"/>
    </row>
    <row r="1269" spans="1:16" ht="15.75">
      <c r="A1269" s="1883">
        <f>G1264*A1264</f>
        <v>0.32488000000000006</v>
      </c>
      <c r="B1269" s="1883"/>
      <c r="C1269" s="1883"/>
      <c r="D1269" s="1883"/>
      <c r="E1269" s="1883"/>
      <c r="F1269" s="1883"/>
      <c r="G1269" s="1883"/>
      <c r="H1269" s="1883"/>
      <c r="I1269" s="1883"/>
      <c r="J1269" s="1883"/>
      <c r="K1269" s="1883"/>
      <c r="L1269" s="1883"/>
      <c r="M1269" s="1883"/>
      <c r="N1269" s="1883"/>
      <c r="O1269" s="1883"/>
      <c r="P1269" s="1883"/>
    </row>
    <row r="1270" spans="1:16">
      <c r="O1270" s="891">
        <f>SUM(O1264:O1268)*8</f>
        <v>3.5629459200000007</v>
      </c>
    </row>
    <row r="1271" spans="1:16">
      <c r="B1271" s="892" t="s">
        <v>5415</v>
      </c>
      <c r="D1271" s="728">
        <f>A1269*8</f>
        <v>2.5990400000000005</v>
      </c>
      <c r="E1271" s="892" t="s">
        <v>1806</v>
      </c>
      <c r="F1271" s="728" t="s">
        <v>5018</v>
      </c>
      <c r="H1271" s="783">
        <f>O1270</f>
        <v>3.5629459200000007</v>
      </c>
      <c r="I1271" s="728">
        <f>H1271/D1271</f>
        <v>1.3708699827628663</v>
      </c>
      <c r="J1271" s="728" t="s">
        <v>4836</v>
      </c>
    </row>
    <row r="1274" spans="1:16" ht="15.75" thickBot="1">
      <c r="A1274" s="1960" t="s">
        <v>5436</v>
      </c>
      <c r="B1274" s="1960"/>
      <c r="C1274" s="1960"/>
      <c r="D1274" s="1960"/>
      <c r="E1274" s="1960"/>
      <c r="F1274" s="1960"/>
      <c r="G1274" s="1960"/>
      <c r="H1274" s="1960"/>
      <c r="I1274" s="1960"/>
      <c r="J1274" s="1960"/>
      <c r="K1274" s="1960"/>
      <c r="L1274" s="1960"/>
      <c r="M1274" s="1960"/>
      <c r="N1274" s="1960"/>
      <c r="O1274" s="1960"/>
      <c r="P1274" s="1641" t="s">
        <v>5030</v>
      </c>
    </row>
    <row r="1275" spans="1:16" ht="26.25" thickBot="1">
      <c r="A1275" s="1304" t="s">
        <v>4849</v>
      </c>
      <c r="B1275" s="1200" t="s">
        <v>4850</v>
      </c>
      <c r="C1275" s="1201" t="s">
        <v>4851</v>
      </c>
      <c r="D1275" s="1201" t="s">
        <v>4852</v>
      </c>
      <c r="E1275" s="1201" t="s">
        <v>4853</v>
      </c>
      <c r="F1275" s="1202" t="s">
        <v>4854</v>
      </c>
      <c r="G1275" s="1201" t="s">
        <v>4855</v>
      </c>
      <c r="H1275" s="1202" t="s">
        <v>4856</v>
      </c>
      <c r="I1275" s="1202"/>
      <c r="J1275" s="1202"/>
      <c r="K1275" s="1202"/>
      <c r="L1275" s="1202" t="s">
        <v>4859</v>
      </c>
      <c r="M1275" s="1202"/>
      <c r="N1275" s="1202" t="s">
        <v>4860</v>
      </c>
      <c r="O1275" s="1201" t="s">
        <v>4</v>
      </c>
      <c r="P1275" s="1203" t="s">
        <v>4861</v>
      </c>
    </row>
    <row r="1276" spans="1:16" ht="15.75">
      <c r="A1276" s="1885">
        <v>0.15</v>
      </c>
      <c r="B1276" s="1305">
        <v>0.375</v>
      </c>
      <c r="C1276" s="1307" t="s">
        <v>4862</v>
      </c>
      <c r="D1276" s="1205">
        <v>0.1</v>
      </c>
      <c r="E1276" s="1205">
        <v>2.4</v>
      </c>
      <c r="F1276" s="1205">
        <v>0.5</v>
      </c>
      <c r="G1276" s="1888">
        <f>2.4*0.5</f>
        <v>1.2</v>
      </c>
      <c r="H1276" s="1206">
        <f>(ROUND(((F1276))/D1276,0))+1</f>
        <v>6</v>
      </c>
      <c r="I1276" s="1206"/>
      <c r="J1276" s="1206"/>
      <c r="K1276" s="1206"/>
      <c r="L1276" s="1205">
        <f>E1276-0.02*2</f>
        <v>2.36</v>
      </c>
      <c r="M1276" s="1205"/>
      <c r="N1276" s="1206">
        <f>ROUND(PI()*((B1276*0.0254)^2)/4*7.85*2204.6,2)</f>
        <v>1.23</v>
      </c>
      <c r="O1276" s="1224">
        <f>+((L1276*H1276*N1276)/100)*1.07</f>
        <v>0.18635976000000001</v>
      </c>
      <c r="P1276" s="1904">
        <f>SUM(O1276:O1279)/(G1276*A1276)</f>
        <v>2.7462620000000002</v>
      </c>
    </row>
    <row r="1277" spans="1:16" ht="15.75">
      <c r="A1277" s="1886"/>
      <c r="B1277" s="1305">
        <v>0.375</v>
      </c>
      <c r="C1277" s="1307" t="s">
        <v>4862</v>
      </c>
      <c r="D1277" s="1205">
        <v>0.1</v>
      </c>
      <c r="E1277" s="1205">
        <v>0.5</v>
      </c>
      <c r="F1277" s="1205">
        <v>2.4</v>
      </c>
      <c r="G1277" s="1889"/>
      <c r="H1277" s="1206">
        <f>(ROUND(((F1277))/D1277,0))+1</f>
        <v>25</v>
      </c>
      <c r="I1277" s="1206"/>
      <c r="J1277" s="1206"/>
      <c r="K1277" s="1206"/>
      <c r="L1277" s="1205">
        <f>E1277-0.02*2+0.476</f>
        <v>0.93599999999999994</v>
      </c>
      <c r="M1277" s="1205"/>
      <c r="N1277" s="1206">
        <f>ROUND(PI()*((B1277*0.0254)^2)/4*7.85*2204.6,2)</f>
        <v>1.23</v>
      </c>
      <c r="O1277" s="1224">
        <f>+((L1277*H1277*N1277)/100)*1.07</f>
        <v>0.3079674</v>
      </c>
      <c r="P1277" s="1905"/>
    </row>
    <row r="1278" spans="1:16" ht="15.75">
      <c r="A1278" s="1886"/>
      <c r="B1278" s="1305"/>
      <c r="C1278" s="1307"/>
      <c r="D1278" s="1205"/>
      <c r="E1278" s="1205"/>
      <c r="F1278" s="1205"/>
      <c r="G1278" s="1889"/>
      <c r="H1278" s="1206"/>
      <c r="I1278" s="1206"/>
      <c r="J1278" s="1206"/>
      <c r="K1278" s="1206"/>
      <c r="L1278" s="1205"/>
      <c r="M1278" s="1205"/>
      <c r="N1278" s="1206"/>
      <c r="O1278" s="1224"/>
      <c r="P1278" s="1905"/>
    </row>
    <row r="1279" spans="1:16" ht="15.75">
      <c r="A1279" s="1887"/>
      <c r="B1279" s="1305"/>
      <c r="C1279" s="1307"/>
      <c r="D1279" s="1205"/>
      <c r="E1279" s="1205"/>
      <c r="F1279" s="1205"/>
      <c r="G1279" s="1890"/>
      <c r="H1279" s="1206"/>
      <c r="I1279" s="1206"/>
      <c r="J1279" s="1206"/>
      <c r="K1279" s="1206"/>
      <c r="L1279" s="1205"/>
      <c r="M1279" s="1205"/>
      <c r="N1279" s="1206"/>
      <c r="O1279" s="1205"/>
      <c r="P1279" s="1906"/>
    </row>
    <row r="1280" spans="1:16" ht="15.75">
      <c r="A1280" s="1883">
        <f>G1276*A1276</f>
        <v>0.18</v>
      </c>
      <c r="B1280" s="1883"/>
      <c r="C1280" s="1883"/>
      <c r="D1280" s="1883"/>
      <c r="E1280" s="1883"/>
      <c r="F1280" s="1883"/>
      <c r="G1280" s="1883"/>
      <c r="H1280" s="1883"/>
      <c r="I1280" s="1883"/>
      <c r="J1280" s="1883"/>
      <c r="K1280" s="1883"/>
      <c r="L1280" s="1883"/>
      <c r="M1280" s="1883"/>
      <c r="N1280" s="1883"/>
      <c r="O1280" s="1883"/>
      <c r="P1280" s="1883"/>
    </row>
    <row r="1281" spans="1:16">
      <c r="O1281" s="891">
        <f>SUM(O1276:O1279)*4</f>
        <v>1.97730864</v>
      </c>
    </row>
    <row r="1284" spans="1:16" ht="15.75" thickBot="1">
      <c r="A1284" s="1960" t="s">
        <v>5436</v>
      </c>
      <c r="B1284" s="1960"/>
      <c r="C1284" s="1960"/>
      <c r="D1284" s="1960"/>
      <c r="E1284" s="1960"/>
      <c r="F1284" s="1960"/>
      <c r="G1284" s="1960"/>
      <c r="H1284" s="1960"/>
      <c r="I1284" s="1960"/>
      <c r="J1284" s="1960"/>
      <c r="K1284" s="1960"/>
      <c r="L1284" s="1960"/>
      <c r="M1284" s="1960"/>
      <c r="N1284" s="1960"/>
      <c r="O1284" s="1960"/>
      <c r="P1284" s="1641" t="s">
        <v>5030</v>
      </c>
    </row>
    <row r="1285" spans="1:16" ht="26.25" thickBot="1">
      <c r="A1285" s="1304" t="s">
        <v>4849</v>
      </c>
      <c r="B1285" s="1200" t="s">
        <v>4850</v>
      </c>
      <c r="C1285" s="1201" t="s">
        <v>4851</v>
      </c>
      <c r="D1285" s="1201" t="s">
        <v>4852</v>
      </c>
      <c r="E1285" s="1201" t="s">
        <v>4853</v>
      </c>
      <c r="F1285" s="1202" t="s">
        <v>4854</v>
      </c>
      <c r="G1285" s="1201" t="s">
        <v>4855</v>
      </c>
      <c r="H1285" s="1202" t="s">
        <v>4856</v>
      </c>
      <c r="I1285" s="1202"/>
      <c r="J1285" s="1202"/>
      <c r="K1285" s="1202"/>
      <c r="L1285" s="1202" t="s">
        <v>4859</v>
      </c>
      <c r="M1285" s="1202"/>
      <c r="N1285" s="1202" t="s">
        <v>4860</v>
      </c>
      <c r="O1285" s="1201" t="s">
        <v>4</v>
      </c>
      <c r="P1285" s="1203" t="s">
        <v>4861</v>
      </c>
    </row>
    <row r="1286" spans="1:16" ht="15.75">
      <c r="A1286" s="1885">
        <v>0.15</v>
      </c>
      <c r="B1286" s="1305">
        <v>0.375</v>
      </c>
      <c r="C1286" s="1307" t="s">
        <v>4862</v>
      </c>
      <c r="D1286" s="1205">
        <v>0.1</v>
      </c>
      <c r="E1286" s="1205">
        <v>1.2</v>
      </c>
      <c r="F1286" s="1205">
        <v>0.5</v>
      </c>
      <c r="G1286" s="1888">
        <f>1.2*0.5</f>
        <v>0.6</v>
      </c>
      <c r="H1286" s="1206">
        <f>(ROUND(((F1286))/D1286,0))+1</f>
        <v>6</v>
      </c>
      <c r="I1286" s="1206"/>
      <c r="J1286" s="1206"/>
      <c r="K1286" s="1206"/>
      <c r="L1286" s="1205">
        <f>E1286-0.02*2+0.476</f>
        <v>1.6359999999999999</v>
      </c>
      <c r="M1286" s="1205"/>
      <c r="N1286" s="1206">
        <f>ROUND(PI()*((B1286*0.0254)^2)/4*7.85*2204.6,2)</f>
        <v>1.23</v>
      </c>
      <c r="O1286" s="1224">
        <f>+((L1286*H1286*N1286)/100)*1.07</f>
        <v>0.12918837599999999</v>
      </c>
      <c r="P1286" s="1904">
        <f>SUM(O1286:O1289)/(G1286*A1286)</f>
        <v>2.3099017333333336</v>
      </c>
    </row>
    <row r="1287" spans="1:16" ht="15.75">
      <c r="A1287" s="1886"/>
      <c r="B1287" s="1305">
        <v>0.375</v>
      </c>
      <c r="C1287" s="1307" t="s">
        <v>4862</v>
      </c>
      <c r="D1287" s="1205">
        <v>0.1</v>
      </c>
      <c r="E1287" s="1205">
        <v>0.5</v>
      </c>
      <c r="F1287" s="1205">
        <v>1.2</v>
      </c>
      <c r="G1287" s="1889"/>
      <c r="H1287" s="1206">
        <f>(ROUND(((F1287))/D1287,0))+1</f>
        <v>13</v>
      </c>
      <c r="I1287" s="1206"/>
      <c r="J1287" s="1206"/>
      <c r="K1287" s="1206"/>
      <c r="L1287" s="1205">
        <f>E1287-0.02*2</f>
        <v>0.46</v>
      </c>
      <c r="M1287" s="1205"/>
      <c r="N1287" s="1206">
        <f>ROUND(PI()*((B1287*0.0254)^2)/4*7.85*2204.6,2)</f>
        <v>1.23</v>
      </c>
      <c r="O1287" s="1224">
        <f>+((L1287*H1287*N1287)/100)*1.07</f>
        <v>7.8702780000000014E-2</v>
      </c>
      <c r="P1287" s="1905"/>
    </row>
    <row r="1288" spans="1:16" ht="15.75">
      <c r="A1288" s="1886"/>
      <c r="B1288" s="1305"/>
      <c r="C1288" s="1307"/>
      <c r="D1288" s="1205"/>
      <c r="E1288" s="1205"/>
      <c r="F1288" s="1205"/>
      <c r="G1288" s="1889"/>
      <c r="H1288" s="1206"/>
      <c r="I1288" s="1206"/>
      <c r="J1288" s="1206"/>
      <c r="K1288" s="1206"/>
      <c r="L1288" s="1205"/>
      <c r="M1288" s="1205"/>
      <c r="N1288" s="1206"/>
      <c r="O1288" s="1224"/>
      <c r="P1288" s="1905"/>
    </row>
    <row r="1289" spans="1:16" ht="15.75">
      <c r="A1289" s="1887"/>
      <c r="B1289" s="1305"/>
      <c r="C1289" s="1307"/>
      <c r="D1289" s="1205"/>
      <c r="E1289" s="1205"/>
      <c r="F1289" s="1205"/>
      <c r="G1289" s="1890"/>
      <c r="H1289" s="1206"/>
      <c r="I1289" s="1206"/>
      <c r="J1289" s="1206"/>
      <c r="K1289" s="1206"/>
      <c r="L1289" s="1205"/>
      <c r="M1289" s="1205"/>
      <c r="N1289" s="1206"/>
      <c r="O1289" s="1205"/>
      <c r="P1289" s="1906"/>
    </row>
    <row r="1290" spans="1:16" ht="15.75">
      <c r="A1290" s="1883">
        <f>G1286*A1286</f>
        <v>0.09</v>
      </c>
      <c r="B1290" s="1883"/>
      <c r="C1290" s="1883"/>
      <c r="D1290" s="1883"/>
      <c r="E1290" s="1883"/>
      <c r="F1290" s="1883"/>
      <c r="G1290" s="1883"/>
      <c r="H1290" s="1883"/>
      <c r="I1290" s="1883"/>
      <c r="J1290" s="1883"/>
      <c r="K1290" s="1883"/>
      <c r="L1290" s="1883"/>
      <c r="M1290" s="1883"/>
      <c r="N1290" s="1883"/>
      <c r="O1290" s="1883"/>
      <c r="P1290" s="1883"/>
    </row>
    <row r="1291" spans="1:16">
      <c r="O1291" s="891">
        <f>SUM(O1286:O1289)*4</f>
        <v>0.83156462400000009</v>
      </c>
    </row>
    <row r="1292" spans="1:16">
      <c r="C1292" s="892" t="s">
        <v>5420</v>
      </c>
      <c r="E1292" s="728">
        <f>A1280*4+A1290*4</f>
        <v>1.08</v>
      </c>
      <c r="F1292" s="892" t="s">
        <v>1806</v>
      </c>
      <c r="G1292" s="728" t="s">
        <v>5018</v>
      </c>
      <c r="I1292" s="783">
        <f>O1281+O1291</f>
        <v>2.8088732639999998</v>
      </c>
      <c r="J1292" s="728">
        <f>I1292/E1292</f>
        <v>2.6008085777777774</v>
      </c>
      <c r="K1292" s="728" t="s">
        <v>4836</v>
      </c>
    </row>
    <row r="1296" spans="1:16" ht="15.75" thickBot="1">
      <c r="A1296" s="1960" t="s">
        <v>5434</v>
      </c>
      <c r="B1296" s="1960"/>
      <c r="C1296" s="1960"/>
      <c r="D1296" s="1960"/>
      <c r="E1296" s="1960"/>
      <c r="F1296" s="1960"/>
      <c r="G1296" s="1960"/>
      <c r="H1296" s="1960"/>
      <c r="I1296" s="1960"/>
      <c r="J1296" s="1960"/>
      <c r="K1296" s="1960"/>
      <c r="L1296" s="1960"/>
      <c r="M1296" s="1960"/>
      <c r="N1296" s="1960"/>
      <c r="O1296" s="1960"/>
      <c r="P1296" s="1646" t="s">
        <v>5414</v>
      </c>
    </row>
    <row r="1297" spans="1:16" ht="26.25" thickBot="1">
      <c r="A1297" s="1304" t="s">
        <v>4849</v>
      </c>
      <c r="B1297" s="1200" t="s">
        <v>4850</v>
      </c>
      <c r="C1297" s="1201" t="s">
        <v>4851</v>
      </c>
      <c r="D1297" s="1201" t="s">
        <v>4852</v>
      </c>
      <c r="E1297" s="1201" t="s">
        <v>4853</v>
      </c>
      <c r="F1297" s="1202" t="s">
        <v>4854</v>
      </c>
      <c r="G1297" s="1201" t="s">
        <v>4855</v>
      </c>
      <c r="H1297" s="1202" t="s">
        <v>4856</v>
      </c>
      <c r="I1297" s="1202"/>
      <c r="J1297" s="1202"/>
      <c r="K1297" s="1202"/>
      <c r="L1297" s="1202" t="s">
        <v>4859</v>
      </c>
      <c r="M1297" s="1202"/>
      <c r="N1297" s="1202" t="s">
        <v>4860</v>
      </c>
      <c r="O1297" s="1201" t="s">
        <v>4</v>
      </c>
      <c r="P1297" s="1203" t="s">
        <v>4861</v>
      </c>
    </row>
    <row r="1298" spans="1:16" ht="15.75">
      <c r="A1298" s="1885">
        <v>0.15</v>
      </c>
      <c r="B1298" s="1305">
        <v>0.375</v>
      </c>
      <c r="C1298" s="1307" t="s">
        <v>4862</v>
      </c>
      <c r="D1298" s="1205">
        <v>0.15</v>
      </c>
      <c r="E1298" s="1205">
        <f>0.5</f>
        <v>0.5</v>
      </c>
      <c r="F1298" s="1205">
        <v>1.73</v>
      </c>
      <c r="G1298" s="1888">
        <f>1.73*0.5</f>
        <v>0.86499999999999999</v>
      </c>
      <c r="H1298" s="1206">
        <f>(ROUND(((F1298))/D1298,0))+1</f>
        <v>13</v>
      </c>
      <c r="I1298" s="1206"/>
      <c r="J1298" s="1206"/>
      <c r="K1298" s="1206"/>
      <c r="L1298" s="1205">
        <f>E1298-0.02+0.4+12*$M$597*2</f>
        <v>1.1086</v>
      </c>
      <c r="M1298" s="1205"/>
      <c r="N1298" s="1206">
        <f>ROUND(PI()*((B1298*0.0254)^2)/4*7.85*2204.6,2)</f>
        <v>1.23</v>
      </c>
      <c r="O1298" s="1224">
        <f>+((L1298*H1298*N1298)/100)*1.07</f>
        <v>0.18967369979999998</v>
      </c>
      <c r="P1298" s="1904">
        <f>SUM(O1298:O1301)/(G1298*A1298)</f>
        <v>2.1475303260115606</v>
      </c>
    </row>
    <row r="1299" spans="1:16" ht="15.75">
      <c r="A1299" s="1886"/>
      <c r="B1299" s="1305">
        <v>0.375</v>
      </c>
      <c r="C1299" s="1307" t="s">
        <v>4862</v>
      </c>
      <c r="D1299" s="1205"/>
      <c r="E1299" s="1205">
        <f>1.73</f>
        <v>1.73</v>
      </c>
      <c r="F1299" s="1205"/>
      <c r="G1299" s="1889"/>
      <c r="H1299" s="1206">
        <v>4</v>
      </c>
      <c r="I1299" s="1206"/>
      <c r="J1299" s="1206"/>
      <c r="K1299" s="1206"/>
      <c r="L1299" s="1205">
        <f>E1299-0.02*2</f>
        <v>1.69</v>
      </c>
      <c r="M1299" s="1205"/>
      <c r="N1299" s="1206">
        <f>ROUND(PI()*((B1299*0.0254)^2)/4*7.85*2204.6,2)</f>
        <v>1.23</v>
      </c>
      <c r="O1299" s="1224">
        <f>+((L1299*H1299*N1299)/100)*1.07</f>
        <v>8.896836000000001E-2</v>
      </c>
      <c r="P1299" s="1905"/>
    </row>
    <row r="1300" spans="1:16" ht="15.75">
      <c r="A1300" s="1886"/>
      <c r="B1300" s="1305"/>
      <c r="C1300" s="1307"/>
      <c r="D1300" s="1205"/>
      <c r="E1300" s="1205"/>
      <c r="F1300" s="1205"/>
      <c r="G1300" s="1889"/>
      <c r="H1300" s="1206"/>
      <c r="I1300" s="1206"/>
      <c r="J1300" s="1206"/>
      <c r="K1300" s="1206"/>
      <c r="L1300" s="1205"/>
      <c r="M1300" s="1205"/>
      <c r="N1300" s="1206"/>
      <c r="O1300" s="1224"/>
      <c r="P1300" s="1905"/>
    </row>
    <row r="1301" spans="1:16" ht="15.75">
      <c r="A1301" s="1887"/>
      <c r="B1301" s="1305"/>
      <c r="C1301" s="1307"/>
      <c r="D1301" s="1205"/>
      <c r="E1301" s="1205"/>
      <c r="F1301" s="1205"/>
      <c r="G1301" s="1890"/>
      <c r="H1301" s="1206"/>
      <c r="I1301" s="1206"/>
      <c r="J1301" s="1206"/>
      <c r="K1301" s="1206"/>
      <c r="L1301" s="1205"/>
      <c r="M1301" s="1205"/>
      <c r="N1301" s="1206"/>
      <c r="O1301" s="1205"/>
      <c r="P1301" s="1906"/>
    </row>
    <row r="1302" spans="1:16" ht="15.75">
      <c r="A1302" s="1883">
        <f>G1298*A1298*2</f>
        <v>0.25950000000000001</v>
      </c>
      <c r="B1302" s="1883"/>
      <c r="C1302" s="1883"/>
      <c r="D1302" s="1883"/>
      <c r="E1302" s="1883"/>
      <c r="F1302" s="1883"/>
      <c r="G1302" s="1883"/>
      <c r="H1302" s="1883"/>
      <c r="I1302" s="1883"/>
      <c r="J1302" s="1883"/>
      <c r="K1302" s="1883"/>
      <c r="L1302" s="1883"/>
      <c r="M1302" s="1883"/>
      <c r="N1302" s="1883"/>
      <c r="O1302" s="1883"/>
      <c r="P1302" s="1883"/>
    </row>
    <row r="1303" spans="1:16">
      <c r="O1303" s="891">
        <f>SUM(O1298:O1301)*2</f>
        <v>0.55728411960000002</v>
      </c>
    </row>
    <row r="1304" spans="1:16">
      <c r="C1304" s="892" t="s">
        <v>5420</v>
      </c>
      <c r="E1304" s="728">
        <f>A1302*8</f>
        <v>2.0760000000000001</v>
      </c>
      <c r="F1304" s="892" t="s">
        <v>1806</v>
      </c>
      <c r="G1304" s="728" t="s">
        <v>5018</v>
      </c>
      <c r="I1304" s="783">
        <f>O1303*8</f>
        <v>4.4582729568000001</v>
      </c>
      <c r="J1304" s="728">
        <f>I1304/E1304</f>
        <v>2.1475303260115606</v>
      </c>
      <c r="K1304" s="728" t="s">
        <v>4836</v>
      </c>
    </row>
    <row r="1308" spans="1:16" ht="15.75" thickBot="1">
      <c r="A1308" s="1960" t="s">
        <v>5435</v>
      </c>
      <c r="B1308" s="1960"/>
      <c r="C1308" s="1960"/>
      <c r="D1308" s="1960"/>
      <c r="E1308" s="1960"/>
      <c r="F1308" s="1960"/>
      <c r="G1308" s="1960"/>
      <c r="H1308" s="1960"/>
      <c r="I1308" s="1960"/>
      <c r="J1308" s="1960"/>
      <c r="K1308" s="1960"/>
      <c r="L1308" s="1960"/>
      <c r="M1308" s="1960"/>
      <c r="N1308" s="1960"/>
      <c r="O1308" s="1960"/>
      <c r="P1308" s="1641" t="s">
        <v>5030</v>
      </c>
    </row>
    <row r="1309" spans="1:16" ht="26.25" thickBot="1">
      <c r="A1309" s="1304" t="s">
        <v>4849</v>
      </c>
      <c r="B1309" s="1200" t="s">
        <v>4850</v>
      </c>
      <c r="C1309" s="1201" t="s">
        <v>4851</v>
      </c>
      <c r="D1309" s="1201" t="s">
        <v>4852</v>
      </c>
      <c r="E1309" s="1201" t="s">
        <v>4853</v>
      </c>
      <c r="F1309" s="1202" t="s">
        <v>4854</v>
      </c>
      <c r="G1309" s="1201" t="s">
        <v>4855</v>
      </c>
      <c r="H1309" s="1202" t="s">
        <v>4856</v>
      </c>
      <c r="I1309" s="1202"/>
      <c r="J1309" s="1202"/>
      <c r="K1309" s="1202"/>
      <c r="L1309" s="1202" t="s">
        <v>4859</v>
      </c>
      <c r="M1309" s="1202"/>
      <c r="N1309" s="1202" t="s">
        <v>4860</v>
      </c>
      <c r="O1309" s="1201" t="s">
        <v>4</v>
      </c>
      <c r="P1309" s="1203" t="s">
        <v>4861</v>
      </c>
    </row>
    <row r="1310" spans="1:16" ht="15.75">
      <c r="A1310" s="1885">
        <v>0.15</v>
      </c>
      <c r="B1310" s="1305">
        <v>0.375</v>
      </c>
      <c r="C1310" s="1307" t="s">
        <v>4862</v>
      </c>
      <c r="D1310" s="1205">
        <v>0.15</v>
      </c>
      <c r="E1310" s="1205">
        <f>0.5</f>
        <v>0.5</v>
      </c>
      <c r="F1310" s="1205">
        <v>6.55</v>
      </c>
      <c r="G1310" s="1888">
        <f>6.54*0.5</f>
        <v>3.27</v>
      </c>
      <c r="H1310" s="1206">
        <f>(ROUND(((F1310))/D1310,0))+1</f>
        <v>45</v>
      </c>
      <c r="I1310" s="1206"/>
      <c r="J1310" s="1206"/>
      <c r="K1310" s="1206"/>
      <c r="L1310" s="1205">
        <f>E1310-0.02+0.4+12*$M$597*2</f>
        <v>1.1086</v>
      </c>
      <c r="M1310" s="1205"/>
      <c r="N1310" s="1206">
        <f>ROUND(PI()*((B1310*0.0254)^2)/4*7.85*2204.6,2)</f>
        <v>1.23</v>
      </c>
      <c r="O1310" s="1224">
        <f>+((L1310*H1310*N1310)/100)*1.07</f>
        <v>0.65656280700000014</v>
      </c>
      <c r="P1310" s="1904">
        <f>SUM(O1310:O1313)/(G1310*A1310)</f>
        <v>2.0872728868501533</v>
      </c>
    </row>
    <row r="1311" spans="1:16" ht="15.75">
      <c r="A1311" s="1886"/>
      <c r="B1311" s="1305">
        <v>0.375</v>
      </c>
      <c r="C1311" s="1307" t="s">
        <v>4862</v>
      </c>
      <c r="D1311" s="1205"/>
      <c r="E1311" s="1205">
        <f>6.54</f>
        <v>6.54</v>
      </c>
      <c r="F1311" s="1205"/>
      <c r="G1311" s="1889"/>
      <c r="H1311" s="1206">
        <v>4</v>
      </c>
      <c r="I1311" s="1206"/>
      <c r="J1311" s="1206"/>
      <c r="K1311" s="1206"/>
      <c r="L1311" s="1205">
        <f>E1311-0.02*2+0.476</f>
        <v>6.976</v>
      </c>
      <c r="M1311" s="1205"/>
      <c r="N1311" s="1206">
        <f>ROUND(PI()*((B1311*0.0254)^2)/4*7.85*2204.6,2)</f>
        <v>1.23</v>
      </c>
      <c r="O1311" s="1224">
        <f>+((L1311*H1311*N1311)/100)*1.07</f>
        <v>0.36724454400000001</v>
      </c>
      <c r="P1311" s="1905"/>
    </row>
    <row r="1312" spans="1:16" ht="15.75">
      <c r="A1312" s="1886"/>
      <c r="B1312" s="1305"/>
      <c r="C1312" s="1307"/>
      <c r="D1312" s="1205"/>
      <c r="E1312" s="1205"/>
      <c r="F1312" s="1205"/>
      <c r="G1312" s="1889"/>
      <c r="H1312" s="1206"/>
      <c r="I1312" s="1206"/>
      <c r="J1312" s="1206"/>
      <c r="K1312" s="1206"/>
      <c r="L1312" s="1205"/>
      <c r="M1312" s="1205"/>
      <c r="N1312" s="1206"/>
      <c r="O1312" s="1224"/>
      <c r="P1312" s="1905"/>
    </row>
    <row r="1313" spans="1:17" ht="15.75">
      <c r="A1313" s="1887"/>
      <c r="B1313" s="1305"/>
      <c r="C1313" s="1307"/>
      <c r="D1313" s="1205"/>
      <c r="E1313" s="1205"/>
      <c r="F1313" s="1205"/>
      <c r="G1313" s="1890"/>
      <c r="H1313" s="1206"/>
      <c r="I1313" s="1206"/>
      <c r="J1313" s="1206"/>
      <c r="K1313" s="1206"/>
      <c r="L1313" s="1205"/>
      <c r="M1313" s="1205"/>
      <c r="N1313" s="1206"/>
      <c r="O1313" s="1205"/>
      <c r="P1313" s="1906"/>
    </row>
    <row r="1314" spans="1:17" ht="15.75">
      <c r="A1314" s="1883">
        <f>G1310*A1310*2</f>
        <v>0.98099999999999998</v>
      </c>
      <c r="B1314" s="1883"/>
      <c r="C1314" s="1883"/>
      <c r="D1314" s="1883"/>
      <c r="E1314" s="1883"/>
      <c r="F1314" s="1883"/>
      <c r="G1314" s="1883"/>
      <c r="H1314" s="1883"/>
      <c r="I1314" s="1883"/>
      <c r="J1314" s="1883"/>
      <c r="K1314" s="1883"/>
      <c r="L1314" s="1883"/>
      <c r="M1314" s="1883"/>
      <c r="N1314" s="1883"/>
      <c r="O1314" s="1883"/>
      <c r="P1314" s="1883"/>
    </row>
    <row r="1315" spans="1:17">
      <c r="O1315" s="891">
        <f>SUM(O1310:O1313)*2</f>
        <v>2.0476147020000002</v>
      </c>
    </row>
    <row r="1316" spans="1:17">
      <c r="C1316" s="892" t="s">
        <v>5420</v>
      </c>
      <c r="E1316" s="728">
        <f>A1314*4</f>
        <v>3.9239999999999999</v>
      </c>
      <c r="F1316" s="892" t="s">
        <v>1806</v>
      </c>
      <c r="G1316" s="728" t="s">
        <v>5018</v>
      </c>
      <c r="I1316" s="783">
        <f>O1315*4</f>
        <v>8.1904588080000007</v>
      </c>
      <c r="J1316" s="728">
        <f>I1316/E1316</f>
        <v>2.0872728868501533</v>
      </c>
      <c r="K1316" s="728" t="s">
        <v>4836</v>
      </c>
    </row>
    <row r="1318" spans="1:17">
      <c r="F1318" s="1647" t="s">
        <v>5437</v>
      </c>
      <c r="G1318" s="728">
        <f>E1316+E1304</f>
        <v>6</v>
      </c>
    </row>
    <row r="1319" spans="1:17">
      <c r="G1319" s="783">
        <f>I1304+I1316</f>
        <v>12.648731764800001</v>
      </c>
    </row>
    <row r="1320" spans="1:17">
      <c r="G1320" s="1648">
        <f>G1319/G1318</f>
        <v>2.1081219608000001</v>
      </c>
      <c r="H1320" s="1648" t="s">
        <v>4836</v>
      </c>
    </row>
    <row r="1322" spans="1:17">
      <c r="A1322" s="1908" t="s">
        <v>5441</v>
      </c>
      <c r="B1322" s="1908"/>
      <c r="C1322" s="1908"/>
      <c r="D1322" s="1908"/>
      <c r="E1322" s="1908"/>
      <c r="F1322" s="1908"/>
      <c r="G1322" s="1908"/>
      <c r="H1322" s="1908"/>
      <c r="I1322" s="1908"/>
      <c r="J1322" s="1908"/>
      <c r="K1322" s="1908"/>
      <c r="L1322" s="1908"/>
      <c r="M1322" s="1908"/>
      <c r="N1322" s="1908"/>
      <c r="O1322" s="1908"/>
      <c r="P1322" s="1908"/>
      <c r="Q1322" s="1908"/>
    </row>
    <row r="1323" spans="1:17" ht="51">
      <c r="A1323" s="1176" t="s">
        <v>4809</v>
      </c>
      <c r="B1323" s="1176" t="s">
        <v>4810</v>
      </c>
      <c r="C1323" s="1176" t="s">
        <v>4811</v>
      </c>
      <c r="D1323" s="1176" t="s">
        <v>4544</v>
      </c>
      <c r="E1323" s="1176" t="s">
        <v>4812</v>
      </c>
      <c r="F1323" s="1176" t="s">
        <v>4813</v>
      </c>
      <c r="G1323" s="1176" t="s">
        <v>4814</v>
      </c>
      <c r="H1323" s="1177" t="s">
        <v>4815</v>
      </c>
      <c r="I1323" s="1176" t="s">
        <v>4816</v>
      </c>
      <c r="J1323" s="1176" t="s">
        <v>4817</v>
      </c>
      <c r="K1323" s="1176" t="s">
        <v>4818</v>
      </c>
      <c r="L1323" s="1176" t="s">
        <v>4819</v>
      </c>
      <c r="M1323" s="1177" t="s">
        <v>4820</v>
      </c>
      <c r="N1323" s="1176" t="s">
        <v>4821</v>
      </c>
      <c r="O1323" s="1176" t="s">
        <v>4822</v>
      </c>
      <c r="P1323" s="1177" t="s">
        <v>4815</v>
      </c>
      <c r="Q1323" s="1177" t="s">
        <v>4816</v>
      </c>
    </row>
    <row r="1324" spans="1:17">
      <c r="A1324" s="1178" t="s">
        <v>5442</v>
      </c>
      <c r="B1324" s="1179">
        <v>1</v>
      </c>
      <c r="C1324" s="1180">
        <v>0.2</v>
      </c>
      <c r="D1324" s="1181">
        <f>1/(C1324*E1324)</f>
        <v>12.499999999999998</v>
      </c>
      <c r="E1324" s="1182">
        <v>0.4</v>
      </c>
      <c r="F1324" s="1183">
        <v>2</v>
      </c>
      <c r="G1324" s="1182">
        <f>D1324-0.05+2*0.2</f>
        <v>12.849999999999998</v>
      </c>
      <c r="H1324" s="1184">
        <f>ROUND(PI()*(((3/8)*0.0254)^2)/4*7.85*2204.6,2)</f>
        <v>1.23</v>
      </c>
      <c r="I1324" s="1182">
        <f>((B1324*H1324*G1324*F1324)/100)*1.07</f>
        <v>0.33823769999999997</v>
      </c>
      <c r="J1324" s="1182">
        <f>E1324*D1324*C1324</f>
        <v>1</v>
      </c>
      <c r="K1324" s="1185">
        <v>0.375</v>
      </c>
      <c r="L1324" s="1186" t="s">
        <v>4823</v>
      </c>
      <c r="M1324" s="1187">
        <v>0.15</v>
      </c>
      <c r="N1324" s="1188">
        <f>ROUNDUP((D1324/M1324)+1,0)</f>
        <v>85</v>
      </c>
      <c r="O1324" s="1189">
        <f>ROUND((2*(12*(3/8*0.0254)+0.2-0.025-0.025+0.4-0.025-0.025)),2)</f>
        <v>1.23</v>
      </c>
      <c r="P1324" s="1184">
        <f>ROUND(PI()*(((3/8)*0.0254)^2)/4*7.85*2204.6,2)</f>
        <v>1.23</v>
      </c>
      <c r="Q1324" s="1182">
        <f>((P1324*O1324*N1324)/100)*1.07</f>
        <v>1.37598255</v>
      </c>
    </row>
    <row r="1325" spans="1:17">
      <c r="A1325" s="1649"/>
      <c r="B1325" s="1650"/>
      <c r="C1325" s="1651"/>
      <c r="D1325" s="1652"/>
      <c r="E1325" s="1653"/>
      <c r="F1325" s="1183">
        <v>5</v>
      </c>
      <c r="G1325" s="1182">
        <f>D1324-0.05+2*0.2+0.15</f>
        <v>12.999999999999998</v>
      </c>
      <c r="H1325" s="1184">
        <f>ROUND(PI()*(((1/2)*0.0254)^2)/4*7.85*2204.6,2)</f>
        <v>2.19</v>
      </c>
      <c r="I1325" s="1182">
        <f>((B1324*H1325*G1325*F1325)/100)*1.07</f>
        <v>1.5231449999999997</v>
      </c>
      <c r="J1325" s="1182">
        <f>E1325*D1325*C1325</f>
        <v>0</v>
      </c>
      <c r="K1325" s="1655"/>
      <c r="L1325" s="1656"/>
      <c r="M1325" s="1657"/>
      <c r="N1325" s="1658"/>
      <c r="O1325" s="1659"/>
      <c r="P1325" s="1654"/>
      <c r="Q1325" s="1653"/>
    </row>
    <row r="1326" spans="1:17">
      <c r="A1326" s="1909"/>
      <c r="B1326" s="1909"/>
      <c r="C1326" s="1909"/>
      <c r="D1326" s="1909"/>
      <c r="E1326" s="1190"/>
      <c r="F1326" s="1190"/>
      <c r="G1326" s="1190"/>
      <c r="H1326" s="1191"/>
      <c r="I1326" s="1192">
        <f>I1324+I1325</f>
        <v>1.8613826999999996</v>
      </c>
      <c r="J1326" s="1192"/>
      <c r="K1326" s="1190"/>
      <c r="L1326" s="1193"/>
      <c r="M1326" s="1191"/>
      <c r="N1326" s="1193"/>
      <c r="O1326" s="1193"/>
      <c r="P1326" s="1191"/>
      <c r="Q1326" s="1194">
        <f>Q1324</f>
        <v>1.37598255</v>
      </c>
    </row>
    <row r="1328" spans="1:17" ht="15.75">
      <c r="D1328" s="1909" t="s">
        <v>4824</v>
      </c>
      <c r="E1328" s="1909"/>
      <c r="F1328" s="1909"/>
      <c r="G1328" s="1909"/>
      <c r="H1328" s="1195">
        <f>I1326+Q1326</f>
        <v>3.2373652499999999</v>
      </c>
    </row>
    <row r="1329" spans="1:14">
      <c r="F1329" s="1660" t="s">
        <v>5443</v>
      </c>
      <c r="G1329" s="783">
        <f>(3*8+6.15*4)*0.2*0.4*1.1</f>
        <v>4.2768000000000006</v>
      </c>
      <c r="H1329" s="1647" t="s">
        <v>5449</v>
      </c>
    </row>
    <row r="1330" spans="1:14">
      <c r="F1330" s="1660" t="s">
        <v>5443</v>
      </c>
      <c r="G1330" s="783">
        <f>(3*8+6.55*4)*0.2*0.4*1.1</f>
        <v>4.4176000000000011</v>
      </c>
      <c r="H1330" s="1647" t="s">
        <v>5450</v>
      </c>
    </row>
    <row r="1337" spans="1:14" ht="18.75">
      <c r="A1337" s="1227" t="s">
        <v>4883</v>
      </c>
      <c r="B1337" s="1227"/>
      <c r="C1337" s="1227"/>
      <c r="D1337" s="1227"/>
      <c r="E1337" s="1227"/>
      <c r="F1337" s="1227"/>
      <c r="G1337" s="1227"/>
      <c r="H1337" s="1227"/>
      <c r="I1337" s="1227"/>
    </row>
    <row r="1338" spans="1:14">
      <c r="B1338" s="1950" t="s">
        <v>4884</v>
      </c>
      <c r="C1338" s="1951"/>
      <c r="E1338" s="1228"/>
      <c r="F1338" s="1952" t="s">
        <v>4885</v>
      </c>
      <c r="G1338" s="1953"/>
      <c r="H1338" s="1954"/>
    </row>
    <row r="1341" spans="1:14" ht="15.75">
      <c r="E1341" s="1213" t="s">
        <v>4871</v>
      </c>
      <c r="F1341" s="1213">
        <v>7.0000000000000007E-2</v>
      </c>
      <c r="L1341" s="892" t="s">
        <v>4867</v>
      </c>
      <c r="M1341" s="892"/>
    </row>
    <row r="1342" spans="1:14">
      <c r="L1342" s="1208" t="s">
        <v>4850</v>
      </c>
      <c r="M1342" s="1209" t="s">
        <v>4868</v>
      </c>
      <c r="N1342" s="1209" t="s">
        <v>4869</v>
      </c>
    </row>
    <row r="1343" spans="1:14">
      <c r="L1343" s="1210">
        <v>0.375</v>
      </c>
      <c r="M1343" s="1211">
        <f>(3/8)*0.0254*50</f>
        <v>0.47624999999999995</v>
      </c>
      <c r="N1343" s="1212">
        <f>(3/8)*0.0254</f>
        <v>9.5249999999999987E-3</v>
      </c>
    </row>
    <row r="1344" spans="1:14" ht="15.75" thickBot="1">
      <c r="A1344" s="1949" t="s">
        <v>5042</v>
      </c>
      <c r="B1344" s="1949"/>
      <c r="C1344" s="1949"/>
      <c r="D1344" s="1949"/>
      <c r="E1344" s="1949"/>
      <c r="F1344" s="1949"/>
      <c r="G1344" s="1949"/>
      <c r="H1344" s="1949"/>
      <c r="I1344" s="1949"/>
      <c r="J1344" s="1949"/>
      <c r="L1344" s="1210">
        <v>0.5</v>
      </c>
      <c r="M1344" s="1211">
        <f>1/2*0.0254*50</f>
        <v>0.63500000000000001</v>
      </c>
      <c r="N1344" s="1212">
        <f>(1/2)*0.0254</f>
        <v>1.2699999999999999E-2</v>
      </c>
    </row>
    <row r="1345" spans="1:15" ht="15.75" thickBot="1">
      <c r="A1345" s="1309" t="s">
        <v>4849</v>
      </c>
      <c r="B1345" s="1309" t="s">
        <v>4850</v>
      </c>
      <c r="C1345" s="1310" t="s">
        <v>4851</v>
      </c>
      <c r="D1345" s="1310" t="s">
        <v>4855</v>
      </c>
      <c r="E1345" s="1310" t="s">
        <v>4852</v>
      </c>
      <c r="F1345" s="1310" t="s">
        <v>4875</v>
      </c>
      <c r="G1345" s="1310" t="s">
        <v>4860</v>
      </c>
      <c r="H1345" s="1310" t="s">
        <v>4956</v>
      </c>
      <c r="I1345" s="1310" t="s">
        <v>4</v>
      </c>
      <c r="J1345" s="1311" t="s">
        <v>4861</v>
      </c>
      <c r="L1345" s="1210">
        <v>0.75</v>
      </c>
      <c r="M1345" s="1211">
        <f>3/4*0.0254*50</f>
        <v>0.9524999999999999</v>
      </c>
      <c r="N1345" s="1212">
        <f>(3/4)*0.0254</f>
        <v>1.9049999999999997E-2</v>
      </c>
    </row>
    <row r="1346" spans="1:15">
      <c r="A1346" s="1941">
        <v>0.35</v>
      </c>
      <c r="B1346" s="1312">
        <v>0.5</v>
      </c>
      <c r="C1346" s="1313" t="s">
        <v>5043</v>
      </c>
      <c r="D1346" s="1955">
        <f>0.8*1.5</f>
        <v>1.2000000000000002</v>
      </c>
      <c r="E1346" s="1314"/>
      <c r="F1346" s="1315">
        <v>5</v>
      </c>
      <c r="G1346" s="1315">
        <f>ROUND(PI()*((B1346*0.0254)^2)/4*7.85*2204.6,2)</f>
        <v>2.19</v>
      </c>
      <c r="H1346" s="1314">
        <f>1.5+2*0.25-2*F1341</f>
        <v>1.8599999999999999</v>
      </c>
      <c r="I1346" s="1314">
        <f>+((F1346*G1346*H1346)/100)*1.07</f>
        <v>0.21792689999999998</v>
      </c>
      <c r="J1346" s="1947">
        <f>I1348/F1348</f>
        <v>1.2307904285714288</v>
      </c>
      <c r="L1346" s="994" t="s">
        <v>4870</v>
      </c>
      <c r="M1346" s="1211">
        <f>1*0.0254*50</f>
        <v>1.27</v>
      </c>
      <c r="N1346" s="1212">
        <f>1*0.0254</f>
        <v>2.5399999999999999E-2</v>
      </c>
    </row>
    <row r="1347" spans="1:15">
      <c r="A1347" s="1943"/>
      <c r="B1347" s="1312">
        <v>0.5</v>
      </c>
      <c r="C1347" s="1313" t="s">
        <v>5044</v>
      </c>
      <c r="D1347" s="1956"/>
      <c r="E1347" s="1314">
        <v>0.15</v>
      </c>
      <c r="F1347" s="1316">
        <f>ROUND(1.5/0.15,0)+1</f>
        <v>11</v>
      </c>
      <c r="G1347" s="1315">
        <f>ROUND(PI()*((B1347*0.0254)^2)/4*7.85*2204.6,2)</f>
        <v>2.19</v>
      </c>
      <c r="H1347" s="1314">
        <f>0.8+2*0.25-2*F1341</f>
        <v>1.1600000000000001</v>
      </c>
      <c r="I1347" s="1314">
        <f>+((F1347*G1347*H1347)/100)*1.07</f>
        <v>0.29900508000000003</v>
      </c>
      <c r="J1347" s="1948"/>
      <c r="N1347" s="807"/>
    </row>
    <row r="1348" spans="1:15">
      <c r="A1348" s="1317">
        <f>+AVERAGE(A1346:A1347)</f>
        <v>0.35</v>
      </c>
      <c r="B1348" s="1318"/>
      <c r="C1348" s="1318"/>
      <c r="D1348" s="1319">
        <f>+AVERAGE(D1346:D1347)</f>
        <v>1.2000000000000002</v>
      </c>
      <c r="E1348" s="1320"/>
      <c r="F1348" s="1321">
        <f>+ROUND(D1346*A1346,2)</f>
        <v>0.42</v>
      </c>
      <c r="G1348" s="1322"/>
      <c r="H1348" s="1322"/>
      <c r="I1348" s="1323">
        <f>SUM(I1346:I1347)</f>
        <v>0.51693198000000007</v>
      </c>
      <c r="J1348" s="1324"/>
      <c r="N1348" s="807"/>
    </row>
    <row r="1349" spans="1:15">
      <c r="A1349" s="1325"/>
      <c r="B1349" s="1326"/>
      <c r="C1349" s="1326"/>
      <c r="D1349" s="1327"/>
      <c r="E1349" s="1328"/>
      <c r="F1349" s="1324"/>
      <c r="G1349" s="1294"/>
      <c r="H1349" s="1294"/>
      <c r="I1349" s="1324"/>
      <c r="J1349" s="1324"/>
      <c r="N1349" s="807"/>
    </row>
    <row r="1350" spans="1:15">
      <c r="A1350" s="1325"/>
      <c r="B1350" s="1326"/>
      <c r="C1350" s="1326"/>
      <c r="D1350" s="1327"/>
      <c r="E1350" s="1328"/>
      <c r="F1350" s="1324"/>
      <c r="G1350" s="1294"/>
      <c r="H1350" s="1294"/>
      <c r="I1350" s="1324"/>
      <c r="J1350" s="1324"/>
    </row>
    <row r="1351" spans="1:15">
      <c r="A1351" s="1325"/>
      <c r="B1351" s="1326"/>
      <c r="C1351" s="1326"/>
      <c r="D1351" s="1327"/>
      <c r="E1351" s="1329">
        <v>0.158</v>
      </c>
      <c r="F1351" s="1330">
        <v>1.5</v>
      </c>
      <c r="G1351" s="1331">
        <v>1</v>
      </c>
      <c r="H1351" s="1294"/>
      <c r="I1351" s="1332">
        <v>1</v>
      </c>
      <c r="J1351" s="1324"/>
    </row>
    <row r="1352" spans="1:15">
      <c r="A1352" s="1325"/>
      <c r="B1352" s="1326"/>
      <c r="C1352" s="1326"/>
      <c r="D1352" s="1327"/>
      <c r="E1352" s="1328"/>
      <c r="F1352" s="1324"/>
      <c r="G1352" s="1333">
        <v>1.5</v>
      </c>
      <c r="H1352" s="1294"/>
      <c r="I1352" s="1324"/>
      <c r="J1352" s="1324"/>
      <c r="L1352" s="1895" t="s">
        <v>4864</v>
      </c>
      <c r="M1352" s="1895"/>
      <c r="N1352" s="1895"/>
      <c r="O1352" s="1895"/>
    </row>
    <row r="1353" spans="1:15" ht="15.75" thickBot="1">
      <c r="A1353" s="1949" t="s">
        <v>5045</v>
      </c>
      <c r="B1353" s="1949"/>
      <c r="C1353" s="1949"/>
      <c r="D1353" s="1949"/>
      <c r="E1353" s="1949"/>
      <c r="F1353" s="1949"/>
      <c r="G1353" s="1949"/>
      <c r="H1353" s="1949"/>
      <c r="I1353" s="1949"/>
      <c r="J1353" s="1949"/>
      <c r="L1353" s="994">
        <v>2</v>
      </c>
      <c r="M1353" s="1897" t="s">
        <v>4865</v>
      </c>
      <c r="N1353" s="1897"/>
      <c r="O1353" s="1897"/>
    </row>
    <row r="1354" spans="1:15" ht="15.75" thickBot="1">
      <c r="A1354" s="1309" t="s">
        <v>4849</v>
      </c>
      <c r="B1354" s="1309" t="s">
        <v>4850</v>
      </c>
      <c r="C1354" s="1310" t="s">
        <v>4851</v>
      </c>
      <c r="D1354" s="1310" t="s">
        <v>4855</v>
      </c>
      <c r="E1354" s="1310" t="s">
        <v>4852</v>
      </c>
      <c r="F1354" s="1310" t="s">
        <v>4875</v>
      </c>
      <c r="G1354" s="1310" t="s">
        <v>4860</v>
      </c>
      <c r="H1354" s="1310" t="s">
        <v>4956</v>
      </c>
      <c r="I1354" s="1310" t="s">
        <v>4</v>
      </c>
      <c r="J1354" s="1311" t="s">
        <v>4861</v>
      </c>
      <c r="L1354" s="994">
        <v>1</v>
      </c>
      <c r="M1354" s="1897" t="s">
        <v>4866</v>
      </c>
      <c r="N1354" s="1897"/>
      <c r="O1354" s="1897"/>
    </row>
    <row r="1355" spans="1:15">
      <c r="A1355" s="1941">
        <v>0.15</v>
      </c>
      <c r="B1355" s="1312">
        <v>0.5</v>
      </c>
      <c r="C1355" s="1542" t="s">
        <v>5214</v>
      </c>
      <c r="D1355" s="1944">
        <f>1.47*1.5</f>
        <v>2.2050000000000001</v>
      </c>
      <c r="E1355" s="1314">
        <v>0.15</v>
      </c>
      <c r="F1355" s="1334">
        <f>(ROUND((F1351/E1355),0)+1)*2</f>
        <v>22</v>
      </c>
      <c r="G1355" s="1315">
        <f t="shared" ref="G1355:G1356" si="132">ROUND(PI()*((B1355*0.0254)^2)/4*7.85*2204.6,2)</f>
        <v>2.19</v>
      </c>
      <c r="H1355" s="1314">
        <f>1+0.3-F1341+0.25*2</f>
        <v>1.73</v>
      </c>
      <c r="I1355" s="1314">
        <f t="shared" ref="I1355:I1358" si="133">+((F1355*G1355*H1355)/100)*1.07</f>
        <v>0.89185998</v>
      </c>
      <c r="J1355" s="1946">
        <f>I1359/F1359</f>
        <v>3.4161959074299633</v>
      </c>
    </row>
    <row r="1356" spans="1:15">
      <c r="A1356" s="1942"/>
      <c r="B1356" s="1312">
        <v>0.375</v>
      </c>
      <c r="C1356" s="1313" t="s">
        <v>5046</v>
      </c>
      <c r="D1356" s="1945"/>
      <c r="E1356" s="1314">
        <v>0.2</v>
      </c>
      <c r="F1356" s="1315">
        <f>(ROUND((0.5/0.2)*2,0)+1)</f>
        <v>6</v>
      </c>
      <c r="G1356" s="1315">
        <f t="shared" si="132"/>
        <v>1.23</v>
      </c>
      <c r="H1356" s="1314">
        <f>1.7-0.05</f>
        <v>1.65</v>
      </c>
      <c r="I1356" s="1314">
        <f t="shared" si="133"/>
        <v>0.13029389999999999</v>
      </c>
      <c r="J1356" s="1947"/>
    </row>
    <row r="1357" spans="1:15">
      <c r="A1357" s="1942"/>
      <c r="B1357" s="1312">
        <v>0.375</v>
      </c>
      <c r="C1357" s="1313" t="s">
        <v>5046</v>
      </c>
      <c r="D1357" s="1945"/>
      <c r="E1357" s="1314">
        <v>0.2</v>
      </c>
      <c r="F1357" s="1315">
        <f>(ROUND((0.5/0.2),0)+1)+(ROUND((1.5/0.2),0)+1)</f>
        <v>13</v>
      </c>
      <c r="G1357" s="1315">
        <f t="shared" ref="G1357" si="134">ROUND(PI()*((B1357*0.0254)^2)/4*7.85*2204.6,2)</f>
        <v>1.23</v>
      </c>
      <c r="H1357" s="1314">
        <f>1.7-0.05</f>
        <v>1.65</v>
      </c>
      <c r="I1357" s="1314">
        <f t="shared" ref="I1357" si="135">+((F1357*G1357*H1357)/100)*1.07</f>
        <v>0.28230345000000001</v>
      </c>
      <c r="J1357" s="1947"/>
    </row>
    <row r="1358" spans="1:15">
      <c r="A1358" s="1942"/>
      <c r="B1358" s="1312">
        <v>0.5</v>
      </c>
      <c r="C1358" s="1313" t="s">
        <v>5047</v>
      </c>
      <c r="D1358" s="1945"/>
      <c r="E1358" s="1314">
        <v>0.15</v>
      </c>
      <c r="F1358" s="1315">
        <f>ROUND(F1351/E1358,0)+1</f>
        <v>11</v>
      </c>
      <c r="G1358" s="1315">
        <f>ROUND(PI()*((B1358*0.0254)^2)/4*7.85*2204.6,2)</f>
        <v>2.19</v>
      </c>
      <c r="H1358" s="1314">
        <f>1.5+0.5+0.6+0.25*2</f>
        <v>3.1</v>
      </c>
      <c r="I1358" s="1314">
        <f t="shared" si="133"/>
        <v>0.79906530000000009</v>
      </c>
      <c r="J1358" s="1947"/>
    </row>
    <row r="1359" spans="1:15" ht="15.75" thickBot="1">
      <c r="A1359" s="1335">
        <f>+AVERAGE(A1355:A1358)</f>
        <v>0.15</v>
      </c>
      <c r="B1359" s="1336"/>
      <c r="C1359" s="1336"/>
      <c r="D1359" s="1337">
        <f>+AVERAGE(D1355:D1358)</f>
        <v>2.2050000000000001</v>
      </c>
      <c r="E1359" s="1338"/>
      <c r="F1359" s="1339">
        <f>D1355*A1355+0.95*1.5*0.2</f>
        <v>0.61575000000000002</v>
      </c>
      <c r="G1359" s="1340"/>
      <c r="H1359" s="1340"/>
      <c r="I1359" s="1341">
        <f>SUM(I1355:I1358)</f>
        <v>2.1035226300000001</v>
      </c>
      <c r="J1359" s="1324"/>
    </row>
    <row r="1360" spans="1:15">
      <c r="G1360" s="742"/>
    </row>
    <row r="1361" spans="1:10">
      <c r="G1361" s="742"/>
    </row>
    <row r="1362" spans="1:10">
      <c r="G1362" s="742"/>
    </row>
    <row r="1363" spans="1:10">
      <c r="G1363" s="742"/>
    </row>
    <row r="1364" spans="1:10">
      <c r="G1364" s="742"/>
    </row>
    <row r="1365" spans="1:10" ht="15.75" thickBot="1">
      <c r="A1365" s="1949" t="s">
        <v>5049</v>
      </c>
      <c r="B1365" s="1949"/>
      <c r="C1365" s="1949"/>
      <c r="D1365" s="1949"/>
      <c r="E1365" s="1949"/>
      <c r="F1365" s="1949"/>
      <c r="G1365" s="1949"/>
      <c r="H1365" s="1949"/>
      <c r="I1365" s="1949"/>
      <c r="J1365" s="1949"/>
    </row>
    <row r="1366" spans="1:10" ht="15.75" thickBot="1">
      <c r="A1366" s="1309" t="s">
        <v>4849</v>
      </c>
      <c r="B1366" s="1309" t="s">
        <v>4850</v>
      </c>
      <c r="C1366" s="1310" t="s">
        <v>4851</v>
      </c>
      <c r="D1366" s="1310" t="s">
        <v>4855</v>
      </c>
      <c r="E1366" s="1310" t="s">
        <v>4852</v>
      </c>
      <c r="F1366" s="1310" t="s">
        <v>4875</v>
      </c>
      <c r="G1366" s="1310" t="s">
        <v>4860</v>
      </c>
      <c r="H1366" s="1310" t="s">
        <v>4956</v>
      </c>
      <c r="I1366" s="1310" t="s">
        <v>4</v>
      </c>
      <c r="J1366" s="1311" t="s">
        <v>4861</v>
      </c>
    </row>
    <row r="1367" spans="1:10">
      <c r="A1367" s="1941">
        <v>0.15</v>
      </c>
      <c r="B1367" s="1312">
        <v>0.5</v>
      </c>
      <c r="C1367" s="1313" t="s">
        <v>5050</v>
      </c>
      <c r="D1367" s="1944">
        <f>(0.7*1.5)+(1.65*1.65)+(1.5*1.5)+(1.724*1.5)</f>
        <v>8.6084999999999994</v>
      </c>
      <c r="E1367" s="1314">
        <v>0.15</v>
      </c>
      <c r="F1367" s="1315">
        <f>ROUND((1.65/E1367)*2,0)+1</f>
        <v>23</v>
      </c>
      <c r="G1367" s="1315">
        <f t="shared" ref="G1367:G1373" si="136">ROUND(PI()*((B1367*0.0254)^2)/4*7.85*2204.6,2)</f>
        <v>2.19</v>
      </c>
      <c r="H1367" s="1314">
        <f>1.65+0.5-0.025+2*0.25+0.2</f>
        <v>2.8250000000000002</v>
      </c>
      <c r="I1367" s="1314">
        <f t="shared" ref="I1367:I1373" si="137">+((F1367*G1367*H1367)/100)*1.07</f>
        <v>1.5225591750000003</v>
      </c>
      <c r="J1367" s="1946">
        <f>I1375/F1375</f>
        <v>4.0773382674418608</v>
      </c>
    </row>
    <row r="1368" spans="1:10">
      <c r="A1368" s="1942"/>
      <c r="B1368" s="1312">
        <v>0.5</v>
      </c>
      <c r="C1368" s="1313" t="s">
        <v>5051</v>
      </c>
      <c r="D1368" s="1945"/>
      <c r="E1368" s="1314">
        <v>0.15</v>
      </c>
      <c r="F1368" s="1315">
        <f>(ROUND((1.5/0.15),0)+1)</f>
        <v>11</v>
      </c>
      <c r="G1368" s="1315">
        <f t="shared" si="136"/>
        <v>2.19</v>
      </c>
      <c r="H1368" s="1314">
        <f>1.65-0.025+0.2+0.25+2*0.25</f>
        <v>2.5750000000000002</v>
      </c>
      <c r="I1368" s="1314">
        <f t="shared" si="137"/>
        <v>0.66373972500000011</v>
      </c>
      <c r="J1368" s="1947"/>
    </row>
    <row r="1369" spans="1:10">
      <c r="A1369" s="1942"/>
      <c r="B1369" s="1312">
        <v>0.5</v>
      </c>
      <c r="C1369" s="1313" t="s">
        <v>5051</v>
      </c>
      <c r="D1369" s="1945"/>
      <c r="E1369" s="1314">
        <v>0.15</v>
      </c>
      <c r="F1369" s="1315">
        <f>(ROUND((1.5/0.15),0)+1)</f>
        <v>11</v>
      </c>
      <c r="G1369" s="1315">
        <f t="shared" si="136"/>
        <v>2.19</v>
      </c>
      <c r="H1369" s="1314">
        <f>1.65-0.025+0.7+0.25+2*0.25+0.2</f>
        <v>3.2750000000000004</v>
      </c>
      <c r="I1369" s="1314">
        <f t="shared" si="137"/>
        <v>0.84417382500000004</v>
      </c>
      <c r="J1369" s="1947"/>
    </row>
    <row r="1370" spans="1:10">
      <c r="A1370" s="1942"/>
      <c r="B1370" s="1312">
        <v>0.375</v>
      </c>
      <c r="C1370" s="1313" t="s">
        <v>5052</v>
      </c>
      <c r="D1370" s="1945"/>
      <c r="E1370" s="1314">
        <v>0.2</v>
      </c>
      <c r="F1370" s="1315">
        <f>(ROUND((1.5/0.2)*2,0)+1)</f>
        <v>16</v>
      </c>
      <c r="G1370" s="1315">
        <f t="shared" si="136"/>
        <v>1.23</v>
      </c>
      <c r="H1370" s="1314">
        <f>1.5+0.2-0.025*2</f>
        <v>1.65</v>
      </c>
      <c r="I1370" s="1314">
        <f t="shared" si="137"/>
        <v>0.34745040000000005</v>
      </c>
      <c r="J1370" s="1947"/>
    </row>
    <row r="1371" spans="1:10">
      <c r="A1371" s="1942"/>
      <c r="B1371" s="1312">
        <v>0.5</v>
      </c>
      <c r="C1371" s="1542" t="s">
        <v>5215</v>
      </c>
      <c r="D1371" s="1945"/>
      <c r="E1371" s="1314">
        <v>0.15</v>
      </c>
      <c r="F1371" s="1315">
        <f>ROUND(1.5/E1371,0)+1</f>
        <v>11</v>
      </c>
      <c r="G1371" s="1315">
        <f t="shared" si="136"/>
        <v>2.19</v>
      </c>
      <c r="H1371" s="1314">
        <f>0.25+0.3</f>
        <v>0.55000000000000004</v>
      </c>
      <c r="I1371" s="1314">
        <f t="shared" si="137"/>
        <v>0.14176965</v>
      </c>
      <c r="J1371" s="1947"/>
    </row>
    <row r="1372" spans="1:10">
      <c r="A1372" s="1942"/>
      <c r="B1372" s="1312">
        <v>0.5</v>
      </c>
      <c r="C1372" s="1542" t="s">
        <v>5216</v>
      </c>
      <c r="D1372" s="1945"/>
      <c r="E1372" s="1314">
        <v>0.15</v>
      </c>
      <c r="F1372" s="1315">
        <f>ROUND((1.5/E1372)*2,0)+1</f>
        <v>21</v>
      </c>
      <c r="G1372" s="1315">
        <f t="shared" si="136"/>
        <v>2.19</v>
      </c>
      <c r="H1372" s="1314">
        <f>0.25+1.5+0.58+2*0.25</f>
        <v>2.83</v>
      </c>
      <c r="I1372" s="1314">
        <f t="shared" si="137"/>
        <v>1.3926231900000001</v>
      </c>
      <c r="J1372" s="1947"/>
    </row>
    <row r="1373" spans="1:10">
      <c r="A1373" s="1942"/>
      <c r="B1373" s="1312">
        <v>0.375</v>
      </c>
      <c r="C1373" s="1313" t="s">
        <v>5052</v>
      </c>
      <c r="D1373" s="1945"/>
      <c r="E1373" s="1314">
        <v>0.2</v>
      </c>
      <c r="F1373" s="1315">
        <f>(ROUND((1.5/0.2)*2,0)+1)</f>
        <v>16</v>
      </c>
      <c r="G1373" s="1315">
        <f t="shared" si="136"/>
        <v>1.23</v>
      </c>
      <c r="H1373" s="1314">
        <f>1.5+0.2-0.025*2</f>
        <v>1.65</v>
      </c>
      <c r="I1373" s="1314">
        <f t="shared" si="137"/>
        <v>0.34745040000000005</v>
      </c>
      <c r="J1373" s="1947"/>
    </row>
    <row r="1374" spans="1:10">
      <c r="A1374" s="1943"/>
      <c r="D1374" s="1945"/>
      <c r="J1374" s="1948"/>
    </row>
    <row r="1375" spans="1:10" ht="15.75" thickBot="1">
      <c r="A1375" s="1335">
        <f>+AVERAGE(A1367:A1374)</f>
        <v>0.15</v>
      </c>
      <c r="B1375" s="1336"/>
      <c r="C1375" s="1336"/>
      <c r="D1375" s="1337">
        <f>+AVERAGE(D1367:D1374)</f>
        <v>8.6084999999999994</v>
      </c>
      <c r="E1375" s="1338"/>
      <c r="F1375" s="1339">
        <f>+ROUND(D1367*A1367,2)</f>
        <v>1.29</v>
      </c>
      <c r="G1375" s="1340"/>
      <c r="H1375" s="1340"/>
      <c r="I1375" s="1341">
        <f>SUM(I1367:I1373)</f>
        <v>5.2597663650000008</v>
      </c>
      <c r="J1375" s="1324"/>
    </row>
    <row r="1376" spans="1:10">
      <c r="G1376" s="742"/>
    </row>
    <row r="1377" spans="1:10">
      <c r="G1377" s="742"/>
    </row>
    <row r="1378" spans="1:10" ht="15.75" thickBot="1">
      <c r="A1378" s="1949" t="s">
        <v>5053</v>
      </c>
      <c r="B1378" s="1949"/>
      <c r="C1378" s="1949"/>
      <c r="D1378" s="1949"/>
      <c r="E1378" s="1949"/>
      <c r="F1378" s="1949"/>
      <c r="G1378" s="1949"/>
      <c r="H1378" s="1949"/>
      <c r="I1378" s="1949"/>
      <c r="J1378" s="1949"/>
    </row>
    <row r="1379" spans="1:10" ht="15.75" thickBot="1">
      <c r="A1379" s="1309" t="s">
        <v>4849</v>
      </c>
      <c r="B1379" s="1309" t="s">
        <v>4850</v>
      </c>
      <c r="C1379" s="1310" t="s">
        <v>4851</v>
      </c>
      <c r="D1379" s="1310" t="s">
        <v>4855</v>
      </c>
      <c r="E1379" s="1310" t="s">
        <v>4852</v>
      </c>
      <c r="F1379" s="1310" t="s">
        <v>4875</v>
      </c>
      <c r="G1379" s="1310" t="s">
        <v>4860</v>
      </c>
      <c r="H1379" s="1310" t="s">
        <v>4956</v>
      </c>
      <c r="I1379" s="1310" t="s">
        <v>4</v>
      </c>
      <c r="J1379" s="1311" t="s">
        <v>4861</v>
      </c>
    </row>
    <row r="1380" spans="1:10">
      <c r="A1380" s="1941">
        <v>0.15</v>
      </c>
      <c r="B1380" s="1312">
        <v>0.5</v>
      </c>
      <c r="C1380" s="1313" t="s">
        <v>5050</v>
      </c>
      <c r="D1380" s="1944">
        <f>(1.65*1.65)+(1.724*1.5)+(1.2*1.5)</f>
        <v>7.1084999999999994</v>
      </c>
      <c r="E1380" s="1314">
        <v>0.15</v>
      </c>
      <c r="F1380" s="1315">
        <f>ROUND((1.65/E1380),0)+1</f>
        <v>12</v>
      </c>
      <c r="G1380" s="1315">
        <f>ROUND(PI()*((B1380*0.0254)^2)/4*7.85*2204.6,2)</f>
        <v>2.19</v>
      </c>
      <c r="H1380" s="1314">
        <f>1.65+0.58-0.025+2*0.25</f>
        <v>2.7050000000000001</v>
      </c>
      <c r="I1380" s="1314">
        <f>+((F1380*G1380*H1380)/100)*1.07</f>
        <v>0.76063518000000008</v>
      </c>
      <c r="J1380" s="1946">
        <f>I1386/F1386</f>
        <v>3.9201552000000004</v>
      </c>
    </row>
    <row r="1381" spans="1:10">
      <c r="A1381" s="1942"/>
      <c r="B1381" s="1312">
        <v>0.5</v>
      </c>
      <c r="C1381" s="1313" t="s">
        <v>5050</v>
      </c>
      <c r="D1381" s="1945"/>
      <c r="E1381" s="1314">
        <v>0.15</v>
      </c>
      <c r="F1381" s="1315">
        <f>ROUND((1.65/E1381),0)+1</f>
        <v>12</v>
      </c>
      <c r="G1381" s="1315">
        <f>ROUND(PI()*((B1381*0.0254)^2)/4*7.85*2204.6,2)</f>
        <v>2.19</v>
      </c>
      <c r="H1381" s="1314">
        <f>1.65+1.724+0.58-0.025+2*0.25</f>
        <v>4.4290000000000003</v>
      </c>
      <c r="I1381" s="1314">
        <f>+((F1381*G1381*H1381)/100)*1.07</f>
        <v>1.2454170840000003</v>
      </c>
      <c r="J1381" s="1947"/>
    </row>
    <row r="1382" spans="1:10">
      <c r="A1382" s="1942"/>
      <c r="B1382" s="1312">
        <v>0.375</v>
      </c>
      <c r="C1382" s="1313" t="s">
        <v>5054</v>
      </c>
      <c r="D1382" s="1945"/>
      <c r="E1382" s="1314">
        <v>0.2</v>
      </c>
      <c r="F1382" s="1315">
        <f>(ROUND((0.5/0.25)*2,0)+1)+(ROUND((1.724/0.25),0)+1)</f>
        <v>13</v>
      </c>
      <c r="G1382" s="1315">
        <f>ROUND(PI()*((B1382*0.0254)^2)/4*7.85*2204.6,2)</f>
        <v>1.23</v>
      </c>
      <c r="H1382" s="1314">
        <f>1.7-0.05</f>
        <v>1.65</v>
      </c>
      <c r="I1382" s="1314">
        <f>+((F1382*G1382*H1382)/100)*1.07</f>
        <v>0.28230345000000001</v>
      </c>
      <c r="J1382" s="1947"/>
    </row>
    <row r="1383" spans="1:10">
      <c r="A1383" s="1942"/>
      <c r="B1383" s="1312">
        <v>0.5</v>
      </c>
      <c r="C1383" s="1313" t="s">
        <v>5055</v>
      </c>
      <c r="D1383" s="1945"/>
      <c r="E1383" s="1314">
        <v>0.15</v>
      </c>
      <c r="F1383" s="1315">
        <f>ROUND((1.5/E1383)*2,0)+1</f>
        <v>21</v>
      </c>
      <c r="G1383" s="1315">
        <f>ROUND(PI()*((B1383*0.0254)^2)/4*7.85*2204.6,2)</f>
        <v>2.19</v>
      </c>
      <c r="H1383" s="1314">
        <f>1.2+1+0.6+2*0.25</f>
        <v>3.3000000000000003</v>
      </c>
      <c r="I1383" s="1314">
        <f>+((F1383*G1383*H1383)/100)*1.07</f>
        <v>1.6239069000000004</v>
      </c>
      <c r="J1383" s="1947"/>
    </row>
    <row r="1384" spans="1:10">
      <c r="A1384" s="1942"/>
      <c r="B1384" s="1312"/>
      <c r="C1384" s="1313"/>
      <c r="D1384" s="1945"/>
      <c r="E1384" s="1314"/>
      <c r="F1384" s="1315"/>
      <c r="G1384" s="1315"/>
      <c r="H1384" s="1314"/>
      <c r="I1384" s="1314"/>
      <c r="J1384" s="1947"/>
    </row>
    <row r="1385" spans="1:10">
      <c r="A1385" s="1943"/>
      <c r="B1385" s="1312">
        <v>0.375</v>
      </c>
      <c r="C1385" s="1313" t="s">
        <v>5048</v>
      </c>
      <c r="D1385" s="1945"/>
      <c r="E1385" s="1314">
        <v>0.2</v>
      </c>
      <c r="F1385" s="1315">
        <f>ROUND((1.2/E1385)*2,0)+1</f>
        <v>13</v>
      </c>
      <c r="G1385" s="1315">
        <f>ROUND(PI()*((B1385*0.0254)^2)/4*7.85*2204.6,2)</f>
        <v>1.23</v>
      </c>
      <c r="H1385" s="1314">
        <f>1.7-0.025*2</f>
        <v>1.65</v>
      </c>
      <c r="I1385" s="1314">
        <f>+((F1385*G1385*H1385)/100)*1.07</f>
        <v>0.28230345000000001</v>
      </c>
      <c r="J1385" s="1948"/>
    </row>
    <row r="1386" spans="1:10" ht="15.75" thickBot="1">
      <c r="A1386" s="1335">
        <f>+AVERAGE(A1380:A1385)</f>
        <v>0.15</v>
      </c>
      <c r="B1386" s="1336"/>
      <c r="C1386" s="1336"/>
      <c r="D1386" s="1337">
        <f>+AVERAGE(D1380:D1385)</f>
        <v>7.1084999999999994</v>
      </c>
      <c r="E1386" s="1338"/>
      <c r="F1386" s="1339">
        <f>+ROUND(D1380*A1380,2)</f>
        <v>1.07</v>
      </c>
      <c r="G1386" s="1340"/>
      <c r="H1386" s="1340"/>
      <c r="I1386" s="1341">
        <f>SUM(I1380:I1385)</f>
        <v>4.1945660640000009</v>
      </c>
      <c r="J1386" s="1324"/>
    </row>
    <row r="1391" spans="1:10">
      <c r="G1391" s="1342" t="s">
        <v>5056</v>
      </c>
      <c r="H1391" s="1342"/>
      <c r="I1391" s="1342"/>
    </row>
    <row r="1392" spans="1:10" ht="15.75">
      <c r="G1392" s="1342"/>
      <c r="H1392" s="1343">
        <f>I1348</f>
        <v>0.51693198000000007</v>
      </c>
      <c r="I1392" s="1344" t="s">
        <v>1887</v>
      </c>
    </row>
    <row r="1393" spans="2:11" ht="15.75">
      <c r="G1393" s="1342"/>
      <c r="H1393" s="1343">
        <f>F1348</f>
        <v>0.42</v>
      </c>
      <c r="I1393" s="1344" t="s">
        <v>1806</v>
      </c>
    </row>
    <row r="1394" spans="2:11" ht="15.75">
      <c r="G1394" s="1342"/>
      <c r="H1394" s="1343">
        <f>H1392/H1393</f>
        <v>1.2307904285714288</v>
      </c>
      <c r="I1394" s="1344" t="s">
        <v>4836</v>
      </c>
    </row>
    <row r="1395" spans="2:11">
      <c r="J1395" s="728" t="s">
        <v>5057</v>
      </c>
    </row>
    <row r="1396" spans="2:11" ht="15.75">
      <c r="G1396" s="1345" t="s">
        <v>5058</v>
      </c>
      <c r="H1396" s="1346">
        <f>I1359+I1375+I1386</f>
        <v>11.557855059000001</v>
      </c>
      <c r="I1396" s="1347" t="s">
        <v>1887</v>
      </c>
      <c r="J1396" s="891">
        <f>I1355+I1356</f>
        <v>1.0221538800000001</v>
      </c>
      <c r="K1396" s="1163" t="s">
        <v>1887</v>
      </c>
    </row>
    <row r="1397" spans="2:11" ht="15.75">
      <c r="G1397" s="1347"/>
      <c r="H1397" s="1346">
        <f>F1359+F1375+F1386</f>
        <v>2.9757500000000001</v>
      </c>
      <c r="I1397" s="1347" t="s">
        <v>1806</v>
      </c>
      <c r="J1397" s="891">
        <f>0.95*1.5*0.2</f>
        <v>0.28499999999999998</v>
      </c>
      <c r="K1397" s="1163" t="s">
        <v>1806</v>
      </c>
    </row>
    <row r="1398" spans="2:11" ht="18.75">
      <c r="G1398" s="1347"/>
      <c r="H1398" s="1348">
        <f>H1396/H1397</f>
        <v>3.8840141339158198</v>
      </c>
      <c r="I1398" s="1347" t="s">
        <v>4836</v>
      </c>
      <c r="J1398" s="891">
        <f>J1396/J1397</f>
        <v>3.5865048421052639</v>
      </c>
      <c r="K1398" s="1163" t="s">
        <v>4836</v>
      </c>
    </row>
    <row r="1401" spans="2:11" ht="15.75">
      <c r="G1401" s="1349"/>
      <c r="H1401" s="1350"/>
      <c r="I1401" s="1351"/>
      <c r="J1401" s="892" t="s">
        <v>5059</v>
      </c>
    </row>
    <row r="1402" spans="2:11" ht="15.75">
      <c r="G1402" s="1351"/>
      <c r="H1402" s="1350"/>
      <c r="I1402" s="1351"/>
      <c r="J1402" s="891">
        <f>H1396-J1396</f>
        <v>10.535701179000002</v>
      </c>
      <c r="K1402" s="1163" t="s">
        <v>1887</v>
      </c>
    </row>
    <row r="1403" spans="2:11" ht="15.75">
      <c r="G1403" s="1351"/>
      <c r="H1403" s="1350"/>
      <c r="I1403" s="1351"/>
      <c r="J1403" s="891">
        <f>H1397-J1397</f>
        <v>2.69075</v>
      </c>
      <c r="K1403" s="1163" t="s">
        <v>1806</v>
      </c>
    </row>
    <row r="1404" spans="2:11" ht="18.75">
      <c r="J1404" s="1352">
        <f>J1402/J1403</f>
        <v>3.9155258492985237</v>
      </c>
      <c r="K1404" s="1163" t="s">
        <v>4836</v>
      </c>
    </row>
    <row r="1405" spans="2:11">
      <c r="B1405" s="1543"/>
    </row>
    <row r="1406" spans="2:11">
      <c r="B1406" s="1543"/>
      <c r="C1406" s="1543"/>
      <c r="D1406" s="1543"/>
    </row>
    <row r="1408" spans="2:11">
      <c r="J1408" s="1553"/>
    </row>
    <row r="1416" spans="2:7" ht="21">
      <c r="B1416" s="1548" t="s">
        <v>5234</v>
      </c>
      <c r="C1416"/>
      <c r="D1416"/>
      <c r="E1416"/>
      <c r="F1416"/>
      <c r="G1416"/>
    </row>
    <row r="1417" spans="2:7">
      <c r="B1417" s="1549" t="s">
        <v>5235</v>
      </c>
      <c r="C1417" s="1549" t="s">
        <v>4029</v>
      </c>
      <c r="D1417" s="1549" t="s">
        <v>5236</v>
      </c>
      <c r="E1417" s="1549" t="s">
        <v>4</v>
      </c>
      <c r="F1417" s="1549" t="s">
        <v>4836</v>
      </c>
      <c r="G1417"/>
    </row>
    <row r="1418" spans="2:7">
      <c r="B1418">
        <f>0.3+0.3*0.2+0.3+0.2+12*N1343</f>
        <v>0.97429999999999983</v>
      </c>
      <c r="C1418">
        <f>(119.7/0.2)+1</f>
        <v>599.5</v>
      </c>
      <c r="D1418" s="1550">
        <f>ROUND(PI()*((3/8*0.0254)^2)/4*7.85*2204.6,2)</f>
        <v>1.23</v>
      </c>
      <c r="E1418">
        <f>((B1418*C1418*D1418)/100)*1.07</f>
        <v>7.687245998849999</v>
      </c>
      <c r="F1418" t="e">
        <f>E1418/PRESUPUESTO!#REF!</f>
        <v>#REF!</v>
      </c>
      <c r="G1418"/>
    </row>
    <row r="1419" spans="2:7">
      <c r="B1419"/>
      <c r="C1419"/>
      <c r="D1419"/>
      <c r="E1419"/>
      <c r="F1419"/>
      <c r="G1419"/>
    </row>
    <row r="1420" spans="2:7">
      <c r="B1420"/>
      <c r="C1420"/>
      <c r="D1420"/>
      <c r="E1420"/>
      <c r="F1420"/>
      <c r="G1420"/>
    </row>
    <row r="1421" spans="2:7">
      <c r="B1421"/>
      <c r="C1421">
        <f>(148.5/0.25)+1</f>
        <v>595</v>
      </c>
      <c r="D1421"/>
      <c r="E1421"/>
      <c r="F1421">
        <f>E1418/50.63</f>
        <v>0.15183183880801893</v>
      </c>
      <c r="G1421"/>
    </row>
    <row r="1422" spans="2:7">
      <c r="B1422"/>
      <c r="C1422"/>
      <c r="D1422"/>
      <c r="E1422"/>
      <c r="F1422"/>
      <c r="G1422"/>
    </row>
  </sheetData>
  <mergeCells count="443">
    <mergeCell ref="A1322:Q1322"/>
    <mergeCell ref="A1326:D1326"/>
    <mergeCell ref="D1328:G1328"/>
    <mergeCell ref="A1290:P1290"/>
    <mergeCell ref="A1274:O1274"/>
    <mergeCell ref="A1276:A1279"/>
    <mergeCell ref="G1276:G1279"/>
    <mergeCell ref="P1276:P1279"/>
    <mergeCell ref="A1280:P1280"/>
    <mergeCell ref="A1284:O1284"/>
    <mergeCell ref="A1286:A1289"/>
    <mergeCell ref="G1286:G1289"/>
    <mergeCell ref="P1286:P1289"/>
    <mergeCell ref="A1314:P1314"/>
    <mergeCell ref="A1296:O1296"/>
    <mergeCell ref="A1298:A1301"/>
    <mergeCell ref="G1298:G1301"/>
    <mergeCell ref="P1298:P1301"/>
    <mergeCell ref="A1302:P1302"/>
    <mergeCell ref="A1308:O1308"/>
    <mergeCell ref="A1310:A1313"/>
    <mergeCell ref="G1310:G1313"/>
    <mergeCell ref="P1310:P1313"/>
    <mergeCell ref="Q1016:Q1021"/>
    <mergeCell ref="A1229:A1233"/>
    <mergeCell ref="G1229:G1233"/>
    <mergeCell ref="P1229:P1233"/>
    <mergeCell ref="A1234:P1234"/>
    <mergeCell ref="P1219:P1222"/>
    <mergeCell ref="A1207:O1207"/>
    <mergeCell ref="A1209:A1212"/>
    <mergeCell ref="G1209:G1212"/>
    <mergeCell ref="P1209:P1212"/>
    <mergeCell ref="K1194:L1194"/>
    <mergeCell ref="A1213:P1213"/>
    <mergeCell ref="A1217:O1217"/>
    <mergeCell ref="A1219:A1222"/>
    <mergeCell ref="G1219:G1222"/>
    <mergeCell ref="B1063:P1063"/>
    <mergeCell ref="B1065:B1076"/>
    <mergeCell ref="H1065:H1076"/>
    <mergeCell ref="Q1065:Q1076"/>
    <mergeCell ref="B1057:Q1057"/>
    <mergeCell ref="B1048:Q1048"/>
    <mergeCell ref="B1115:B1129"/>
    <mergeCell ref="H1035:H1038"/>
    <mergeCell ref="H1084:H1095"/>
    <mergeCell ref="B1338:C1338"/>
    <mergeCell ref="F1338:H1338"/>
    <mergeCell ref="A1344:J1344"/>
    <mergeCell ref="A1346:A1347"/>
    <mergeCell ref="D1346:D1347"/>
    <mergeCell ref="J1346:J1347"/>
    <mergeCell ref="A1223:P1223"/>
    <mergeCell ref="A1227:O1227"/>
    <mergeCell ref="A1378:J1378"/>
    <mergeCell ref="A1240:O1240"/>
    <mergeCell ref="A1242:A1249"/>
    <mergeCell ref="G1242:G1249"/>
    <mergeCell ref="P1242:P1249"/>
    <mergeCell ref="A1250:P1250"/>
    <mergeCell ref="A1253:O1253"/>
    <mergeCell ref="A1255:A1258"/>
    <mergeCell ref="G1255:G1258"/>
    <mergeCell ref="P1255:P1258"/>
    <mergeCell ref="A1259:P1259"/>
    <mergeCell ref="A1262:O1262"/>
    <mergeCell ref="A1264:A1268"/>
    <mergeCell ref="G1264:G1268"/>
    <mergeCell ref="P1264:P1268"/>
    <mergeCell ref="A1269:P1269"/>
    <mergeCell ref="A1380:A1385"/>
    <mergeCell ref="D1380:D1385"/>
    <mergeCell ref="J1380:J1385"/>
    <mergeCell ref="L1352:O1352"/>
    <mergeCell ref="A1353:J1353"/>
    <mergeCell ref="M1353:O1353"/>
    <mergeCell ref="M1354:O1354"/>
    <mergeCell ref="A1355:A1358"/>
    <mergeCell ref="D1355:D1358"/>
    <mergeCell ref="J1355:J1358"/>
    <mergeCell ref="A1365:J1365"/>
    <mergeCell ref="A1367:A1374"/>
    <mergeCell ref="D1367:D1374"/>
    <mergeCell ref="J1367:J1374"/>
    <mergeCell ref="B811:B814"/>
    <mergeCell ref="H811:H814"/>
    <mergeCell ref="Q811:Q814"/>
    <mergeCell ref="B815:Q815"/>
    <mergeCell ref="B828:P828"/>
    <mergeCell ref="B830:B833"/>
    <mergeCell ref="H830:H833"/>
    <mergeCell ref="Q830:Q833"/>
    <mergeCell ref="B838:P838"/>
    <mergeCell ref="Q819:Q823"/>
    <mergeCell ref="B824:Q824"/>
    <mergeCell ref="B800:P800"/>
    <mergeCell ref="B802:B805"/>
    <mergeCell ref="H802:H805"/>
    <mergeCell ref="Q802:Q805"/>
    <mergeCell ref="B806:Q806"/>
    <mergeCell ref="B809:P809"/>
    <mergeCell ref="B789:Q789"/>
    <mergeCell ref="B791:P791"/>
    <mergeCell ref="B793:B797"/>
    <mergeCell ref="H793:H797"/>
    <mergeCell ref="Q793:Q797"/>
    <mergeCell ref="B798:Q798"/>
    <mergeCell ref="B772:B777"/>
    <mergeCell ref="H772:H777"/>
    <mergeCell ref="Q772:Q777"/>
    <mergeCell ref="B778:Q778"/>
    <mergeCell ref="B781:P781"/>
    <mergeCell ref="Q783:Q786"/>
    <mergeCell ref="B760:P760"/>
    <mergeCell ref="B762:B766"/>
    <mergeCell ref="H762:H766"/>
    <mergeCell ref="Q762:Q766"/>
    <mergeCell ref="B767:Q767"/>
    <mergeCell ref="B770:P770"/>
    <mergeCell ref="H783:H788"/>
    <mergeCell ref="B783:B788"/>
    <mergeCell ref="B745:Q745"/>
    <mergeCell ref="B749:P749"/>
    <mergeCell ref="B751:B756"/>
    <mergeCell ref="H751:H756"/>
    <mergeCell ref="Q751:Q756"/>
    <mergeCell ref="B757:Q757"/>
    <mergeCell ref="B736:B737"/>
    <mergeCell ref="H736:H737"/>
    <mergeCell ref="Q736:Q737"/>
    <mergeCell ref="B738:Q738"/>
    <mergeCell ref="B741:P741"/>
    <mergeCell ref="B743:B744"/>
    <mergeCell ref="H743:H744"/>
    <mergeCell ref="Q743:Q744"/>
    <mergeCell ref="B728:P728"/>
    <mergeCell ref="B730:B731"/>
    <mergeCell ref="H730:H731"/>
    <mergeCell ref="Q730:Q731"/>
    <mergeCell ref="B732:Q732"/>
    <mergeCell ref="B734:P734"/>
    <mergeCell ref="A713:P713"/>
    <mergeCell ref="A716:O716"/>
    <mergeCell ref="A718:A721"/>
    <mergeCell ref="G718:G721"/>
    <mergeCell ref="P718:P721"/>
    <mergeCell ref="A722:P722"/>
    <mergeCell ref="P664:P667"/>
    <mergeCell ref="A668:P668"/>
    <mergeCell ref="A707:O707"/>
    <mergeCell ref="A709:A712"/>
    <mergeCell ref="G709:G712"/>
    <mergeCell ref="P709:P712"/>
    <mergeCell ref="L647:N647"/>
    <mergeCell ref="B655:D655"/>
    <mergeCell ref="F655:I655"/>
    <mergeCell ref="B656:D656"/>
    <mergeCell ref="A662:O662"/>
    <mergeCell ref="A664:A667"/>
    <mergeCell ref="G664:G667"/>
    <mergeCell ref="K695:L695"/>
    <mergeCell ref="A650:P650"/>
    <mergeCell ref="L608:N608"/>
    <mergeCell ref="A632:I632"/>
    <mergeCell ref="I635:I641"/>
    <mergeCell ref="F645:H645"/>
    <mergeCell ref="K645:N645"/>
    <mergeCell ref="F646:H646"/>
    <mergeCell ref="L646:N646"/>
    <mergeCell ref="L569:N569"/>
    <mergeCell ref="A594:I594"/>
    <mergeCell ref="I597:I602"/>
    <mergeCell ref="F606:H606"/>
    <mergeCell ref="K606:N606"/>
    <mergeCell ref="F607:H607"/>
    <mergeCell ref="L607:N607"/>
    <mergeCell ref="A612:I612"/>
    <mergeCell ref="I615:I620"/>
    <mergeCell ref="A572:I572"/>
    <mergeCell ref="I575:I581"/>
    <mergeCell ref="F584:H584"/>
    <mergeCell ref="K584:N584"/>
    <mergeCell ref="F585:H585"/>
    <mergeCell ref="L585:N585"/>
    <mergeCell ref="L586:N586"/>
    <mergeCell ref="F624:H624"/>
    <mergeCell ref="L553:N553"/>
    <mergeCell ref="A555:I555"/>
    <mergeCell ref="I558:I564"/>
    <mergeCell ref="F567:H567"/>
    <mergeCell ref="K567:N567"/>
    <mergeCell ref="F568:H568"/>
    <mergeCell ref="L568:N568"/>
    <mergeCell ref="L536:N536"/>
    <mergeCell ref="A538:I538"/>
    <mergeCell ref="I541:I547"/>
    <mergeCell ref="F551:H551"/>
    <mergeCell ref="K551:N551"/>
    <mergeCell ref="F552:H552"/>
    <mergeCell ref="L552:N552"/>
    <mergeCell ref="L519:N519"/>
    <mergeCell ref="A522:I522"/>
    <mergeCell ref="I525:I530"/>
    <mergeCell ref="F534:H534"/>
    <mergeCell ref="K534:N534"/>
    <mergeCell ref="F535:H535"/>
    <mergeCell ref="L535:N535"/>
    <mergeCell ref="L503:N503"/>
    <mergeCell ref="A505:I505"/>
    <mergeCell ref="I508:I513"/>
    <mergeCell ref="F517:H517"/>
    <mergeCell ref="K517:N517"/>
    <mergeCell ref="F518:H518"/>
    <mergeCell ref="L518:N518"/>
    <mergeCell ref="L486:N486"/>
    <mergeCell ref="A488:I488"/>
    <mergeCell ref="I491:I498"/>
    <mergeCell ref="F501:H501"/>
    <mergeCell ref="K501:N501"/>
    <mergeCell ref="F502:H502"/>
    <mergeCell ref="L502:N502"/>
    <mergeCell ref="L470:N470"/>
    <mergeCell ref="A472:I472"/>
    <mergeCell ref="I475:I481"/>
    <mergeCell ref="F484:H484"/>
    <mergeCell ref="K484:N484"/>
    <mergeCell ref="F485:H485"/>
    <mergeCell ref="L485:N485"/>
    <mergeCell ref="A456:I456"/>
    <mergeCell ref="I459:I465"/>
    <mergeCell ref="F468:H468"/>
    <mergeCell ref="K468:N468"/>
    <mergeCell ref="F469:H469"/>
    <mergeCell ref="L469:N469"/>
    <mergeCell ref="I445:I449"/>
    <mergeCell ref="F452:H452"/>
    <mergeCell ref="K452:N452"/>
    <mergeCell ref="F453:H453"/>
    <mergeCell ref="L453:N453"/>
    <mergeCell ref="L454:N454"/>
    <mergeCell ref="A397:I397"/>
    <mergeCell ref="I400:I404"/>
    <mergeCell ref="A405:H405"/>
    <mergeCell ref="B440:C440"/>
    <mergeCell ref="F440:H440"/>
    <mergeCell ref="A442:I442"/>
    <mergeCell ref="A351:I351"/>
    <mergeCell ref="I354:I358"/>
    <mergeCell ref="A359:H359"/>
    <mergeCell ref="A364:I364"/>
    <mergeCell ref="I367:I373"/>
    <mergeCell ref="A374:H374"/>
    <mergeCell ref="A380:I380"/>
    <mergeCell ref="I383:I389"/>
    <mergeCell ref="A390:H390"/>
    <mergeCell ref="A410:I410"/>
    <mergeCell ref="I413:I415"/>
    <mergeCell ref="A416:H416"/>
    <mergeCell ref="A423:I423"/>
    <mergeCell ref="I426:I430"/>
    <mergeCell ref="A431:H431"/>
    <mergeCell ref="A324:I324"/>
    <mergeCell ref="I327:I330"/>
    <mergeCell ref="A331:H331"/>
    <mergeCell ref="A337:I337"/>
    <mergeCell ref="I340:I345"/>
    <mergeCell ref="A346:H346"/>
    <mergeCell ref="A299:I299"/>
    <mergeCell ref="I302:I306"/>
    <mergeCell ref="A307:H307"/>
    <mergeCell ref="A314:I314"/>
    <mergeCell ref="I317:I319"/>
    <mergeCell ref="A320:H320"/>
    <mergeCell ref="I270:I278"/>
    <mergeCell ref="L281:O281"/>
    <mergeCell ref="M282:O282"/>
    <mergeCell ref="A284:I284"/>
    <mergeCell ref="I287:I293"/>
    <mergeCell ref="A294:H294"/>
    <mergeCell ref="A251:I251"/>
    <mergeCell ref="I254:I262"/>
    <mergeCell ref="L261:O261"/>
    <mergeCell ref="M262:O262"/>
    <mergeCell ref="M263:O263"/>
    <mergeCell ref="A267:I267"/>
    <mergeCell ref="A198:I198"/>
    <mergeCell ref="I201:I208"/>
    <mergeCell ref="A209:H209"/>
    <mergeCell ref="A213:I213"/>
    <mergeCell ref="I216:I239"/>
    <mergeCell ref="A240:H240"/>
    <mergeCell ref="I186:I189"/>
    <mergeCell ref="A190:H190"/>
    <mergeCell ref="E191:G191"/>
    <mergeCell ref="K192:N192"/>
    <mergeCell ref="L193:N193"/>
    <mergeCell ref="B194:C194"/>
    <mergeCell ref="F194:H194"/>
    <mergeCell ref="L194:N194"/>
    <mergeCell ref="D141:F141"/>
    <mergeCell ref="D142:F142"/>
    <mergeCell ref="A152:Q152"/>
    <mergeCell ref="A155:D155"/>
    <mergeCell ref="D157:G157"/>
    <mergeCell ref="A183:I183"/>
    <mergeCell ref="A162:I162"/>
    <mergeCell ref="I165:I168"/>
    <mergeCell ref="A169:H169"/>
    <mergeCell ref="E170:G170"/>
    <mergeCell ref="K171:N171"/>
    <mergeCell ref="L172:N172"/>
    <mergeCell ref="B173:C173"/>
    <mergeCell ref="F173:H173"/>
    <mergeCell ref="L173:N173"/>
    <mergeCell ref="A86:D86"/>
    <mergeCell ref="D88:G88"/>
    <mergeCell ref="A64:Q64"/>
    <mergeCell ref="A67:D67"/>
    <mergeCell ref="D69:G69"/>
    <mergeCell ref="C140:F140"/>
    <mergeCell ref="A111:Q111"/>
    <mergeCell ref="A115:D115"/>
    <mergeCell ref="D116:G116"/>
    <mergeCell ref="A91:Q91"/>
    <mergeCell ref="A95:D95"/>
    <mergeCell ref="D97:G97"/>
    <mergeCell ref="A101:Q101"/>
    <mergeCell ref="A105:D105"/>
    <mergeCell ref="D107:G107"/>
    <mergeCell ref="A82:Q82"/>
    <mergeCell ref="A120:Q120"/>
    <mergeCell ref="A124:D124"/>
    <mergeCell ref="D125:G125"/>
    <mergeCell ref="A1:Q1"/>
    <mergeCell ref="A4:D4"/>
    <mergeCell ref="D6:G6"/>
    <mergeCell ref="A24:Q24"/>
    <mergeCell ref="A27:D27"/>
    <mergeCell ref="D29:G29"/>
    <mergeCell ref="A73:Q73"/>
    <mergeCell ref="A77:D77"/>
    <mergeCell ref="D79:G79"/>
    <mergeCell ref="A55:Q55"/>
    <mergeCell ref="A58:D58"/>
    <mergeCell ref="D60:G60"/>
    <mergeCell ref="A32:Q32"/>
    <mergeCell ref="A35:D35"/>
    <mergeCell ref="D37:G37"/>
    <mergeCell ref="A40:Q40"/>
    <mergeCell ref="A43:D43"/>
    <mergeCell ref="D45:G45"/>
    <mergeCell ref="A11:Q11"/>
    <mergeCell ref="A14:D14"/>
    <mergeCell ref="D16:G16"/>
    <mergeCell ref="B905:D905"/>
    <mergeCell ref="F905:I905"/>
    <mergeCell ref="B906:D906"/>
    <mergeCell ref="A912:O912"/>
    <mergeCell ref="A914:A917"/>
    <mergeCell ref="G914:G917"/>
    <mergeCell ref="B886:K886"/>
    <mergeCell ref="B817:P817"/>
    <mergeCell ref="B819:B823"/>
    <mergeCell ref="H819:H823"/>
    <mergeCell ref="B834:Q834"/>
    <mergeCell ref="B840:B848"/>
    <mergeCell ref="H840:H848"/>
    <mergeCell ref="Q840:Q848"/>
    <mergeCell ref="B849:Q849"/>
    <mergeCell ref="A901:P901"/>
    <mergeCell ref="B854:P854"/>
    <mergeCell ref="B856:B863"/>
    <mergeCell ref="H856:H863"/>
    <mergeCell ref="Q856:Q863"/>
    <mergeCell ref="B864:Q864"/>
    <mergeCell ref="G963:G966"/>
    <mergeCell ref="P963:P966"/>
    <mergeCell ref="A967:P967"/>
    <mergeCell ref="A970:O970"/>
    <mergeCell ref="A972:A975"/>
    <mergeCell ref="G972:G975"/>
    <mergeCell ref="P972:P975"/>
    <mergeCell ref="A976:P976"/>
    <mergeCell ref="B995:B999"/>
    <mergeCell ref="H995:H999"/>
    <mergeCell ref="K624:N624"/>
    <mergeCell ref="F625:H625"/>
    <mergeCell ref="L625:N625"/>
    <mergeCell ref="L626:N626"/>
    <mergeCell ref="B1113:P1113"/>
    <mergeCell ref="B1050:P1050"/>
    <mergeCell ref="B1052:B1056"/>
    <mergeCell ref="H1052:H1056"/>
    <mergeCell ref="Q1052:Q1056"/>
    <mergeCell ref="B1039:Q1039"/>
    <mergeCell ref="B1042:P1042"/>
    <mergeCell ref="B1044:B1047"/>
    <mergeCell ref="H1044:H1047"/>
    <mergeCell ref="Q1044:Q1047"/>
    <mergeCell ref="Q995:Q999"/>
    <mergeCell ref="B982:P982"/>
    <mergeCell ref="B984:B989"/>
    <mergeCell ref="H984:H989"/>
    <mergeCell ref="Q984:Q989"/>
    <mergeCell ref="P914:P917"/>
    <mergeCell ref="A918:P918"/>
    <mergeCell ref="K949:L949"/>
    <mergeCell ref="A961:O961"/>
    <mergeCell ref="A963:A966"/>
    <mergeCell ref="B1000:Q1000"/>
    <mergeCell ref="B1003:P1003"/>
    <mergeCell ref="B1005:B1010"/>
    <mergeCell ref="H1005:H1010"/>
    <mergeCell ref="Q1005:Q1010"/>
    <mergeCell ref="B990:Q990"/>
    <mergeCell ref="B993:P993"/>
    <mergeCell ref="Q1115:Q1129"/>
    <mergeCell ref="B1022:Q1022"/>
    <mergeCell ref="B1024:P1024"/>
    <mergeCell ref="B1026:B1030"/>
    <mergeCell ref="H1026:H1030"/>
    <mergeCell ref="Q1026:Q1030"/>
    <mergeCell ref="B1011:Q1011"/>
    <mergeCell ref="B1014:P1014"/>
    <mergeCell ref="B1016:B1021"/>
    <mergeCell ref="B1031:Q1031"/>
    <mergeCell ref="B1033:P1033"/>
    <mergeCell ref="B1035:B1038"/>
    <mergeCell ref="Q1035:Q1038"/>
    <mergeCell ref="H1016:H1021"/>
    <mergeCell ref="B1082:P1082"/>
    <mergeCell ref="B1077:Q1077"/>
    <mergeCell ref="B1084:B1095"/>
    <mergeCell ref="Q1084:Q1095"/>
    <mergeCell ref="B1096:Q1096"/>
    <mergeCell ref="B1136:P1136"/>
    <mergeCell ref="B1138:B1152"/>
    <mergeCell ref="H1138:H1152"/>
    <mergeCell ref="Q1138:Q1152"/>
    <mergeCell ref="B1153:Q1153"/>
    <mergeCell ref="H1115:H1129"/>
    <mergeCell ref="B1130:Q1130"/>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election activeCell="E15" sqref="E15"/>
    </sheetView>
  </sheetViews>
  <sheetFormatPr baseColWidth="10" defaultColWidth="11.42578125" defaultRowHeight="15"/>
  <cols>
    <col min="1" max="1" width="26.42578125" style="253" customWidth="1"/>
    <col min="2" max="2" width="18.7109375" style="253" customWidth="1"/>
    <col min="3" max="3" width="12.7109375" style="253" bestFit="1" customWidth="1"/>
    <col min="4" max="4" width="11.7109375" style="253" bestFit="1" customWidth="1"/>
    <col min="5" max="5" width="11.42578125" style="253"/>
    <col min="6" max="6" width="3.140625" style="253" customWidth="1"/>
    <col min="7" max="7" width="14" style="371" customWidth="1"/>
    <col min="8" max="8" width="11.7109375" style="253" bestFit="1" customWidth="1"/>
    <col min="9" max="12" width="11.42578125" style="253"/>
    <col min="13" max="13" width="11.7109375" style="362" bestFit="1" customWidth="1"/>
    <col min="14" max="15" width="11.42578125" style="253"/>
    <col min="16" max="16" width="11.42578125" style="362"/>
    <col min="17" max="16384" width="11.42578125" style="253"/>
  </cols>
  <sheetData>
    <row r="1" spans="1:17" s="411" customFormat="1">
      <c r="A1" s="407"/>
      <c r="B1" s="408" t="s">
        <v>4086</v>
      </c>
      <c r="C1" s="407"/>
      <c r="D1" s="407"/>
      <c r="E1" s="407"/>
      <c r="F1" s="407"/>
      <c r="G1" s="409"/>
      <c r="H1" s="408" t="s">
        <v>4087</v>
      </c>
      <c r="I1" s="407"/>
      <c r="J1" s="407"/>
      <c r="K1" s="407"/>
      <c r="L1" s="407"/>
      <c r="M1" s="410" t="s">
        <v>4088</v>
      </c>
      <c r="N1" s="407"/>
      <c r="O1" s="407"/>
      <c r="P1" s="410" t="s">
        <v>4089</v>
      </c>
      <c r="Q1" s="407"/>
    </row>
    <row r="2" spans="1:17">
      <c r="C2" s="406" t="e">
        <f>C3/'[18]presupuesto '!C29</f>
        <v>#VALUE!</v>
      </c>
      <c r="D2" s="412" t="s">
        <v>4090</v>
      </c>
    </row>
    <row r="3" spans="1:17" s="416" customFormat="1">
      <c r="A3" s="413" t="s">
        <v>4091</v>
      </c>
      <c r="B3" s="414" t="e">
        <f>'[18]presupuesto '!G541</f>
        <v>#VALUE!</v>
      </c>
      <c r="C3" s="414" t="e">
        <f>B3/4</f>
        <v>#VALUE!</v>
      </c>
      <c r="D3" s="414"/>
      <c r="E3" s="413"/>
      <c r="F3" s="413"/>
      <c r="G3" s="415">
        <v>17607180.280000001</v>
      </c>
      <c r="H3" s="413"/>
      <c r="I3" s="413"/>
      <c r="J3" s="413"/>
      <c r="K3" s="413"/>
      <c r="M3" s="417" t="e">
        <f>'[18]presupuesto '!G698</f>
        <v>#VALUE!</v>
      </c>
      <c r="P3" s="417" t="e">
        <f>'[18]presupuesto '!G724</f>
        <v>#VALUE!</v>
      </c>
    </row>
    <row r="4" spans="1:17">
      <c r="A4" s="384"/>
      <c r="B4" s="384"/>
      <c r="C4" s="384"/>
      <c r="D4" s="384"/>
      <c r="E4" s="384"/>
      <c r="F4" s="384"/>
      <c r="G4" s="418"/>
      <c r="H4" s="384"/>
      <c r="I4" s="384"/>
      <c r="J4" s="384"/>
      <c r="K4" s="384"/>
    </row>
    <row r="5" spans="1:17" s="416" customFormat="1">
      <c r="A5" s="419" t="s">
        <v>4092</v>
      </c>
      <c r="B5" s="414">
        <f>'[18]presupuesto '!G36</f>
        <v>167091.78</v>
      </c>
      <c r="C5" s="413"/>
      <c r="D5" s="420" t="e">
        <f>B5/$B$3</f>
        <v>#VALUE!</v>
      </c>
      <c r="E5" s="413"/>
      <c r="F5" s="413"/>
      <c r="G5" s="415">
        <v>627548.68999999994</v>
      </c>
      <c r="I5" s="421">
        <f>G5/$G$3</f>
        <v>3.5641634834217756E-2</v>
      </c>
      <c r="J5" s="413"/>
      <c r="K5" s="413"/>
      <c r="M5" s="417">
        <f>'[18]presupuesto '!G552</f>
        <v>391587.24</v>
      </c>
      <c r="N5" s="421" t="e">
        <f>M5/$M$3</f>
        <v>#VALUE!</v>
      </c>
      <c r="P5" s="417">
        <f>'[18]presupuesto '!F703+'[18]presupuesto '!F704+'[18]presupuesto '!F705</f>
        <v>30614.25</v>
      </c>
      <c r="Q5" s="421" t="e">
        <f>P5/$P$3</f>
        <v>#VALUE!</v>
      </c>
    </row>
    <row r="6" spans="1:17">
      <c r="A6" s="384" t="s">
        <v>4093</v>
      </c>
      <c r="B6" s="422" t="e">
        <f>'[18]presupuesto '!G84</f>
        <v>#VALUE!</v>
      </c>
      <c r="C6" s="384"/>
      <c r="D6" s="384"/>
      <c r="E6" s="384"/>
      <c r="F6" s="384"/>
      <c r="G6" s="418">
        <v>2680175.4900000002</v>
      </c>
      <c r="H6" s="384"/>
      <c r="I6" s="384"/>
      <c r="J6" s="384"/>
      <c r="K6" s="384"/>
    </row>
    <row r="7" spans="1:17">
      <c r="A7" s="384" t="s">
        <v>4094</v>
      </c>
      <c r="B7" s="422" t="e">
        <f>'[18]presupuesto '!G176</f>
        <v>#VALUE!</v>
      </c>
      <c r="C7" s="384"/>
      <c r="D7" s="384"/>
      <c r="E7" s="384"/>
      <c r="F7" s="384"/>
      <c r="G7" s="418">
        <v>971423.15</v>
      </c>
      <c r="H7" s="384"/>
      <c r="I7" s="384"/>
      <c r="J7" s="384"/>
      <c r="K7" s="384"/>
    </row>
    <row r="8" spans="1:17">
      <c r="A8" s="384" t="s">
        <v>4095</v>
      </c>
      <c r="B8" s="422" t="e">
        <f>'[18]presupuesto '!G257</f>
        <v>#VALUE!</v>
      </c>
      <c r="C8" s="384"/>
      <c r="D8" s="384"/>
      <c r="E8" s="384"/>
      <c r="F8" s="384"/>
      <c r="G8" s="418">
        <v>1002014.18</v>
      </c>
      <c r="H8" s="423"/>
      <c r="I8" s="384"/>
      <c r="J8" s="384"/>
      <c r="K8" s="384"/>
    </row>
    <row r="9" spans="1:17">
      <c r="A9" s="384" t="s">
        <v>4096</v>
      </c>
      <c r="B9" s="422" t="e">
        <f>'[18]presupuesto '!G337</f>
        <v>#VALUE!</v>
      </c>
      <c r="C9" s="384"/>
      <c r="D9" s="384"/>
      <c r="E9" s="384"/>
      <c r="F9" s="384"/>
      <c r="G9" s="418">
        <v>1000595.43</v>
      </c>
      <c r="H9" s="384"/>
      <c r="I9" s="384"/>
      <c r="J9" s="384"/>
      <c r="K9" s="384"/>
    </row>
    <row r="10" spans="1:17" s="416" customFormat="1">
      <c r="A10" s="413" t="s">
        <v>4097</v>
      </c>
      <c r="B10" s="414" t="e">
        <f>'[18]presupuesto '!G389</f>
        <v>#VALUE!</v>
      </c>
      <c r="C10" s="414" t="e">
        <f>SUM(B6:B10)</f>
        <v>#VALUE!</v>
      </c>
      <c r="D10" s="421" t="e">
        <f>C10/$B$3</f>
        <v>#VALUE!</v>
      </c>
      <c r="E10" s="424"/>
      <c r="F10" s="413"/>
      <c r="G10" s="415">
        <v>68073.19</v>
      </c>
      <c r="H10" s="414">
        <f>SUM(G6:G10)</f>
        <v>5722281.4400000004</v>
      </c>
      <c r="I10" s="421">
        <f>H10/$G$3</f>
        <v>0.32499703808337449</v>
      </c>
      <c r="J10" s="413"/>
      <c r="K10" s="413"/>
      <c r="M10" s="417">
        <f>'[18]presupuesto '!G585</f>
        <v>2334071.2800000003</v>
      </c>
      <c r="N10" s="421" t="e">
        <f>M10/$M$3</f>
        <v>#VALUE!</v>
      </c>
      <c r="P10" s="417">
        <f>'[18]presupuesto '!F706+'[18]presupuesto '!F707+'[18]presupuesto '!F708+'[18]presupuesto '!F709+'[18]presupuesto '!F710+'[18]presupuesto '!F711+'[18]presupuesto '!F712+'[18]presupuesto '!F713</f>
        <v>485830.64999999997</v>
      </c>
      <c r="Q10" s="421" t="e">
        <f>P10/$P$3</f>
        <v>#VALUE!</v>
      </c>
    </row>
    <row r="11" spans="1:17">
      <c r="A11" s="384" t="s">
        <v>4098</v>
      </c>
      <c r="B11" s="422" t="e">
        <f>'[18]presupuesto '!G87</f>
        <v>#VALUE!</v>
      </c>
      <c r="C11" s="422"/>
      <c r="D11" s="425"/>
      <c r="E11" s="384"/>
      <c r="F11" s="384"/>
      <c r="G11" s="418">
        <v>549387.35</v>
      </c>
      <c r="H11" s="384"/>
      <c r="I11" s="384"/>
      <c r="J11" s="384"/>
      <c r="K11" s="384"/>
    </row>
    <row r="12" spans="1:17">
      <c r="A12" s="384" t="s">
        <v>4099</v>
      </c>
      <c r="B12" s="422" t="e">
        <f>'[18]presupuesto '!G179</f>
        <v>#VALUE!</v>
      </c>
      <c r="C12" s="422"/>
      <c r="D12" s="422"/>
      <c r="E12" s="384"/>
      <c r="F12" s="384"/>
      <c r="G12" s="418">
        <v>421178.06000000006</v>
      </c>
      <c r="H12" s="384"/>
      <c r="I12" s="384"/>
      <c r="J12" s="384"/>
      <c r="K12" s="384"/>
    </row>
    <row r="13" spans="1:17">
      <c r="A13" s="384" t="s">
        <v>4100</v>
      </c>
      <c r="B13" s="422" t="e">
        <f>'[18]presupuesto '!G260</f>
        <v>#VALUE!</v>
      </c>
      <c r="C13" s="422"/>
      <c r="D13" s="425"/>
      <c r="E13" s="384"/>
      <c r="F13" s="384"/>
      <c r="G13" s="418">
        <v>433091.81999999995</v>
      </c>
      <c r="H13" s="384"/>
      <c r="I13" s="384"/>
      <c r="J13" s="384"/>
      <c r="K13" s="384"/>
    </row>
    <row r="14" spans="1:17">
      <c r="A14" s="384" t="s">
        <v>4101</v>
      </c>
      <c r="B14" s="422" t="e">
        <f>'[18]presupuesto '!G340</f>
        <v>#VALUE!</v>
      </c>
      <c r="C14" s="422"/>
      <c r="D14" s="425"/>
      <c r="E14" s="384"/>
      <c r="F14" s="384"/>
      <c r="G14" s="418">
        <v>437810.7</v>
      </c>
      <c r="H14" s="384"/>
      <c r="I14" s="384"/>
      <c r="J14" s="384"/>
      <c r="K14" s="384"/>
    </row>
    <row r="15" spans="1:17" s="416" customFormat="1">
      <c r="A15" s="413" t="s">
        <v>4102</v>
      </c>
      <c r="B15" s="414" t="e">
        <f>'[18]presupuesto '!G391</f>
        <v>#VALUE!</v>
      </c>
      <c r="C15" s="414" t="e">
        <f>SUM(B11:B15)</f>
        <v>#VALUE!</v>
      </c>
      <c r="D15" s="421" t="e">
        <f>C15/$B$3</f>
        <v>#VALUE!</v>
      </c>
      <c r="E15" s="413"/>
      <c r="F15" s="413"/>
      <c r="G15" s="415">
        <v>60346.44</v>
      </c>
      <c r="H15" s="414">
        <f>SUM(G11:G15)</f>
        <v>1901814.3699999999</v>
      </c>
      <c r="I15" s="421">
        <f>H15/$G$3</f>
        <v>0.10801356831452855</v>
      </c>
      <c r="J15" s="413"/>
      <c r="K15" s="413"/>
      <c r="M15" s="417" t="e">
        <f>'[18]presupuesto '!G591</f>
        <v>#VALUE!</v>
      </c>
      <c r="N15" s="421" t="e">
        <f>M15/$M$3</f>
        <v>#VALUE!</v>
      </c>
      <c r="P15" s="417">
        <f>'[18]presupuesto '!F714</f>
        <v>64253.7</v>
      </c>
      <c r="Q15" s="421" t="e">
        <f>P15/$P$3</f>
        <v>#VALUE!</v>
      </c>
    </row>
    <row r="16" spans="1:17">
      <c r="A16" s="384" t="s">
        <v>4103</v>
      </c>
      <c r="B16" s="422" t="e">
        <f>'[18]presupuesto '!G93</f>
        <v>#VALUE!</v>
      </c>
      <c r="C16" s="422"/>
      <c r="D16" s="425"/>
      <c r="E16" s="384"/>
      <c r="F16" s="384"/>
      <c r="G16" s="418">
        <v>480088.25</v>
      </c>
      <c r="H16" s="384"/>
      <c r="I16" s="384"/>
      <c r="J16" s="384"/>
      <c r="K16" s="384"/>
    </row>
    <row r="17" spans="1:17">
      <c r="A17" s="384" t="s">
        <v>4104</v>
      </c>
      <c r="B17" s="422" t="e">
        <f>'[18]presupuesto '!G185</f>
        <v>#VALUE!</v>
      </c>
      <c r="C17" s="422"/>
      <c r="D17" s="425"/>
      <c r="E17" s="384"/>
      <c r="F17" s="384"/>
      <c r="G17" s="418">
        <v>475898.14999999997</v>
      </c>
      <c r="H17" s="384"/>
      <c r="I17" s="384"/>
      <c r="J17" s="384"/>
      <c r="K17" s="384"/>
    </row>
    <row r="18" spans="1:17">
      <c r="A18" s="384" t="s">
        <v>4105</v>
      </c>
      <c r="B18" s="422" t="e">
        <f>'[18]presupuesto '!G266</f>
        <v>#VALUE!</v>
      </c>
      <c r="C18" s="422"/>
      <c r="D18" s="425"/>
      <c r="E18" s="384"/>
      <c r="F18" s="384"/>
      <c r="G18" s="418">
        <v>521305.24</v>
      </c>
      <c r="H18" s="384"/>
      <c r="I18" s="384"/>
      <c r="J18" s="384"/>
      <c r="K18" s="384"/>
    </row>
    <row r="19" spans="1:17">
      <c r="A19" s="384" t="s">
        <v>4106</v>
      </c>
      <c r="B19" s="422" t="e">
        <f>'[18]presupuesto '!G346</f>
        <v>#VALUE!</v>
      </c>
      <c r="C19" s="422"/>
      <c r="D19" s="425"/>
      <c r="E19" s="384"/>
      <c r="F19" s="384"/>
      <c r="G19" s="418">
        <v>530530.15</v>
      </c>
      <c r="H19" s="384"/>
      <c r="I19" s="384"/>
      <c r="J19" s="384"/>
      <c r="K19" s="384"/>
    </row>
    <row r="20" spans="1:17" s="416" customFormat="1">
      <c r="A20" s="413" t="s">
        <v>4107</v>
      </c>
      <c r="B20" s="414" t="e">
        <f>'[18]presupuesto '!G396</f>
        <v>#VALUE!</v>
      </c>
      <c r="C20" s="414" t="e">
        <f>SUM(B16:B20)</f>
        <v>#VALUE!</v>
      </c>
      <c r="D20" s="421" t="e">
        <f>C20/$B$3</f>
        <v>#VALUE!</v>
      </c>
      <c r="E20" s="413"/>
      <c r="F20" s="413"/>
      <c r="G20" s="415">
        <v>114879.43999999999</v>
      </c>
      <c r="H20" s="414">
        <f>SUM(G16:G20)</f>
        <v>2122701.23</v>
      </c>
      <c r="I20" s="421">
        <f>H20/$G$3</f>
        <v>0.12055883998706918</v>
      </c>
      <c r="J20" s="413"/>
      <c r="K20" s="413"/>
      <c r="M20" s="417" t="e">
        <f>'[18]presupuesto '!G598</f>
        <v>#VALUE!</v>
      </c>
      <c r="N20" s="421" t="e">
        <f>M20/$M$3</f>
        <v>#VALUE!</v>
      </c>
      <c r="P20" s="417" t="e">
        <f>'[18]presupuesto '!F715+'[18]presupuesto '!F716+'[18]presupuesto '!F717+'[18]presupuesto '!F718</f>
        <v>#VALUE!</v>
      </c>
      <c r="Q20" s="421" t="e">
        <f>P20/$P$3</f>
        <v>#VALUE!</v>
      </c>
    </row>
    <row r="21" spans="1:17">
      <c r="A21" s="384" t="s">
        <v>4108</v>
      </c>
      <c r="B21" s="422" t="e">
        <f>'[18]presupuesto '!G98</f>
        <v>#VALUE!</v>
      </c>
      <c r="C21" s="422"/>
      <c r="D21" s="425"/>
      <c r="E21" s="384"/>
      <c r="F21" s="384"/>
      <c r="G21" s="418"/>
      <c r="H21" s="384"/>
      <c r="I21" s="384"/>
      <c r="J21" s="384"/>
      <c r="K21" s="384"/>
    </row>
    <row r="22" spans="1:17">
      <c r="A22" s="384" t="s">
        <v>4109</v>
      </c>
      <c r="B22" s="422" t="e">
        <f>'[18]presupuesto '!G189</f>
        <v>#VALUE!</v>
      </c>
      <c r="C22" s="422"/>
      <c r="D22" s="425"/>
      <c r="E22" s="384"/>
      <c r="F22" s="384"/>
      <c r="G22" s="418"/>
      <c r="H22" s="384"/>
      <c r="I22" s="384"/>
      <c r="J22" s="384"/>
      <c r="K22" s="384"/>
    </row>
    <row r="23" spans="1:17">
      <c r="A23" s="384" t="s">
        <v>4110</v>
      </c>
      <c r="B23" s="422" t="e">
        <f>'[18]presupuesto '!G270</f>
        <v>#VALUE!</v>
      </c>
      <c r="C23" s="422"/>
      <c r="D23" s="425"/>
      <c r="E23" s="384"/>
      <c r="F23" s="384"/>
      <c r="G23" s="418"/>
      <c r="H23" s="384"/>
      <c r="I23" s="384"/>
      <c r="J23" s="384"/>
      <c r="K23" s="384"/>
    </row>
    <row r="24" spans="1:17" s="416" customFormat="1">
      <c r="A24" s="413" t="s">
        <v>4111</v>
      </c>
      <c r="B24" s="414" t="e">
        <f>'[18]presupuesto '!G350</f>
        <v>#VALUE!</v>
      </c>
      <c r="C24" s="414" t="e">
        <f>SUM(B21:B24)</f>
        <v>#VALUE!</v>
      </c>
      <c r="D24" s="421" t="e">
        <f>C24/$B$3</f>
        <v>#VALUE!</v>
      </c>
      <c r="E24" s="413"/>
      <c r="F24" s="413"/>
      <c r="G24" s="415"/>
      <c r="H24" s="413"/>
      <c r="I24" s="413"/>
      <c r="J24" s="413"/>
      <c r="K24" s="413"/>
      <c r="M24" s="417" t="e">
        <f>'[18]presupuesto '!G604</f>
        <v>#VALUE!</v>
      </c>
      <c r="N24" s="421" t="e">
        <f>M24/$M$3</f>
        <v>#VALUE!</v>
      </c>
      <c r="P24" s="417" t="e">
        <f>'[18]presupuesto '!F719+'[18]presupuesto '!F720</f>
        <v>#VALUE!</v>
      </c>
      <c r="Q24" s="421" t="e">
        <f>P24/$P$3</f>
        <v>#VALUE!</v>
      </c>
    </row>
    <row r="25" spans="1:17">
      <c r="A25" s="384" t="s">
        <v>4112</v>
      </c>
      <c r="B25" s="422">
        <f>'[18]presupuesto '!G100</f>
        <v>237558.23</v>
      </c>
      <c r="C25" s="422"/>
      <c r="D25" s="425"/>
      <c r="E25" s="384"/>
      <c r="F25" s="384"/>
      <c r="G25" s="418"/>
      <c r="H25" s="384"/>
      <c r="I25" s="384"/>
      <c r="J25" s="384"/>
      <c r="K25" s="384"/>
    </row>
    <row r="26" spans="1:17">
      <c r="A26" s="384" t="s">
        <v>4113</v>
      </c>
      <c r="B26" s="422">
        <f>'[18]presupuesto '!G191</f>
        <v>219401.91</v>
      </c>
      <c r="C26" s="422"/>
      <c r="D26" s="425"/>
      <c r="E26" s="384"/>
      <c r="F26" s="384"/>
      <c r="G26" s="418"/>
      <c r="H26" s="384"/>
      <c r="I26" s="384"/>
      <c r="J26" s="384"/>
      <c r="K26" s="384"/>
    </row>
    <row r="27" spans="1:17">
      <c r="A27" s="384" t="s">
        <v>4114</v>
      </c>
      <c r="B27" s="422">
        <f>'[18]presupuesto '!G272</f>
        <v>219401.91</v>
      </c>
      <c r="C27" s="422"/>
      <c r="D27" s="425"/>
      <c r="E27" s="384"/>
      <c r="F27" s="384"/>
      <c r="G27" s="418"/>
      <c r="H27" s="384"/>
      <c r="I27" s="384"/>
      <c r="J27" s="384"/>
      <c r="K27" s="384"/>
    </row>
    <row r="28" spans="1:17" s="416" customFormat="1">
      <c r="A28" s="413" t="s">
        <v>4115</v>
      </c>
      <c r="B28" s="414">
        <f>'[18]presupuesto '!G352</f>
        <v>219401.91</v>
      </c>
      <c r="C28" s="414">
        <f>SUM(B25:B28)</f>
        <v>895763.96000000008</v>
      </c>
      <c r="D28" s="421" t="e">
        <f>C28/$B$3</f>
        <v>#VALUE!</v>
      </c>
      <c r="E28" s="413"/>
      <c r="F28" s="413"/>
      <c r="G28" s="415"/>
      <c r="H28" s="413"/>
      <c r="I28" s="413"/>
      <c r="J28" s="413"/>
      <c r="K28" s="413"/>
      <c r="M28" s="417">
        <f>'[18]presupuesto '!G606</f>
        <v>318557.33</v>
      </c>
      <c r="N28" s="421" t="e">
        <f>M28/$M$3</f>
        <v>#VALUE!</v>
      </c>
      <c r="P28" s="417"/>
    </row>
    <row r="29" spans="1:17">
      <c r="A29" s="384" t="s">
        <v>4116</v>
      </c>
      <c r="B29" s="422" t="e">
        <f>'[18]presupuesto '!G103</f>
        <v>#VALUE!</v>
      </c>
      <c r="C29" s="422"/>
      <c r="D29" s="425"/>
      <c r="E29" s="384"/>
      <c r="F29" s="384"/>
      <c r="G29" s="418"/>
      <c r="H29" s="384"/>
      <c r="I29" s="384"/>
      <c r="J29" s="384"/>
      <c r="K29" s="384"/>
    </row>
    <row r="30" spans="1:17">
      <c r="A30" s="384" t="s">
        <v>4117</v>
      </c>
      <c r="B30" s="422" t="e">
        <f>'[18]presupuesto '!G194</f>
        <v>#VALUE!</v>
      </c>
      <c r="C30" s="422"/>
      <c r="D30" s="425"/>
      <c r="E30" s="384"/>
      <c r="F30" s="384"/>
      <c r="G30" s="418"/>
      <c r="H30" s="384"/>
      <c r="I30" s="384"/>
      <c r="J30" s="384"/>
      <c r="K30" s="384"/>
    </row>
    <row r="31" spans="1:17">
      <c r="A31" s="384" t="s">
        <v>4118</v>
      </c>
      <c r="B31" s="422" t="e">
        <f>'[18]presupuesto '!G275</f>
        <v>#VALUE!</v>
      </c>
      <c r="C31" s="422"/>
      <c r="D31" s="425"/>
      <c r="E31" s="384"/>
      <c r="F31" s="384"/>
      <c r="G31" s="418"/>
      <c r="H31" s="384"/>
      <c r="I31" s="384"/>
      <c r="J31" s="384"/>
      <c r="K31" s="384"/>
    </row>
    <row r="32" spans="1:17" s="416" customFormat="1">
      <c r="A32" s="413" t="s">
        <v>4119</v>
      </c>
      <c r="B32" s="414" t="e">
        <f>'[18]presupuesto '!G355</f>
        <v>#VALUE!</v>
      </c>
      <c r="C32" s="414" t="e">
        <f>SUM(B29:B32)</f>
        <v>#VALUE!</v>
      </c>
      <c r="D32" s="426" t="e">
        <f>C32/$B$3</f>
        <v>#VALUE!</v>
      </c>
      <c r="E32" s="413"/>
      <c r="F32" s="413"/>
      <c r="G32" s="415"/>
      <c r="H32" s="413"/>
      <c r="I32" s="413"/>
      <c r="J32" s="413"/>
      <c r="K32" s="413"/>
      <c r="M32" s="417"/>
      <c r="P32" s="417"/>
    </row>
    <row r="33" spans="1:16">
      <c r="A33" s="384" t="s">
        <v>4120</v>
      </c>
      <c r="B33" s="422">
        <f>'[18]presupuesto '!G107</f>
        <v>1211376.3500000001</v>
      </c>
      <c r="C33" s="422"/>
      <c r="D33" s="425"/>
      <c r="E33" s="384"/>
      <c r="F33" s="384"/>
      <c r="G33" s="418"/>
      <c r="H33" s="384"/>
      <c r="I33" s="384"/>
      <c r="J33" s="384"/>
      <c r="K33" s="384"/>
    </row>
    <row r="34" spans="1:16">
      <c r="A34" s="384" t="s">
        <v>4121</v>
      </c>
      <c r="B34" s="422">
        <f>'[18]presupuesto '!G198</f>
        <v>1097056.69</v>
      </c>
      <c r="C34" s="422"/>
      <c r="D34" s="425"/>
      <c r="E34" s="384"/>
      <c r="F34" s="384"/>
      <c r="G34" s="418"/>
      <c r="H34" s="384"/>
      <c r="I34" s="384"/>
      <c r="J34" s="384"/>
      <c r="K34" s="384"/>
    </row>
    <row r="35" spans="1:16">
      <c r="A35" s="384" t="s">
        <v>4122</v>
      </c>
      <c r="B35" s="422">
        <f>'[18]presupuesto '!G279</f>
        <v>1097056.69</v>
      </c>
      <c r="C35" s="422"/>
      <c r="D35" s="425"/>
      <c r="E35" s="384"/>
      <c r="F35" s="384"/>
      <c r="G35" s="418"/>
      <c r="H35" s="384"/>
      <c r="I35" s="384"/>
      <c r="J35" s="384"/>
      <c r="K35" s="384"/>
    </row>
    <row r="36" spans="1:16">
      <c r="A36" s="384" t="s">
        <v>4123</v>
      </c>
      <c r="B36" s="422">
        <f>'[18]presupuesto '!G359</f>
        <v>1141109.3700000001</v>
      </c>
      <c r="C36" s="422"/>
      <c r="D36" s="425"/>
      <c r="E36" s="384"/>
      <c r="F36" s="384"/>
      <c r="G36" s="418"/>
      <c r="H36" s="384"/>
      <c r="I36" s="384"/>
      <c r="J36" s="384"/>
      <c r="K36" s="384"/>
    </row>
    <row r="37" spans="1:16" s="416" customFormat="1">
      <c r="A37" s="413" t="s">
        <v>4124</v>
      </c>
      <c r="B37" s="414">
        <f>'[18]presupuesto '!G398</f>
        <v>14661.26</v>
      </c>
      <c r="C37" s="414">
        <f>SUM(B33:B37)</f>
        <v>4561260.3599999994</v>
      </c>
      <c r="D37" s="421" t="e">
        <f>C37/$B$3</f>
        <v>#VALUE!</v>
      </c>
      <c r="E37" s="413"/>
      <c r="F37" s="413"/>
      <c r="G37" s="415"/>
      <c r="H37" s="413"/>
      <c r="I37" s="413"/>
      <c r="J37" s="413"/>
      <c r="K37" s="413"/>
      <c r="M37" s="417">
        <f>'[18]presupuesto '!G611+'[18]presupuesto '!F614+'[18]presupuesto '!F615+'[18]presupuesto '!F616+'[18]presupuesto '!F617</f>
        <v>1029705.4800000001</v>
      </c>
      <c r="N37" s="421" t="e">
        <f>M37/$M$3</f>
        <v>#VALUE!</v>
      </c>
      <c r="P37" s="417"/>
    </row>
    <row r="38" spans="1:16">
      <c r="A38" s="384" t="s">
        <v>4125</v>
      </c>
      <c r="B38" s="422">
        <f>'[18]presupuesto '!G112</f>
        <v>193108.64</v>
      </c>
      <c r="C38" s="422"/>
      <c r="D38" s="425"/>
      <c r="E38" s="384"/>
      <c r="F38" s="384"/>
      <c r="G38" s="418"/>
      <c r="H38" s="384"/>
      <c r="I38" s="384"/>
      <c r="J38" s="384"/>
      <c r="K38" s="384"/>
    </row>
    <row r="39" spans="1:16">
      <c r="A39" s="384" t="s">
        <v>4126</v>
      </c>
      <c r="B39" s="422">
        <f>'[18]presupuesto '!G203</f>
        <v>202907.4</v>
      </c>
      <c r="C39" s="422"/>
      <c r="D39" s="425"/>
      <c r="E39" s="384"/>
      <c r="F39" s="384"/>
      <c r="G39" s="418"/>
      <c r="H39" s="384"/>
      <c r="I39" s="384"/>
      <c r="J39" s="384"/>
      <c r="K39" s="384"/>
    </row>
    <row r="40" spans="1:16">
      <c r="A40" s="384" t="s">
        <v>4127</v>
      </c>
      <c r="B40" s="422">
        <f>'[18]presupuesto '!G284</f>
        <v>202907.4</v>
      </c>
      <c r="C40" s="422"/>
      <c r="D40" s="425"/>
      <c r="E40" s="384"/>
      <c r="F40" s="384"/>
      <c r="G40" s="418"/>
      <c r="H40" s="384"/>
      <c r="I40" s="384"/>
      <c r="J40" s="384"/>
      <c r="K40" s="384"/>
    </row>
    <row r="41" spans="1:16" s="416" customFormat="1">
      <c r="A41" s="413" t="s">
        <v>4128</v>
      </c>
      <c r="B41" s="414">
        <f>'[18]presupuesto '!G364</f>
        <v>249274.39</v>
      </c>
      <c r="C41" s="414">
        <f>SUM(B38:B41)</f>
        <v>848197.83000000007</v>
      </c>
      <c r="D41" s="421" t="e">
        <f>C41/$B$3</f>
        <v>#VALUE!</v>
      </c>
      <c r="E41" s="413"/>
      <c r="F41" s="413"/>
      <c r="G41" s="415"/>
      <c r="H41" s="413"/>
      <c r="I41" s="413"/>
      <c r="J41" s="413"/>
      <c r="K41" s="413"/>
      <c r="M41" s="417">
        <f>'[18]presupuesto '!G622</f>
        <v>200742.66</v>
      </c>
      <c r="N41" s="421" t="e">
        <f>M41/$M$3</f>
        <v>#VALUE!</v>
      </c>
      <c r="P41" s="417"/>
    </row>
    <row r="42" spans="1:16">
      <c r="A42" s="384" t="s">
        <v>4129</v>
      </c>
      <c r="B42" s="422">
        <f>'[18]presupuesto '!G109</f>
        <v>18000</v>
      </c>
      <c r="C42" s="422"/>
      <c r="D42" s="425"/>
      <c r="E42" s="384"/>
      <c r="F42" s="384"/>
      <c r="G42" s="418"/>
      <c r="H42" s="384"/>
      <c r="I42" s="384"/>
      <c r="J42" s="384"/>
      <c r="K42" s="384"/>
    </row>
    <row r="43" spans="1:16">
      <c r="A43" s="384" t="s">
        <v>4130</v>
      </c>
      <c r="B43" s="422">
        <f>'[18]presupuesto '!G200</f>
        <v>36000</v>
      </c>
      <c r="C43" s="422"/>
      <c r="D43" s="425"/>
      <c r="E43" s="384"/>
      <c r="F43" s="384"/>
      <c r="G43" s="418"/>
      <c r="H43" s="384"/>
      <c r="I43" s="384"/>
      <c r="J43" s="384"/>
      <c r="K43" s="384"/>
    </row>
    <row r="44" spans="1:16">
      <c r="A44" s="384" t="s">
        <v>4131</v>
      </c>
      <c r="B44" s="422">
        <f>'[18]presupuesto '!G281</f>
        <v>30000</v>
      </c>
      <c r="C44" s="422"/>
      <c r="D44" s="425"/>
      <c r="E44" s="384"/>
      <c r="F44" s="384"/>
      <c r="G44" s="418"/>
      <c r="H44" s="384"/>
      <c r="I44" s="384"/>
      <c r="J44" s="384"/>
      <c r="K44" s="384"/>
    </row>
    <row r="45" spans="1:16" s="416" customFormat="1">
      <c r="A45" s="413" t="s">
        <v>4132</v>
      </c>
      <c r="B45" s="414">
        <f>'[18]presupuesto '!G361</f>
        <v>18000</v>
      </c>
      <c r="C45" s="414">
        <f>SUM(B42:B45)</f>
        <v>102000</v>
      </c>
      <c r="D45" s="426" t="e">
        <f>C45/$B$3</f>
        <v>#VALUE!</v>
      </c>
      <c r="E45" s="413"/>
      <c r="F45" s="413"/>
      <c r="G45" s="415"/>
      <c r="H45" s="413"/>
      <c r="I45" s="413"/>
      <c r="J45" s="413"/>
      <c r="K45" s="413"/>
      <c r="M45" s="417" t="e">
        <f>'[18]presupuesto '!F613+'[18]presupuesto '!#REF!+'[18]presupuesto '!#REF!+'[18]presupuesto '!#REF!+'[18]presupuesto '!#REF!</f>
        <v>#REF!</v>
      </c>
      <c r="N45" s="421" t="e">
        <f>M45/$M$3</f>
        <v>#REF!</v>
      </c>
      <c r="P45" s="417"/>
    </row>
    <row r="46" spans="1:16">
      <c r="A46" s="384" t="s">
        <v>4133</v>
      </c>
      <c r="B46" s="422" t="e">
        <f>'[18]presupuesto '!G117</f>
        <v>#VALUE!</v>
      </c>
      <c r="C46" s="422"/>
      <c r="D46" s="425"/>
      <c r="E46" s="384"/>
      <c r="F46" s="384"/>
      <c r="G46" s="418"/>
      <c r="H46" s="384"/>
      <c r="I46" s="384"/>
      <c r="J46" s="384"/>
      <c r="K46" s="384"/>
    </row>
    <row r="47" spans="1:16">
      <c r="A47" s="384" t="s">
        <v>4134</v>
      </c>
      <c r="B47" s="422" t="e">
        <f>'[18]presupuesto '!G208</f>
        <v>#VALUE!</v>
      </c>
      <c r="C47" s="422"/>
      <c r="D47" s="425"/>
      <c r="E47" s="384"/>
      <c r="F47" s="384"/>
      <c r="G47" s="418"/>
      <c r="H47" s="384"/>
      <c r="I47" s="384"/>
      <c r="J47" s="384"/>
      <c r="K47" s="384"/>
    </row>
    <row r="48" spans="1:16">
      <c r="A48" s="384" t="s">
        <v>4135</v>
      </c>
      <c r="B48" s="422" t="e">
        <f>'[18]presupuesto '!G289</f>
        <v>#VALUE!</v>
      </c>
      <c r="C48" s="422"/>
      <c r="D48" s="425"/>
      <c r="E48" s="384"/>
      <c r="F48" s="384"/>
      <c r="G48" s="418"/>
      <c r="H48" s="384"/>
      <c r="I48" s="384"/>
      <c r="J48" s="384"/>
      <c r="K48" s="384"/>
    </row>
    <row r="49" spans="1:17" s="416" customFormat="1">
      <c r="A49" s="413" t="s">
        <v>4136</v>
      </c>
      <c r="B49" s="414" t="e">
        <f>'[18]presupuesto '!G369</f>
        <v>#VALUE!</v>
      </c>
      <c r="C49" s="414" t="e">
        <f>SUM(B46:B49)</f>
        <v>#VALUE!</v>
      </c>
      <c r="D49" s="421" t="e">
        <f>C49/$B$3</f>
        <v>#VALUE!</v>
      </c>
      <c r="E49" s="413"/>
      <c r="F49" s="413"/>
      <c r="G49" s="415"/>
      <c r="H49" s="413"/>
      <c r="I49" s="413"/>
      <c r="J49" s="413"/>
      <c r="K49" s="413"/>
      <c r="M49" s="417" t="e">
        <f>'[18]presupuesto '!G627</f>
        <v>#VALUE!</v>
      </c>
      <c r="N49" s="421" t="e">
        <f>M49/$M$3</f>
        <v>#VALUE!</v>
      </c>
      <c r="P49" s="417" t="e">
        <f>'[18]presupuesto '!F721</f>
        <v>#VALUE!</v>
      </c>
      <c r="Q49" s="425" t="e">
        <f>P49/$P$3</f>
        <v>#VALUE!</v>
      </c>
    </row>
    <row r="50" spans="1:17">
      <c r="A50" s="384"/>
      <c r="B50" s="422"/>
      <c r="C50" s="422"/>
      <c r="D50" s="425"/>
      <c r="E50" s="384"/>
      <c r="F50" s="384"/>
      <c r="G50" s="418"/>
      <c r="H50" s="384"/>
      <c r="I50" s="384"/>
      <c r="J50" s="384"/>
      <c r="K50" s="384"/>
    </row>
    <row r="51" spans="1:17" s="416" customFormat="1">
      <c r="A51" s="413" t="s">
        <v>4137</v>
      </c>
      <c r="B51" s="414">
        <f>'[18]presupuesto '!G499</f>
        <v>4643170.28</v>
      </c>
      <c r="C51" s="413"/>
      <c r="D51" s="421" t="e">
        <f>B51/$B$3</f>
        <v>#VALUE!</v>
      </c>
      <c r="E51" s="413"/>
      <c r="F51" s="413"/>
      <c r="G51" s="415"/>
      <c r="H51" s="413"/>
      <c r="I51" s="413"/>
      <c r="J51" s="413"/>
      <c r="K51" s="413"/>
      <c r="M51" s="417">
        <f>'[18]presupuesto '!G678</f>
        <v>724049.09</v>
      </c>
      <c r="N51" s="421" t="e">
        <f>M51/$M$3</f>
        <v>#VALUE!</v>
      </c>
      <c r="P51" s="417"/>
    </row>
    <row r="52" spans="1:17" s="416" customFormat="1">
      <c r="A52" s="413" t="s">
        <v>4138</v>
      </c>
      <c r="B52" s="414">
        <f>'[18]presupuesto '!G538</f>
        <v>1762490.3400000003</v>
      </c>
      <c r="C52" s="413"/>
      <c r="D52" s="421" t="e">
        <f>B52/$B$3</f>
        <v>#VALUE!</v>
      </c>
      <c r="E52" s="413"/>
      <c r="F52" s="413"/>
      <c r="G52" s="415"/>
      <c r="H52" s="413"/>
      <c r="I52" s="413"/>
      <c r="J52" s="413"/>
      <c r="K52" s="413"/>
      <c r="M52" s="417">
        <f>'[18]presupuesto '!G695</f>
        <v>421762.88</v>
      </c>
      <c r="N52" s="421" t="e">
        <f>M52/$M$3</f>
        <v>#VALUE!</v>
      </c>
      <c r="P52" s="417"/>
    </row>
    <row r="53" spans="1:17" s="416" customFormat="1">
      <c r="A53" s="413" t="s">
        <v>4139</v>
      </c>
      <c r="B53" s="413" t="e">
        <f>'[18]presupuesto '!G406</f>
        <v>#VALUE!</v>
      </c>
      <c r="C53" s="413"/>
      <c r="D53" s="421" t="e">
        <f>B53/$B$3</f>
        <v>#VALUE!</v>
      </c>
      <c r="E53" s="413"/>
      <c r="F53" s="413"/>
      <c r="G53" s="415"/>
      <c r="H53" s="413"/>
      <c r="I53" s="413"/>
      <c r="J53" s="413"/>
      <c r="K53" s="413"/>
      <c r="M53" s="417" t="e">
        <f>'[18]presupuesto '!G631</f>
        <v>#VALUE!</v>
      </c>
      <c r="N53" s="421" t="e">
        <f>M53/$M$3</f>
        <v>#VALUE!</v>
      </c>
      <c r="P53" s="417" t="e">
        <f>'[18]presupuesto '!F722+'[18]presupuesto '!F723</f>
        <v>#VALUE!</v>
      </c>
      <c r="Q53" s="425" t="e">
        <f>P53/$P$3</f>
        <v>#VALUE!</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9"/>
  <sheetViews>
    <sheetView view="pageBreakPreview" topLeftCell="A13" zoomScaleNormal="100" zoomScaleSheetLayoutView="100" workbookViewId="0">
      <selection activeCell="C31" sqref="C31"/>
    </sheetView>
  </sheetViews>
  <sheetFormatPr baseColWidth="10" defaultColWidth="11.42578125" defaultRowHeight="15"/>
  <cols>
    <col min="1" max="1" width="14.85546875" style="253" customWidth="1"/>
    <col min="2" max="2" width="11.42578125" style="253"/>
    <col min="3" max="3" width="13.140625" style="253" customWidth="1"/>
    <col min="4" max="4" width="11.28515625" style="253" customWidth="1"/>
    <col min="5" max="5" width="10.5703125" style="253" customWidth="1"/>
    <col min="6" max="6" width="10.85546875" style="253" customWidth="1"/>
    <col min="7" max="16384" width="11.42578125" style="253"/>
  </cols>
  <sheetData>
    <row r="1" spans="1:7">
      <c r="A1" s="380"/>
      <c r="B1" s="380"/>
      <c r="C1" s="380"/>
      <c r="D1" s="380"/>
      <c r="E1" s="380"/>
    </row>
    <row r="2" spans="1:7">
      <c r="A2" s="381" t="s">
        <v>4212</v>
      </c>
    </row>
    <row r="6" spans="1:7">
      <c r="A6" s="382" t="s">
        <v>4031</v>
      </c>
      <c r="C6" s="382" t="s">
        <v>4213</v>
      </c>
      <c r="E6" s="312" t="s">
        <v>4214</v>
      </c>
      <c r="G6" s="593" t="s">
        <v>4222</v>
      </c>
    </row>
    <row r="7" spans="1:7">
      <c r="E7" s="312" t="s">
        <v>4215</v>
      </c>
      <c r="G7" s="568" t="s">
        <v>4216</v>
      </c>
    </row>
    <row r="8" spans="1:7">
      <c r="A8" s="390" t="s">
        <v>4032</v>
      </c>
      <c r="C8" s="390" t="s">
        <v>4032</v>
      </c>
    </row>
    <row r="9" spans="1:7">
      <c r="A9" s="391">
        <v>107.53</v>
      </c>
      <c r="B9" s="567" t="s">
        <v>1333</v>
      </c>
      <c r="C9" s="391">
        <v>2190.56</v>
      </c>
      <c r="D9" s="567" t="s">
        <v>1333</v>
      </c>
    </row>
    <row r="10" spans="1:7">
      <c r="C10" s="337"/>
    </row>
    <row r="12" spans="1:7">
      <c r="A12" s="381" t="s">
        <v>4033</v>
      </c>
    </row>
    <row r="14" spans="1:7">
      <c r="B14" s="383" t="s">
        <v>4034</v>
      </c>
      <c r="C14" s="383" t="s">
        <v>4035</v>
      </c>
      <c r="D14" s="383" t="s">
        <v>4036</v>
      </c>
      <c r="E14" s="383" t="s">
        <v>4037</v>
      </c>
    </row>
    <row r="15" spans="1:7">
      <c r="C15" s="253">
        <f>($B$16/3)+1</f>
        <v>243.88666666666666</v>
      </c>
      <c r="D15" s="253">
        <f>($B$16/24)+1</f>
        <v>31.360833333333332</v>
      </c>
      <c r="E15" s="253">
        <f>C15+D15</f>
        <v>275.2475</v>
      </c>
    </row>
    <row r="16" spans="1:7">
      <c r="A16" s="390" t="s">
        <v>4038</v>
      </c>
      <c r="B16" s="571">
        <v>728.66</v>
      </c>
      <c r="C16" s="565">
        <v>244</v>
      </c>
      <c r="D16" s="565">
        <v>32</v>
      </c>
      <c r="E16" s="384">
        <f>C16+D16</f>
        <v>276</v>
      </c>
    </row>
    <row r="17" spans="1:6">
      <c r="A17" s="390" t="s">
        <v>4039</v>
      </c>
      <c r="B17" s="572">
        <v>614.35</v>
      </c>
      <c r="C17" s="566">
        <v>206</v>
      </c>
      <c r="D17" s="565">
        <v>27</v>
      </c>
      <c r="E17" s="384">
        <f>C17+D17</f>
        <v>233</v>
      </c>
    </row>
    <row r="18" spans="1:6">
      <c r="C18" s="253">
        <f>($B$17/3)+1</f>
        <v>205.78333333333333</v>
      </c>
      <c r="D18" s="253">
        <f>($B$17/24)+1</f>
        <v>26.597916666666666</v>
      </c>
      <c r="E18" s="253">
        <f>C18+D18</f>
        <v>232.38124999999999</v>
      </c>
    </row>
    <row r="20" spans="1:6">
      <c r="A20" s="381" t="s">
        <v>4040</v>
      </c>
    </row>
    <row r="21" spans="1:6">
      <c r="A21" s="381"/>
    </row>
    <row r="22" spans="1:6">
      <c r="A22" s="381"/>
      <c r="B22" s="392" t="s">
        <v>4041</v>
      </c>
      <c r="C22" s="393">
        <f>B16</f>
        <v>728.66</v>
      </c>
    </row>
    <row r="25" spans="1:6">
      <c r="A25" s="381" t="s">
        <v>867</v>
      </c>
    </row>
    <row r="27" spans="1:6">
      <c r="A27" s="383" t="s">
        <v>4027</v>
      </c>
      <c r="B27" s="383" t="s">
        <v>4042</v>
      </c>
      <c r="C27" s="383" t="s">
        <v>4030</v>
      </c>
      <c r="D27" s="383" t="s">
        <v>4043</v>
      </c>
      <c r="E27" s="383" t="s">
        <v>1806</v>
      </c>
    </row>
    <row r="28" spans="1:6">
      <c r="A28" s="386">
        <v>0.8</v>
      </c>
      <c r="B28" s="394">
        <f>C22-((A29*D29)+(A30*D30))</f>
        <v>499.85999999999996</v>
      </c>
      <c r="C28" s="387">
        <v>1.4</v>
      </c>
      <c r="D28" s="386">
        <v>1</v>
      </c>
      <c r="E28" s="388">
        <f>A28*B28*C28*D28</f>
        <v>559.84319999999991</v>
      </c>
      <c r="F28" s="253" t="s">
        <v>4044</v>
      </c>
    </row>
    <row r="29" spans="1:6">
      <c r="A29" s="386">
        <v>0.8</v>
      </c>
      <c r="B29" s="394">
        <v>1.2</v>
      </c>
      <c r="C29" s="387">
        <v>1.4</v>
      </c>
      <c r="D29" s="386">
        <f>C16</f>
        <v>244</v>
      </c>
      <c r="E29" s="388">
        <f>A29*B29*C29*D29</f>
        <v>327.93599999999998</v>
      </c>
      <c r="F29" s="253" t="s">
        <v>4045</v>
      </c>
    </row>
    <row r="30" spans="1:6">
      <c r="A30" s="386">
        <v>1.05</v>
      </c>
      <c r="B30" s="394">
        <v>1.2</v>
      </c>
      <c r="C30" s="387">
        <v>1.4</v>
      </c>
      <c r="D30" s="386">
        <f>D16</f>
        <v>32</v>
      </c>
      <c r="E30" s="388">
        <f>A30*B30*C30*D30</f>
        <v>56.447999999999993</v>
      </c>
      <c r="F30" s="253" t="s">
        <v>4046</v>
      </c>
    </row>
    <row r="31" spans="1:6">
      <c r="E31" s="395">
        <f>SUM(E28:E30)</f>
        <v>944.22719999999993</v>
      </c>
    </row>
    <row r="34" spans="1:4">
      <c r="A34" s="381" t="s">
        <v>4047</v>
      </c>
    </row>
    <row r="35" spans="1:4">
      <c r="C35" s="396">
        <f>E31-E61-(A66*B66*D66*0.9)-(D79*A72)</f>
        <v>639.79769999999996</v>
      </c>
    </row>
    <row r="39" spans="1:4">
      <c r="A39" s="381" t="s">
        <v>1989</v>
      </c>
    </row>
    <row r="41" spans="1:4">
      <c r="A41" s="383" t="s">
        <v>4048</v>
      </c>
      <c r="B41" s="383" t="s">
        <v>4049</v>
      </c>
      <c r="C41" s="383" t="s">
        <v>1806</v>
      </c>
    </row>
    <row r="42" spans="1:4">
      <c r="A42" s="397">
        <f>E61+(A66*B66*0.9*D66)+(D79*A72)</f>
        <v>304.42949999999996</v>
      </c>
      <c r="B42" s="394">
        <v>1.3</v>
      </c>
      <c r="C42" s="388">
        <f>A42*B42</f>
        <v>395.75834999999995</v>
      </c>
      <c r="D42" s="253" t="s">
        <v>4050</v>
      </c>
    </row>
    <row r="43" spans="1:4">
      <c r="C43" s="398">
        <f>SUM(C42:C42)</f>
        <v>395.75834999999995</v>
      </c>
    </row>
    <row r="45" spans="1:4">
      <c r="A45" s="381" t="s">
        <v>4051</v>
      </c>
    </row>
    <row r="47" spans="1:4">
      <c r="A47" s="381" t="s">
        <v>4052</v>
      </c>
    </row>
    <row r="49" spans="1:6">
      <c r="A49" s="383" t="s">
        <v>4027</v>
      </c>
      <c r="B49" s="383" t="s">
        <v>4042</v>
      </c>
      <c r="C49" s="383" t="s">
        <v>4030</v>
      </c>
      <c r="D49" s="383" t="s">
        <v>4043</v>
      </c>
      <c r="E49" s="383" t="s">
        <v>1806</v>
      </c>
    </row>
    <row r="50" spans="1:6">
      <c r="A50" s="386">
        <f>A28</f>
        <v>0.8</v>
      </c>
      <c r="B50" s="394">
        <f>B28</f>
        <v>499.85999999999996</v>
      </c>
      <c r="C50" s="386">
        <v>0.05</v>
      </c>
      <c r="D50" s="386">
        <f>D28</f>
        <v>1</v>
      </c>
      <c r="E50" s="388">
        <f>A50*B50*C50*D50</f>
        <v>19.994399999999999</v>
      </c>
      <c r="F50" s="253" t="s">
        <v>4053</v>
      </c>
    </row>
    <row r="51" spans="1:6">
      <c r="A51" s="386">
        <f t="shared" ref="A51:B52" si="0">A29</f>
        <v>0.8</v>
      </c>
      <c r="B51" s="394">
        <f t="shared" si="0"/>
        <v>1.2</v>
      </c>
      <c r="C51" s="386">
        <v>0.05</v>
      </c>
      <c r="D51" s="386">
        <f>D29</f>
        <v>244</v>
      </c>
      <c r="E51" s="388">
        <f>A51*B51*C51*D51</f>
        <v>11.712</v>
      </c>
      <c r="F51" s="253" t="s">
        <v>4054</v>
      </c>
    </row>
    <row r="52" spans="1:6">
      <c r="A52" s="386">
        <f t="shared" si="0"/>
        <v>1.05</v>
      </c>
      <c r="B52" s="394">
        <f t="shared" si="0"/>
        <v>1.2</v>
      </c>
      <c r="C52" s="386">
        <v>0.05</v>
      </c>
      <c r="D52" s="386">
        <f>D30</f>
        <v>32</v>
      </c>
      <c r="E52" s="388">
        <f>A52*B52*C52*D52</f>
        <v>2.016</v>
      </c>
      <c r="F52" s="253" t="s">
        <v>4055</v>
      </c>
    </row>
    <row r="53" spans="1:6">
      <c r="E53" s="395">
        <f>SUM(E50:E52)</f>
        <v>33.7224</v>
      </c>
    </row>
    <row r="55" spans="1:6">
      <c r="A55" s="381" t="s">
        <v>4056</v>
      </c>
    </row>
    <row r="57" spans="1:6">
      <c r="A57" s="383" t="s">
        <v>4027</v>
      </c>
      <c r="B57" s="383" t="s">
        <v>4042</v>
      </c>
      <c r="C57" s="383" t="s">
        <v>4030</v>
      </c>
      <c r="D57" s="383" t="s">
        <v>4043</v>
      </c>
      <c r="E57" s="383" t="s">
        <v>1806</v>
      </c>
    </row>
    <row r="58" spans="1:6">
      <c r="A58" s="386">
        <f>A28</f>
        <v>0.8</v>
      </c>
      <c r="B58" s="394">
        <f>B28</f>
        <v>499.85999999999996</v>
      </c>
      <c r="C58" s="386">
        <v>0.3</v>
      </c>
      <c r="D58" s="386">
        <v>1</v>
      </c>
      <c r="E58" s="388">
        <f>A58*B58*C58*D58</f>
        <v>119.96639999999999</v>
      </c>
      <c r="F58" s="253" t="s">
        <v>4053</v>
      </c>
    </row>
    <row r="59" spans="1:6">
      <c r="A59" s="386">
        <f>A29</f>
        <v>0.8</v>
      </c>
      <c r="B59" s="394">
        <v>1.2</v>
      </c>
      <c r="C59" s="386">
        <v>0.3</v>
      </c>
      <c r="D59" s="386">
        <f>D29</f>
        <v>244</v>
      </c>
      <c r="E59" s="388">
        <f>A59*B59*C59*D59</f>
        <v>70.271999999999991</v>
      </c>
      <c r="F59" s="253" t="s">
        <v>4054</v>
      </c>
    </row>
    <row r="60" spans="1:6">
      <c r="A60" s="386">
        <f>A30</f>
        <v>1.05</v>
      </c>
      <c r="B60" s="394">
        <v>1.2</v>
      </c>
      <c r="C60" s="386">
        <v>0.3</v>
      </c>
      <c r="D60" s="386">
        <f>D30</f>
        <v>32</v>
      </c>
      <c r="E60" s="388">
        <f>A60*B60*C60*D60</f>
        <v>12.096</v>
      </c>
      <c r="F60" s="253" t="s">
        <v>4055</v>
      </c>
    </row>
    <row r="61" spans="1:6">
      <c r="E61" s="395">
        <f>SUM(E58:E60)</f>
        <v>202.33439999999999</v>
      </c>
    </row>
    <row r="63" spans="1:6">
      <c r="A63" s="381" t="s">
        <v>3536</v>
      </c>
    </row>
    <row r="65" spans="1:5">
      <c r="A65" s="383" t="s">
        <v>4027</v>
      </c>
      <c r="B65" s="383" t="s">
        <v>4042</v>
      </c>
      <c r="C65" s="383" t="s">
        <v>4057</v>
      </c>
      <c r="D65" s="383" t="s">
        <v>4058</v>
      </c>
      <c r="E65" s="383" t="s">
        <v>1806</v>
      </c>
    </row>
    <row r="66" spans="1:5">
      <c r="A66" s="386">
        <v>0.3</v>
      </c>
      <c r="B66" s="394">
        <v>0.2</v>
      </c>
      <c r="C66" s="386">
        <f>C28-0.3+3.2</f>
        <v>4.3</v>
      </c>
      <c r="D66" s="386">
        <f>E16</f>
        <v>276</v>
      </c>
      <c r="E66" s="388">
        <f>A66*B66*C66*D66</f>
        <v>71.207999999999998</v>
      </c>
    </row>
    <row r="69" spans="1:5">
      <c r="A69" s="381" t="s">
        <v>4059</v>
      </c>
    </row>
    <row r="71" spans="1:5">
      <c r="A71" s="383" t="s">
        <v>4027</v>
      </c>
      <c r="B71" s="383" t="s">
        <v>4042</v>
      </c>
      <c r="C71" s="383" t="s">
        <v>4057</v>
      </c>
      <c r="D71" s="383" t="s">
        <v>4058</v>
      </c>
      <c r="E71" s="383" t="s">
        <v>1806</v>
      </c>
    </row>
    <row r="72" spans="1:5">
      <c r="A72" s="569">
        <v>0.15</v>
      </c>
      <c r="B72" s="394">
        <f>B84</f>
        <v>645.86</v>
      </c>
      <c r="C72" s="386">
        <v>0.2</v>
      </c>
      <c r="D72" s="570">
        <v>3</v>
      </c>
      <c r="E72" s="388">
        <f>A72*B72*C72*D72</f>
        <v>58.127400000000009</v>
      </c>
    </row>
    <row r="76" spans="1:5">
      <c r="A76" s="381" t="s">
        <v>4071</v>
      </c>
    </row>
    <row r="78" spans="1:5">
      <c r="B78" s="383" t="s">
        <v>4042</v>
      </c>
      <c r="C78" s="383" t="s">
        <v>4057</v>
      </c>
      <c r="D78" s="383" t="s">
        <v>1333</v>
      </c>
    </row>
    <row r="79" spans="1:5">
      <c r="B79" s="394">
        <f>C22-(0.3*D66)</f>
        <v>645.86</v>
      </c>
      <c r="C79" s="387">
        <f>1.4-0.3-0.2</f>
        <v>0.89999999999999991</v>
      </c>
      <c r="D79" s="394">
        <f>B79*C79</f>
        <v>581.274</v>
      </c>
    </row>
    <row r="81" spans="1:5">
      <c r="A81" s="381" t="s">
        <v>4072</v>
      </c>
    </row>
    <row r="83" spans="1:5">
      <c r="B83" s="383" t="s">
        <v>4042</v>
      </c>
      <c r="C83" s="383" t="s">
        <v>4057</v>
      </c>
      <c r="D83" s="383" t="s">
        <v>1333</v>
      </c>
    </row>
    <row r="84" spans="1:5">
      <c r="B84" s="394">
        <f>B79</f>
        <v>645.86</v>
      </c>
      <c r="C84" s="387">
        <f>2.8-0.4</f>
        <v>2.4</v>
      </c>
      <c r="D84" s="394">
        <f>B84*C84</f>
        <v>1550.0640000000001</v>
      </c>
    </row>
    <row r="85" spans="1:5">
      <c r="D85" s="398">
        <f>SUM(D84:D84)</f>
        <v>1550.0640000000001</v>
      </c>
    </row>
    <row r="89" spans="1:5">
      <c r="A89" s="381" t="s">
        <v>4060</v>
      </c>
    </row>
    <row r="91" spans="1:5">
      <c r="A91" s="383" t="s">
        <v>4027</v>
      </c>
      <c r="B91" s="383" t="s">
        <v>4042</v>
      </c>
      <c r="C91" s="383" t="s">
        <v>4058</v>
      </c>
      <c r="D91" s="383" t="s">
        <v>1333</v>
      </c>
    </row>
    <row r="92" spans="1:5">
      <c r="A92" s="569">
        <v>0.2</v>
      </c>
      <c r="B92" s="394">
        <f>B72</f>
        <v>645.86</v>
      </c>
      <c r="C92" s="570">
        <v>4</v>
      </c>
      <c r="D92" s="386">
        <f>A92*B92*C92</f>
        <v>516.68799999999999</v>
      </c>
      <c r="E92" s="567" t="s">
        <v>4217</v>
      </c>
    </row>
    <row r="93" spans="1:5">
      <c r="A93" s="569">
        <v>0.7</v>
      </c>
      <c r="B93" s="570">
        <v>2.8</v>
      </c>
      <c r="C93" s="386">
        <f>D66</f>
        <v>276</v>
      </c>
      <c r="D93" s="386">
        <f>A93*B93*C93</f>
        <v>540.95999999999992</v>
      </c>
      <c r="E93" s="567" t="s">
        <v>4218</v>
      </c>
    </row>
    <row r="94" spans="1:5">
      <c r="D94" s="399">
        <f>SUM(D92:D93)</f>
        <v>1057.6479999999999</v>
      </c>
    </row>
    <row r="98" spans="1:4">
      <c r="A98" s="381" t="s">
        <v>331</v>
      </c>
    </row>
    <row r="100" spans="1:4">
      <c r="A100" s="383" t="s">
        <v>4061</v>
      </c>
      <c r="B100" s="383" t="s">
        <v>4058</v>
      </c>
      <c r="C100" s="383" t="s">
        <v>1333</v>
      </c>
    </row>
    <row r="101" spans="1:4">
      <c r="A101" s="394">
        <f>C22</f>
        <v>728.66</v>
      </c>
      <c r="B101" s="569">
        <v>8</v>
      </c>
      <c r="C101" s="386">
        <f>A101*B101</f>
        <v>5829.28</v>
      </c>
      <c r="D101" s="567" t="s">
        <v>4217</v>
      </c>
    </row>
    <row r="102" spans="1:4">
      <c r="A102" s="394">
        <f>B93</f>
        <v>2.8</v>
      </c>
      <c r="B102" s="394">
        <f>D66*4</f>
        <v>1104</v>
      </c>
      <c r="C102" s="386">
        <f>A102*B102</f>
        <v>3091.2</v>
      </c>
      <c r="D102" s="567" t="s">
        <v>4218</v>
      </c>
    </row>
    <row r="103" spans="1:4">
      <c r="C103" s="400">
        <f>SUM(C101:C102)</f>
        <v>8920.48</v>
      </c>
    </row>
    <row r="106" spans="1:4">
      <c r="A106" s="381" t="s">
        <v>4062</v>
      </c>
    </row>
    <row r="108" spans="1:4">
      <c r="A108" s="383" t="s">
        <v>4063</v>
      </c>
      <c r="B108" s="383" t="s">
        <v>4058</v>
      </c>
      <c r="C108" s="383" t="s">
        <v>1333</v>
      </c>
    </row>
    <row r="109" spans="1:4">
      <c r="A109" s="394">
        <f>D84</f>
        <v>1550.0640000000001</v>
      </c>
      <c r="B109" s="386">
        <v>2</v>
      </c>
      <c r="C109" s="394">
        <f>A109*B109</f>
        <v>3100.1280000000002</v>
      </c>
    </row>
    <row r="111" spans="1:4">
      <c r="A111" s="381" t="s">
        <v>4064</v>
      </c>
    </row>
    <row r="113" spans="1:3">
      <c r="A113" s="383" t="s">
        <v>4065</v>
      </c>
      <c r="B113" s="383" t="s">
        <v>4058</v>
      </c>
      <c r="C113" s="383" t="s">
        <v>4019</v>
      </c>
    </row>
    <row r="114" spans="1:3">
      <c r="A114" s="394">
        <f>A102</f>
        <v>2.8</v>
      </c>
      <c r="B114" s="386">
        <f>D16*2</f>
        <v>64</v>
      </c>
      <c r="C114" s="394">
        <f>A114*B114</f>
        <v>179.2</v>
      </c>
    </row>
    <row r="118" spans="1:3">
      <c r="A118" s="381" t="s">
        <v>1992</v>
      </c>
    </row>
    <row r="120" spans="1:3">
      <c r="A120" s="383" t="s">
        <v>4061</v>
      </c>
      <c r="B120" s="383" t="s">
        <v>4058</v>
      </c>
      <c r="C120" s="383" t="s">
        <v>1333</v>
      </c>
    </row>
    <row r="121" spans="1:3">
      <c r="A121" s="394">
        <f>C22</f>
        <v>728.66</v>
      </c>
      <c r="B121" s="394">
        <v>2</v>
      </c>
      <c r="C121" s="394">
        <f>A121*B121</f>
        <v>1457.32</v>
      </c>
    </row>
    <row r="124" spans="1:3">
      <c r="A124" s="381" t="s">
        <v>4066</v>
      </c>
    </row>
    <row r="126" spans="1:3">
      <c r="A126" s="383" t="s">
        <v>4061</v>
      </c>
    </row>
    <row r="127" spans="1:3">
      <c r="A127" s="394">
        <f>A121</f>
        <v>728.66</v>
      </c>
    </row>
    <row r="130" spans="1:2">
      <c r="A130" s="382" t="s">
        <v>4067</v>
      </c>
    </row>
    <row r="132" spans="1:2">
      <c r="A132" s="384" t="s">
        <v>4068</v>
      </c>
    </row>
    <row r="133" spans="1:2">
      <c r="A133" s="384" t="s">
        <v>4069</v>
      </c>
      <c r="B133" s="384">
        <f>D94</f>
        <v>1057.6479999999999</v>
      </c>
    </row>
    <row r="134" spans="1:2">
      <c r="B134" s="382">
        <f>SUM(B133:B133)</f>
        <v>1057.6479999999999</v>
      </c>
    </row>
    <row r="136" spans="1:2">
      <c r="A136" s="592" t="s">
        <v>4220</v>
      </c>
      <c r="B136" s="253">
        <f>(2.8+1.4-0.3)*D30</f>
        <v>124.79999999999998</v>
      </c>
    </row>
    <row r="140" spans="1:2">
      <c r="A140" s="381" t="s">
        <v>4070</v>
      </c>
    </row>
    <row r="142" spans="1:2">
      <c r="A142" s="386" t="s">
        <v>4061</v>
      </c>
      <c r="B142" s="394">
        <f>B17</f>
        <v>614.35</v>
      </c>
    </row>
    <row r="145" spans="1:4">
      <c r="A145" s="381" t="s">
        <v>867</v>
      </c>
    </row>
    <row r="147" spans="1:4">
      <c r="A147" s="383" t="s">
        <v>4027</v>
      </c>
      <c r="B147" s="383" t="s">
        <v>4042</v>
      </c>
      <c r="C147" s="383" t="s">
        <v>4030</v>
      </c>
      <c r="D147" s="383" t="s">
        <v>1806</v>
      </c>
    </row>
    <row r="148" spans="1:4">
      <c r="A148" s="386">
        <v>0.6</v>
      </c>
      <c r="B148" s="394">
        <f>B142</f>
        <v>614.35</v>
      </c>
      <c r="C148" s="387">
        <v>0.7</v>
      </c>
      <c r="D148" s="386">
        <f>A148*B148*C148</f>
        <v>258.02699999999999</v>
      </c>
    </row>
    <row r="151" spans="1:4">
      <c r="A151" s="381" t="s">
        <v>4018</v>
      </c>
    </row>
    <row r="153" spans="1:4">
      <c r="A153" s="383" t="s">
        <v>4027</v>
      </c>
      <c r="B153" s="383" t="s">
        <v>4042</v>
      </c>
      <c r="C153" s="383" t="s">
        <v>4057</v>
      </c>
      <c r="D153" s="383" t="s">
        <v>1806</v>
      </c>
    </row>
    <row r="154" spans="1:4">
      <c r="A154" s="394">
        <f>A179-B185</f>
        <v>0.44999999999999996</v>
      </c>
      <c r="B154" s="394">
        <f>B203</f>
        <v>544.45000000000005</v>
      </c>
      <c r="C154" s="386">
        <v>0.2</v>
      </c>
      <c r="D154" s="388">
        <f>A154*B154*C154</f>
        <v>49.000500000000002</v>
      </c>
    </row>
    <row r="156" spans="1:4">
      <c r="A156" s="381" t="s">
        <v>4047</v>
      </c>
    </row>
    <row r="158" spans="1:4">
      <c r="A158" s="383" t="s">
        <v>4027</v>
      </c>
      <c r="B158" s="383" t="s">
        <v>4042</v>
      </c>
      <c r="C158" s="383" t="s">
        <v>4057</v>
      </c>
      <c r="D158" s="383" t="s">
        <v>1806</v>
      </c>
    </row>
    <row r="159" spans="1:4">
      <c r="A159" s="394">
        <f>A179-B185</f>
        <v>0.44999999999999996</v>
      </c>
      <c r="B159" s="394">
        <f>B154</f>
        <v>544.45000000000005</v>
      </c>
      <c r="C159" s="386">
        <f>C148-C179</f>
        <v>0.39999999999999997</v>
      </c>
      <c r="D159" s="388">
        <f>A159*B159*C159</f>
        <v>98.000999999999991</v>
      </c>
    </row>
    <row r="162" spans="1:4">
      <c r="A162" s="381" t="s">
        <v>1989</v>
      </c>
    </row>
    <row r="164" spans="1:4">
      <c r="A164" s="383" t="s">
        <v>4048</v>
      </c>
      <c r="B164" s="383" t="s">
        <v>4049</v>
      </c>
      <c r="C164" s="383" t="s">
        <v>1806</v>
      </c>
    </row>
    <row r="165" spans="1:4">
      <c r="A165" s="388">
        <f>D148-D159</f>
        <v>160.02600000000001</v>
      </c>
      <c r="B165" s="394">
        <v>1.3</v>
      </c>
      <c r="C165" s="386">
        <f>A165*B165</f>
        <v>208.03380000000001</v>
      </c>
      <c r="D165" s="253" t="s">
        <v>4050</v>
      </c>
    </row>
    <row r="166" spans="1:4">
      <c r="C166" s="398">
        <f>SUM(C165:C165)</f>
        <v>208.03380000000001</v>
      </c>
    </row>
    <row r="169" spans="1:4">
      <c r="A169" s="381" t="s">
        <v>4052</v>
      </c>
    </row>
    <row r="171" spans="1:4">
      <c r="A171" s="383" t="s">
        <v>4027</v>
      </c>
      <c r="B171" s="383" t="s">
        <v>4042</v>
      </c>
      <c r="C171" s="383" t="s">
        <v>4030</v>
      </c>
      <c r="D171" s="383" t="s">
        <v>1806</v>
      </c>
    </row>
    <row r="172" spans="1:4">
      <c r="A172" s="386">
        <f>A148</f>
        <v>0.6</v>
      </c>
      <c r="B172" s="394">
        <f>B142</f>
        <v>614.35</v>
      </c>
      <c r="C172" s="386">
        <v>0.05</v>
      </c>
      <c r="D172" s="386">
        <f>A172*B172*C172</f>
        <v>18.430500000000002</v>
      </c>
    </row>
    <row r="176" spans="1:4">
      <c r="A176" s="381" t="s">
        <v>4056</v>
      </c>
    </row>
    <row r="178" spans="1:5">
      <c r="A178" s="383" t="s">
        <v>4027</v>
      </c>
      <c r="B178" s="383" t="s">
        <v>4042</v>
      </c>
      <c r="C178" s="383" t="s">
        <v>4030</v>
      </c>
      <c r="D178" s="383" t="s">
        <v>1806</v>
      </c>
    </row>
    <row r="179" spans="1:5">
      <c r="A179" s="386">
        <f>A148</f>
        <v>0.6</v>
      </c>
      <c r="B179" s="394">
        <f>B148</f>
        <v>614.35</v>
      </c>
      <c r="C179" s="386">
        <v>0.3</v>
      </c>
      <c r="D179" s="386">
        <f>A179*B179*C179</f>
        <v>110.583</v>
      </c>
    </row>
    <row r="182" spans="1:5">
      <c r="A182" s="381" t="s">
        <v>3536</v>
      </c>
    </row>
    <row r="184" spans="1:5">
      <c r="A184" s="383" t="s">
        <v>4027</v>
      </c>
      <c r="B184" s="383" t="s">
        <v>4042</v>
      </c>
      <c r="C184" s="383" t="s">
        <v>4057</v>
      </c>
      <c r="D184" s="383" t="s">
        <v>4058</v>
      </c>
      <c r="E184" s="383" t="s">
        <v>1806</v>
      </c>
    </row>
    <row r="185" spans="1:5">
      <c r="A185" s="386">
        <v>0.3</v>
      </c>
      <c r="B185" s="394">
        <v>0.15</v>
      </c>
      <c r="C185" s="569">
        <f>C148-C179+C191+C203</f>
        <v>1</v>
      </c>
      <c r="D185" s="386">
        <f>E17</f>
        <v>233</v>
      </c>
      <c r="E185" s="388">
        <f>A185*B185*C185*D185</f>
        <v>10.484999999999999</v>
      </c>
    </row>
    <row r="188" spans="1:5">
      <c r="A188" s="381" t="s">
        <v>4059</v>
      </c>
    </row>
    <row r="190" spans="1:5">
      <c r="A190" s="383" t="s">
        <v>4027</v>
      </c>
      <c r="B190" s="383" t="s">
        <v>4042</v>
      </c>
      <c r="C190" s="383" t="s">
        <v>4057</v>
      </c>
      <c r="D190" s="383" t="s">
        <v>1806</v>
      </c>
    </row>
    <row r="191" spans="1:5">
      <c r="A191" s="394">
        <v>0.15</v>
      </c>
      <c r="B191" s="394">
        <f>B203</f>
        <v>544.45000000000005</v>
      </c>
      <c r="C191" s="386">
        <v>0.2</v>
      </c>
      <c r="D191" s="386">
        <f>A191*B191*C191</f>
        <v>16.333500000000001</v>
      </c>
    </row>
    <row r="195" spans="1:4">
      <c r="A195" s="381" t="s">
        <v>4071</v>
      </c>
    </row>
    <row r="197" spans="1:4">
      <c r="B197" s="383" t="s">
        <v>4042</v>
      </c>
      <c r="C197" s="383" t="s">
        <v>4057</v>
      </c>
      <c r="D197" s="383" t="s">
        <v>1333</v>
      </c>
    </row>
    <row r="198" spans="1:4">
      <c r="B198" s="394">
        <f>B179-(A185*D185)</f>
        <v>544.45000000000005</v>
      </c>
      <c r="C198" s="394">
        <f>C148-C179</f>
        <v>0.39999999999999997</v>
      </c>
      <c r="D198" s="394">
        <f>B198*C198</f>
        <v>217.78</v>
      </c>
    </row>
    <row r="200" spans="1:4">
      <c r="A200" s="381" t="s">
        <v>4072</v>
      </c>
    </row>
    <row r="202" spans="1:4">
      <c r="B202" s="383" t="s">
        <v>4042</v>
      </c>
      <c r="C202" s="383" t="s">
        <v>4057</v>
      </c>
      <c r="D202" s="383" t="s">
        <v>1333</v>
      </c>
    </row>
    <row r="203" spans="1:4">
      <c r="B203" s="394">
        <f>B198</f>
        <v>544.45000000000005</v>
      </c>
      <c r="C203" s="570">
        <v>0.4</v>
      </c>
      <c r="D203" s="394">
        <f>B203*C203</f>
        <v>217.78000000000003</v>
      </c>
    </row>
    <row r="207" spans="1:4">
      <c r="A207" s="381" t="s">
        <v>4060</v>
      </c>
    </row>
    <row r="209" spans="1:5">
      <c r="A209" s="383" t="s">
        <v>4027</v>
      </c>
      <c r="B209" s="383" t="s">
        <v>4042</v>
      </c>
      <c r="C209" s="383" t="s">
        <v>4058</v>
      </c>
      <c r="D209" s="383" t="s">
        <v>1333</v>
      </c>
    </row>
    <row r="210" spans="1:5">
      <c r="A210" s="394">
        <v>0.2</v>
      </c>
      <c r="B210" s="394">
        <f>B191</f>
        <v>544.45000000000005</v>
      </c>
      <c r="C210" s="386">
        <v>2</v>
      </c>
      <c r="D210" s="386">
        <f>A210*B210*C210</f>
        <v>217.78000000000003</v>
      </c>
      <c r="E210" s="253" t="s">
        <v>2100</v>
      </c>
    </row>
    <row r="211" spans="1:5">
      <c r="A211" s="394">
        <v>0.3</v>
      </c>
      <c r="B211" s="394">
        <f>C203</f>
        <v>0.4</v>
      </c>
      <c r="C211" s="386">
        <f>D185*2</f>
        <v>466</v>
      </c>
      <c r="D211" s="386">
        <f>A211*B211*C211</f>
        <v>55.919999999999995</v>
      </c>
      <c r="E211" s="253" t="s">
        <v>4073</v>
      </c>
    </row>
    <row r="212" spans="1:5">
      <c r="D212" s="399">
        <f>SUM(D210:D211)</f>
        <v>273.70000000000005</v>
      </c>
    </row>
    <row r="214" spans="1:5">
      <c r="A214" s="381" t="s">
        <v>331</v>
      </c>
    </row>
    <row r="216" spans="1:5">
      <c r="A216" s="383" t="s">
        <v>4061</v>
      </c>
      <c r="B216" s="383" t="s">
        <v>4058</v>
      </c>
      <c r="C216" s="383" t="s">
        <v>1333</v>
      </c>
    </row>
    <row r="217" spans="1:5">
      <c r="A217" s="394">
        <f>B210</f>
        <v>544.45000000000005</v>
      </c>
      <c r="B217" s="394">
        <v>4</v>
      </c>
      <c r="C217" s="386">
        <f>A217*B217</f>
        <v>2177.8000000000002</v>
      </c>
      <c r="D217" s="253" t="s">
        <v>2100</v>
      </c>
    </row>
    <row r="218" spans="1:5">
      <c r="A218" s="394">
        <f>C203</f>
        <v>0.4</v>
      </c>
      <c r="B218" s="394">
        <f>4*D185</f>
        <v>932</v>
      </c>
      <c r="C218" s="386">
        <f>A218*B218</f>
        <v>372.8</v>
      </c>
      <c r="D218" s="253" t="s">
        <v>4073</v>
      </c>
    </row>
    <row r="219" spans="1:5">
      <c r="C219" s="400">
        <f>SUM(C217:C218)</f>
        <v>2550.6000000000004</v>
      </c>
    </row>
    <row r="222" spans="1:5">
      <c r="A222" s="381" t="s">
        <v>1267</v>
      </c>
    </row>
    <row r="224" spans="1:5">
      <c r="A224" s="383" t="s">
        <v>4063</v>
      </c>
      <c r="B224" s="383" t="s">
        <v>4058</v>
      </c>
      <c r="C224" s="383" t="s">
        <v>1333</v>
      </c>
    </row>
    <row r="225" spans="1:3">
      <c r="A225" s="394">
        <f>D203</f>
        <v>217.78000000000003</v>
      </c>
      <c r="B225" s="386">
        <v>2</v>
      </c>
      <c r="C225" s="394">
        <f>A225*B225</f>
        <v>435.56000000000006</v>
      </c>
    </row>
    <row r="228" spans="1:3">
      <c r="A228" s="381" t="s">
        <v>1992</v>
      </c>
    </row>
    <row r="230" spans="1:3">
      <c r="A230" s="383" t="s">
        <v>4061</v>
      </c>
      <c r="B230" s="383" t="s">
        <v>4058</v>
      </c>
      <c r="C230" s="383" t="s">
        <v>1333</v>
      </c>
    </row>
    <row r="231" spans="1:3">
      <c r="A231" s="394">
        <f>B142</f>
        <v>614.35</v>
      </c>
      <c r="B231" s="394">
        <v>2</v>
      </c>
      <c r="C231" s="394">
        <f>A231*B231</f>
        <v>1228.7</v>
      </c>
    </row>
    <row r="234" spans="1:3">
      <c r="A234" s="381" t="s">
        <v>4066</v>
      </c>
    </row>
    <row r="236" spans="1:3">
      <c r="A236" s="383" t="s">
        <v>4061</v>
      </c>
    </row>
    <row r="237" spans="1:3">
      <c r="A237" s="394">
        <f>A231</f>
        <v>614.35</v>
      </c>
    </row>
    <row r="239" spans="1:3">
      <c r="A239" s="593" t="s">
        <v>4221</v>
      </c>
      <c r="B239" s="384">
        <f>C203*D17</f>
        <v>10.8</v>
      </c>
    </row>
    <row r="242" spans="1:6">
      <c r="A242" s="382" t="s">
        <v>4067</v>
      </c>
    </row>
    <row r="244" spans="1:6">
      <c r="A244" s="384" t="s">
        <v>4068</v>
      </c>
    </row>
    <row r="245" spans="1:6">
      <c r="A245" s="384" t="s">
        <v>4069</v>
      </c>
      <c r="B245" s="384">
        <f>A237*0.8*2</f>
        <v>982.96</v>
      </c>
    </row>
    <row r="248" spans="1:6" hidden="1">
      <c r="A248" s="523" t="s">
        <v>4146</v>
      </c>
    </row>
    <row r="249" spans="1:6" hidden="1"/>
    <row r="250" spans="1:6" hidden="1">
      <c r="A250" s="312" t="s">
        <v>867</v>
      </c>
    </row>
    <row r="251" spans="1:6" hidden="1">
      <c r="B251" s="401" t="s">
        <v>4074</v>
      </c>
      <c r="C251" s="401" t="s">
        <v>4085</v>
      </c>
      <c r="D251" s="401" t="s">
        <v>4080</v>
      </c>
      <c r="E251" s="401" t="s">
        <v>4029</v>
      </c>
      <c r="F251" s="401" t="s">
        <v>4028</v>
      </c>
    </row>
    <row r="252" spans="1:6" hidden="1">
      <c r="A252" s="503" t="s">
        <v>4158</v>
      </c>
      <c r="B252" s="402">
        <v>0.6</v>
      </c>
      <c r="C252" s="402">
        <v>79.959999999999994</v>
      </c>
      <c r="D252" s="384">
        <v>1.4</v>
      </c>
      <c r="E252" s="384">
        <v>1</v>
      </c>
      <c r="F252" s="384">
        <f>C252*D252*E252</f>
        <v>111.94399999999999</v>
      </c>
    </row>
    <row r="253" spans="1:6" hidden="1">
      <c r="A253" s="503" t="s">
        <v>4159</v>
      </c>
      <c r="B253" s="402">
        <v>0.6</v>
      </c>
      <c r="C253" s="402">
        <v>6.35</v>
      </c>
      <c r="D253" s="384">
        <v>1.4</v>
      </c>
      <c r="E253" s="384">
        <v>1</v>
      </c>
      <c r="F253" s="384">
        <f t="shared" ref="F253:F256" si="1">C253*D253*E253</f>
        <v>8.8899999999999988</v>
      </c>
    </row>
    <row r="254" spans="1:6" hidden="1">
      <c r="A254" s="503" t="s">
        <v>4160</v>
      </c>
      <c r="B254" s="402">
        <v>0.6</v>
      </c>
      <c r="C254" s="402">
        <v>19.32</v>
      </c>
      <c r="D254" s="384">
        <v>1.4</v>
      </c>
      <c r="E254" s="384">
        <v>1</v>
      </c>
      <c r="F254" s="384">
        <f t="shared" si="1"/>
        <v>27.047999999999998</v>
      </c>
    </row>
    <row r="255" spans="1:6" hidden="1">
      <c r="A255" s="503" t="s">
        <v>4161</v>
      </c>
      <c r="B255" s="402"/>
      <c r="C255" s="402">
        <f>1.6*1.6</f>
        <v>2.5600000000000005</v>
      </c>
      <c r="D255" s="384">
        <v>1.4</v>
      </c>
      <c r="E255" s="384">
        <v>4</v>
      </c>
      <c r="F255" s="384">
        <f t="shared" si="1"/>
        <v>14.336000000000002</v>
      </c>
    </row>
    <row r="256" spans="1:6" hidden="1">
      <c r="A256" s="503" t="s">
        <v>4077</v>
      </c>
      <c r="B256" s="384">
        <v>0.6</v>
      </c>
      <c r="C256" s="384">
        <f>1.5*0.6</f>
        <v>0.89999999999999991</v>
      </c>
      <c r="D256" s="384">
        <v>1.4</v>
      </c>
      <c r="E256" s="384">
        <v>1</v>
      </c>
      <c r="F256" s="384">
        <f t="shared" si="1"/>
        <v>1.2599999999999998</v>
      </c>
    </row>
    <row r="257" spans="1:7" hidden="1">
      <c r="F257" s="403">
        <f>SUM(F252:F256)</f>
        <v>163.47799999999998</v>
      </c>
    </row>
    <row r="258" spans="1:7" hidden="1"/>
    <row r="259" spans="1:7" hidden="1">
      <c r="F259" s="528" t="s">
        <v>4179</v>
      </c>
    </row>
    <row r="260" spans="1:7" hidden="1">
      <c r="F260" s="384" t="e">
        <f>(G279+(#REF!*0.15))*1.3</f>
        <v>#REF!</v>
      </c>
    </row>
    <row r="261" spans="1:7" hidden="1">
      <c r="E261" s="389"/>
      <c r="G261" s="527" t="s">
        <v>4180</v>
      </c>
    </row>
    <row r="262" spans="1:7" hidden="1">
      <c r="F262" s="389" t="e">
        <f>F257-G279-F260</f>
        <v>#REF!</v>
      </c>
      <c r="G262" s="385" t="e">
        <f>F262+#REF!</f>
        <v>#REF!</v>
      </c>
    </row>
    <row r="263" spans="1:7" hidden="1">
      <c r="A263" s="312" t="s">
        <v>4078</v>
      </c>
    </row>
    <row r="264" spans="1:7" hidden="1">
      <c r="B264" s="253" t="s">
        <v>4074</v>
      </c>
      <c r="C264" s="401" t="s">
        <v>4085</v>
      </c>
      <c r="D264" s="253" t="s">
        <v>4076</v>
      </c>
      <c r="E264" s="253" t="s">
        <v>4029</v>
      </c>
      <c r="F264" s="253" t="s">
        <v>4028</v>
      </c>
    </row>
    <row r="265" spans="1:7" hidden="1">
      <c r="A265" s="503" t="s">
        <v>4158</v>
      </c>
      <c r="B265" s="402">
        <f>B252</f>
        <v>0.6</v>
      </c>
      <c r="C265" s="402">
        <f>C252</f>
        <v>79.959999999999994</v>
      </c>
      <c r="D265" s="384">
        <v>0.05</v>
      </c>
      <c r="E265" s="384">
        <f>E252</f>
        <v>1</v>
      </c>
      <c r="F265" s="384">
        <f>C265*D265*E265</f>
        <v>3.9979999999999998</v>
      </c>
    </row>
    <row r="266" spans="1:7" hidden="1">
      <c r="A266" s="503" t="s">
        <v>4159</v>
      </c>
      <c r="B266" s="402">
        <f t="shared" ref="B266:B269" si="2">B253</f>
        <v>0.6</v>
      </c>
      <c r="C266" s="402">
        <f>C253</f>
        <v>6.35</v>
      </c>
      <c r="D266" s="384">
        <v>0.05</v>
      </c>
      <c r="E266" s="384">
        <f>E253</f>
        <v>1</v>
      </c>
      <c r="F266" s="384">
        <f t="shared" ref="F266:F269" si="3">C266*D266*E266</f>
        <v>0.3175</v>
      </c>
    </row>
    <row r="267" spans="1:7" hidden="1">
      <c r="A267" s="503" t="s">
        <v>4160</v>
      </c>
      <c r="B267" s="402">
        <f t="shared" si="2"/>
        <v>0.6</v>
      </c>
      <c r="C267" s="402">
        <f>C254</f>
        <v>19.32</v>
      </c>
      <c r="D267" s="384">
        <v>0.05</v>
      </c>
      <c r="E267" s="384">
        <f>E254</f>
        <v>1</v>
      </c>
      <c r="F267" s="384">
        <f t="shared" si="3"/>
        <v>0.96600000000000008</v>
      </c>
    </row>
    <row r="268" spans="1:7" hidden="1">
      <c r="A268" s="503" t="s">
        <v>4161</v>
      </c>
      <c r="B268" s="402">
        <f t="shared" si="2"/>
        <v>0</v>
      </c>
      <c r="C268" s="402">
        <f>C255</f>
        <v>2.5600000000000005</v>
      </c>
      <c r="D268" s="384">
        <v>0.05</v>
      </c>
      <c r="E268" s="384">
        <f>E255</f>
        <v>4</v>
      </c>
      <c r="F268" s="384">
        <f t="shared" si="3"/>
        <v>0.51200000000000012</v>
      </c>
    </row>
    <row r="269" spans="1:7" hidden="1">
      <c r="A269" s="503" t="s">
        <v>4077</v>
      </c>
      <c r="B269" s="402">
        <f t="shared" si="2"/>
        <v>0.6</v>
      </c>
      <c r="C269" s="402">
        <f>C256</f>
        <v>0.89999999999999991</v>
      </c>
      <c r="D269" s="384">
        <v>0.05</v>
      </c>
      <c r="E269" s="384">
        <f>E256</f>
        <v>1</v>
      </c>
      <c r="F269" s="384">
        <f t="shared" si="3"/>
        <v>4.4999999999999998E-2</v>
      </c>
    </row>
    <row r="270" spans="1:7" hidden="1">
      <c r="F270" s="403">
        <f>SUM(F265:F269)</f>
        <v>5.8385000000000007</v>
      </c>
    </row>
    <row r="271" spans="1:7" hidden="1">
      <c r="A271" s="312" t="s">
        <v>4051</v>
      </c>
    </row>
    <row r="272" spans="1:7" hidden="1"/>
    <row r="273" spans="1:11" hidden="1">
      <c r="B273" s="253" t="s">
        <v>4074</v>
      </c>
      <c r="C273" s="401" t="s">
        <v>4085</v>
      </c>
      <c r="D273" s="253" t="s">
        <v>4076</v>
      </c>
      <c r="E273" s="504"/>
      <c r="F273" s="253" t="s">
        <v>4029</v>
      </c>
      <c r="G273" s="253" t="s">
        <v>4028</v>
      </c>
    </row>
    <row r="274" spans="1:11" hidden="1">
      <c r="A274" s="503" t="s">
        <v>4158</v>
      </c>
      <c r="B274" s="384">
        <f t="shared" ref="B274:C276" si="4">B265</f>
        <v>0.6</v>
      </c>
      <c r="C274" s="384">
        <f t="shared" si="4"/>
        <v>79.959999999999994</v>
      </c>
      <c r="D274" s="384">
        <v>0.3</v>
      </c>
      <c r="E274" s="384"/>
      <c r="F274" s="384">
        <f>E265</f>
        <v>1</v>
      </c>
      <c r="G274" s="384">
        <f>C274*D274*F274</f>
        <v>23.987999999999996</v>
      </c>
    </row>
    <row r="275" spans="1:11" hidden="1">
      <c r="A275" s="503" t="s">
        <v>4159</v>
      </c>
      <c r="B275" s="384">
        <f t="shared" si="4"/>
        <v>0.6</v>
      </c>
      <c r="C275" s="384">
        <f t="shared" si="4"/>
        <v>6.35</v>
      </c>
      <c r="D275" s="384">
        <v>0.3</v>
      </c>
      <c r="E275" s="384"/>
      <c r="F275" s="384">
        <f t="shared" ref="F275:F278" si="5">E266</f>
        <v>1</v>
      </c>
      <c r="G275" s="384">
        <f t="shared" ref="G275:G278" si="6">C275*D275*F275</f>
        <v>1.9049999999999998</v>
      </c>
    </row>
    <row r="276" spans="1:11" hidden="1">
      <c r="A276" s="503" t="s">
        <v>4160</v>
      </c>
      <c r="B276" s="384">
        <f t="shared" si="4"/>
        <v>0.6</v>
      </c>
      <c r="C276" s="384">
        <f t="shared" si="4"/>
        <v>19.32</v>
      </c>
      <c r="D276" s="384">
        <v>0.3</v>
      </c>
      <c r="E276" s="384"/>
      <c r="F276" s="384">
        <f t="shared" si="5"/>
        <v>1</v>
      </c>
      <c r="G276" s="384">
        <f t="shared" si="6"/>
        <v>5.7960000000000003</v>
      </c>
    </row>
    <row r="277" spans="1:11" hidden="1">
      <c r="A277" s="503" t="s">
        <v>4161</v>
      </c>
      <c r="B277" s="384"/>
      <c r="C277" s="384">
        <f>C268</f>
        <v>2.5600000000000005</v>
      </c>
      <c r="D277" s="384">
        <v>0.4</v>
      </c>
      <c r="E277" s="384"/>
      <c r="F277" s="384">
        <f>E268</f>
        <v>4</v>
      </c>
      <c r="G277" s="384">
        <f>C277*D277*F277</f>
        <v>4.096000000000001</v>
      </c>
    </row>
    <row r="278" spans="1:11" hidden="1">
      <c r="A278" s="503" t="s">
        <v>4077</v>
      </c>
      <c r="B278" s="384">
        <f>B269</f>
        <v>0.6</v>
      </c>
      <c r="C278" s="384">
        <f>C269</f>
        <v>0.89999999999999991</v>
      </c>
      <c r="D278" s="384">
        <v>0.25</v>
      </c>
      <c r="E278" s="384"/>
      <c r="F278" s="384">
        <f t="shared" si="5"/>
        <v>1</v>
      </c>
      <c r="G278" s="384">
        <f t="shared" si="6"/>
        <v>0.22499999999999998</v>
      </c>
    </row>
    <row r="279" spans="1:11" hidden="1">
      <c r="G279" s="403">
        <f>SUM(G274:G278)</f>
        <v>36.01</v>
      </c>
    </row>
    <row r="280" spans="1:11" hidden="1"/>
    <row r="281" spans="1:11" hidden="1">
      <c r="A281" s="312" t="s">
        <v>4079</v>
      </c>
      <c r="J281" s="372"/>
    </row>
    <row r="282" spans="1:11" hidden="1">
      <c r="B282" s="253" t="s">
        <v>4074</v>
      </c>
      <c r="C282" s="253" t="s">
        <v>4075</v>
      </c>
      <c r="D282" s="253" t="s">
        <v>4080</v>
      </c>
      <c r="F282" s="253" t="s">
        <v>4029</v>
      </c>
      <c r="G282" s="253" t="s">
        <v>4028</v>
      </c>
      <c r="J282" s="372"/>
    </row>
    <row r="283" spans="1:11" hidden="1">
      <c r="A283" s="384" t="s">
        <v>4081</v>
      </c>
      <c r="B283" s="384">
        <v>0.6</v>
      </c>
      <c r="C283" s="384">
        <v>0.65</v>
      </c>
      <c r="D283" s="384">
        <v>4.28</v>
      </c>
      <c r="E283" s="253">
        <f>B283*C283*D283</f>
        <v>1.6692000000000002</v>
      </c>
      <c r="F283" s="384">
        <v>4</v>
      </c>
      <c r="G283" s="384">
        <f>((B283*C283)-(0.4*0.35))*D283*F283</f>
        <v>4.28</v>
      </c>
      <c r="J283" s="372"/>
    </row>
    <row r="284" spans="1:11" hidden="1">
      <c r="A284" s="503" t="s">
        <v>4147</v>
      </c>
      <c r="B284" s="384">
        <v>0.15</v>
      </c>
      <c r="C284" s="384">
        <v>0.3</v>
      </c>
      <c r="D284" s="384">
        <v>4.28</v>
      </c>
      <c r="E284" s="253">
        <f t="shared" ref="E284" si="7">B284*C284*D284</f>
        <v>0.19259999999999999</v>
      </c>
      <c r="F284" s="384">
        <v>29</v>
      </c>
      <c r="G284" s="384">
        <f t="shared" ref="G284" si="8">B284*C284*D284*F284</f>
        <v>5.5853999999999999</v>
      </c>
      <c r="J284" s="372"/>
    </row>
    <row r="285" spans="1:11" hidden="1">
      <c r="G285" s="404">
        <f>SUM(G283:G284)</f>
        <v>9.8654000000000011</v>
      </c>
    </row>
    <row r="286" spans="1:11" hidden="1"/>
    <row r="287" spans="1:11" hidden="1">
      <c r="A287" s="312" t="s">
        <v>4082</v>
      </c>
      <c r="K287" s="312"/>
    </row>
    <row r="288" spans="1:11" hidden="1">
      <c r="B288" s="253" t="s">
        <v>4074</v>
      </c>
      <c r="C288" s="253" t="s">
        <v>4075</v>
      </c>
      <c r="D288" s="253" t="s">
        <v>4080</v>
      </c>
      <c r="F288" s="253" t="s">
        <v>4029</v>
      </c>
      <c r="G288" s="253" t="s">
        <v>4028</v>
      </c>
    </row>
    <row r="289" spans="1:8" hidden="1">
      <c r="A289" s="384" t="s">
        <v>4081</v>
      </c>
      <c r="B289" s="384">
        <f>B283</f>
        <v>0.6</v>
      </c>
      <c r="C289" s="384">
        <f>C283</f>
        <v>0.65</v>
      </c>
      <c r="D289" s="384">
        <f>3.18+0.1</f>
        <v>3.2800000000000002</v>
      </c>
      <c r="E289" s="253">
        <f>B289*C289*D289</f>
        <v>1.2792000000000001</v>
      </c>
      <c r="F289" s="384">
        <v>4</v>
      </c>
      <c r="G289" s="384">
        <f>((B289*C289)-(0.4*0.35))*D289*F289</f>
        <v>3.2800000000000002</v>
      </c>
    </row>
    <row r="290" spans="1:8" hidden="1">
      <c r="A290" s="503" t="s">
        <v>4147</v>
      </c>
      <c r="B290" s="384">
        <f>B284</f>
        <v>0.15</v>
      </c>
      <c r="C290" s="384">
        <f>C284</f>
        <v>0.3</v>
      </c>
      <c r="D290" s="384">
        <f>3.18+0.1</f>
        <v>3.2800000000000002</v>
      </c>
      <c r="E290" s="253">
        <f t="shared" ref="E290" si="9">B290*C290*D290</f>
        <v>0.14760000000000001</v>
      </c>
      <c r="F290" s="384">
        <v>21</v>
      </c>
      <c r="G290" s="384">
        <f>B290*C290*D290*F290</f>
        <v>3.0996000000000001</v>
      </c>
    </row>
    <row r="291" spans="1:8" hidden="1"/>
    <row r="292" spans="1:8" hidden="1">
      <c r="A292" s="312" t="s">
        <v>4148</v>
      </c>
    </row>
    <row r="293" spans="1:8" hidden="1">
      <c r="B293" s="253" t="s">
        <v>4074</v>
      </c>
      <c r="C293" s="253" t="s">
        <v>4075</v>
      </c>
      <c r="D293" s="253" t="s">
        <v>4080</v>
      </c>
      <c r="F293" s="253" t="s">
        <v>4029</v>
      </c>
      <c r="G293" s="253" t="s">
        <v>4028</v>
      </c>
    </row>
    <row r="294" spans="1:8" hidden="1">
      <c r="A294" s="384" t="s">
        <v>4081</v>
      </c>
      <c r="B294" s="384">
        <f>B289</f>
        <v>0.6</v>
      </c>
      <c r="C294" s="384">
        <f>C289</f>
        <v>0.65</v>
      </c>
      <c r="D294" s="384">
        <v>1.45</v>
      </c>
      <c r="E294" s="253">
        <f>B294*C294*D294</f>
        <v>0.5655</v>
      </c>
      <c r="F294" s="384">
        <v>4</v>
      </c>
      <c r="G294" s="384">
        <f>B294*C294*D294*F294</f>
        <v>2.262</v>
      </c>
    </row>
    <row r="295" spans="1:8" hidden="1">
      <c r="A295" s="405"/>
      <c r="B295" s="405"/>
      <c r="C295" s="405"/>
      <c r="D295" s="405"/>
      <c r="F295" s="405"/>
      <c r="G295" s="405"/>
    </row>
    <row r="296" spans="1:8" hidden="1">
      <c r="A296" s="405"/>
      <c r="B296" s="405"/>
      <c r="C296" s="405"/>
      <c r="D296" s="405"/>
      <c r="F296" s="405"/>
      <c r="G296" s="405"/>
    </row>
    <row r="297" spans="1:8" hidden="1"/>
    <row r="298" spans="1:8" hidden="1"/>
    <row r="299" spans="1:8" hidden="1">
      <c r="A299" s="312" t="s">
        <v>4083</v>
      </c>
    </row>
    <row r="300" spans="1:8" hidden="1">
      <c r="B300" s="253" t="s">
        <v>4074</v>
      </c>
      <c r="C300" s="253" t="s">
        <v>4075</v>
      </c>
      <c r="D300" s="253" t="s">
        <v>4080</v>
      </c>
      <c r="F300" s="253" t="s">
        <v>4029</v>
      </c>
      <c r="G300" s="253" t="s">
        <v>4028</v>
      </c>
    </row>
    <row r="301" spans="1:8" hidden="1">
      <c r="A301" s="503" t="s">
        <v>4149</v>
      </c>
      <c r="B301" s="384">
        <v>60.19</v>
      </c>
      <c r="C301" s="384">
        <v>0.15</v>
      </c>
      <c r="D301" s="384">
        <v>0.4</v>
      </c>
      <c r="E301" s="253">
        <f>B301*C301*D301</f>
        <v>3.6113999999999997</v>
      </c>
      <c r="F301" s="384">
        <v>1</v>
      </c>
      <c r="G301" s="384">
        <f>B301*C301*D301*F301</f>
        <v>3.6113999999999997</v>
      </c>
      <c r="H301" s="253">
        <f>F301*G301</f>
        <v>3.6113999999999997</v>
      </c>
    </row>
    <row r="302" spans="1:8" hidden="1">
      <c r="A302" s="503" t="s">
        <v>4150</v>
      </c>
      <c r="B302" s="384">
        <v>10.36</v>
      </c>
      <c r="C302" s="384">
        <v>0.15</v>
      </c>
      <c r="D302" s="384">
        <v>0.4</v>
      </c>
      <c r="F302" s="384">
        <v>1</v>
      </c>
      <c r="G302" s="384">
        <f t="shared" ref="G302:G307" si="10">B302*C302*D302*F302</f>
        <v>0.62159999999999993</v>
      </c>
      <c r="H302" s="253">
        <f t="shared" ref="H302:H307" si="11">F302*G302</f>
        <v>0.62159999999999993</v>
      </c>
    </row>
    <row r="303" spans="1:8" hidden="1">
      <c r="A303" s="525" t="s">
        <v>4172</v>
      </c>
      <c r="B303" s="385" t="e">
        <f>#REF!+#REF!+#REF!</f>
        <v>#REF!</v>
      </c>
      <c r="C303" s="384">
        <v>0.15</v>
      </c>
      <c r="D303" s="384">
        <v>0.2</v>
      </c>
      <c r="F303" s="384">
        <v>1</v>
      </c>
      <c r="G303" s="384" t="e">
        <f>B303*C303*D303*F303</f>
        <v>#REF!</v>
      </c>
    </row>
    <row r="304" spans="1:8" hidden="1">
      <c r="A304" s="503" t="s">
        <v>4084</v>
      </c>
      <c r="B304" s="384">
        <v>10.88</v>
      </c>
      <c r="C304" s="384">
        <v>0.25</v>
      </c>
      <c r="D304" s="384">
        <v>0.5</v>
      </c>
      <c r="F304" s="384">
        <v>1</v>
      </c>
      <c r="G304" s="384">
        <f t="shared" si="10"/>
        <v>1.36</v>
      </c>
      <c r="H304" s="253">
        <f t="shared" si="11"/>
        <v>1.36</v>
      </c>
    </row>
    <row r="305" spans="1:8" hidden="1">
      <c r="A305" s="503" t="s">
        <v>4151</v>
      </c>
      <c r="B305" s="384">
        <v>7.18</v>
      </c>
      <c r="C305" s="384">
        <v>0.25</v>
      </c>
      <c r="D305" s="384">
        <v>0.5</v>
      </c>
      <c r="F305" s="384">
        <v>1</v>
      </c>
      <c r="G305" s="384">
        <f t="shared" si="10"/>
        <v>0.89749999999999996</v>
      </c>
      <c r="H305" s="253">
        <f t="shared" si="11"/>
        <v>0.89749999999999996</v>
      </c>
    </row>
    <row r="306" spans="1:8" hidden="1">
      <c r="A306" s="503" t="s">
        <v>4152</v>
      </c>
      <c r="B306" s="384">
        <v>4.1500000000000004</v>
      </c>
      <c r="C306" s="384">
        <v>0.25</v>
      </c>
      <c r="D306" s="384">
        <v>0.5</v>
      </c>
      <c r="F306" s="384">
        <v>1</v>
      </c>
      <c r="G306" s="384">
        <f t="shared" si="10"/>
        <v>0.51875000000000004</v>
      </c>
      <c r="H306" s="253">
        <f t="shared" si="11"/>
        <v>0.51875000000000004</v>
      </c>
    </row>
    <row r="307" spans="1:8" hidden="1">
      <c r="A307" s="503" t="s">
        <v>4153</v>
      </c>
      <c r="B307" s="384">
        <v>4.1500000000000004</v>
      </c>
      <c r="C307" s="384">
        <v>0.25</v>
      </c>
      <c r="D307" s="384">
        <v>0.5</v>
      </c>
      <c r="F307" s="384">
        <v>1</v>
      </c>
      <c r="G307" s="384">
        <f t="shared" si="10"/>
        <v>0.51875000000000004</v>
      </c>
      <c r="H307" s="253">
        <f t="shared" si="11"/>
        <v>0.51875000000000004</v>
      </c>
    </row>
    <row r="308" spans="1:8" hidden="1">
      <c r="H308" s="312">
        <f>SUM(H301:H307)</f>
        <v>7.5279999999999996</v>
      </c>
    </row>
    <row r="309" spans="1:8" hidden="1"/>
    <row r="310" spans="1:8" hidden="1"/>
    <row r="311" spans="1:8" hidden="1">
      <c r="A311" s="312" t="s">
        <v>4154</v>
      </c>
    </row>
    <row r="312" spans="1:8" hidden="1">
      <c r="B312" s="253" t="s">
        <v>4074</v>
      </c>
      <c r="C312" s="253" t="s">
        <v>4075</v>
      </c>
      <c r="D312" s="253" t="s">
        <v>4080</v>
      </c>
      <c r="F312" s="253" t="s">
        <v>4029</v>
      </c>
      <c r="G312" s="253" t="s">
        <v>4028</v>
      </c>
    </row>
    <row r="313" spans="1:8" hidden="1">
      <c r="A313" s="503" t="s">
        <v>4149</v>
      </c>
      <c r="B313" s="384">
        <v>46.93</v>
      </c>
      <c r="C313" s="384">
        <v>0.15</v>
      </c>
      <c r="D313" s="384">
        <v>0.4</v>
      </c>
      <c r="E313" s="384">
        <f>B313*C313*D313</f>
        <v>2.8157999999999999</v>
      </c>
      <c r="F313" s="384">
        <v>1</v>
      </c>
      <c r="G313" s="384">
        <f t="shared" ref="G313:G318" si="12">B313*C313*D313*F313</f>
        <v>2.8157999999999999</v>
      </c>
      <c r="H313" s="253">
        <f>F313*G313</f>
        <v>2.8157999999999999</v>
      </c>
    </row>
    <row r="314" spans="1:8" hidden="1">
      <c r="A314" s="503" t="s">
        <v>4150</v>
      </c>
      <c r="B314" s="384">
        <v>17.670000000000002</v>
      </c>
      <c r="C314" s="384">
        <v>0.15</v>
      </c>
      <c r="D314" s="384">
        <v>0.4</v>
      </c>
      <c r="E314" s="384">
        <f t="shared" ref="E314:E318" si="13">B314*C314*D314</f>
        <v>1.0602</v>
      </c>
      <c r="F314" s="384">
        <v>1</v>
      </c>
      <c r="G314" s="384">
        <f t="shared" si="12"/>
        <v>1.0602</v>
      </c>
      <c r="H314" s="253">
        <f t="shared" ref="H314:H318" si="14">F314*G314</f>
        <v>1.0602</v>
      </c>
    </row>
    <row r="315" spans="1:8" hidden="1">
      <c r="A315" s="503" t="s">
        <v>4084</v>
      </c>
      <c r="B315" s="384">
        <v>3.7</v>
      </c>
      <c r="C315" s="384">
        <v>0.25</v>
      </c>
      <c r="D315" s="384">
        <v>0.5</v>
      </c>
      <c r="E315" s="384">
        <f t="shared" si="13"/>
        <v>0.46250000000000002</v>
      </c>
      <c r="F315" s="384">
        <v>1</v>
      </c>
      <c r="G315" s="384">
        <f t="shared" si="12"/>
        <v>0.46250000000000002</v>
      </c>
      <c r="H315" s="253">
        <f t="shared" si="14"/>
        <v>0.46250000000000002</v>
      </c>
    </row>
    <row r="316" spans="1:8" hidden="1">
      <c r="A316" s="503" t="s">
        <v>4152</v>
      </c>
      <c r="B316" s="384">
        <v>4.1500000000000004</v>
      </c>
      <c r="C316" s="384">
        <v>0.25</v>
      </c>
      <c r="D316" s="384">
        <v>0.5</v>
      </c>
      <c r="E316" s="384">
        <f t="shared" si="13"/>
        <v>0.51875000000000004</v>
      </c>
      <c r="F316" s="384">
        <v>1</v>
      </c>
      <c r="G316" s="384">
        <f t="shared" si="12"/>
        <v>0.51875000000000004</v>
      </c>
      <c r="H316" s="253">
        <f t="shared" si="14"/>
        <v>0.51875000000000004</v>
      </c>
    </row>
    <row r="317" spans="1:8" hidden="1">
      <c r="A317" s="503" t="s">
        <v>4153</v>
      </c>
      <c r="B317" s="384">
        <v>4.1500000000000004</v>
      </c>
      <c r="C317" s="384">
        <v>0.25</v>
      </c>
      <c r="D317" s="384">
        <v>0.5</v>
      </c>
      <c r="E317" s="384">
        <f t="shared" si="13"/>
        <v>0.51875000000000004</v>
      </c>
      <c r="F317" s="384">
        <v>1</v>
      </c>
      <c r="G317" s="384">
        <f t="shared" si="12"/>
        <v>0.51875000000000004</v>
      </c>
      <c r="H317" s="253">
        <f t="shared" si="14"/>
        <v>0.51875000000000004</v>
      </c>
    </row>
    <row r="318" spans="1:8" hidden="1">
      <c r="A318" s="544" t="s">
        <v>4156</v>
      </c>
      <c r="B318" s="384">
        <v>7.18</v>
      </c>
      <c r="C318" s="384">
        <v>0.25</v>
      </c>
      <c r="D318" s="384">
        <v>0.5</v>
      </c>
      <c r="E318" s="384">
        <f t="shared" si="13"/>
        <v>0.89749999999999996</v>
      </c>
      <c r="F318" s="384">
        <v>1</v>
      </c>
      <c r="G318" s="384">
        <f t="shared" si="12"/>
        <v>0.89749999999999996</v>
      </c>
      <c r="H318" s="253">
        <f t="shared" si="14"/>
        <v>0.89749999999999996</v>
      </c>
    </row>
    <row r="319" spans="1:8" hidden="1">
      <c r="H319" s="312">
        <f>SUM(H313:H318)</f>
        <v>6.2734999999999994</v>
      </c>
    </row>
    <row r="320" spans="1:8" hidden="1"/>
    <row r="321" spans="1:8" hidden="1"/>
    <row r="322" spans="1:8" hidden="1">
      <c r="A322" s="312" t="s">
        <v>4155</v>
      </c>
    </row>
    <row r="323" spans="1:8" hidden="1"/>
    <row r="324" spans="1:8" hidden="1">
      <c r="B324" s="253" t="s">
        <v>4074</v>
      </c>
      <c r="C324" s="253" t="s">
        <v>4075</v>
      </c>
      <c r="D324" s="253" t="s">
        <v>4080</v>
      </c>
      <c r="F324" s="253" t="s">
        <v>4029</v>
      </c>
      <c r="G324" s="253" t="s">
        <v>4028</v>
      </c>
    </row>
    <row r="325" spans="1:8" hidden="1">
      <c r="A325" s="503" t="s">
        <v>4156</v>
      </c>
      <c r="B325" s="384">
        <v>7.4</v>
      </c>
      <c r="C325" s="384">
        <v>0.25</v>
      </c>
      <c r="D325" s="384">
        <v>0.5</v>
      </c>
      <c r="F325" s="253">
        <v>1</v>
      </c>
      <c r="G325" s="253">
        <v>0.48</v>
      </c>
      <c r="H325" s="253">
        <f t="shared" ref="H325:H326" si="15">F325*G325</f>
        <v>0.48</v>
      </c>
    </row>
    <row r="326" spans="1:8" hidden="1">
      <c r="A326" s="503" t="s">
        <v>4157</v>
      </c>
      <c r="B326" s="384">
        <v>8.2899999999999991</v>
      </c>
      <c r="C326" s="384">
        <v>0.25</v>
      </c>
      <c r="D326" s="384">
        <v>0.5</v>
      </c>
      <c r="F326" s="253">
        <v>1</v>
      </c>
      <c r="G326" s="253">
        <v>0.48</v>
      </c>
      <c r="H326" s="253">
        <f t="shared" si="15"/>
        <v>0.48</v>
      </c>
    </row>
    <row r="327" spans="1:8" hidden="1">
      <c r="H327" s="312">
        <f>SUM(H325:H326)</f>
        <v>0.96</v>
      </c>
    </row>
    <row r="328" spans="1:8" hidden="1"/>
    <row r="329" spans="1:8" hidden="1">
      <c r="A329" s="312" t="s">
        <v>4083</v>
      </c>
    </row>
    <row r="330" spans="1:8" hidden="1"/>
    <row r="331" spans="1:8" hidden="1">
      <c r="A331" s="525" t="s">
        <v>4173</v>
      </c>
      <c r="B331" s="385">
        <f>10.07*0.15*1.5</f>
        <v>2.2657499999999997</v>
      </c>
    </row>
    <row r="332" spans="1:8" hidden="1">
      <c r="A332" s="525" t="s">
        <v>4174</v>
      </c>
      <c r="B332" s="385">
        <f>146.64*0.12</f>
        <v>17.596799999999998</v>
      </c>
      <c r="D332" s="312"/>
    </row>
    <row r="333" spans="1:8" hidden="1">
      <c r="A333" s="526" t="s">
        <v>4175</v>
      </c>
      <c r="B333" s="385">
        <f>35.95*0.15</f>
        <v>5.3925000000000001</v>
      </c>
    </row>
    <row r="334" spans="1:8" hidden="1">
      <c r="A334" s="526" t="s">
        <v>4178</v>
      </c>
      <c r="B334" s="385">
        <f>197.67*0.18</f>
        <v>35.580599999999997</v>
      </c>
    </row>
    <row r="335" spans="1:8" hidden="1"/>
    <row r="336" spans="1:8" hidden="1">
      <c r="A336" s="312" t="s">
        <v>4154</v>
      </c>
    </row>
    <row r="337" spans="1:2" hidden="1"/>
    <row r="338" spans="1:2" hidden="1">
      <c r="A338" s="525" t="s">
        <v>4174</v>
      </c>
      <c r="B338" s="384">
        <f>86.46*0.12</f>
        <v>10.3752</v>
      </c>
    </row>
    <row r="339" spans="1:2" hidden="1">
      <c r="A339" s="525" t="s">
        <v>4177</v>
      </c>
      <c r="B339" s="384">
        <f>33.6*0.13</f>
        <v>4.3680000000000003</v>
      </c>
    </row>
    <row r="340" spans="1:2" hidden="1">
      <c r="A340" s="525" t="s">
        <v>4175</v>
      </c>
      <c r="B340" s="384">
        <f>35.95*0.15</f>
        <v>5.3925000000000001</v>
      </c>
    </row>
    <row r="341" spans="1:2" hidden="1">
      <c r="A341" s="525" t="s">
        <v>4176</v>
      </c>
      <c r="B341" s="384">
        <f>38.39*0.16</f>
        <v>6.1424000000000003</v>
      </c>
    </row>
    <row r="342" spans="1:2" hidden="1"/>
    <row r="343" spans="1:2" hidden="1">
      <c r="A343" s="312" t="s">
        <v>4155</v>
      </c>
    </row>
    <row r="344" spans="1:2" hidden="1">
      <c r="A344" s="525" t="s">
        <v>4174</v>
      </c>
      <c r="B344" s="384">
        <f>22.25*0.12</f>
        <v>2.67</v>
      </c>
    </row>
    <row r="345" spans="1:2" hidden="1"/>
    <row r="346" spans="1:2" hidden="1"/>
    <row r="347" spans="1:2" hidden="1"/>
    <row r="348" spans="1:2" hidden="1"/>
    <row r="349" spans="1:2" hidden="1"/>
  </sheetData>
  <phoneticPr fontId="37" type="noConversion"/>
  <pageMargins left="0.7" right="0.7" top="0.75" bottom="0.75" header="0.3" footer="0.3"/>
  <pageSetup scale="94" orientation="portrait" horizontalDpi="4294967295" verticalDpi="4294967295" r:id="rId1"/>
  <rowBreaks count="3" manualBreakCount="3">
    <brk id="117" max="6" man="1"/>
    <brk id="154" max="6" man="1"/>
    <brk id="247" max="6" man="1"/>
  </rowBreaks>
  <colBreaks count="1" manualBreakCount="1">
    <brk id="7" max="513"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44"/>
  <sheetViews>
    <sheetView showGridLines="0" showOutlineSymbols="0" view="pageBreakPreview" topLeftCell="C134" zoomScaleNormal="75" zoomScaleSheetLayoutView="100" workbookViewId="0">
      <selection activeCell="D120" sqref="D120"/>
    </sheetView>
  </sheetViews>
  <sheetFormatPr baseColWidth="10" defaultColWidth="12.42578125" defaultRowHeight="15"/>
  <cols>
    <col min="1" max="1" width="57.85546875" style="190" customWidth="1"/>
    <col min="2" max="2" width="18.28515625" style="191" customWidth="1"/>
    <col min="3" max="3" width="21.140625" style="191" customWidth="1"/>
    <col min="4" max="4" width="19.7109375" style="191" customWidth="1"/>
    <col min="5" max="5" width="22.28515625" style="190" customWidth="1"/>
    <col min="6" max="6" width="12.42578125" style="190"/>
    <col min="7" max="7" width="19.28515625" style="190" customWidth="1"/>
    <col min="8" max="256" width="12.42578125" style="190"/>
    <col min="257" max="257" width="57.85546875" style="190" customWidth="1"/>
    <col min="258" max="258" width="18.28515625" style="190" customWidth="1"/>
    <col min="259" max="259" width="21.140625" style="190" customWidth="1"/>
    <col min="260" max="260" width="19.7109375" style="190" customWidth="1"/>
    <col min="261" max="261" width="22.28515625" style="190" customWidth="1"/>
    <col min="262" max="262" width="12.42578125" style="190"/>
    <col min="263" max="263" width="19.28515625" style="190" customWidth="1"/>
    <col min="264" max="512" width="12.42578125" style="190"/>
    <col min="513" max="513" width="57.85546875" style="190" customWidth="1"/>
    <col min="514" max="514" width="18.28515625" style="190" customWidth="1"/>
    <col min="515" max="515" width="21.140625" style="190" customWidth="1"/>
    <col min="516" max="516" width="19.7109375" style="190" customWidth="1"/>
    <col min="517" max="517" width="22.28515625" style="190" customWidth="1"/>
    <col min="518" max="518" width="12.42578125" style="190"/>
    <col min="519" max="519" width="19.28515625" style="190" customWidth="1"/>
    <col min="520" max="768" width="12.42578125" style="190"/>
    <col min="769" max="769" width="57.85546875" style="190" customWidth="1"/>
    <col min="770" max="770" width="18.28515625" style="190" customWidth="1"/>
    <col min="771" max="771" width="21.140625" style="190" customWidth="1"/>
    <col min="772" max="772" width="19.7109375" style="190" customWidth="1"/>
    <col min="773" max="773" width="22.28515625" style="190" customWidth="1"/>
    <col min="774" max="774" width="12.42578125" style="190"/>
    <col min="775" max="775" width="19.28515625" style="190" customWidth="1"/>
    <col min="776" max="1024" width="12.42578125" style="190"/>
    <col min="1025" max="1025" width="57.85546875" style="190" customWidth="1"/>
    <col min="1026" max="1026" width="18.28515625" style="190" customWidth="1"/>
    <col min="1027" max="1027" width="21.140625" style="190" customWidth="1"/>
    <col min="1028" max="1028" width="19.7109375" style="190" customWidth="1"/>
    <col min="1029" max="1029" width="22.28515625" style="190" customWidth="1"/>
    <col min="1030" max="1030" width="12.42578125" style="190"/>
    <col min="1031" max="1031" width="19.28515625" style="190" customWidth="1"/>
    <col min="1032" max="1280" width="12.42578125" style="190"/>
    <col min="1281" max="1281" width="57.85546875" style="190" customWidth="1"/>
    <col min="1282" max="1282" width="18.28515625" style="190" customWidth="1"/>
    <col min="1283" max="1283" width="21.140625" style="190" customWidth="1"/>
    <col min="1284" max="1284" width="19.7109375" style="190" customWidth="1"/>
    <col min="1285" max="1285" width="22.28515625" style="190" customWidth="1"/>
    <col min="1286" max="1286" width="12.42578125" style="190"/>
    <col min="1287" max="1287" width="19.28515625" style="190" customWidth="1"/>
    <col min="1288" max="1536" width="12.42578125" style="190"/>
    <col min="1537" max="1537" width="57.85546875" style="190" customWidth="1"/>
    <col min="1538" max="1538" width="18.28515625" style="190" customWidth="1"/>
    <col min="1539" max="1539" width="21.140625" style="190" customWidth="1"/>
    <col min="1540" max="1540" width="19.7109375" style="190" customWidth="1"/>
    <col min="1541" max="1541" width="22.28515625" style="190" customWidth="1"/>
    <col min="1542" max="1542" width="12.42578125" style="190"/>
    <col min="1543" max="1543" width="19.28515625" style="190" customWidth="1"/>
    <col min="1544" max="1792" width="12.42578125" style="190"/>
    <col min="1793" max="1793" width="57.85546875" style="190" customWidth="1"/>
    <col min="1794" max="1794" width="18.28515625" style="190" customWidth="1"/>
    <col min="1795" max="1795" width="21.140625" style="190" customWidth="1"/>
    <col min="1796" max="1796" width="19.7109375" style="190" customWidth="1"/>
    <col min="1797" max="1797" width="22.28515625" style="190" customWidth="1"/>
    <col min="1798" max="1798" width="12.42578125" style="190"/>
    <col min="1799" max="1799" width="19.28515625" style="190" customWidth="1"/>
    <col min="1800" max="2048" width="12.42578125" style="190"/>
    <col min="2049" max="2049" width="57.85546875" style="190" customWidth="1"/>
    <col min="2050" max="2050" width="18.28515625" style="190" customWidth="1"/>
    <col min="2051" max="2051" width="21.140625" style="190" customWidth="1"/>
    <col min="2052" max="2052" width="19.7109375" style="190" customWidth="1"/>
    <col min="2053" max="2053" width="22.28515625" style="190" customWidth="1"/>
    <col min="2054" max="2054" width="12.42578125" style="190"/>
    <col min="2055" max="2055" width="19.28515625" style="190" customWidth="1"/>
    <col min="2056" max="2304" width="12.42578125" style="190"/>
    <col min="2305" max="2305" width="57.85546875" style="190" customWidth="1"/>
    <col min="2306" max="2306" width="18.28515625" style="190" customWidth="1"/>
    <col min="2307" max="2307" width="21.140625" style="190" customWidth="1"/>
    <col min="2308" max="2308" width="19.7109375" style="190" customWidth="1"/>
    <col min="2309" max="2309" width="22.28515625" style="190" customWidth="1"/>
    <col min="2310" max="2310" width="12.42578125" style="190"/>
    <col min="2311" max="2311" width="19.28515625" style="190" customWidth="1"/>
    <col min="2312" max="2560" width="12.42578125" style="190"/>
    <col min="2561" max="2561" width="57.85546875" style="190" customWidth="1"/>
    <col min="2562" max="2562" width="18.28515625" style="190" customWidth="1"/>
    <col min="2563" max="2563" width="21.140625" style="190" customWidth="1"/>
    <col min="2564" max="2564" width="19.7109375" style="190" customWidth="1"/>
    <col min="2565" max="2565" width="22.28515625" style="190" customWidth="1"/>
    <col min="2566" max="2566" width="12.42578125" style="190"/>
    <col min="2567" max="2567" width="19.28515625" style="190" customWidth="1"/>
    <col min="2568" max="2816" width="12.42578125" style="190"/>
    <col min="2817" max="2817" width="57.85546875" style="190" customWidth="1"/>
    <col min="2818" max="2818" width="18.28515625" style="190" customWidth="1"/>
    <col min="2819" max="2819" width="21.140625" style="190" customWidth="1"/>
    <col min="2820" max="2820" width="19.7109375" style="190" customWidth="1"/>
    <col min="2821" max="2821" width="22.28515625" style="190" customWidth="1"/>
    <col min="2822" max="2822" width="12.42578125" style="190"/>
    <col min="2823" max="2823" width="19.28515625" style="190" customWidth="1"/>
    <col min="2824" max="3072" width="12.42578125" style="190"/>
    <col min="3073" max="3073" width="57.85546875" style="190" customWidth="1"/>
    <col min="3074" max="3074" width="18.28515625" style="190" customWidth="1"/>
    <col min="3075" max="3075" width="21.140625" style="190" customWidth="1"/>
    <col min="3076" max="3076" width="19.7109375" style="190" customWidth="1"/>
    <col min="3077" max="3077" width="22.28515625" style="190" customWidth="1"/>
    <col min="3078" max="3078" width="12.42578125" style="190"/>
    <col min="3079" max="3079" width="19.28515625" style="190" customWidth="1"/>
    <col min="3080" max="3328" width="12.42578125" style="190"/>
    <col min="3329" max="3329" width="57.85546875" style="190" customWidth="1"/>
    <col min="3330" max="3330" width="18.28515625" style="190" customWidth="1"/>
    <col min="3331" max="3331" width="21.140625" style="190" customWidth="1"/>
    <col min="3332" max="3332" width="19.7109375" style="190" customWidth="1"/>
    <col min="3333" max="3333" width="22.28515625" style="190" customWidth="1"/>
    <col min="3334" max="3334" width="12.42578125" style="190"/>
    <col min="3335" max="3335" width="19.28515625" style="190" customWidth="1"/>
    <col min="3336" max="3584" width="12.42578125" style="190"/>
    <col min="3585" max="3585" width="57.85546875" style="190" customWidth="1"/>
    <col min="3586" max="3586" width="18.28515625" style="190" customWidth="1"/>
    <col min="3587" max="3587" width="21.140625" style="190" customWidth="1"/>
    <col min="3588" max="3588" width="19.7109375" style="190" customWidth="1"/>
    <col min="3589" max="3589" width="22.28515625" style="190" customWidth="1"/>
    <col min="3590" max="3590" width="12.42578125" style="190"/>
    <col min="3591" max="3591" width="19.28515625" style="190" customWidth="1"/>
    <col min="3592" max="3840" width="12.42578125" style="190"/>
    <col min="3841" max="3841" width="57.85546875" style="190" customWidth="1"/>
    <col min="3842" max="3842" width="18.28515625" style="190" customWidth="1"/>
    <col min="3843" max="3843" width="21.140625" style="190" customWidth="1"/>
    <col min="3844" max="3844" width="19.7109375" style="190" customWidth="1"/>
    <col min="3845" max="3845" width="22.28515625" style="190" customWidth="1"/>
    <col min="3846" max="3846" width="12.42578125" style="190"/>
    <col min="3847" max="3847" width="19.28515625" style="190" customWidth="1"/>
    <col min="3848" max="4096" width="12.42578125" style="190"/>
    <col min="4097" max="4097" width="57.85546875" style="190" customWidth="1"/>
    <col min="4098" max="4098" width="18.28515625" style="190" customWidth="1"/>
    <col min="4099" max="4099" width="21.140625" style="190" customWidth="1"/>
    <col min="4100" max="4100" width="19.7109375" style="190" customWidth="1"/>
    <col min="4101" max="4101" width="22.28515625" style="190" customWidth="1"/>
    <col min="4102" max="4102" width="12.42578125" style="190"/>
    <col min="4103" max="4103" width="19.28515625" style="190" customWidth="1"/>
    <col min="4104" max="4352" width="12.42578125" style="190"/>
    <col min="4353" max="4353" width="57.85546875" style="190" customWidth="1"/>
    <col min="4354" max="4354" width="18.28515625" style="190" customWidth="1"/>
    <col min="4355" max="4355" width="21.140625" style="190" customWidth="1"/>
    <col min="4356" max="4356" width="19.7109375" style="190" customWidth="1"/>
    <col min="4357" max="4357" width="22.28515625" style="190" customWidth="1"/>
    <col min="4358" max="4358" width="12.42578125" style="190"/>
    <col min="4359" max="4359" width="19.28515625" style="190" customWidth="1"/>
    <col min="4360" max="4608" width="12.42578125" style="190"/>
    <col min="4609" max="4609" width="57.85546875" style="190" customWidth="1"/>
    <col min="4610" max="4610" width="18.28515625" style="190" customWidth="1"/>
    <col min="4611" max="4611" width="21.140625" style="190" customWidth="1"/>
    <col min="4612" max="4612" width="19.7109375" style="190" customWidth="1"/>
    <col min="4613" max="4613" width="22.28515625" style="190" customWidth="1"/>
    <col min="4614" max="4614" width="12.42578125" style="190"/>
    <col min="4615" max="4615" width="19.28515625" style="190" customWidth="1"/>
    <col min="4616" max="4864" width="12.42578125" style="190"/>
    <col min="4865" max="4865" width="57.85546875" style="190" customWidth="1"/>
    <col min="4866" max="4866" width="18.28515625" style="190" customWidth="1"/>
    <col min="4867" max="4867" width="21.140625" style="190" customWidth="1"/>
    <col min="4868" max="4868" width="19.7109375" style="190" customWidth="1"/>
    <col min="4869" max="4869" width="22.28515625" style="190" customWidth="1"/>
    <col min="4870" max="4870" width="12.42578125" style="190"/>
    <col min="4871" max="4871" width="19.28515625" style="190" customWidth="1"/>
    <col min="4872" max="5120" width="12.42578125" style="190"/>
    <col min="5121" max="5121" width="57.85546875" style="190" customWidth="1"/>
    <col min="5122" max="5122" width="18.28515625" style="190" customWidth="1"/>
    <col min="5123" max="5123" width="21.140625" style="190" customWidth="1"/>
    <col min="5124" max="5124" width="19.7109375" style="190" customWidth="1"/>
    <col min="5125" max="5125" width="22.28515625" style="190" customWidth="1"/>
    <col min="5126" max="5126" width="12.42578125" style="190"/>
    <col min="5127" max="5127" width="19.28515625" style="190" customWidth="1"/>
    <col min="5128" max="5376" width="12.42578125" style="190"/>
    <col min="5377" max="5377" width="57.85546875" style="190" customWidth="1"/>
    <col min="5378" max="5378" width="18.28515625" style="190" customWidth="1"/>
    <col min="5379" max="5379" width="21.140625" style="190" customWidth="1"/>
    <col min="5380" max="5380" width="19.7109375" style="190" customWidth="1"/>
    <col min="5381" max="5381" width="22.28515625" style="190" customWidth="1"/>
    <col min="5382" max="5382" width="12.42578125" style="190"/>
    <col min="5383" max="5383" width="19.28515625" style="190" customWidth="1"/>
    <col min="5384" max="5632" width="12.42578125" style="190"/>
    <col min="5633" max="5633" width="57.85546875" style="190" customWidth="1"/>
    <col min="5634" max="5634" width="18.28515625" style="190" customWidth="1"/>
    <col min="5635" max="5635" width="21.140625" style="190" customWidth="1"/>
    <col min="5636" max="5636" width="19.7109375" style="190" customWidth="1"/>
    <col min="5637" max="5637" width="22.28515625" style="190" customWidth="1"/>
    <col min="5638" max="5638" width="12.42578125" style="190"/>
    <col min="5639" max="5639" width="19.28515625" style="190" customWidth="1"/>
    <col min="5640" max="5888" width="12.42578125" style="190"/>
    <col min="5889" max="5889" width="57.85546875" style="190" customWidth="1"/>
    <col min="5890" max="5890" width="18.28515625" style="190" customWidth="1"/>
    <col min="5891" max="5891" width="21.140625" style="190" customWidth="1"/>
    <col min="5892" max="5892" width="19.7109375" style="190" customWidth="1"/>
    <col min="5893" max="5893" width="22.28515625" style="190" customWidth="1"/>
    <col min="5894" max="5894" width="12.42578125" style="190"/>
    <col min="5895" max="5895" width="19.28515625" style="190" customWidth="1"/>
    <col min="5896" max="6144" width="12.42578125" style="190"/>
    <col min="6145" max="6145" width="57.85546875" style="190" customWidth="1"/>
    <col min="6146" max="6146" width="18.28515625" style="190" customWidth="1"/>
    <col min="6147" max="6147" width="21.140625" style="190" customWidth="1"/>
    <col min="6148" max="6148" width="19.7109375" style="190" customWidth="1"/>
    <col min="6149" max="6149" width="22.28515625" style="190" customWidth="1"/>
    <col min="6150" max="6150" width="12.42578125" style="190"/>
    <col min="6151" max="6151" width="19.28515625" style="190" customWidth="1"/>
    <col min="6152" max="6400" width="12.42578125" style="190"/>
    <col min="6401" max="6401" width="57.85546875" style="190" customWidth="1"/>
    <col min="6402" max="6402" width="18.28515625" style="190" customWidth="1"/>
    <col min="6403" max="6403" width="21.140625" style="190" customWidth="1"/>
    <col min="6404" max="6404" width="19.7109375" style="190" customWidth="1"/>
    <col min="6405" max="6405" width="22.28515625" style="190" customWidth="1"/>
    <col min="6406" max="6406" width="12.42578125" style="190"/>
    <col min="6407" max="6407" width="19.28515625" style="190" customWidth="1"/>
    <col min="6408" max="6656" width="12.42578125" style="190"/>
    <col min="6657" max="6657" width="57.85546875" style="190" customWidth="1"/>
    <col min="6658" max="6658" width="18.28515625" style="190" customWidth="1"/>
    <col min="6659" max="6659" width="21.140625" style="190" customWidth="1"/>
    <col min="6660" max="6660" width="19.7109375" style="190" customWidth="1"/>
    <col min="6661" max="6661" width="22.28515625" style="190" customWidth="1"/>
    <col min="6662" max="6662" width="12.42578125" style="190"/>
    <col min="6663" max="6663" width="19.28515625" style="190" customWidth="1"/>
    <col min="6664" max="6912" width="12.42578125" style="190"/>
    <col min="6913" max="6913" width="57.85546875" style="190" customWidth="1"/>
    <col min="6914" max="6914" width="18.28515625" style="190" customWidth="1"/>
    <col min="6915" max="6915" width="21.140625" style="190" customWidth="1"/>
    <col min="6916" max="6916" width="19.7109375" style="190" customWidth="1"/>
    <col min="6917" max="6917" width="22.28515625" style="190" customWidth="1"/>
    <col min="6918" max="6918" width="12.42578125" style="190"/>
    <col min="6919" max="6919" width="19.28515625" style="190" customWidth="1"/>
    <col min="6920" max="7168" width="12.42578125" style="190"/>
    <col min="7169" max="7169" width="57.85546875" style="190" customWidth="1"/>
    <col min="7170" max="7170" width="18.28515625" style="190" customWidth="1"/>
    <col min="7171" max="7171" width="21.140625" style="190" customWidth="1"/>
    <col min="7172" max="7172" width="19.7109375" style="190" customWidth="1"/>
    <col min="7173" max="7173" width="22.28515625" style="190" customWidth="1"/>
    <col min="7174" max="7174" width="12.42578125" style="190"/>
    <col min="7175" max="7175" width="19.28515625" style="190" customWidth="1"/>
    <col min="7176" max="7424" width="12.42578125" style="190"/>
    <col min="7425" max="7425" width="57.85546875" style="190" customWidth="1"/>
    <col min="7426" max="7426" width="18.28515625" style="190" customWidth="1"/>
    <col min="7427" max="7427" width="21.140625" style="190" customWidth="1"/>
    <col min="7428" max="7428" width="19.7109375" style="190" customWidth="1"/>
    <col min="7429" max="7429" width="22.28515625" style="190" customWidth="1"/>
    <col min="7430" max="7430" width="12.42578125" style="190"/>
    <col min="7431" max="7431" width="19.28515625" style="190" customWidth="1"/>
    <col min="7432" max="7680" width="12.42578125" style="190"/>
    <col min="7681" max="7681" width="57.85546875" style="190" customWidth="1"/>
    <col min="7682" max="7682" width="18.28515625" style="190" customWidth="1"/>
    <col min="7683" max="7683" width="21.140625" style="190" customWidth="1"/>
    <col min="7684" max="7684" width="19.7109375" style="190" customWidth="1"/>
    <col min="7685" max="7685" width="22.28515625" style="190" customWidth="1"/>
    <col min="7686" max="7686" width="12.42578125" style="190"/>
    <col min="7687" max="7687" width="19.28515625" style="190" customWidth="1"/>
    <col min="7688" max="7936" width="12.42578125" style="190"/>
    <col min="7937" max="7937" width="57.85546875" style="190" customWidth="1"/>
    <col min="7938" max="7938" width="18.28515625" style="190" customWidth="1"/>
    <col min="7939" max="7939" width="21.140625" style="190" customWidth="1"/>
    <col min="7940" max="7940" width="19.7109375" style="190" customWidth="1"/>
    <col min="7941" max="7941" width="22.28515625" style="190" customWidth="1"/>
    <col min="7942" max="7942" width="12.42578125" style="190"/>
    <col min="7943" max="7943" width="19.28515625" style="190" customWidth="1"/>
    <col min="7944" max="8192" width="12.42578125" style="190"/>
    <col min="8193" max="8193" width="57.85546875" style="190" customWidth="1"/>
    <col min="8194" max="8194" width="18.28515625" style="190" customWidth="1"/>
    <col min="8195" max="8195" width="21.140625" style="190" customWidth="1"/>
    <col min="8196" max="8196" width="19.7109375" style="190" customWidth="1"/>
    <col min="8197" max="8197" width="22.28515625" style="190" customWidth="1"/>
    <col min="8198" max="8198" width="12.42578125" style="190"/>
    <col min="8199" max="8199" width="19.28515625" style="190" customWidth="1"/>
    <col min="8200" max="8448" width="12.42578125" style="190"/>
    <col min="8449" max="8449" width="57.85546875" style="190" customWidth="1"/>
    <col min="8450" max="8450" width="18.28515625" style="190" customWidth="1"/>
    <col min="8451" max="8451" width="21.140625" style="190" customWidth="1"/>
    <col min="8452" max="8452" width="19.7109375" style="190" customWidth="1"/>
    <col min="8453" max="8453" width="22.28515625" style="190" customWidth="1"/>
    <col min="8454" max="8454" width="12.42578125" style="190"/>
    <col min="8455" max="8455" width="19.28515625" style="190" customWidth="1"/>
    <col min="8456" max="8704" width="12.42578125" style="190"/>
    <col min="8705" max="8705" width="57.85546875" style="190" customWidth="1"/>
    <col min="8706" max="8706" width="18.28515625" style="190" customWidth="1"/>
    <col min="8707" max="8707" width="21.140625" style="190" customWidth="1"/>
    <col min="8708" max="8708" width="19.7109375" style="190" customWidth="1"/>
    <col min="8709" max="8709" width="22.28515625" style="190" customWidth="1"/>
    <col min="8710" max="8710" width="12.42578125" style="190"/>
    <col min="8711" max="8711" width="19.28515625" style="190" customWidth="1"/>
    <col min="8712" max="8960" width="12.42578125" style="190"/>
    <col min="8961" max="8961" width="57.85546875" style="190" customWidth="1"/>
    <col min="8962" max="8962" width="18.28515625" style="190" customWidth="1"/>
    <col min="8963" max="8963" width="21.140625" style="190" customWidth="1"/>
    <col min="8964" max="8964" width="19.7109375" style="190" customWidth="1"/>
    <col min="8965" max="8965" width="22.28515625" style="190" customWidth="1"/>
    <col min="8966" max="8966" width="12.42578125" style="190"/>
    <col min="8967" max="8967" width="19.28515625" style="190" customWidth="1"/>
    <col min="8968" max="9216" width="12.42578125" style="190"/>
    <col min="9217" max="9217" width="57.85546875" style="190" customWidth="1"/>
    <col min="9218" max="9218" width="18.28515625" style="190" customWidth="1"/>
    <col min="9219" max="9219" width="21.140625" style="190" customWidth="1"/>
    <col min="9220" max="9220" width="19.7109375" style="190" customWidth="1"/>
    <col min="9221" max="9221" width="22.28515625" style="190" customWidth="1"/>
    <col min="9222" max="9222" width="12.42578125" style="190"/>
    <col min="9223" max="9223" width="19.28515625" style="190" customWidth="1"/>
    <col min="9224" max="9472" width="12.42578125" style="190"/>
    <col min="9473" max="9473" width="57.85546875" style="190" customWidth="1"/>
    <col min="9474" max="9474" width="18.28515625" style="190" customWidth="1"/>
    <col min="9475" max="9475" width="21.140625" style="190" customWidth="1"/>
    <col min="9476" max="9476" width="19.7109375" style="190" customWidth="1"/>
    <col min="9477" max="9477" width="22.28515625" style="190" customWidth="1"/>
    <col min="9478" max="9478" width="12.42578125" style="190"/>
    <col min="9479" max="9479" width="19.28515625" style="190" customWidth="1"/>
    <col min="9480" max="9728" width="12.42578125" style="190"/>
    <col min="9729" max="9729" width="57.85546875" style="190" customWidth="1"/>
    <col min="9730" max="9730" width="18.28515625" style="190" customWidth="1"/>
    <col min="9731" max="9731" width="21.140625" style="190" customWidth="1"/>
    <col min="9732" max="9732" width="19.7109375" style="190" customWidth="1"/>
    <col min="9733" max="9733" width="22.28515625" style="190" customWidth="1"/>
    <col min="9734" max="9734" width="12.42578125" style="190"/>
    <col min="9735" max="9735" width="19.28515625" style="190" customWidth="1"/>
    <col min="9736" max="9984" width="12.42578125" style="190"/>
    <col min="9985" max="9985" width="57.85546875" style="190" customWidth="1"/>
    <col min="9986" max="9986" width="18.28515625" style="190" customWidth="1"/>
    <col min="9987" max="9987" width="21.140625" style="190" customWidth="1"/>
    <col min="9988" max="9988" width="19.7109375" style="190" customWidth="1"/>
    <col min="9989" max="9989" width="22.28515625" style="190" customWidth="1"/>
    <col min="9990" max="9990" width="12.42578125" style="190"/>
    <col min="9991" max="9991" width="19.28515625" style="190" customWidth="1"/>
    <col min="9992" max="10240" width="12.42578125" style="190"/>
    <col min="10241" max="10241" width="57.85546875" style="190" customWidth="1"/>
    <col min="10242" max="10242" width="18.28515625" style="190" customWidth="1"/>
    <col min="10243" max="10243" width="21.140625" style="190" customWidth="1"/>
    <col min="10244" max="10244" width="19.7109375" style="190" customWidth="1"/>
    <col min="10245" max="10245" width="22.28515625" style="190" customWidth="1"/>
    <col min="10246" max="10246" width="12.42578125" style="190"/>
    <col min="10247" max="10247" width="19.28515625" style="190" customWidth="1"/>
    <col min="10248" max="10496" width="12.42578125" style="190"/>
    <col min="10497" max="10497" width="57.85546875" style="190" customWidth="1"/>
    <col min="10498" max="10498" width="18.28515625" style="190" customWidth="1"/>
    <col min="10499" max="10499" width="21.140625" style="190" customWidth="1"/>
    <col min="10500" max="10500" width="19.7109375" style="190" customWidth="1"/>
    <col min="10501" max="10501" width="22.28515625" style="190" customWidth="1"/>
    <col min="10502" max="10502" width="12.42578125" style="190"/>
    <col min="10503" max="10503" width="19.28515625" style="190" customWidth="1"/>
    <col min="10504" max="10752" width="12.42578125" style="190"/>
    <col min="10753" max="10753" width="57.85546875" style="190" customWidth="1"/>
    <col min="10754" max="10754" width="18.28515625" style="190" customWidth="1"/>
    <col min="10755" max="10755" width="21.140625" style="190" customWidth="1"/>
    <col min="10756" max="10756" width="19.7109375" style="190" customWidth="1"/>
    <col min="10757" max="10757" width="22.28515625" style="190" customWidth="1"/>
    <col min="10758" max="10758" width="12.42578125" style="190"/>
    <col min="10759" max="10759" width="19.28515625" style="190" customWidth="1"/>
    <col min="10760" max="11008" width="12.42578125" style="190"/>
    <col min="11009" max="11009" width="57.85546875" style="190" customWidth="1"/>
    <col min="11010" max="11010" width="18.28515625" style="190" customWidth="1"/>
    <col min="11011" max="11011" width="21.140625" style="190" customWidth="1"/>
    <col min="11012" max="11012" width="19.7109375" style="190" customWidth="1"/>
    <col min="11013" max="11013" width="22.28515625" style="190" customWidth="1"/>
    <col min="11014" max="11014" width="12.42578125" style="190"/>
    <col min="11015" max="11015" width="19.28515625" style="190" customWidth="1"/>
    <col min="11016" max="11264" width="12.42578125" style="190"/>
    <col min="11265" max="11265" width="57.85546875" style="190" customWidth="1"/>
    <col min="11266" max="11266" width="18.28515625" style="190" customWidth="1"/>
    <col min="11267" max="11267" width="21.140625" style="190" customWidth="1"/>
    <col min="11268" max="11268" width="19.7109375" style="190" customWidth="1"/>
    <col min="11269" max="11269" width="22.28515625" style="190" customWidth="1"/>
    <col min="11270" max="11270" width="12.42578125" style="190"/>
    <col min="11271" max="11271" width="19.28515625" style="190" customWidth="1"/>
    <col min="11272" max="11520" width="12.42578125" style="190"/>
    <col min="11521" max="11521" width="57.85546875" style="190" customWidth="1"/>
    <col min="11522" max="11522" width="18.28515625" style="190" customWidth="1"/>
    <col min="11523" max="11523" width="21.140625" style="190" customWidth="1"/>
    <col min="11524" max="11524" width="19.7109375" style="190" customWidth="1"/>
    <col min="11525" max="11525" width="22.28515625" style="190" customWidth="1"/>
    <col min="11526" max="11526" width="12.42578125" style="190"/>
    <col min="11527" max="11527" width="19.28515625" style="190" customWidth="1"/>
    <col min="11528" max="11776" width="12.42578125" style="190"/>
    <col min="11777" max="11777" width="57.85546875" style="190" customWidth="1"/>
    <col min="11778" max="11778" width="18.28515625" style="190" customWidth="1"/>
    <col min="11779" max="11779" width="21.140625" style="190" customWidth="1"/>
    <col min="11780" max="11780" width="19.7109375" style="190" customWidth="1"/>
    <col min="11781" max="11781" width="22.28515625" style="190" customWidth="1"/>
    <col min="11782" max="11782" width="12.42578125" style="190"/>
    <col min="11783" max="11783" width="19.28515625" style="190" customWidth="1"/>
    <col min="11784" max="12032" width="12.42578125" style="190"/>
    <col min="12033" max="12033" width="57.85546875" style="190" customWidth="1"/>
    <col min="12034" max="12034" width="18.28515625" style="190" customWidth="1"/>
    <col min="12035" max="12035" width="21.140625" style="190" customWidth="1"/>
    <col min="12036" max="12036" width="19.7109375" style="190" customWidth="1"/>
    <col min="12037" max="12037" width="22.28515625" style="190" customWidth="1"/>
    <col min="12038" max="12038" width="12.42578125" style="190"/>
    <col min="12039" max="12039" width="19.28515625" style="190" customWidth="1"/>
    <col min="12040" max="12288" width="12.42578125" style="190"/>
    <col min="12289" max="12289" width="57.85546875" style="190" customWidth="1"/>
    <col min="12290" max="12290" width="18.28515625" style="190" customWidth="1"/>
    <col min="12291" max="12291" width="21.140625" style="190" customWidth="1"/>
    <col min="12292" max="12292" width="19.7109375" style="190" customWidth="1"/>
    <col min="12293" max="12293" width="22.28515625" style="190" customWidth="1"/>
    <col min="12294" max="12294" width="12.42578125" style="190"/>
    <col min="12295" max="12295" width="19.28515625" style="190" customWidth="1"/>
    <col min="12296" max="12544" width="12.42578125" style="190"/>
    <col min="12545" max="12545" width="57.85546875" style="190" customWidth="1"/>
    <col min="12546" max="12546" width="18.28515625" style="190" customWidth="1"/>
    <col min="12547" max="12547" width="21.140625" style="190" customWidth="1"/>
    <col min="12548" max="12548" width="19.7109375" style="190" customWidth="1"/>
    <col min="12549" max="12549" width="22.28515625" style="190" customWidth="1"/>
    <col min="12550" max="12550" width="12.42578125" style="190"/>
    <col min="12551" max="12551" width="19.28515625" style="190" customWidth="1"/>
    <col min="12552" max="12800" width="12.42578125" style="190"/>
    <col min="12801" max="12801" width="57.85546875" style="190" customWidth="1"/>
    <col min="12802" max="12802" width="18.28515625" style="190" customWidth="1"/>
    <col min="12803" max="12803" width="21.140625" style="190" customWidth="1"/>
    <col min="12804" max="12804" width="19.7109375" style="190" customWidth="1"/>
    <col min="12805" max="12805" width="22.28515625" style="190" customWidth="1"/>
    <col min="12806" max="12806" width="12.42578125" style="190"/>
    <col min="12807" max="12807" width="19.28515625" style="190" customWidth="1"/>
    <col min="12808" max="13056" width="12.42578125" style="190"/>
    <col min="13057" max="13057" width="57.85546875" style="190" customWidth="1"/>
    <col min="13058" max="13058" width="18.28515625" style="190" customWidth="1"/>
    <col min="13059" max="13059" width="21.140625" style="190" customWidth="1"/>
    <col min="13060" max="13060" width="19.7109375" style="190" customWidth="1"/>
    <col min="13061" max="13061" width="22.28515625" style="190" customWidth="1"/>
    <col min="13062" max="13062" width="12.42578125" style="190"/>
    <col min="13063" max="13063" width="19.28515625" style="190" customWidth="1"/>
    <col min="13064" max="13312" width="12.42578125" style="190"/>
    <col min="13313" max="13313" width="57.85546875" style="190" customWidth="1"/>
    <col min="13314" max="13314" width="18.28515625" style="190" customWidth="1"/>
    <col min="13315" max="13315" width="21.140625" style="190" customWidth="1"/>
    <col min="13316" max="13316" width="19.7109375" style="190" customWidth="1"/>
    <col min="13317" max="13317" width="22.28515625" style="190" customWidth="1"/>
    <col min="13318" max="13318" width="12.42578125" style="190"/>
    <col min="13319" max="13319" width="19.28515625" style="190" customWidth="1"/>
    <col min="13320" max="13568" width="12.42578125" style="190"/>
    <col min="13569" max="13569" width="57.85546875" style="190" customWidth="1"/>
    <col min="13570" max="13570" width="18.28515625" style="190" customWidth="1"/>
    <col min="13571" max="13571" width="21.140625" style="190" customWidth="1"/>
    <col min="13572" max="13572" width="19.7109375" style="190" customWidth="1"/>
    <col min="13573" max="13573" width="22.28515625" style="190" customWidth="1"/>
    <col min="13574" max="13574" width="12.42578125" style="190"/>
    <col min="13575" max="13575" width="19.28515625" style="190" customWidth="1"/>
    <col min="13576" max="13824" width="12.42578125" style="190"/>
    <col min="13825" max="13825" width="57.85546875" style="190" customWidth="1"/>
    <col min="13826" max="13826" width="18.28515625" style="190" customWidth="1"/>
    <col min="13827" max="13827" width="21.140625" style="190" customWidth="1"/>
    <col min="13828" max="13828" width="19.7109375" style="190" customWidth="1"/>
    <col min="13829" max="13829" width="22.28515625" style="190" customWidth="1"/>
    <col min="13830" max="13830" width="12.42578125" style="190"/>
    <col min="13831" max="13831" width="19.28515625" style="190" customWidth="1"/>
    <col min="13832" max="14080" width="12.42578125" style="190"/>
    <col min="14081" max="14081" width="57.85546875" style="190" customWidth="1"/>
    <col min="14082" max="14082" width="18.28515625" style="190" customWidth="1"/>
    <col min="14083" max="14083" width="21.140625" style="190" customWidth="1"/>
    <col min="14084" max="14084" width="19.7109375" style="190" customWidth="1"/>
    <col min="14085" max="14085" width="22.28515625" style="190" customWidth="1"/>
    <col min="14086" max="14086" width="12.42578125" style="190"/>
    <col min="14087" max="14087" width="19.28515625" style="190" customWidth="1"/>
    <col min="14088" max="14336" width="12.42578125" style="190"/>
    <col min="14337" max="14337" width="57.85546875" style="190" customWidth="1"/>
    <col min="14338" max="14338" width="18.28515625" style="190" customWidth="1"/>
    <col min="14339" max="14339" width="21.140625" style="190" customWidth="1"/>
    <col min="14340" max="14340" width="19.7109375" style="190" customWidth="1"/>
    <col min="14341" max="14341" width="22.28515625" style="190" customWidth="1"/>
    <col min="14342" max="14342" width="12.42578125" style="190"/>
    <col min="14343" max="14343" width="19.28515625" style="190" customWidth="1"/>
    <col min="14344" max="14592" width="12.42578125" style="190"/>
    <col min="14593" max="14593" width="57.85546875" style="190" customWidth="1"/>
    <col min="14594" max="14594" width="18.28515625" style="190" customWidth="1"/>
    <col min="14595" max="14595" width="21.140625" style="190" customWidth="1"/>
    <col min="14596" max="14596" width="19.7109375" style="190" customWidth="1"/>
    <col min="14597" max="14597" width="22.28515625" style="190" customWidth="1"/>
    <col min="14598" max="14598" width="12.42578125" style="190"/>
    <col min="14599" max="14599" width="19.28515625" style="190" customWidth="1"/>
    <col min="14600" max="14848" width="12.42578125" style="190"/>
    <col min="14849" max="14849" width="57.85546875" style="190" customWidth="1"/>
    <col min="14850" max="14850" width="18.28515625" style="190" customWidth="1"/>
    <col min="14851" max="14851" width="21.140625" style="190" customWidth="1"/>
    <col min="14852" max="14852" width="19.7109375" style="190" customWidth="1"/>
    <col min="14853" max="14853" width="22.28515625" style="190" customWidth="1"/>
    <col min="14854" max="14854" width="12.42578125" style="190"/>
    <col min="14855" max="14855" width="19.28515625" style="190" customWidth="1"/>
    <col min="14856" max="15104" width="12.42578125" style="190"/>
    <col min="15105" max="15105" width="57.85546875" style="190" customWidth="1"/>
    <col min="15106" max="15106" width="18.28515625" style="190" customWidth="1"/>
    <col min="15107" max="15107" width="21.140625" style="190" customWidth="1"/>
    <col min="15108" max="15108" width="19.7109375" style="190" customWidth="1"/>
    <col min="15109" max="15109" width="22.28515625" style="190" customWidth="1"/>
    <col min="15110" max="15110" width="12.42578125" style="190"/>
    <col min="15111" max="15111" width="19.28515625" style="190" customWidth="1"/>
    <col min="15112" max="15360" width="12.42578125" style="190"/>
    <col min="15361" max="15361" width="57.85546875" style="190" customWidth="1"/>
    <col min="15362" max="15362" width="18.28515625" style="190" customWidth="1"/>
    <col min="15363" max="15363" width="21.140625" style="190" customWidth="1"/>
    <col min="15364" max="15364" width="19.7109375" style="190" customWidth="1"/>
    <col min="15365" max="15365" width="22.28515625" style="190" customWidth="1"/>
    <col min="15366" max="15366" width="12.42578125" style="190"/>
    <col min="15367" max="15367" width="19.28515625" style="190" customWidth="1"/>
    <col min="15368" max="15616" width="12.42578125" style="190"/>
    <col min="15617" max="15617" width="57.85546875" style="190" customWidth="1"/>
    <col min="15618" max="15618" width="18.28515625" style="190" customWidth="1"/>
    <col min="15619" max="15619" width="21.140625" style="190" customWidth="1"/>
    <col min="15620" max="15620" width="19.7109375" style="190" customWidth="1"/>
    <col min="15621" max="15621" width="22.28515625" style="190" customWidth="1"/>
    <col min="15622" max="15622" width="12.42578125" style="190"/>
    <col min="15623" max="15623" width="19.28515625" style="190" customWidth="1"/>
    <col min="15624" max="15872" width="12.42578125" style="190"/>
    <col min="15873" max="15873" width="57.85546875" style="190" customWidth="1"/>
    <col min="15874" max="15874" width="18.28515625" style="190" customWidth="1"/>
    <col min="15875" max="15875" width="21.140625" style="190" customWidth="1"/>
    <col min="15876" max="15876" width="19.7109375" style="190" customWidth="1"/>
    <col min="15877" max="15877" width="22.28515625" style="190" customWidth="1"/>
    <col min="15878" max="15878" width="12.42578125" style="190"/>
    <col min="15879" max="15879" width="19.28515625" style="190" customWidth="1"/>
    <col min="15880" max="16128" width="12.42578125" style="190"/>
    <col min="16129" max="16129" width="57.85546875" style="190" customWidth="1"/>
    <col min="16130" max="16130" width="18.28515625" style="190" customWidth="1"/>
    <col min="16131" max="16131" width="21.140625" style="190" customWidth="1"/>
    <col min="16132" max="16132" width="19.7109375" style="190" customWidth="1"/>
    <col min="16133" max="16133" width="22.28515625" style="190" customWidth="1"/>
    <col min="16134" max="16134" width="12.42578125" style="190"/>
    <col min="16135" max="16135" width="19.28515625" style="190" customWidth="1"/>
    <col min="16136" max="16384" width="12.42578125" style="190"/>
  </cols>
  <sheetData>
    <row r="1" spans="1:12">
      <c r="F1" s="192"/>
      <c r="G1" s="192"/>
      <c r="H1" s="192"/>
      <c r="I1" s="192"/>
      <c r="J1" s="192"/>
      <c r="K1" s="192"/>
      <c r="L1" s="192"/>
    </row>
    <row r="2" spans="1:12">
      <c r="F2" s="192"/>
      <c r="G2" s="192"/>
      <c r="H2" s="192"/>
      <c r="I2" s="192"/>
      <c r="J2" s="192"/>
      <c r="K2" s="192"/>
      <c r="L2" s="192"/>
    </row>
    <row r="3" spans="1:12" ht="15.75">
      <c r="A3" s="193" t="s">
        <v>2053</v>
      </c>
      <c r="B3" s="194"/>
      <c r="C3" s="194"/>
      <c r="D3" s="194"/>
      <c r="E3" s="195"/>
      <c r="F3" s="192"/>
      <c r="G3" s="192"/>
      <c r="H3" s="192"/>
      <c r="I3" s="192"/>
      <c r="J3" s="192"/>
      <c r="K3" s="192"/>
      <c r="L3" s="192"/>
    </row>
    <row r="4" spans="1:12">
      <c r="A4" s="195"/>
      <c r="B4" s="194"/>
      <c r="C4" s="194"/>
      <c r="D4" s="194"/>
      <c r="E4" s="195"/>
      <c r="F4" s="192"/>
      <c r="G4" s="192"/>
      <c r="H4" s="192"/>
      <c r="I4" s="192"/>
      <c r="J4" s="192"/>
      <c r="K4" s="192"/>
      <c r="L4" s="192"/>
    </row>
    <row r="5" spans="1:12" ht="15.75">
      <c r="A5" s="196" t="s">
        <v>2054</v>
      </c>
      <c r="B5" s="194"/>
      <c r="C5" s="194"/>
      <c r="D5" s="194"/>
      <c r="E5" s="195"/>
      <c r="F5" s="192"/>
      <c r="G5" s="192"/>
      <c r="H5" s="192"/>
      <c r="I5" s="192"/>
      <c r="J5" s="192"/>
      <c r="K5" s="192"/>
      <c r="L5" s="192"/>
    </row>
    <row r="6" spans="1:12">
      <c r="A6" s="195" t="s">
        <v>2055</v>
      </c>
      <c r="B6" s="197">
        <v>8</v>
      </c>
      <c r="C6" s="198" t="s">
        <v>2056</v>
      </c>
      <c r="D6" s="197">
        <f>[12]precios!$E$16</f>
        <v>113.74999999999999</v>
      </c>
      <c r="E6" s="199">
        <f>ROUND(D6*B6,2)</f>
        <v>910</v>
      </c>
      <c r="F6" s="192"/>
      <c r="G6" s="192"/>
      <c r="H6" s="192"/>
      <c r="I6" s="192"/>
      <c r="J6" s="192"/>
      <c r="K6" s="192"/>
      <c r="L6" s="192"/>
    </row>
    <row r="7" spans="1:12">
      <c r="A7" s="195" t="s">
        <v>2057</v>
      </c>
      <c r="B7" s="197">
        <f>4*8</f>
        <v>32</v>
      </c>
      <c r="C7" s="198" t="s">
        <v>2056</v>
      </c>
      <c r="D7" s="197">
        <v>71.58</v>
      </c>
      <c r="E7" s="199">
        <f>ROUND(D7*B7,2)</f>
        <v>2290.56</v>
      </c>
      <c r="F7" s="200"/>
      <c r="G7" s="192"/>
      <c r="H7" s="192"/>
      <c r="I7" s="192"/>
      <c r="J7" s="192"/>
      <c r="K7" s="192"/>
      <c r="L7" s="192"/>
    </row>
    <row r="8" spans="1:12">
      <c r="A8" s="195"/>
      <c r="B8" s="197"/>
      <c r="C8" s="198"/>
      <c r="D8" s="197"/>
      <c r="E8" s="199"/>
      <c r="F8" s="192"/>
      <c r="G8" s="192"/>
      <c r="H8" s="192"/>
      <c r="I8" s="192"/>
      <c r="J8" s="192"/>
      <c r="K8" s="192"/>
      <c r="L8" s="192"/>
    </row>
    <row r="9" spans="1:12" ht="15.75">
      <c r="A9" s="195"/>
      <c r="B9" s="194"/>
      <c r="C9" s="201" t="s">
        <v>2058</v>
      </c>
      <c r="D9" s="201"/>
      <c r="E9" s="202">
        <f>E7+E6</f>
        <v>3200.56</v>
      </c>
      <c r="F9" s="192"/>
      <c r="G9" s="192"/>
      <c r="H9" s="192"/>
      <c r="I9" s="192"/>
      <c r="J9" s="192"/>
      <c r="K9" s="192"/>
      <c r="L9" s="192"/>
    </row>
    <row r="10" spans="1:12" ht="15.75">
      <c r="A10" s="195"/>
      <c r="B10" s="194"/>
      <c r="C10" s="201" t="s">
        <v>2059</v>
      </c>
      <c r="D10" s="201"/>
      <c r="E10" s="202">
        <f>E9/8</f>
        <v>400.07</v>
      </c>
      <c r="F10" s="192"/>
      <c r="G10" s="192"/>
      <c r="H10" s="192"/>
      <c r="I10" s="192"/>
      <c r="J10" s="192"/>
      <c r="K10" s="192"/>
      <c r="L10" s="192"/>
    </row>
    <row r="11" spans="1:12" ht="15.75">
      <c r="A11" s="195" t="s">
        <v>2060</v>
      </c>
      <c r="B11" s="194">
        <v>6</v>
      </c>
      <c r="C11" s="194" t="s">
        <v>2061</v>
      </c>
      <c r="D11" s="203" t="s">
        <v>2062</v>
      </c>
      <c r="E11" s="202">
        <f>E9/B11</f>
        <v>533.42666666666662</v>
      </c>
      <c r="F11" s="192"/>
      <c r="G11" s="192"/>
      <c r="H11" s="192"/>
      <c r="I11" s="192"/>
      <c r="J11" s="192"/>
      <c r="K11" s="192"/>
      <c r="L11" s="192"/>
    </row>
    <row r="12" spans="1:12">
      <c r="A12" s="195"/>
      <c r="B12" s="194"/>
      <c r="C12" s="194"/>
      <c r="D12" s="194"/>
      <c r="E12" s="195"/>
      <c r="F12" s="192"/>
      <c r="G12" s="192"/>
      <c r="H12" s="192"/>
      <c r="I12" s="192"/>
      <c r="J12" s="192"/>
      <c r="K12" s="192"/>
      <c r="L12" s="192"/>
    </row>
    <row r="13" spans="1:12" ht="15.75">
      <c r="A13" s="196" t="s">
        <v>2063</v>
      </c>
      <c r="B13" s="194"/>
      <c r="C13" s="194"/>
      <c r="D13" s="194"/>
      <c r="E13" s="195"/>
      <c r="F13" s="192"/>
      <c r="G13" s="192"/>
      <c r="H13" s="192"/>
      <c r="I13" s="192"/>
      <c r="J13" s="192"/>
      <c r="K13" s="192"/>
      <c r="L13" s="192"/>
    </row>
    <row r="14" spans="1:12">
      <c r="A14" s="195" t="s">
        <v>2064</v>
      </c>
      <c r="B14" s="197">
        <v>8</v>
      </c>
      <c r="C14" s="204" t="s">
        <v>2056</v>
      </c>
      <c r="D14" s="197">
        <v>214.91</v>
      </c>
      <c r="E14" s="199">
        <f>ROUND(D14*B14,2)</f>
        <v>1719.28</v>
      </c>
      <c r="F14" s="192"/>
      <c r="G14" s="192"/>
      <c r="H14" s="192"/>
      <c r="I14" s="192"/>
      <c r="J14" s="192"/>
      <c r="K14" s="192"/>
      <c r="L14" s="192"/>
    </row>
    <row r="15" spans="1:12">
      <c r="A15" s="195" t="s">
        <v>2065</v>
      </c>
      <c r="B15" s="197">
        <v>16</v>
      </c>
      <c r="C15" s="204" t="s">
        <v>2056</v>
      </c>
      <c r="D15" s="197">
        <v>136.44999999999999</v>
      </c>
      <c r="E15" s="199">
        <f>ROUND(D15*B15,2)</f>
        <v>2183.1999999999998</v>
      </c>
      <c r="F15" s="192"/>
      <c r="G15" s="192"/>
      <c r="H15" s="192"/>
      <c r="I15" s="192"/>
      <c r="J15" s="192"/>
      <c r="K15" s="192"/>
      <c r="L15" s="192"/>
    </row>
    <row r="16" spans="1:12">
      <c r="A16" s="195" t="s">
        <v>2066</v>
      </c>
      <c r="B16" s="197">
        <f>3*8</f>
        <v>24</v>
      </c>
      <c r="C16" s="204" t="s">
        <v>2056</v>
      </c>
      <c r="D16" s="197">
        <v>92.08</v>
      </c>
      <c r="E16" s="199">
        <f>ROUND(D16*B16,2)</f>
        <v>2209.92</v>
      </c>
      <c r="F16" s="192"/>
      <c r="G16" s="192"/>
      <c r="H16" s="192"/>
      <c r="I16" s="192"/>
      <c r="J16" s="192"/>
      <c r="K16" s="192"/>
      <c r="L16" s="192"/>
    </row>
    <row r="17" spans="1:13">
      <c r="A17" s="195"/>
      <c r="B17" s="197"/>
      <c r="C17" s="198"/>
      <c r="D17" s="197"/>
      <c r="E17" s="199"/>
      <c r="F17" s="192"/>
      <c r="G17" s="192"/>
      <c r="H17" s="192"/>
      <c r="I17" s="192"/>
      <c r="J17" s="192"/>
      <c r="K17" s="192"/>
      <c r="L17" s="192"/>
    </row>
    <row r="18" spans="1:13" ht="15.75">
      <c r="A18" s="195"/>
      <c r="B18" s="194"/>
      <c r="C18" s="201" t="s">
        <v>2058</v>
      </c>
      <c r="D18" s="201"/>
      <c r="E18" s="202">
        <f>SUM(E14:E16)</f>
        <v>6112.4</v>
      </c>
      <c r="F18" s="192"/>
      <c r="G18" s="192"/>
      <c r="H18" s="192"/>
      <c r="I18" s="192"/>
      <c r="J18" s="192"/>
      <c r="K18" s="192"/>
      <c r="L18" s="192"/>
    </row>
    <row r="19" spans="1:13" ht="15.75">
      <c r="A19" s="195"/>
      <c r="B19" s="194"/>
      <c r="C19" s="201" t="s">
        <v>2059</v>
      </c>
      <c r="D19" s="201"/>
      <c r="E19" s="202">
        <f>E18/8</f>
        <v>764.05</v>
      </c>
      <c r="F19" s="192"/>
      <c r="G19" s="192"/>
      <c r="H19" s="192"/>
      <c r="I19" s="192"/>
      <c r="J19" s="192"/>
      <c r="K19" s="192"/>
      <c r="L19" s="192"/>
    </row>
    <row r="20" spans="1:13" ht="15.75">
      <c r="A20" s="195"/>
      <c r="B20" s="194"/>
      <c r="C20" s="201"/>
      <c r="D20" s="201"/>
      <c r="E20" s="202"/>
      <c r="F20" s="192"/>
      <c r="G20" s="192"/>
      <c r="H20" s="192"/>
      <c r="I20" s="192"/>
      <c r="J20" s="192"/>
      <c r="K20" s="192"/>
      <c r="L20" s="192"/>
    </row>
    <row r="21" spans="1:13" ht="15.75">
      <c r="A21" s="205" t="s">
        <v>2067</v>
      </c>
      <c r="B21" s="201" t="s">
        <v>2068</v>
      </c>
      <c r="C21" s="206" t="s">
        <v>2069</v>
      </c>
      <c r="D21" s="201" t="s">
        <v>2070</v>
      </c>
      <c r="E21" s="196" t="s">
        <v>2071</v>
      </c>
      <c r="F21" s="192"/>
      <c r="G21" s="192"/>
      <c r="H21" s="192"/>
      <c r="I21" s="192"/>
      <c r="J21" s="192"/>
      <c r="K21" s="192"/>
      <c r="L21" s="192"/>
    </row>
    <row r="22" spans="1:13">
      <c r="A22" s="195" t="s">
        <v>2072</v>
      </c>
      <c r="B22" s="197">
        <v>30</v>
      </c>
      <c r="C22" s="204" t="s">
        <v>4</v>
      </c>
      <c r="D22" s="207">
        <v>283.89</v>
      </c>
      <c r="E22" s="191">
        <v>90</v>
      </c>
      <c r="F22" s="208"/>
      <c r="G22" s="192"/>
      <c r="H22" s="192" t="s">
        <v>2073</v>
      </c>
      <c r="I22" s="192">
        <v>1719.25</v>
      </c>
      <c r="J22" s="192">
        <f>+I22/8</f>
        <v>214.90625</v>
      </c>
      <c r="K22" s="209" t="s">
        <v>2074</v>
      </c>
      <c r="L22" s="192">
        <v>1363.99</v>
      </c>
      <c r="M22" s="190">
        <f>+L22/8</f>
        <v>170.49875</v>
      </c>
    </row>
    <row r="23" spans="1:13">
      <c r="A23" s="195" t="s">
        <v>2075</v>
      </c>
      <c r="B23" s="194">
        <v>80</v>
      </c>
      <c r="C23" s="204" t="s">
        <v>1171</v>
      </c>
      <c r="D23" s="207">
        <v>94.62</v>
      </c>
      <c r="E23" s="191">
        <v>25</v>
      </c>
      <c r="F23" s="192"/>
      <c r="G23" s="192"/>
      <c r="H23" s="192" t="s">
        <v>2076</v>
      </c>
      <c r="I23" s="192">
        <v>1091.6300000000001</v>
      </c>
      <c r="J23" s="192">
        <f>+I23/8</f>
        <v>136.45375000000001</v>
      </c>
      <c r="K23" s="192"/>
      <c r="L23" s="192"/>
    </row>
    <row r="24" spans="1:13">
      <c r="A24" s="195" t="s">
        <v>2077</v>
      </c>
      <c r="B24" s="190"/>
      <c r="C24" s="204" t="s">
        <v>1171</v>
      </c>
      <c r="D24" s="210">
        <v>94.62</v>
      </c>
      <c r="E24" s="194">
        <v>20</v>
      </c>
      <c r="F24" s="192"/>
      <c r="G24" s="192"/>
      <c r="H24" s="192" t="s">
        <v>2078</v>
      </c>
      <c r="I24" s="192">
        <v>736.63</v>
      </c>
      <c r="J24" s="192">
        <f>+I24/8</f>
        <v>92.078749999999999</v>
      </c>
      <c r="K24" s="192"/>
      <c r="L24" s="192"/>
    </row>
    <row r="25" spans="1:13">
      <c r="A25" s="195" t="s">
        <v>2079</v>
      </c>
      <c r="B25" s="190"/>
      <c r="C25" s="204" t="s">
        <v>1171</v>
      </c>
      <c r="D25" s="210">
        <v>94.62</v>
      </c>
      <c r="E25" s="194">
        <v>20</v>
      </c>
      <c r="F25" s="192"/>
      <c r="G25" s="192"/>
      <c r="H25" s="192" t="s">
        <v>2080</v>
      </c>
      <c r="I25" s="192">
        <v>572.64</v>
      </c>
      <c r="J25" s="192">
        <f>+I25/8</f>
        <v>71.58</v>
      </c>
      <c r="K25" s="192"/>
      <c r="L25" s="192"/>
    </row>
    <row r="26" spans="1:13">
      <c r="A26" s="195" t="s">
        <v>2081</v>
      </c>
      <c r="B26" s="190"/>
      <c r="C26" s="204" t="s">
        <v>213</v>
      </c>
      <c r="D26" s="210">
        <v>5.5</v>
      </c>
      <c r="E26" s="194">
        <v>4.5</v>
      </c>
      <c r="F26" s="192" t="s">
        <v>2082</v>
      </c>
      <c r="G26" s="192"/>
      <c r="H26" s="192"/>
      <c r="I26" s="192"/>
      <c r="J26" s="192"/>
      <c r="K26" s="192"/>
      <c r="L26" s="192"/>
    </row>
    <row r="27" spans="1:13">
      <c r="A27" s="195" t="s">
        <v>2083</v>
      </c>
      <c r="B27" s="190"/>
      <c r="C27" s="204" t="s">
        <v>1017</v>
      </c>
      <c r="D27" s="210">
        <v>4000</v>
      </c>
      <c r="E27" s="194">
        <f>1500*2</f>
        <v>3000</v>
      </c>
      <c r="F27" s="192"/>
      <c r="G27" s="192"/>
      <c r="H27" s="192"/>
      <c r="I27" s="192"/>
      <c r="J27" s="192"/>
      <c r="K27" s="192"/>
      <c r="L27" s="192"/>
    </row>
    <row r="28" spans="1:13">
      <c r="A28" s="195" t="s">
        <v>2084</v>
      </c>
      <c r="B28" s="190"/>
      <c r="C28" s="204" t="s">
        <v>4</v>
      </c>
      <c r="D28" s="211">
        <f>+D22</f>
        <v>283.89</v>
      </c>
      <c r="E28" s="194">
        <v>90</v>
      </c>
      <c r="F28" s="192"/>
      <c r="G28" s="192"/>
      <c r="H28" s="192"/>
      <c r="I28" s="192"/>
      <c r="J28" s="192"/>
      <c r="K28" s="192"/>
      <c r="L28" s="192"/>
    </row>
    <row r="29" spans="1:13">
      <c r="A29" s="195" t="s">
        <v>1000</v>
      </c>
      <c r="B29" s="190"/>
      <c r="C29" s="204" t="s">
        <v>4</v>
      </c>
      <c r="D29" s="211">
        <v>1</v>
      </c>
      <c r="E29" s="194"/>
      <c r="F29" s="192"/>
      <c r="G29" s="192"/>
      <c r="H29" s="192"/>
      <c r="I29" s="192"/>
      <c r="J29" s="192"/>
      <c r="K29" s="192"/>
      <c r="L29" s="192"/>
    </row>
    <row r="30" spans="1:13">
      <c r="A30" s="195" t="s">
        <v>2085</v>
      </c>
      <c r="B30" s="190"/>
      <c r="C30" s="204" t="s">
        <v>4</v>
      </c>
      <c r="D30" s="211">
        <v>1.25</v>
      </c>
      <c r="E30" s="194"/>
      <c r="F30" s="192"/>
      <c r="G30" s="192"/>
      <c r="H30" s="192"/>
      <c r="I30" s="192"/>
      <c r="J30" s="192"/>
      <c r="K30" s="192"/>
      <c r="L30" s="192"/>
    </row>
    <row r="31" spans="1:13">
      <c r="B31" s="190"/>
      <c r="C31" s="190"/>
      <c r="D31" s="194"/>
      <c r="E31" s="194"/>
      <c r="F31" s="192"/>
      <c r="G31" s="192"/>
      <c r="H31" s="192"/>
      <c r="I31" s="192"/>
      <c r="J31" s="192"/>
      <c r="K31" s="192"/>
      <c r="L31" s="192"/>
    </row>
    <row r="32" spans="1:13">
      <c r="B32" s="190"/>
      <c r="C32" s="190"/>
      <c r="D32" s="194"/>
      <c r="E32" s="194"/>
      <c r="F32" s="192"/>
      <c r="G32" s="192"/>
      <c r="H32" s="192"/>
      <c r="I32" s="192"/>
      <c r="J32" s="192"/>
      <c r="K32" s="192"/>
      <c r="L32" s="192"/>
    </row>
    <row r="33" spans="1:12">
      <c r="B33" s="190"/>
      <c r="C33" s="190"/>
      <c r="D33" s="194"/>
      <c r="E33" s="194"/>
      <c r="F33" s="192"/>
      <c r="G33" s="192"/>
      <c r="H33" s="192"/>
      <c r="I33" s="192"/>
      <c r="J33" s="192"/>
      <c r="K33" s="192"/>
      <c r="L33" s="192"/>
    </row>
    <row r="34" spans="1:12">
      <c r="B34" s="190"/>
      <c r="C34" s="190"/>
      <c r="D34" s="194"/>
      <c r="E34" s="194"/>
      <c r="F34" s="192"/>
      <c r="G34" s="192"/>
      <c r="H34" s="192"/>
      <c r="I34" s="192"/>
      <c r="J34" s="192"/>
      <c r="K34" s="192"/>
      <c r="L34" s="192"/>
    </row>
    <row r="35" spans="1:12" ht="15.75">
      <c r="A35" s="196" t="s">
        <v>2086</v>
      </c>
      <c r="B35" s="194"/>
      <c r="C35" s="198"/>
      <c r="D35" s="194"/>
      <c r="E35" s="195"/>
      <c r="F35" s="192"/>
      <c r="G35" s="192"/>
      <c r="H35" s="192"/>
      <c r="I35" s="192"/>
      <c r="J35" s="192"/>
      <c r="K35" s="192"/>
      <c r="L35" s="192"/>
    </row>
    <row r="36" spans="1:12">
      <c r="A36" s="195" t="s">
        <v>2087</v>
      </c>
      <c r="B36" s="197">
        <v>8</v>
      </c>
      <c r="C36" s="204" t="s">
        <v>2056</v>
      </c>
      <c r="D36" s="197">
        <v>170.5</v>
      </c>
      <c r="E36" s="199">
        <f>ROUND(D36*B36,2)</f>
        <v>1364</v>
      </c>
      <c r="F36" s="192"/>
      <c r="G36" s="192"/>
      <c r="H36" s="192"/>
      <c r="I36" s="192"/>
      <c r="J36" s="192"/>
      <c r="K36" s="192"/>
      <c r="L36" s="192"/>
    </row>
    <row r="37" spans="1:12">
      <c r="A37" s="195" t="s">
        <v>2088</v>
      </c>
      <c r="B37" s="197">
        <v>8</v>
      </c>
      <c r="C37" s="204" t="s">
        <v>2056</v>
      </c>
      <c r="D37" s="197">
        <v>136.44999999999999</v>
      </c>
      <c r="E37" s="199">
        <f>ROUND(D37*B37,2)</f>
        <v>1091.5999999999999</v>
      </c>
      <c r="F37" s="192"/>
      <c r="G37" s="192"/>
      <c r="H37" s="192"/>
      <c r="I37" s="192"/>
      <c r="J37" s="192"/>
      <c r="K37" s="192"/>
      <c r="L37" s="192"/>
    </row>
    <row r="38" spans="1:12">
      <c r="A38" s="195" t="s">
        <v>2089</v>
      </c>
      <c r="B38" s="197">
        <f>4*8</f>
        <v>32</v>
      </c>
      <c r="C38" s="204" t="s">
        <v>2056</v>
      </c>
      <c r="D38" s="197">
        <v>92.08</v>
      </c>
      <c r="E38" s="199">
        <f>ROUND(D38*B38,2)</f>
        <v>2946.56</v>
      </c>
      <c r="F38" s="192"/>
      <c r="G38" s="192"/>
      <c r="H38" s="192"/>
      <c r="I38" s="192"/>
      <c r="J38" s="192"/>
      <c r="K38" s="192"/>
      <c r="L38" s="192"/>
    </row>
    <row r="39" spans="1:12">
      <c r="A39" s="195"/>
      <c r="B39" s="197"/>
      <c r="C39" s="198"/>
      <c r="D39" s="197"/>
      <c r="E39" s="199"/>
      <c r="F39" s="192"/>
      <c r="G39" s="192"/>
      <c r="H39" s="192"/>
      <c r="I39" s="192"/>
      <c r="J39" s="192"/>
      <c r="K39" s="192"/>
      <c r="L39" s="192"/>
    </row>
    <row r="40" spans="1:12" ht="15.75">
      <c r="A40" s="195"/>
      <c r="B40" s="194"/>
      <c r="C40" s="201" t="s">
        <v>2090</v>
      </c>
      <c r="D40" s="201"/>
      <c r="E40" s="202">
        <f>SUM(E36:E38)</f>
        <v>5402.16</v>
      </c>
      <c r="F40" s="192"/>
      <c r="G40" s="192"/>
      <c r="H40" s="192"/>
      <c r="I40" s="192"/>
      <c r="J40" s="192"/>
      <c r="K40" s="192"/>
      <c r="L40" s="192"/>
    </row>
    <row r="41" spans="1:12" ht="15.75">
      <c r="A41" s="195"/>
      <c r="B41" s="194"/>
      <c r="C41" s="201" t="s">
        <v>2091</v>
      </c>
      <c r="D41" s="201"/>
      <c r="E41" s="202">
        <f>E40/8</f>
        <v>675.27</v>
      </c>
      <c r="F41" s="192"/>
      <c r="G41" s="192"/>
      <c r="H41" s="192"/>
      <c r="I41" s="192"/>
      <c r="J41" s="192"/>
      <c r="K41" s="192"/>
      <c r="L41" s="192"/>
    </row>
    <row r="42" spans="1:12" ht="15.75">
      <c r="A42" s="195"/>
      <c r="B42" s="194"/>
      <c r="C42" s="201"/>
      <c r="D42" s="201"/>
      <c r="E42" s="202"/>
      <c r="F42" s="192"/>
      <c r="G42" s="192"/>
      <c r="H42" s="192"/>
      <c r="I42" s="192"/>
      <c r="J42" s="192"/>
      <c r="K42" s="192"/>
      <c r="L42" s="192"/>
    </row>
    <row r="43" spans="1:12" ht="15.75">
      <c r="A43" s="205" t="s">
        <v>2092</v>
      </c>
      <c r="B43" s="194"/>
      <c r="C43" s="198"/>
      <c r="D43" s="201"/>
      <c r="E43" s="202"/>
      <c r="F43" s="192"/>
      <c r="G43" s="192"/>
      <c r="H43" s="192"/>
      <c r="I43" s="192"/>
      <c r="J43" s="192"/>
      <c r="K43" s="192"/>
      <c r="L43" s="192"/>
    </row>
    <row r="44" spans="1:12" ht="15.75">
      <c r="A44" s="195" t="s">
        <v>2093</v>
      </c>
      <c r="B44" s="190"/>
      <c r="C44" s="198" t="s">
        <v>213</v>
      </c>
      <c r="D44" s="211">
        <f>42.64*1.2</f>
        <v>51.167999999999999</v>
      </c>
      <c r="E44" s="202"/>
      <c r="F44" s="192"/>
      <c r="G44" s="192"/>
      <c r="H44" s="192"/>
      <c r="I44" s="192"/>
      <c r="J44" s="192"/>
      <c r="K44" s="192"/>
      <c r="L44" s="192"/>
    </row>
    <row r="45" spans="1:12" ht="15.75">
      <c r="A45" s="195" t="s">
        <v>2094</v>
      </c>
      <c r="B45" s="190"/>
      <c r="C45" s="198" t="s">
        <v>1017</v>
      </c>
      <c r="D45" s="211">
        <f>990*1.2</f>
        <v>1188</v>
      </c>
      <c r="E45" s="202"/>
      <c r="F45" s="192"/>
      <c r="G45" s="192"/>
      <c r="H45" s="192"/>
      <c r="I45" s="192"/>
      <c r="J45" s="192"/>
      <c r="K45" s="192"/>
      <c r="L45" s="192"/>
    </row>
    <row r="46" spans="1:12" ht="15.75">
      <c r="A46" s="195" t="s">
        <v>2095</v>
      </c>
      <c r="B46" s="190"/>
      <c r="C46" s="198" t="s">
        <v>213</v>
      </c>
      <c r="D46" s="211">
        <f>35.8*1.2</f>
        <v>42.959999999999994</v>
      </c>
      <c r="E46" s="202"/>
      <c r="F46" s="192"/>
      <c r="G46" s="192"/>
      <c r="H46" s="192"/>
      <c r="I46" s="192"/>
      <c r="J46" s="192"/>
      <c r="K46" s="192"/>
      <c r="L46" s="192"/>
    </row>
    <row r="47" spans="1:12" ht="15.75">
      <c r="A47" s="195" t="s">
        <v>2096</v>
      </c>
      <c r="B47" s="190"/>
      <c r="C47" s="198" t="s">
        <v>213</v>
      </c>
      <c r="D47" s="211">
        <f>35*1.2</f>
        <v>42</v>
      </c>
      <c r="E47" s="202"/>
      <c r="F47" s="192"/>
      <c r="G47" s="192"/>
      <c r="H47" s="192"/>
      <c r="I47" s="192"/>
      <c r="J47" s="192"/>
      <c r="K47" s="192"/>
      <c r="L47" s="192"/>
    </row>
    <row r="48" spans="1:12" ht="15.75">
      <c r="A48" s="195" t="s">
        <v>2097</v>
      </c>
      <c r="B48" s="190"/>
      <c r="C48" s="198" t="s">
        <v>213</v>
      </c>
      <c r="D48" s="211">
        <f>35*1.2</f>
        <v>42</v>
      </c>
      <c r="E48" s="202"/>
      <c r="F48" s="192"/>
      <c r="G48" s="192"/>
      <c r="H48" s="192"/>
      <c r="I48" s="192"/>
      <c r="J48" s="192"/>
      <c r="K48" s="192"/>
      <c r="L48" s="192"/>
    </row>
    <row r="49" spans="1:12" ht="15.75">
      <c r="A49" s="195"/>
      <c r="B49" s="194"/>
      <c r="C49" s="201"/>
      <c r="D49" s="201"/>
      <c r="E49" s="202"/>
      <c r="F49" s="192"/>
      <c r="G49" s="192"/>
      <c r="H49" s="192"/>
      <c r="I49" s="192"/>
      <c r="J49" s="192"/>
      <c r="K49" s="192"/>
      <c r="L49" s="192"/>
    </row>
    <row r="50" spans="1:12" ht="15.75">
      <c r="A50" s="195" t="s">
        <v>2098</v>
      </c>
      <c r="B50" s="194"/>
      <c r="C50" s="204" t="s">
        <v>213</v>
      </c>
      <c r="D50" s="194">
        <v>167</v>
      </c>
      <c r="E50" s="202"/>
      <c r="F50" s="192"/>
      <c r="G50" s="192"/>
      <c r="H50" s="192"/>
      <c r="I50" s="192"/>
      <c r="J50" s="192"/>
      <c r="K50" s="192"/>
      <c r="L50" s="192"/>
    </row>
    <row r="51" spans="1:12">
      <c r="A51" s="195"/>
      <c r="B51" s="194"/>
      <c r="C51" s="198"/>
      <c r="D51" s="194"/>
      <c r="E51" s="195"/>
      <c r="F51" s="192"/>
      <c r="G51" s="192"/>
      <c r="H51" s="192"/>
      <c r="I51" s="192"/>
      <c r="J51" s="192"/>
      <c r="K51" s="192"/>
      <c r="L51" s="192"/>
    </row>
    <row r="52" spans="1:12" hidden="1">
      <c r="A52" s="195" t="s">
        <v>2099</v>
      </c>
      <c r="B52" s="194"/>
      <c r="C52" s="194"/>
      <c r="D52" s="194"/>
      <c r="E52" s="195"/>
      <c r="F52" s="192"/>
      <c r="G52" s="192"/>
      <c r="H52" s="192"/>
      <c r="I52" s="192"/>
      <c r="J52" s="192"/>
      <c r="K52" s="192"/>
      <c r="L52" s="192"/>
    </row>
    <row r="53" spans="1:12" hidden="1">
      <c r="A53" s="195" t="s">
        <v>2100</v>
      </c>
      <c r="B53" s="197">
        <v>3</v>
      </c>
      <c r="C53" s="198" t="s">
        <v>2101</v>
      </c>
      <c r="D53" s="194"/>
      <c r="E53" s="195"/>
      <c r="F53" s="192"/>
      <c r="G53" s="192"/>
      <c r="H53" s="192"/>
      <c r="I53" s="192"/>
      <c r="J53" s="192"/>
      <c r="K53" s="192"/>
      <c r="L53" s="192"/>
    </row>
    <row r="54" spans="1:12" hidden="1">
      <c r="A54" s="195" t="s">
        <v>2102</v>
      </c>
      <c r="B54" s="197">
        <v>4</v>
      </c>
      <c r="C54" s="198" t="s">
        <v>2101</v>
      </c>
      <c r="D54" s="194"/>
      <c r="E54" s="195"/>
      <c r="F54" s="192"/>
      <c r="G54" s="192"/>
      <c r="H54" s="192"/>
      <c r="I54" s="192"/>
      <c r="J54" s="192"/>
      <c r="K54" s="192"/>
      <c r="L54" s="192"/>
    </row>
    <row r="55" spans="1:12" hidden="1">
      <c r="A55" s="195" t="s">
        <v>2103</v>
      </c>
      <c r="B55" s="197">
        <v>5</v>
      </c>
      <c r="C55" s="198" t="s">
        <v>2101</v>
      </c>
      <c r="D55" s="194"/>
      <c r="E55" s="195"/>
      <c r="F55" s="192"/>
      <c r="G55" s="192"/>
      <c r="H55" s="192"/>
      <c r="I55" s="192"/>
      <c r="J55" s="192"/>
      <c r="K55" s="192"/>
      <c r="L55" s="192"/>
    </row>
    <row r="56" spans="1:12" hidden="1">
      <c r="A56" s="195" t="s">
        <v>2104</v>
      </c>
      <c r="B56" s="197">
        <v>3</v>
      </c>
      <c r="C56" s="198" t="s">
        <v>2101</v>
      </c>
      <c r="D56" s="194"/>
      <c r="E56" s="195"/>
      <c r="F56" s="192"/>
      <c r="G56" s="192"/>
      <c r="H56" s="192"/>
      <c r="I56" s="192"/>
      <c r="J56" s="192"/>
      <c r="K56" s="192"/>
      <c r="L56" s="192"/>
    </row>
    <row r="57" spans="1:12" hidden="1">
      <c r="A57" s="195" t="s">
        <v>2105</v>
      </c>
      <c r="B57" s="197">
        <v>4</v>
      </c>
      <c r="C57" s="198" t="s">
        <v>2101</v>
      </c>
      <c r="D57" s="194"/>
      <c r="E57" s="195"/>
      <c r="F57" s="192"/>
      <c r="G57" s="192"/>
      <c r="H57" s="192"/>
      <c r="I57" s="192"/>
      <c r="J57" s="192"/>
      <c r="K57" s="192"/>
      <c r="L57" s="192"/>
    </row>
    <row r="58" spans="1:12" hidden="1">
      <c r="A58" s="195" t="s">
        <v>2106</v>
      </c>
      <c r="B58" s="197">
        <v>0.9</v>
      </c>
      <c r="C58" s="198" t="s">
        <v>2101</v>
      </c>
      <c r="D58" s="194"/>
      <c r="E58" s="195"/>
      <c r="F58" s="192"/>
      <c r="G58" s="192"/>
      <c r="H58" s="192"/>
      <c r="I58" s="192"/>
      <c r="J58" s="192"/>
      <c r="K58" s="192"/>
      <c r="L58" s="192"/>
    </row>
    <row r="59" spans="1:12" hidden="1">
      <c r="A59" s="195" t="s">
        <v>2077</v>
      </c>
      <c r="B59" s="197">
        <v>3.2</v>
      </c>
      <c r="C59" s="198" t="s">
        <v>2101</v>
      </c>
      <c r="D59" s="194"/>
      <c r="E59" s="195"/>
      <c r="F59" s="192"/>
      <c r="G59" s="192"/>
      <c r="H59" s="192"/>
      <c r="I59" s="192"/>
      <c r="J59" s="192"/>
      <c r="K59" s="192"/>
      <c r="L59" s="192"/>
    </row>
    <row r="60" spans="1:12" hidden="1">
      <c r="A60" s="195"/>
      <c r="B60" s="194"/>
      <c r="C60" s="194"/>
      <c r="D60" s="194"/>
      <c r="E60" s="195"/>
      <c r="F60" s="192"/>
      <c r="G60" s="192"/>
      <c r="H60" s="192"/>
      <c r="I60" s="192"/>
      <c r="J60" s="192"/>
      <c r="K60" s="192"/>
      <c r="L60" s="192"/>
    </row>
    <row r="61" spans="1:12" hidden="1">
      <c r="A61" s="195" t="s">
        <v>2107</v>
      </c>
      <c r="B61" s="194" t="s">
        <v>2108</v>
      </c>
      <c r="C61" s="194" t="s">
        <v>2109</v>
      </c>
      <c r="D61" s="194" t="s">
        <v>2110</v>
      </c>
      <c r="E61" s="195"/>
      <c r="F61" s="192"/>
      <c r="G61" s="192"/>
      <c r="H61" s="192"/>
      <c r="I61" s="192"/>
      <c r="J61" s="192"/>
      <c r="K61" s="192"/>
      <c r="L61" s="192"/>
    </row>
    <row r="62" spans="1:12" hidden="1">
      <c r="A62" s="195"/>
      <c r="B62" s="197">
        <v>0.75</v>
      </c>
      <c r="C62" s="197">
        <v>0.15</v>
      </c>
      <c r="D62" s="197">
        <v>0.1</v>
      </c>
      <c r="E62" s="195"/>
      <c r="F62" s="192"/>
      <c r="G62" s="192"/>
      <c r="H62" s="192"/>
      <c r="I62" s="192"/>
      <c r="J62" s="192"/>
      <c r="K62" s="192"/>
      <c r="L62" s="192"/>
    </row>
    <row r="63" spans="1:12" hidden="1">
      <c r="A63" s="195" t="s">
        <v>2100</v>
      </c>
      <c r="B63" s="197">
        <f t="shared" ref="B63:B69" si="0">$E$41/B53*$B$62</f>
        <v>168.8175</v>
      </c>
      <c r="C63" s="197">
        <f t="shared" ref="C63:C69" si="1">(+$E$41/B53)*$C$62</f>
        <v>33.763500000000001</v>
      </c>
      <c r="D63" s="197">
        <f t="shared" ref="D63:D69" si="2">(+$E$41/B53)*$D$62</f>
        <v>22.509</v>
      </c>
      <c r="E63" s="195"/>
      <c r="F63" s="192"/>
      <c r="G63" s="192"/>
      <c r="H63" s="192"/>
      <c r="I63" s="192"/>
      <c r="J63" s="192"/>
      <c r="K63" s="192"/>
      <c r="L63" s="192"/>
    </row>
    <row r="64" spans="1:12" hidden="1">
      <c r="A64" s="195" t="s">
        <v>2102</v>
      </c>
      <c r="B64" s="197">
        <f t="shared" si="0"/>
        <v>126.613125</v>
      </c>
      <c r="C64" s="197">
        <f t="shared" si="1"/>
        <v>25.322624999999999</v>
      </c>
      <c r="D64" s="197">
        <f t="shared" si="2"/>
        <v>16.88175</v>
      </c>
      <c r="E64" s="195"/>
      <c r="F64" s="192"/>
      <c r="G64" s="192"/>
      <c r="H64" s="192"/>
      <c r="I64" s="192"/>
      <c r="J64" s="192"/>
      <c r="K64" s="192"/>
      <c r="L64" s="192"/>
    </row>
    <row r="65" spans="1:12" hidden="1">
      <c r="A65" s="195" t="s">
        <v>2103</v>
      </c>
      <c r="B65" s="197">
        <f t="shared" si="0"/>
        <v>101.29050000000001</v>
      </c>
      <c r="C65" s="197">
        <f t="shared" si="1"/>
        <v>20.258099999999999</v>
      </c>
      <c r="D65" s="197">
        <f t="shared" si="2"/>
        <v>13.505400000000002</v>
      </c>
      <c r="E65" s="195"/>
      <c r="F65" s="192"/>
      <c r="G65" s="192"/>
      <c r="H65" s="192"/>
      <c r="I65" s="192"/>
      <c r="J65" s="192"/>
      <c r="K65" s="192"/>
      <c r="L65" s="192"/>
    </row>
    <row r="66" spans="1:12" hidden="1">
      <c r="A66" s="195" t="s">
        <v>2104</v>
      </c>
      <c r="B66" s="197">
        <f t="shared" si="0"/>
        <v>168.8175</v>
      </c>
      <c r="C66" s="197">
        <f t="shared" si="1"/>
        <v>33.763500000000001</v>
      </c>
      <c r="D66" s="197">
        <f t="shared" si="2"/>
        <v>22.509</v>
      </c>
      <c r="E66" s="195"/>
      <c r="F66" s="192"/>
      <c r="G66" s="192"/>
      <c r="H66" s="192"/>
      <c r="I66" s="192"/>
      <c r="J66" s="192"/>
      <c r="K66" s="192"/>
      <c r="L66" s="192"/>
    </row>
    <row r="67" spans="1:12" hidden="1">
      <c r="A67" s="195" t="s">
        <v>2105</v>
      </c>
      <c r="B67" s="197">
        <f t="shared" si="0"/>
        <v>126.613125</v>
      </c>
      <c r="C67" s="197">
        <f t="shared" si="1"/>
        <v>25.322624999999999</v>
      </c>
      <c r="D67" s="197">
        <f t="shared" si="2"/>
        <v>16.88175</v>
      </c>
      <c r="E67" s="195"/>
      <c r="F67" s="192"/>
      <c r="G67" s="192"/>
      <c r="H67" s="192"/>
      <c r="I67" s="192"/>
      <c r="J67" s="192"/>
      <c r="K67" s="192"/>
      <c r="L67" s="192"/>
    </row>
    <row r="68" spans="1:12" hidden="1">
      <c r="A68" s="195" t="s">
        <v>2111</v>
      </c>
      <c r="B68" s="197">
        <f t="shared" si="0"/>
        <v>562.72499999999991</v>
      </c>
      <c r="C68" s="197">
        <f t="shared" si="1"/>
        <v>112.54499999999999</v>
      </c>
      <c r="D68" s="197">
        <f t="shared" si="2"/>
        <v>75.03</v>
      </c>
      <c r="E68" s="195"/>
      <c r="F68" s="192"/>
      <c r="G68" s="192"/>
      <c r="H68" s="192"/>
      <c r="I68" s="192"/>
      <c r="J68" s="192"/>
      <c r="K68" s="192"/>
      <c r="L68" s="192"/>
    </row>
    <row r="69" spans="1:12" hidden="1">
      <c r="A69" s="195" t="s">
        <v>2077</v>
      </c>
      <c r="B69" s="197">
        <f t="shared" si="0"/>
        <v>158.26640624999999</v>
      </c>
      <c r="C69" s="197">
        <f t="shared" si="1"/>
        <v>31.653281249999999</v>
      </c>
      <c r="D69" s="197">
        <f t="shared" si="2"/>
        <v>21.102187499999999</v>
      </c>
      <c r="E69" s="195"/>
      <c r="F69" s="192"/>
      <c r="G69" s="192"/>
      <c r="H69" s="192"/>
      <c r="I69" s="192"/>
      <c r="J69" s="192"/>
      <c r="K69" s="192"/>
      <c r="L69" s="192"/>
    </row>
    <row r="70" spans="1:12" hidden="1">
      <c r="A70" s="195"/>
      <c r="B70" s="194"/>
      <c r="C70" s="194"/>
      <c r="D70" s="194"/>
      <c r="E70" s="195"/>
      <c r="F70" s="192"/>
      <c r="G70" s="192"/>
      <c r="H70" s="192"/>
      <c r="I70" s="192"/>
      <c r="J70" s="192"/>
      <c r="K70" s="192"/>
      <c r="L70" s="192"/>
    </row>
    <row r="71" spans="1:12" ht="15.75" hidden="1">
      <c r="A71" s="196" t="s">
        <v>2112</v>
      </c>
      <c r="B71" s="194"/>
      <c r="C71" s="194"/>
      <c r="D71" s="194"/>
      <c r="E71" s="195"/>
      <c r="F71" s="192"/>
      <c r="G71" s="192"/>
      <c r="H71" s="192"/>
      <c r="I71" s="192"/>
      <c r="J71" s="192"/>
      <c r="K71" s="192"/>
      <c r="L71" s="192"/>
    </row>
    <row r="72" spans="1:12" hidden="1">
      <c r="A72" s="195" t="s">
        <v>2113</v>
      </c>
      <c r="B72" s="197">
        <v>1</v>
      </c>
      <c r="C72" s="194" t="s">
        <v>2114</v>
      </c>
      <c r="D72" s="194"/>
      <c r="E72" s="195"/>
      <c r="F72" s="192"/>
      <c r="G72" s="192"/>
      <c r="H72" s="192"/>
      <c r="I72" s="192"/>
      <c r="J72" s="192"/>
      <c r="K72" s="192"/>
      <c r="L72" s="192"/>
    </row>
    <row r="73" spans="1:12" hidden="1">
      <c r="A73" s="195"/>
      <c r="B73" s="197"/>
      <c r="C73" s="194"/>
      <c r="D73" s="194"/>
      <c r="E73" s="195"/>
      <c r="F73" s="192"/>
      <c r="G73" s="192"/>
      <c r="H73" s="192"/>
      <c r="I73" s="192"/>
      <c r="J73" s="192"/>
      <c r="K73" s="192"/>
      <c r="L73" s="192"/>
    </row>
    <row r="74" spans="1:12" ht="15.75" hidden="1">
      <c r="A74" s="193" t="s">
        <v>2115</v>
      </c>
      <c r="B74" s="206" t="s">
        <v>2116</v>
      </c>
      <c r="C74" s="206" t="s">
        <v>2117</v>
      </c>
      <c r="D74" s="206" t="s">
        <v>2118</v>
      </c>
      <c r="E74" s="195"/>
      <c r="F74" s="192"/>
      <c r="G74" s="192"/>
      <c r="H74" s="192"/>
      <c r="I74" s="192"/>
      <c r="J74" s="192"/>
      <c r="K74" s="192"/>
      <c r="L74" s="192"/>
    </row>
    <row r="75" spans="1:12" hidden="1">
      <c r="A75" s="195"/>
      <c r="B75" s="194"/>
      <c r="C75" s="194"/>
      <c r="D75" s="194"/>
      <c r="E75" s="195"/>
      <c r="F75" s="192"/>
      <c r="G75" s="192"/>
      <c r="H75" s="192"/>
      <c r="I75" s="192"/>
      <c r="J75" s="192"/>
      <c r="K75" s="192"/>
      <c r="L75" s="192"/>
    </row>
    <row r="76" spans="1:12" hidden="1">
      <c r="A76" s="195" t="s">
        <v>2119</v>
      </c>
      <c r="B76" s="197">
        <v>1</v>
      </c>
      <c r="C76" s="197">
        <v>15000</v>
      </c>
      <c r="D76" s="197">
        <f t="shared" ref="D76:D82" si="3">C76*B76</f>
        <v>15000</v>
      </c>
      <c r="E76" s="195"/>
      <c r="F76" s="192"/>
      <c r="G76" s="192"/>
      <c r="H76" s="192"/>
      <c r="I76" s="192"/>
      <c r="J76" s="192"/>
      <c r="K76" s="192"/>
      <c r="L76" s="192"/>
    </row>
    <row r="77" spans="1:12" hidden="1">
      <c r="A77" s="195" t="s">
        <v>2120</v>
      </c>
      <c r="B77" s="197">
        <v>2</v>
      </c>
      <c r="C77" s="197">
        <v>5000</v>
      </c>
      <c r="D77" s="197">
        <f t="shared" si="3"/>
        <v>10000</v>
      </c>
      <c r="E77" s="195"/>
      <c r="F77" s="192"/>
      <c r="G77" s="192"/>
      <c r="H77" s="192"/>
      <c r="I77" s="192"/>
      <c r="J77" s="192"/>
      <c r="K77" s="192"/>
      <c r="L77" s="192"/>
    </row>
    <row r="78" spans="1:12" hidden="1">
      <c r="A78" s="195" t="s">
        <v>2121</v>
      </c>
      <c r="B78" s="197">
        <v>1</v>
      </c>
      <c r="C78" s="197">
        <v>4000</v>
      </c>
      <c r="D78" s="197">
        <f t="shared" si="3"/>
        <v>4000</v>
      </c>
      <c r="E78" s="195"/>
      <c r="F78" s="192"/>
      <c r="G78" s="192"/>
      <c r="H78" s="192"/>
      <c r="I78" s="192"/>
      <c r="J78" s="192"/>
      <c r="K78" s="192"/>
      <c r="L78" s="192"/>
    </row>
    <row r="79" spans="1:12" hidden="1">
      <c r="A79" s="195" t="s">
        <v>2122</v>
      </c>
      <c r="B79" s="197">
        <v>2</v>
      </c>
      <c r="C79" s="197">
        <v>3500</v>
      </c>
      <c r="D79" s="197">
        <f t="shared" si="3"/>
        <v>7000</v>
      </c>
      <c r="E79" s="195"/>
      <c r="F79" s="192"/>
      <c r="G79" s="192"/>
      <c r="H79" s="192"/>
      <c r="I79" s="192"/>
      <c r="J79" s="192"/>
      <c r="K79" s="192"/>
      <c r="L79" s="192"/>
    </row>
    <row r="80" spans="1:12" hidden="1">
      <c r="A80" s="195" t="s">
        <v>2123</v>
      </c>
      <c r="B80" s="197">
        <v>3</v>
      </c>
      <c r="C80" s="197">
        <v>3000</v>
      </c>
      <c r="D80" s="197">
        <f t="shared" si="3"/>
        <v>9000</v>
      </c>
      <c r="E80" s="195"/>
      <c r="F80" s="192"/>
      <c r="G80" s="192"/>
      <c r="H80" s="192"/>
      <c r="I80" s="192"/>
      <c r="J80" s="192"/>
      <c r="K80" s="192"/>
      <c r="L80" s="192"/>
    </row>
    <row r="81" spans="1:12" hidden="1">
      <c r="A81" s="195" t="s">
        <v>2124</v>
      </c>
      <c r="B81" s="197">
        <v>1</v>
      </c>
      <c r="C81" s="197">
        <v>5000</v>
      </c>
      <c r="D81" s="197">
        <f t="shared" si="3"/>
        <v>5000</v>
      </c>
      <c r="E81" s="195"/>
      <c r="F81" s="192"/>
      <c r="G81" s="192"/>
      <c r="H81" s="192"/>
      <c r="I81" s="192"/>
      <c r="J81" s="192"/>
      <c r="K81" s="192"/>
      <c r="L81" s="192"/>
    </row>
    <row r="82" spans="1:12" hidden="1">
      <c r="A82" s="195" t="s">
        <v>2125</v>
      </c>
      <c r="B82" s="197">
        <v>1</v>
      </c>
      <c r="C82" s="197">
        <v>20000</v>
      </c>
      <c r="D82" s="197">
        <f t="shared" si="3"/>
        <v>20000</v>
      </c>
      <c r="E82" s="195"/>
      <c r="F82" s="192"/>
      <c r="G82" s="192"/>
      <c r="H82" s="192"/>
      <c r="I82" s="192"/>
      <c r="J82" s="192"/>
      <c r="K82" s="192"/>
      <c r="L82" s="192"/>
    </row>
    <row r="83" spans="1:12" hidden="1">
      <c r="A83" s="195"/>
      <c r="B83" s="197"/>
      <c r="C83" s="197"/>
      <c r="D83" s="197"/>
      <c r="E83" s="195"/>
      <c r="F83" s="192"/>
      <c r="G83" s="192"/>
      <c r="H83" s="192"/>
      <c r="I83" s="192"/>
      <c r="J83" s="192"/>
      <c r="K83" s="192"/>
      <c r="L83" s="192"/>
    </row>
    <row r="84" spans="1:12" ht="15.75" hidden="1">
      <c r="A84" s="196" t="s">
        <v>2126</v>
      </c>
      <c r="B84" s="201"/>
      <c r="C84" s="201"/>
      <c r="D84" s="212">
        <f>SUM(D76:D82)</f>
        <v>70000</v>
      </c>
      <c r="E84" s="195"/>
      <c r="F84" s="192"/>
      <c r="G84" s="192"/>
      <c r="H84" s="192"/>
      <c r="I84" s="192"/>
      <c r="J84" s="192"/>
      <c r="K84" s="192"/>
      <c r="L84" s="192"/>
    </row>
    <row r="85" spans="1:12" hidden="1">
      <c r="A85" s="195"/>
      <c r="B85" s="194"/>
      <c r="C85" s="194"/>
      <c r="D85" s="194"/>
      <c r="E85" s="195"/>
      <c r="F85" s="192"/>
      <c r="G85" s="192"/>
      <c r="H85" s="192"/>
      <c r="I85" s="192"/>
      <c r="J85" s="192"/>
      <c r="K85" s="192"/>
      <c r="L85" s="192"/>
    </row>
    <row r="86" spans="1:12" hidden="1">
      <c r="A86" s="195"/>
      <c r="B86" s="194"/>
      <c r="C86" s="194"/>
      <c r="D86" s="194"/>
      <c r="E86" s="195"/>
      <c r="F86" s="192"/>
      <c r="G86" s="192"/>
      <c r="H86" s="192"/>
      <c r="I86" s="192"/>
      <c r="J86" s="192"/>
      <c r="K86" s="192"/>
      <c r="L86" s="192"/>
    </row>
    <row r="87" spans="1:12" hidden="1">
      <c r="A87" s="195"/>
      <c r="B87" s="194"/>
      <c r="C87" s="194"/>
      <c r="D87" s="194"/>
      <c r="E87" s="195"/>
      <c r="F87" s="192"/>
      <c r="G87" s="192"/>
      <c r="H87" s="192"/>
      <c r="I87" s="192"/>
      <c r="J87" s="192"/>
      <c r="K87" s="192"/>
      <c r="L87" s="192"/>
    </row>
    <row r="88" spans="1:12" ht="15.75" hidden="1">
      <c r="A88" s="196" t="s">
        <v>2127</v>
      </c>
      <c r="B88" s="194" t="s">
        <v>2128</v>
      </c>
      <c r="C88" s="194"/>
      <c r="D88" s="194"/>
      <c r="E88" s="195"/>
      <c r="F88" s="192"/>
      <c r="G88" s="192"/>
      <c r="H88" s="192"/>
      <c r="I88" s="192"/>
      <c r="J88" s="192"/>
      <c r="K88" s="192"/>
      <c r="L88" s="192"/>
    </row>
    <row r="89" spans="1:12" hidden="1">
      <c r="A89" s="195" t="s">
        <v>2113</v>
      </c>
      <c r="B89" s="194">
        <v>1</v>
      </c>
      <c r="C89" s="198" t="s">
        <v>2129</v>
      </c>
      <c r="D89" s="194"/>
      <c r="E89" s="195"/>
      <c r="F89" s="192"/>
      <c r="G89" s="192"/>
      <c r="H89" s="192"/>
      <c r="I89" s="192"/>
      <c r="J89" s="192"/>
      <c r="K89" s="192"/>
      <c r="L89" s="192"/>
    </row>
    <row r="90" spans="1:12" hidden="1">
      <c r="A90" s="195" t="s">
        <v>2130</v>
      </c>
      <c r="B90" s="197">
        <v>8</v>
      </c>
      <c r="C90" s="198" t="s">
        <v>1809</v>
      </c>
      <c r="D90" s="197">
        <f>[12]precios!$E$23</f>
        <v>111.82499999999999</v>
      </c>
      <c r="E90" s="199">
        <f>D90*B90</f>
        <v>894.59999999999991</v>
      </c>
      <c r="F90" s="192"/>
      <c r="G90" s="192"/>
      <c r="H90" s="192"/>
      <c r="I90" s="192"/>
      <c r="J90" s="192"/>
      <c r="K90" s="192"/>
      <c r="L90" s="192"/>
    </row>
    <row r="91" spans="1:12" hidden="1">
      <c r="A91" s="195" t="s">
        <v>2131</v>
      </c>
      <c r="B91" s="197">
        <v>8</v>
      </c>
      <c r="C91" s="198" t="s">
        <v>1809</v>
      </c>
      <c r="D91" s="197">
        <f>[12]precios!$E$24</f>
        <v>89.424999999999997</v>
      </c>
      <c r="E91" s="199">
        <f>D91*B91</f>
        <v>715.4</v>
      </c>
      <c r="F91" s="192"/>
      <c r="G91" s="192"/>
      <c r="H91" s="192"/>
      <c r="I91" s="192"/>
      <c r="J91" s="192"/>
      <c r="K91" s="192"/>
      <c r="L91" s="192"/>
    </row>
    <row r="92" spans="1:12" hidden="1">
      <c r="A92" s="195" t="s">
        <v>2132</v>
      </c>
      <c r="B92" s="197">
        <v>16</v>
      </c>
      <c r="C92" s="198" t="s">
        <v>1809</v>
      </c>
      <c r="D92" s="197">
        <f>[12]precios!$E$13</f>
        <v>60.374999999999993</v>
      </c>
      <c r="E92" s="199">
        <f>D92*B92</f>
        <v>965.99999999999989</v>
      </c>
      <c r="F92" s="192"/>
      <c r="G92" s="192"/>
      <c r="H92" s="192"/>
      <c r="I92" s="192"/>
      <c r="J92" s="192"/>
      <c r="K92" s="192"/>
      <c r="L92" s="192"/>
    </row>
    <row r="93" spans="1:12" hidden="1">
      <c r="A93" s="195" t="s">
        <v>2133</v>
      </c>
      <c r="B93" s="197">
        <v>24</v>
      </c>
      <c r="C93" s="198" t="s">
        <v>1809</v>
      </c>
      <c r="D93" s="197">
        <f>[12]precios!$E$34</f>
        <v>46.999580360889638</v>
      </c>
      <c r="E93" s="199">
        <f>D93*B93</f>
        <v>1127.9899286613513</v>
      </c>
      <c r="F93" s="192"/>
      <c r="G93" s="192"/>
      <c r="H93" s="192"/>
      <c r="I93" s="192"/>
      <c r="J93" s="192"/>
      <c r="K93" s="192"/>
      <c r="L93" s="192"/>
    </row>
    <row r="94" spans="1:12" ht="15.75" hidden="1">
      <c r="A94" s="195"/>
      <c r="B94" s="194"/>
      <c r="C94" s="201" t="s">
        <v>2090</v>
      </c>
      <c r="D94" s="201"/>
      <c r="E94" s="202">
        <f>SUM(E90:E93)</f>
        <v>3703.9899286613513</v>
      </c>
      <c r="F94" s="192"/>
      <c r="G94" s="192"/>
      <c r="H94" s="192"/>
      <c r="I94" s="192"/>
      <c r="J94" s="192"/>
      <c r="K94" s="192"/>
      <c r="L94" s="192"/>
    </row>
    <row r="95" spans="1:12" ht="15.75" hidden="1">
      <c r="A95" s="195"/>
      <c r="B95" s="194"/>
      <c r="C95" s="201" t="s">
        <v>2134</v>
      </c>
      <c r="D95" s="201"/>
      <c r="E95" s="202">
        <f>E94/8</f>
        <v>462.99874108266891</v>
      </c>
      <c r="F95" s="192"/>
      <c r="G95" s="192"/>
      <c r="H95" s="192"/>
      <c r="I95" s="192"/>
      <c r="J95" s="192"/>
      <c r="K95" s="192"/>
      <c r="L95" s="192"/>
    </row>
    <row r="96" spans="1:12" ht="15.75" hidden="1">
      <c r="A96" s="196" t="s">
        <v>2135</v>
      </c>
      <c r="B96" s="194"/>
      <c r="C96" s="194"/>
      <c r="D96" s="194"/>
      <c r="E96" s="195"/>
      <c r="F96" s="192"/>
      <c r="G96" s="192"/>
      <c r="H96" s="192"/>
      <c r="I96" s="192"/>
      <c r="J96" s="192"/>
      <c r="K96" s="192"/>
      <c r="L96" s="192"/>
    </row>
    <row r="97" spans="1:12" hidden="1">
      <c r="A97" s="195"/>
      <c r="B97" s="194"/>
      <c r="C97" s="194"/>
      <c r="D97" s="194"/>
      <c r="E97" s="195"/>
      <c r="F97" s="192"/>
      <c r="G97" s="192"/>
      <c r="H97" s="192"/>
      <c r="I97" s="192"/>
      <c r="J97" s="192"/>
      <c r="K97" s="192"/>
      <c r="L97" s="192"/>
    </row>
    <row r="98" spans="1:12" hidden="1">
      <c r="A98" s="195" t="s">
        <v>2113</v>
      </c>
      <c r="B98" s="197">
        <v>1</v>
      </c>
      <c r="C98" s="194" t="s">
        <v>2114</v>
      </c>
      <c r="D98" s="194"/>
      <c r="E98" s="195"/>
      <c r="F98" s="192"/>
      <c r="G98" s="192"/>
      <c r="H98" s="192"/>
      <c r="I98" s="192"/>
      <c r="J98" s="192"/>
      <c r="K98" s="192"/>
      <c r="L98" s="192"/>
    </row>
    <row r="99" spans="1:12" hidden="1">
      <c r="A99" s="195"/>
      <c r="B99" s="194"/>
      <c r="C99" s="194"/>
      <c r="D99" s="194"/>
      <c r="E99" s="195"/>
      <c r="F99" s="192"/>
      <c r="G99" s="192"/>
      <c r="H99" s="192"/>
      <c r="I99" s="192"/>
      <c r="J99" s="192"/>
      <c r="K99" s="192"/>
      <c r="L99" s="192"/>
    </row>
    <row r="100" spans="1:12" ht="15.75" hidden="1">
      <c r="A100" s="193" t="s">
        <v>2115</v>
      </c>
      <c r="B100" s="206" t="s">
        <v>2116</v>
      </c>
      <c r="C100" s="206" t="s">
        <v>2117</v>
      </c>
      <c r="D100" s="206" t="s">
        <v>2118</v>
      </c>
      <c r="E100" s="195"/>
      <c r="F100" s="192"/>
      <c r="G100" s="192"/>
      <c r="H100" s="192"/>
      <c r="I100" s="192"/>
      <c r="J100" s="192"/>
      <c r="K100" s="192"/>
      <c r="L100" s="192"/>
    </row>
    <row r="101" spans="1:12" hidden="1">
      <c r="A101" s="195"/>
      <c r="B101" s="194"/>
      <c r="C101" s="194"/>
      <c r="D101" s="194"/>
      <c r="E101" s="195"/>
      <c r="F101" s="192"/>
      <c r="G101" s="192"/>
      <c r="H101" s="192"/>
      <c r="I101" s="192"/>
      <c r="J101" s="192"/>
      <c r="K101" s="192"/>
      <c r="L101" s="192"/>
    </row>
    <row r="102" spans="1:12" hidden="1">
      <c r="A102" s="195"/>
      <c r="B102" s="194"/>
      <c r="C102" s="194"/>
      <c r="D102" s="194"/>
      <c r="E102" s="195"/>
      <c r="F102" s="192"/>
      <c r="G102" s="192"/>
      <c r="H102" s="192"/>
      <c r="I102" s="192"/>
      <c r="J102" s="192"/>
      <c r="K102" s="192"/>
      <c r="L102" s="192"/>
    </row>
    <row r="103" spans="1:12" hidden="1">
      <c r="A103" s="195" t="s">
        <v>2136</v>
      </c>
      <c r="B103" s="194">
        <v>1</v>
      </c>
      <c r="C103" s="194">
        <v>60000</v>
      </c>
      <c r="D103" s="194">
        <f t="shared" ref="D103:D109" si="4">B103*C103</f>
        <v>60000</v>
      </c>
      <c r="E103" s="195"/>
      <c r="F103" s="192"/>
      <c r="G103" s="192"/>
      <c r="H103" s="192"/>
      <c r="I103" s="192"/>
      <c r="J103" s="192"/>
      <c r="K103" s="192"/>
      <c r="L103" s="192"/>
    </row>
    <row r="104" spans="1:12" hidden="1">
      <c r="A104" s="195" t="s">
        <v>2137</v>
      </c>
      <c r="B104" s="194">
        <v>2</v>
      </c>
      <c r="C104" s="194">
        <v>40000</v>
      </c>
      <c r="D104" s="194">
        <f t="shared" si="4"/>
        <v>80000</v>
      </c>
      <c r="E104" s="195"/>
      <c r="F104" s="192"/>
      <c r="G104" s="192"/>
      <c r="H104" s="192"/>
      <c r="I104" s="192"/>
      <c r="J104" s="192"/>
      <c r="K104" s="192"/>
      <c r="L104" s="192"/>
    </row>
    <row r="105" spans="1:12" hidden="1">
      <c r="A105" s="195" t="s">
        <v>2138</v>
      </c>
      <c r="B105" s="194">
        <v>1</v>
      </c>
      <c r="C105" s="194">
        <v>20000</v>
      </c>
      <c r="D105" s="194">
        <f t="shared" si="4"/>
        <v>20000</v>
      </c>
      <c r="E105" s="195"/>
      <c r="F105" s="192"/>
      <c r="G105" s="192"/>
      <c r="H105" s="192"/>
      <c r="I105" s="192"/>
      <c r="J105" s="192"/>
      <c r="K105" s="192"/>
      <c r="L105" s="192"/>
    </row>
    <row r="106" spans="1:12" hidden="1">
      <c r="A106" s="195" t="s">
        <v>2139</v>
      </c>
      <c r="B106" s="194">
        <v>1</v>
      </c>
      <c r="C106" s="194">
        <v>10000</v>
      </c>
      <c r="D106" s="194">
        <f t="shared" si="4"/>
        <v>10000</v>
      </c>
      <c r="E106" s="195"/>
      <c r="F106" s="192"/>
      <c r="G106" s="192"/>
      <c r="H106" s="192"/>
      <c r="I106" s="192"/>
      <c r="J106" s="192"/>
      <c r="K106" s="192"/>
      <c r="L106" s="192"/>
    </row>
    <row r="107" spans="1:12" hidden="1">
      <c r="A107" s="195" t="s">
        <v>2140</v>
      </c>
      <c r="B107" s="194">
        <v>1</v>
      </c>
      <c r="C107" s="194">
        <v>3500</v>
      </c>
      <c r="D107" s="194">
        <f t="shared" si="4"/>
        <v>3500</v>
      </c>
      <c r="E107" s="195"/>
      <c r="F107" s="192"/>
      <c r="G107" s="192"/>
      <c r="H107" s="192"/>
      <c r="I107" s="192"/>
      <c r="J107" s="192"/>
      <c r="K107" s="192"/>
      <c r="L107" s="192"/>
    </row>
    <row r="108" spans="1:12" hidden="1">
      <c r="A108" s="195" t="s">
        <v>2141</v>
      </c>
      <c r="B108" s="194">
        <v>2</v>
      </c>
      <c r="C108" s="194">
        <v>6500</v>
      </c>
      <c r="D108" s="194">
        <f t="shared" si="4"/>
        <v>13000</v>
      </c>
      <c r="E108" s="195"/>
      <c r="F108" s="192"/>
      <c r="G108" s="192"/>
      <c r="H108" s="192"/>
      <c r="I108" s="192"/>
      <c r="J108" s="192"/>
      <c r="K108" s="192"/>
      <c r="L108" s="192"/>
    </row>
    <row r="109" spans="1:12" hidden="1">
      <c r="A109" s="195" t="s">
        <v>2142</v>
      </c>
      <c r="B109" s="194">
        <v>1</v>
      </c>
      <c r="C109" s="194">
        <v>12500</v>
      </c>
      <c r="D109" s="194">
        <f t="shared" si="4"/>
        <v>12500</v>
      </c>
      <c r="E109" s="195"/>
      <c r="F109" s="192"/>
      <c r="G109" s="192"/>
      <c r="H109" s="192"/>
      <c r="I109" s="192"/>
      <c r="J109" s="192"/>
      <c r="K109" s="192"/>
      <c r="L109" s="192"/>
    </row>
    <row r="110" spans="1:12" hidden="1">
      <c r="A110" s="195"/>
      <c r="B110" s="194"/>
      <c r="C110" s="194"/>
      <c r="D110" s="194"/>
      <c r="E110" s="195"/>
      <c r="F110" s="192"/>
      <c r="G110" s="192"/>
      <c r="H110" s="192"/>
      <c r="I110" s="192"/>
      <c r="J110" s="192"/>
      <c r="K110" s="192"/>
      <c r="L110" s="192"/>
    </row>
    <row r="111" spans="1:12" ht="15.75" hidden="1">
      <c r="A111" s="196" t="s">
        <v>2143</v>
      </c>
      <c r="B111" s="194"/>
      <c r="C111" s="194"/>
      <c r="D111" s="201">
        <f>SUM(D103:D110)</f>
        <v>199000</v>
      </c>
      <c r="E111" s="195"/>
      <c r="F111" s="192"/>
      <c r="G111" s="192"/>
      <c r="H111" s="192"/>
      <c r="I111" s="192"/>
      <c r="J111" s="192"/>
      <c r="K111" s="192"/>
      <c r="L111" s="192"/>
    </row>
    <row r="112" spans="1:12" hidden="1">
      <c r="A112" s="195"/>
      <c r="B112" s="194"/>
      <c r="C112" s="194"/>
      <c r="D112" s="194"/>
      <c r="E112" s="195"/>
      <c r="F112" s="192"/>
      <c r="G112" s="192"/>
      <c r="H112" s="192"/>
      <c r="I112" s="192"/>
      <c r="J112" s="192"/>
      <c r="K112" s="192"/>
      <c r="L112" s="192"/>
    </row>
    <row r="113" spans="1:12">
      <c r="A113" s="195"/>
      <c r="B113" s="194"/>
      <c r="C113" s="194"/>
      <c r="D113" s="194"/>
      <c r="E113" s="195"/>
      <c r="F113" s="192"/>
      <c r="G113" s="192"/>
      <c r="H113" s="192"/>
      <c r="I113" s="192"/>
      <c r="J113" s="192"/>
      <c r="K113" s="192"/>
      <c r="L113" s="192"/>
    </row>
    <row r="114" spans="1:12" ht="15.75">
      <c r="A114" s="196" t="s">
        <v>2127</v>
      </c>
      <c r="B114" s="194"/>
      <c r="C114" s="194"/>
      <c r="D114" s="194"/>
      <c r="E114" s="195"/>
      <c r="F114" s="192"/>
      <c r="G114" s="192"/>
      <c r="H114" s="192"/>
      <c r="I114" s="192"/>
      <c r="J114" s="192"/>
      <c r="K114" s="192"/>
      <c r="L114" s="192"/>
    </row>
    <row r="115" spans="1:12">
      <c r="A115" s="195" t="s">
        <v>2113</v>
      </c>
      <c r="B115" s="194">
        <v>1</v>
      </c>
      <c r="C115" s="204" t="s">
        <v>2129</v>
      </c>
      <c r="D115" s="194"/>
      <c r="E115" s="195"/>
      <c r="F115" s="192"/>
      <c r="G115" s="192"/>
      <c r="H115" s="192"/>
      <c r="I115" s="192"/>
      <c r="J115" s="192"/>
      <c r="K115" s="192"/>
      <c r="L115" s="192"/>
    </row>
    <row r="116" spans="1:12">
      <c r="A116" s="195" t="s">
        <v>2130</v>
      </c>
      <c r="B116" s="197">
        <v>8</v>
      </c>
      <c r="C116" s="204" t="s">
        <v>1809</v>
      </c>
      <c r="D116" s="197">
        <f>+D36</f>
        <v>170.5</v>
      </c>
      <c r="E116" s="199">
        <f>ROUND(D116*B116,2)</f>
        <v>1364</v>
      </c>
      <c r="F116" s="192"/>
      <c r="G116" s="192"/>
      <c r="H116" s="192"/>
      <c r="I116" s="192"/>
      <c r="J116" s="192"/>
      <c r="K116" s="192"/>
      <c r="L116" s="192"/>
    </row>
    <row r="117" spans="1:12">
      <c r="A117" s="195" t="s">
        <v>2131</v>
      </c>
      <c r="B117" s="197">
        <v>8</v>
      </c>
      <c r="C117" s="204" t="s">
        <v>1809</v>
      </c>
      <c r="D117" s="197">
        <f>+D37</f>
        <v>136.44999999999999</v>
      </c>
      <c r="E117" s="199">
        <f>ROUND(D117*B117,2)</f>
        <v>1091.5999999999999</v>
      </c>
      <c r="F117" s="192"/>
      <c r="G117" s="192"/>
      <c r="H117" s="192"/>
      <c r="I117" s="192"/>
      <c r="J117" s="192"/>
      <c r="K117" s="192"/>
      <c r="L117" s="192"/>
    </row>
    <row r="118" spans="1:12">
      <c r="A118" s="195" t="s">
        <v>2132</v>
      </c>
      <c r="B118" s="197">
        <v>16</v>
      </c>
      <c r="C118" s="204" t="s">
        <v>1809</v>
      </c>
      <c r="D118" s="197">
        <f>+D38</f>
        <v>92.08</v>
      </c>
      <c r="E118" s="199">
        <f>ROUND(D118*B118,2)</f>
        <v>1473.28</v>
      </c>
      <c r="F118" s="192"/>
      <c r="G118" s="192"/>
      <c r="H118" s="192"/>
      <c r="I118" s="192"/>
      <c r="J118" s="192"/>
      <c r="K118" s="192"/>
      <c r="L118" s="192"/>
    </row>
    <row r="119" spans="1:12">
      <c r="A119" s="195" t="s">
        <v>2133</v>
      </c>
      <c r="B119" s="197">
        <v>24</v>
      </c>
      <c r="C119" s="204" t="s">
        <v>1809</v>
      </c>
      <c r="D119" s="197">
        <f>+D7</f>
        <v>71.58</v>
      </c>
      <c r="E119" s="199">
        <f>ROUND(D119*B119,2)</f>
        <v>1717.92</v>
      </c>
      <c r="F119" s="192"/>
      <c r="G119" s="192"/>
      <c r="H119" s="192"/>
      <c r="I119" s="192"/>
      <c r="J119" s="192"/>
      <c r="K119" s="192"/>
      <c r="L119" s="192"/>
    </row>
    <row r="120" spans="1:12">
      <c r="A120" s="195"/>
      <c r="B120" s="197"/>
      <c r="C120" s="198"/>
      <c r="D120" s="197"/>
      <c r="E120" s="199"/>
      <c r="F120" s="192"/>
      <c r="G120" s="192"/>
      <c r="H120" s="192"/>
      <c r="I120" s="192"/>
      <c r="J120" s="192"/>
      <c r="K120" s="192"/>
      <c r="L120" s="192"/>
    </row>
    <row r="121" spans="1:12" ht="15.75">
      <c r="A121" s="195"/>
      <c r="B121" s="194"/>
      <c r="C121" s="201" t="s">
        <v>2090</v>
      </c>
      <c r="D121" s="201"/>
      <c r="E121" s="202">
        <f>SUM(E116:E119)</f>
        <v>5646.8</v>
      </c>
      <c r="F121" s="192"/>
      <c r="G121" s="192"/>
      <c r="H121" s="192"/>
      <c r="I121" s="192"/>
      <c r="J121" s="192"/>
      <c r="K121" s="192"/>
      <c r="L121" s="192"/>
    </row>
    <row r="122" spans="1:12" ht="15.75">
      <c r="A122" s="195"/>
      <c r="B122" s="194"/>
      <c r="C122" s="201" t="s">
        <v>2134</v>
      </c>
      <c r="D122" s="201"/>
      <c r="E122" s="202">
        <f>ROUND(E121/8,2)</f>
        <v>705.85</v>
      </c>
      <c r="F122" s="192"/>
      <c r="G122" s="192"/>
      <c r="H122" s="192"/>
      <c r="I122" s="192"/>
      <c r="J122" s="192"/>
      <c r="K122" s="192"/>
      <c r="L122" s="192"/>
    </row>
    <row r="123" spans="1:12">
      <c r="A123" s="195"/>
      <c r="B123" s="194"/>
      <c r="C123" s="194"/>
      <c r="D123" s="194"/>
      <c r="E123" s="195"/>
      <c r="F123" s="192"/>
      <c r="G123" s="192"/>
      <c r="H123" s="192"/>
      <c r="I123" s="192"/>
      <c r="J123" s="192"/>
      <c r="K123" s="192"/>
      <c r="L123" s="192"/>
    </row>
    <row r="124" spans="1:12" ht="15.75">
      <c r="A124" s="205" t="s">
        <v>2144</v>
      </c>
      <c r="B124" s="194"/>
      <c r="C124" s="194"/>
      <c r="D124" s="194"/>
      <c r="E124" s="195"/>
      <c r="F124" s="192"/>
      <c r="G124" s="192"/>
      <c r="H124" s="192"/>
      <c r="I124" s="192"/>
      <c r="J124" s="192"/>
      <c r="K124" s="192"/>
      <c r="L124" s="192"/>
    </row>
    <row r="125" spans="1:12" ht="15.75">
      <c r="A125" s="195" t="s">
        <v>2115</v>
      </c>
      <c r="B125" s="201" t="s">
        <v>2068</v>
      </c>
      <c r="C125" s="206" t="s">
        <v>2069</v>
      </c>
      <c r="D125" s="201" t="s">
        <v>2070</v>
      </c>
      <c r="E125" s="196" t="s">
        <v>2071</v>
      </c>
      <c r="F125" s="192"/>
      <c r="G125" s="192"/>
      <c r="H125" s="192"/>
      <c r="I125" s="192"/>
      <c r="J125" s="192"/>
      <c r="K125" s="192"/>
      <c r="L125" s="192"/>
    </row>
    <row r="126" spans="1:12">
      <c r="A126" s="195" t="s">
        <v>2145</v>
      </c>
      <c r="B126" s="197">
        <v>5</v>
      </c>
      <c r="C126" s="198" t="s">
        <v>213</v>
      </c>
      <c r="D126" s="210">
        <v>145.44999999999999</v>
      </c>
      <c r="E126" s="194"/>
      <c r="F126" s="192"/>
      <c r="G126" s="192"/>
      <c r="H126" s="192"/>
      <c r="I126" s="192"/>
      <c r="J126" s="192"/>
      <c r="K126" s="192"/>
      <c r="L126" s="192"/>
    </row>
    <row r="127" spans="1:12">
      <c r="A127" s="195" t="s">
        <v>2146</v>
      </c>
      <c r="B127" s="197">
        <v>10</v>
      </c>
      <c r="C127" s="198" t="s">
        <v>213</v>
      </c>
      <c r="D127" s="197">
        <f>$E$122/B127</f>
        <v>70.585000000000008</v>
      </c>
      <c r="E127" s="194"/>
      <c r="F127" s="192"/>
      <c r="G127" s="192"/>
      <c r="H127" s="192"/>
      <c r="I127" s="192"/>
      <c r="J127" s="192"/>
      <c r="K127" s="192"/>
      <c r="L127" s="192"/>
    </row>
    <row r="128" spans="1:12">
      <c r="A128" s="195" t="s">
        <v>2147</v>
      </c>
      <c r="B128" s="197">
        <v>2.5</v>
      </c>
      <c r="C128" s="198" t="s">
        <v>825</v>
      </c>
      <c r="D128" s="197">
        <f>$E$122/B128</f>
        <v>282.34000000000003</v>
      </c>
      <c r="E128" s="194"/>
      <c r="F128" s="192"/>
      <c r="G128" s="192"/>
      <c r="H128" s="192"/>
      <c r="I128" s="192"/>
      <c r="J128" s="192"/>
      <c r="K128" s="192"/>
      <c r="L128" s="192"/>
    </row>
    <row r="129" spans="1:12">
      <c r="A129" s="195" t="s">
        <v>1170</v>
      </c>
      <c r="B129" s="197">
        <v>25</v>
      </c>
      <c r="C129" s="198" t="s">
        <v>1171</v>
      </c>
      <c r="D129" s="210">
        <f>ROUND($E$122/$B$129,2)</f>
        <v>28.23</v>
      </c>
      <c r="E129" s="194">
        <v>20</v>
      </c>
      <c r="F129" s="192"/>
      <c r="G129" s="192"/>
      <c r="H129" s="192"/>
      <c r="I129" s="192"/>
      <c r="J129" s="192"/>
      <c r="K129" s="192"/>
      <c r="L129" s="192"/>
    </row>
    <row r="130" spans="1:12">
      <c r="A130" s="195" t="s">
        <v>2148</v>
      </c>
      <c r="B130" s="197">
        <v>15</v>
      </c>
      <c r="C130" s="198" t="s">
        <v>1171</v>
      </c>
      <c r="D130" s="210">
        <f>ROUND($E$122/$B$130,2)</f>
        <v>47.06</v>
      </c>
      <c r="E130" s="194"/>
      <c r="F130" s="192"/>
      <c r="G130" s="192"/>
      <c r="H130" s="192"/>
      <c r="I130" s="192"/>
      <c r="J130" s="192"/>
      <c r="K130" s="192"/>
      <c r="L130" s="192"/>
    </row>
    <row r="131" spans="1:12">
      <c r="A131" s="195" t="s">
        <v>2149</v>
      </c>
      <c r="B131" s="197">
        <v>25</v>
      </c>
      <c r="C131" s="198" t="s">
        <v>213</v>
      </c>
      <c r="D131" s="210">
        <v>32.479999999999997</v>
      </c>
      <c r="E131" s="194"/>
      <c r="F131" s="192"/>
      <c r="G131" s="192"/>
      <c r="H131" s="192"/>
      <c r="I131" s="192"/>
      <c r="J131" s="192"/>
      <c r="K131" s="192"/>
      <c r="L131" s="192"/>
    </row>
    <row r="132" spans="1:12">
      <c r="A132" s="195" t="s">
        <v>2150</v>
      </c>
      <c r="B132" s="197">
        <v>11</v>
      </c>
      <c r="C132" s="198" t="s">
        <v>213</v>
      </c>
      <c r="D132" s="210">
        <f>$E$122/B132</f>
        <v>64.168181818181822</v>
      </c>
      <c r="E132" s="194"/>
      <c r="F132" s="192"/>
      <c r="G132" s="192"/>
      <c r="H132" s="192"/>
      <c r="I132" s="192"/>
      <c r="J132" s="192"/>
      <c r="K132" s="192"/>
      <c r="L132" s="192"/>
    </row>
    <row r="133" spans="1:12">
      <c r="A133" s="195" t="s">
        <v>2151</v>
      </c>
      <c r="B133" s="197">
        <v>4.4000000000000004</v>
      </c>
      <c r="C133" s="198" t="s">
        <v>213</v>
      </c>
      <c r="D133" s="210">
        <f>ROUND($E$122/$B$133,2)</f>
        <v>160.41999999999999</v>
      </c>
      <c r="E133" s="194">
        <v>108</v>
      </c>
      <c r="F133" s="192"/>
      <c r="G133" s="192"/>
      <c r="H133" s="192"/>
      <c r="I133" s="192"/>
      <c r="J133" s="192"/>
      <c r="K133" s="192"/>
      <c r="L133" s="192"/>
    </row>
    <row r="134" spans="1:12">
      <c r="A134" s="195" t="s">
        <v>2152</v>
      </c>
      <c r="B134" s="197">
        <v>1</v>
      </c>
      <c r="C134" s="198" t="s">
        <v>1333</v>
      </c>
      <c r="D134" s="210">
        <v>180</v>
      </c>
      <c r="E134" s="194"/>
      <c r="F134" s="192"/>
      <c r="G134" s="192"/>
      <c r="H134" s="192"/>
      <c r="I134" s="192"/>
      <c r="J134" s="192"/>
      <c r="K134" s="192"/>
      <c r="L134" s="192"/>
    </row>
    <row r="135" spans="1:12">
      <c r="A135" s="213" t="s">
        <v>2153</v>
      </c>
      <c r="B135" s="197">
        <v>1</v>
      </c>
      <c r="C135" s="198" t="s">
        <v>213</v>
      </c>
      <c r="D135" s="214">
        <v>378.7</v>
      </c>
      <c r="E135" s="194"/>
      <c r="F135" s="192"/>
      <c r="G135" s="192"/>
      <c r="H135" s="192"/>
      <c r="I135" s="192"/>
      <c r="J135" s="192"/>
      <c r="K135" s="192"/>
      <c r="L135" s="192"/>
    </row>
    <row r="136" spans="1:12">
      <c r="A136" s="195" t="s">
        <v>2154</v>
      </c>
      <c r="B136" s="197">
        <v>2.25</v>
      </c>
      <c r="C136" s="198" t="s">
        <v>213</v>
      </c>
      <c r="D136" s="197">
        <f>ROUND($E$122/$B$136,2)</f>
        <v>313.70999999999998</v>
      </c>
      <c r="E136" s="194"/>
      <c r="F136" s="192"/>
      <c r="G136" s="192"/>
      <c r="H136" s="192"/>
      <c r="I136" s="192"/>
      <c r="J136" s="192"/>
      <c r="K136" s="192"/>
      <c r="L136" s="192"/>
    </row>
    <row r="137" spans="1:12">
      <c r="A137" s="195" t="s">
        <v>2155</v>
      </c>
      <c r="B137" s="197">
        <v>5.5</v>
      </c>
      <c r="C137" s="198" t="s">
        <v>324</v>
      </c>
      <c r="D137" s="210">
        <v>17.739999999999998</v>
      </c>
      <c r="E137" s="194">
        <v>7</v>
      </c>
      <c r="F137" s="192"/>
      <c r="G137" s="192"/>
      <c r="H137" s="192"/>
      <c r="I137" s="192"/>
      <c r="J137" s="192"/>
      <c r="K137" s="192"/>
      <c r="L137" s="192"/>
    </row>
    <row r="138" spans="1:12">
      <c r="A138" s="195" t="s">
        <v>2156</v>
      </c>
      <c r="B138" s="197">
        <v>5.5</v>
      </c>
      <c r="C138" s="198" t="s">
        <v>324</v>
      </c>
      <c r="D138" s="210">
        <v>14.8</v>
      </c>
      <c r="E138" s="194">
        <v>7</v>
      </c>
      <c r="F138" s="192"/>
      <c r="G138" s="192"/>
      <c r="H138" s="192"/>
      <c r="I138" s="192"/>
      <c r="J138" s="192"/>
      <c r="K138" s="192"/>
      <c r="L138" s="192"/>
    </row>
    <row r="139" spans="1:12">
      <c r="A139" s="195" t="s">
        <v>2157</v>
      </c>
      <c r="B139" s="197">
        <v>5.5</v>
      </c>
      <c r="C139" s="198" t="s">
        <v>324</v>
      </c>
      <c r="D139" s="210">
        <v>16.39</v>
      </c>
      <c r="E139" s="194">
        <v>7</v>
      </c>
      <c r="F139" s="192"/>
      <c r="G139" s="192"/>
      <c r="H139" s="192"/>
      <c r="I139" s="192"/>
      <c r="J139" s="192"/>
      <c r="K139" s="192"/>
      <c r="L139" s="192"/>
    </row>
    <row r="140" spans="1:12">
      <c r="A140" s="195" t="s">
        <v>2158</v>
      </c>
      <c r="B140" s="197">
        <v>3.8</v>
      </c>
      <c r="C140" s="198" t="s">
        <v>213</v>
      </c>
      <c r="D140" s="197">
        <f>ROUND($E$122/$B$140,2)</f>
        <v>185.75</v>
      </c>
      <c r="E140" s="194"/>
      <c r="F140" s="192"/>
      <c r="G140" s="192"/>
      <c r="H140" s="192"/>
      <c r="I140" s="192"/>
      <c r="J140" s="192"/>
      <c r="K140" s="192"/>
      <c r="L140" s="192"/>
    </row>
    <row r="141" spans="1:12" hidden="1">
      <c r="A141" s="195" t="s">
        <v>2159</v>
      </c>
      <c r="B141" s="197">
        <v>0.5</v>
      </c>
      <c r="C141" s="198" t="s">
        <v>1017</v>
      </c>
      <c r="D141" s="197">
        <f>$E$122/B141</f>
        <v>1411.7</v>
      </c>
      <c r="E141" s="194"/>
      <c r="F141" s="192"/>
      <c r="G141" s="192"/>
      <c r="H141" s="192"/>
      <c r="I141" s="192"/>
      <c r="J141" s="192"/>
      <c r="K141" s="192"/>
      <c r="L141" s="192"/>
    </row>
    <row r="142" spans="1:12" hidden="1">
      <c r="A142" s="195" t="s">
        <v>2160</v>
      </c>
      <c r="B142" s="197">
        <v>0.5</v>
      </c>
      <c r="C142" s="198" t="s">
        <v>1017</v>
      </c>
      <c r="D142" s="197">
        <f>$E$122/B142</f>
        <v>1411.7</v>
      </c>
      <c r="E142" s="194"/>
      <c r="F142" s="192"/>
      <c r="G142" s="192"/>
      <c r="H142" s="192"/>
      <c r="I142" s="192"/>
      <c r="J142" s="192"/>
      <c r="K142" s="192"/>
      <c r="L142" s="192"/>
    </row>
    <row r="143" spans="1:12" hidden="1">
      <c r="A143" s="195" t="s">
        <v>2161</v>
      </c>
      <c r="B143" s="197">
        <v>0.2</v>
      </c>
      <c r="C143" s="198" t="s">
        <v>1017</v>
      </c>
      <c r="D143" s="197">
        <f>$E$122/B143</f>
        <v>3529.25</v>
      </c>
      <c r="E143" s="194"/>
      <c r="F143" s="192"/>
      <c r="G143" s="192"/>
      <c r="H143" s="192"/>
      <c r="I143" s="192"/>
      <c r="J143" s="192"/>
      <c r="K143" s="192"/>
      <c r="L143" s="192"/>
    </row>
    <row r="144" spans="1:12" hidden="1">
      <c r="A144" s="195" t="s">
        <v>2162</v>
      </c>
      <c r="B144" s="197">
        <v>0.8</v>
      </c>
      <c r="C144" s="198" t="s">
        <v>1017</v>
      </c>
      <c r="D144" s="197">
        <f>$E$122/B144</f>
        <v>882.3125</v>
      </c>
      <c r="E144" s="194"/>
      <c r="F144" s="192"/>
      <c r="G144" s="192"/>
      <c r="H144" s="192"/>
      <c r="I144" s="192"/>
      <c r="J144" s="192"/>
      <c r="K144" s="192"/>
      <c r="L144" s="192"/>
    </row>
    <row r="145" spans="1:12" hidden="1">
      <c r="A145" s="195" t="s">
        <v>1872</v>
      </c>
      <c r="B145" s="197">
        <v>7.5</v>
      </c>
      <c r="C145" s="198" t="s">
        <v>1171</v>
      </c>
      <c r="D145" s="197">
        <f>$E$122/B145</f>
        <v>94.11333333333333</v>
      </c>
      <c r="E145" s="194"/>
      <c r="F145" s="192"/>
      <c r="G145" s="192"/>
      <c r="H145" s="192"/>
      <c r="I145" s="192"/>
      <c r="J145" s="192"/>
      <c r="K145" s="192"/>
      <c r="L145" s="192"/>
    </row>
    <row r="146" spans="1:12">
      <c r="A146" s="195" t="s">
        <v>2163</v>
      </c>
      <c r="B146" s="197">
        <v>5</v>
      </c>
      <c r="C146" s="198" t="s">
        <v>1171</v>
      </c>
      <c r="D146" s="197">
        <f>ROUND($E$122/$B$146,2)</f>
        <v>141.16999999999999</v>
      </c>
      <c r="E146" s="194"/>
      <c r="F146" s="192"/>
      <c r="G146" s="192"/>
      <c r="H146" s="192"/>
      <c r="I146" s="192"/>
      <c r="J146" s="192"/>
      <c r="K146" s="192"/>
      <c r="L146" s="192"/>
    </row>
    <row r="147" spans="1:12" hidden="1">
      <c r="A147" s="195" t="s">
        <v>2164</v>
      </c>
      <c r="B147" s="197">
        <v>2.95</v>
      </c>
      <c r="C147" s="198" t="s">
        <v>1171</v>
      </c>
      <c r="D147" s="197">
        <f>$E$122/B147</f>
        <v>239.27118644067795</v>
      </c>
      <c r="E147" s="194"/>
      <c r="F147" s="192"/>
      <c r="G147" s="192"/>
      <c r="H147" s="192"/>
      <c r="I147" s="192"/>
      <c r="J147" s="192"/>
      <c r="K147" s="192"/>
      <c r="L147" s="192"/>
    </row>
    <row r="148" spans="1:12">
      <c r="A148" s="195" t="s">
        <v>2165</v>
      </c>
      <c r="B148" s="197">
        <v>2.5</v>
      </c>
      <c r="C148" s="198" t="s">
        <v>1171</v>
      </c>
      <c r="D148" s="210">
        <f>ROUND($E$122/$B$148,2)</f>
        <v>282.33999999999997</v>
      </c>
      <c r="E148" s="194"/>
      <c r="F148" s="192"/>
      <c r="G148" s="192"/>
      <c r="H148" s="192"/>
      <c r="I148" s="192"/>
      <c r="J148" s="192"/>
      <c r="K148" s="192"/>
      <c r="L148" s="192"/>
    </row>
    <row r="149" spans="1:12">
      <c r="A149" s="195" t="s">
        <v>2166</v>
      </c>
      <c r="B149" s="197">
        <v>5.5</v>
      </c>
      <c r="C149" s="198" t="s">
        <v>1171</v>
      </c>
      <c r="D149" s="197">
        <v>194.06</v>
      </c>
      <c r="E149" s="194"/>
      <c r="F149" s="192"/>
      <c r="G149" s="192"/>
      <c r="H149" s="192"/>
      <c r="I149" s="192"/>
      <c r="J149" s="192"/>
      <c r="K149" s="192"/>
      <c r="L149" s="192"/>
    </row>
    <row r="150" spans="1:12" hidden="1">
      <c r="A150" s="195" t="s">
        <v>2167</v>
      </c>
      <c r="B150" s="197">
        <v>2.75</v>
      </c>
      <c r="C150" s="198" t="s">
        <v>1171</v>
      </c>
      <c r="D150" s="197">
        <f>$E$122/B150</f>
        <v>256.67272727272729</v>
      </c>
      <c r="E150" s="194"/>
      <c r="F150" s="192"/>
      <c r="G150" s="192"/>
      <c r="H150" s="192"/>
      <c r="I150" s="192"/>
      <c r="J150" s="192"/>
      <c r="K150" s="192"/>
      <c r="L150" s="192"/>
    </row>
    <row r="151" spans="1:12" hidden="1">
      <c r="A151" s="195" t="s">
        <v>2168</v>
      </c>
      <c r="B151" s="197">
        <v>12</v>
      </c>
      <c r="C151" s="198" t="s">
        <v>1171</v>
      </c>
      <c r="D151" s="197">
        <f>$E$122/B151</f>
        <v>58.820833333333333</v>
      </c>
      <c r="E151" s="194"/>
      <c r="F151" s="192"/>
      <c r="G151" s="192"/>
      <c r="H151" s="192"/>
      <c r="I151" s="192"/>
      <c r="J151" s="192"/>
      <c r="K151" s="192"/>
      <c r="L151" s="192"/>
    </row>
    <row r="152" spans="1:12" hidden="1">
      <c r="A152" s="195" t="s">
        <v>2169</v>
      </c>
      <c r="B152" s="197">
        <v>5</v>
      </c>
      <c r="C152" s="198" t="s">
        <v>213</v>
      </c>
      <c r="D152" s="197">
        <f>$E$122/B152</f>
        <v>141.17000000000002</v>
      </c>
      <c r="E152" s="194"/>
      <c r="F152" s="192"/>
      <c r="G152" s="192"/>
      <c r="H152" s="192"/>
      <c r="I152" s="192"/>
      <c r="J152" s="192"/>
      <c r="K152" s="192"/>
      <c r="L152" s="192"/>
    </row>
    <row r="153" spans="1:12">
      <c r="A153" s="195" t="s">
        <v>2170</v>
      </c>
      <c r="B153" s="197">
        <v>5.4</v>
      </c>
      <c r="C153" s="198" t="s">
        <v>213</v>
      </c>
      <c r="D153" s="210">
        <f>ROUND($E$122/$B$153,2)</f>
        <v>130.71</v>
      </c>
      <c r="E153" s="194">
        <v>13</v>
      </c>
      <c r="F153" s="192"/>
      <c r="G153" s="192"/>
      <c r="H153" s="192"/>
      <c r="I153" s="192"/>
      <c r="J153" s="192"/>
      <c r="K153" s="192"/>
      <c r="L153" s="192"/>
    </row>
    <row r="154" spans="1:12">
      <c r="A154" s="195" t="s">
        <v>2171</v>
      </c>
      <c r="B154" s="197">
        <v>5</v>
      </c>
      <c r="C154" s="198" t="s">
        <v>213</v>
      </c>
      <c r="D154" s="197">
        <f t="shared" ref="D154:D159" si="5">ROUND($E$122/$B$154,2)</f>
        <v>141.16999999999999</v>
      </c>
      <c r="E154" s="194"/>
      <c r="F154" s="192"/>
      <c r="G154" s="192"/>
      <c r="H154" s="192"/>
      <c r="I154" s="192"/>
      <c r="J154" s="192"/>
      <c r="K154" s="192"/>
      <c r="L154" s="192"/>
    </row>
    <row r="155" spans="1:12" hidden="1">
      <c r="A155" s="195" t="s">
        <v>2172</v>
      </c>
      <c r="B155" s="197">
        <v>10</v>
      </c>
      <c r="C155" s="198" t="s">
        <v>1171</v>
      </c>
      <c r="D155" s="197">
        <f t="shared" si="5"/>
        <v>141.16999999999999</v>
      </c>
      <c r="E155" s="194"/>
      <c r="F155" s="192"/>
      <c r="G155" s="192"/>
      <c r="H155" s="192"/>
      <c r="I155" s="192"/>
      <c r="J155" s="192"/>
      <c r="K155" s="192"/>
      <c r="L155" s="192"/>
    </row>
    <row r="156" spans="1:12" hidden="1">
      <c r="A156" s="195" t="s">
        <v>2173</v>
      </c>
      <c r="B156" s="197">
        <v>15</v>
      </c>
      <c r="C156" s="198" t="s">
        <v>1171</v>
      </c>
      <c r="D156" s="197">
        <f t="shared" si="5"/>
        <v>141.16999999999999</v>
      </c>
      <c r="E156" s="194"/>
      <c r="F156" s="192"/>
      <c r="G156" s="192"/>
      <c r="H156" s="192"/>
      <c r="I156" s="192"/>
      <c r="J156" s="192"/>
      <c r="K156" s="192"/>
      <c r="L156" s="192"/>
    </row>
    <row r="157" spans="1:12" hidden="1">
      <c r="A157" s="195" t="s">
        <v>2174</v>
      </c>
      <c r="B157" s="197">
        <v>2.23</v>
      </c>
      <c r="C157" s="198" t="s">
        <v>213</v>
      </c>
      <c r="D157" s="197">
        <f t="shared" si="5"/>
        <v>141.16999999999999</v>
      </c>
      <c r="E157" s="194"/>
      <c r="F157" s="192"/>
      <c r="G157" s="192"/>
      <c r="H157" s="192"/>
      <c r="I157" s="192"/>
      <c r="J157" s="192"/>
      <c r="K157" s="192"/>
      <c r="L157" s="192"/>
    </row>
    <row r="158" spans="1:12" hidden="1">
      <c r="A158" s="195" t="s">
        <v>2175</v>
      </c>
      <c r="B158" s="197">
        <v>2.1</v>
      </c>
      <c r="C158" s="198" t="s">
        <v>213</v>
      </c>
      <c r="D158" s="197">
        <f t="shared" si="5"/>
        <v>141.16999999999999</v>
      </c>
      <c r="E158" s="194"/>
      <c r="F158" s="192"/>
      <c r="G158" s="192"/>
      <c r="H158" s="192"/>
      <c r="I158" s="192"/>
      <c r="J158" s="192"/>
      <c r="K158" s="192"/>
      <c r="L158" s="192"/>
    </row>
    <row r="159" spans="1:12" hidden="1">
      <c r="A159" s="195" t="s">
        <v>2176</v>
      </c>
      <c r="B159" s="197">
        <v>3.5</v>
      </c>
      <c r="C159" s="198" t="s">
        <v>213</v>
      </c>
      <c r="D159" s="197">
        <f t="shared" si="5"/>
        <v>141.16999999999999</v>
      </c>
      <c r="E159" s="194"/>
      <c r="F159" s="192"/>
      <c r="G159" s="192"/>
      <c r="H159" s="192"/>
      <c r="I159" s="192"/>
      <c r="J159" s="192"/>
      <c r="K159" s="192"/>
      <c r="L159" s="192"/>
    </row>
    <row r="160" spans="1:12">
      <c r="A160" s="195" t="s">
        <v>2177</v>
      </c>
      <c r="B160" s="197">
        <v>2</v>
      </c>
      <c r="C160" s="198" t="s">
        <v>213</v>
      </c>
      <c r="D160" s="197">
        <f>ROUND($E$122/$B$160,2)</f>
        <v>352.93</v>
      </c>
      <c r="E160" s="194"/>
      <c r="F160" s="192"/>
      <c r="G160" s="192"/>
      <c r="H160" s="192"/>
      <c r="I160" s="192"/>
      <c r="J160" s="192"/>
      <c r="K160" s="192"/>
      <c r="L160" s="192"/>
    </row>
    <row r="161" spans="1:12" hidden="1">
      <c r="A161" s="195" t="s">
        <v>2178</v>
      </c>
      <c r="B161" s="197">
        <v>2.1</v>
      </c>
      <c r="C161" s="198" t="s">
        <v>213</v>
      </c>
      <c r="D161" s="197">
        <f t="shared" ref="D161:D196" si="6">$E$122/B161</f>
        <v>336.11904761904759</v>
      </c>
      <c r="E161" s="194"/>
      <c r="F161" s="192"/>
      <c r="G161" s="192"/>
      <c r="H161" s="192"/>
      <c r="I161" s="192"/>
      <c r="J161" s="192"/>
      <c r="K161" s="192"/>
      <c r="L161" s="192"/>
    </row>
    <row r="162" spans="1:12" hidden="1">
      <c r="A162" s="195" t="s">
        <v>2179</v>
      </c>
      <c r="B162" s="197">
        <v>2.5</v>
      </c>
      <c r="C162" s="198" t="s">
        <v>213</v>
      </c>
      <c r="D162" s="197">
        <f t="shared" si="6"/>
        <v>282.34000000000003</v>
      </c>
      <c r="E162" s="194"/>
      <c r="F162" s="192"/>
      <c r="G162" s="192"/>
      <c r="H162" s="192"/>
      <c r="I162" s="192"/>
      <c r="J162" s="192"/>
      <c r="K162" s="192"/>
      <c r="L162" s="192"/>
    </row>
    <row r="163" spans="1:12">
      <c r="A163" s="195" t="s">
        <v>2180</v>
      </c>
      <c r="B163" s="197">
        <v>2.1</v>
      </c>
      <c r="C163" s="198" t="s">
        <v>213</v>
      </c>
      <c r="D163" s="197">
        <f>ROUND($E$122/$B$163,2)</f>
        <v>336.12</v>
      </c>
      <c r="E163" s="194"/>
      <c r="F163" s="192"/>
      <c r="G163" s="192"/>
      <c r="H163" s="192"/>
      <c r="I163" s="192"/>
      <c r="J163" s="192"/>
      <c r="K163" s="192"/>
      <c r="L163" s="192"/>
    </row>
    <row r="164" spans="1:12" hidden="1">
      <c r="A164" s="195" t="s">
        <v>2181</v>
      </c>
      <c r="B164" s="197">
        <v>4</v>
      </c>
      <c r="C164" s="198" t="s">
        <v>213</v>
      </c>
      <c r="D164" s="197">
        <f t="shared" si="6"/>
        <v>176.46250000000001</v>
      </c>
      <c r="E164" s="194"/>
      <c r="F164" s="192"/>
      <c r="G164" s="192"/>
      <c r="H164" s="192"/>
      <c r="I164" s="192"/>
      <c r="J164" s="192"/>
      <c r="K164" s="192"/>
      <c r="L164" s="192"/>
    </row>
    <row r="165" spans="1:12" hidden="1">
      <c r="A165" s="195" t="s">
        <v>2182</v>
      </c>
      <c r="B165" s="197">
        <v>8</v>
      </c>
      <c r="C165" s="198" t="s">
        <v>1017</v>
      </c>
      <c r="D165" s="197">
        <f t="shared" si="6"/>
        <v>88.231250000000003</v>
      </c>
      <c r="E165" s="194"/>
      <c r="F165" s="192"/>
      <c r="G165" s="192"/>
      <c r="H165" s="192"/>
      <c r="I165" s="192"/>
      <c r="J165" s="192"/>
      <c r="K165" s="192"/>
      <c r="L165" s="192"/>
    </row>
    <row r="166" spans="1:12" hidden="1">
      <c r="A166" s="195" t="s">
        <v>2183</v>
      </c>
      <c r="B166" s="197">
        <v>7</v>
      </c>
      <c r="C166" s="198" t="s">
        <v>1171</v>
      </c>
      <c r="D166" s="197">
        <f t="shared" si="6"/>
        <v>100.83571428571429</v>
      </c>
      <c r="E166" s="194"/>
      <c r="F166" s="192"/>
      <c r="G166" s="192"/>
      <c r="H166" s="192"/>
      <c r="I166" s="192"/>
      <c r="J166" s="192"/>
      <c r="K166" s="192"/>
      <c r="L166" s="192"/>
    </row>
    <row r="167" spans="1:12" hidden="1">
      <c r="A167" s="195" t="s">
        <v>2184</v>
      </c>
      <c r="B167" s="197">
        <v>5.5</v>
      </c>
      <c r="C167" s="198" t="s">
        <v>213</v>
      </c>
      <c r="D167" s="197">
        <f t="shared" si="6"/>
        <v>128.33636363636364</v>
      </c>
      <c r="E167" s="194"/>
      <c r="F167" s="192"/>
      <c r="G167" s="192"/>
      <c r="H167" s="192"/>
      <c r="I167" s="192"/>
      <c r="J167" s="192"/>
      <c r="K167" s="192"/>
      <c r="L167" s="192"/>
    </row>
    <row r="168" spans="1:12" hidden="1">
      <c r="A168" s="195" t="s">
        <v>2185</v>
      </c>
      <c r="B168" s="197">
        <v>1.75</v>
      </c>
      <c r="C168" s="198" t="s">
        <v>213</v>
      </c>
      <c r="D168" s="197">
        <f t="shared" si="6"/>
        <v>403.34285714285716</v>
      </c>
      <c r="E168" s="194"/>
      <c r="F168" s="192"/>
      <c r="G168" s="192"/>
      <c r="H168" s="192"/>
      <c r="I168" s="192"/>
      <c r="J168" s="192"/>
      <c r="K168" s="192"/>
      <c r="L168" s="192"/>
    </row>
    <row r="169" spans="1:12" hidden="1">
      <c r="A169" s="195" t="s">
        <v>2186</v>
      </c>
      <c r="B169" s="197">
        <v>1.65</v>
      </c>
      <c r="C169" s="198" t="s">
        <v>213</v>
      </c>
      <c r="D169" s="197">
        <f t="shared" si="6"/>
        <v>427.78787878787881</v>
      </c>
      <c r="E169" s="194"/>
      <c r="F169" s="192"/>
      <c r="G169" s="192"/>
      <c r="H169" s="192"/>
      <c r="I169" s="192"/>
      <c r="J169" s="192"/>
      <c r="K169" s="192"/>
      <c r="L169" s="192"/>
    </row>
    <row r="170" spans="1:12" hidden="1">
      <c r="A170" s="195" t="s">
        <v>2187</v>
      </c>
      <c r="B170" s="197">
        <v>25</v>
      </c>
      <c r="C170" s="198" t="s">
        <v>213</v>
      </c>
      <c r="D170" s="197">
        <f t="shared" si="6"/>
        <v>28.234000000000002</v>
      </c>
      <c r="E170" s="194"/>
      <c r="F170" s="192"/>
      <c r="G170" s="192"/>
      <c r="H170" s="192"/>
      <c r="I170" s="192"/>
      <c r="J170" s="192"/>
      <c r="K170" s="192"/>
      <c r="L170" s="192"/>
    </row>
    <row r="171" spans="1:12">
      <c r="A171" s="195" t="s">
        <v>2188</v>
      </c>
      <c r="B171" s="197">
        <v>10</v>
      </c>
      <c r="C171" s="198" t="s">
        <v>213</v>
      </c>
      <c r="D171" s="210">
        <f>ROUND($E$122/$B$171,2)</f>
        <v>70.59</v>
      </c>
      <c r="E171" s="194">
        <v>47</v>
      </c>
      <c r="F171" s="192"/>
      <c r="G171" s="192"/>
      <c r="H171" s="192"/>
      <c r="I171" s="192"/>
      <c r="J171" s="192"/>
      <c r="K171" s="192"/>
      <c r="L171" s="192"/>
    </row>
    <row r="172" spans="1:12">
      <c r="A172" s="195" t="s">
        <v>2189</v>
      </c>
      <c r="B172" s="197">
        <v>10</v>
      </c>
      <c r="C172" s="198" t="s">
        <v>213</v>
      </c>
      <c r="D172" s="210">
        <f>ROUND($E$122/$B$172,2)</f>
        <v>70.59</v>
      </c>
      <c r="E172" s="194">
        <v>47</v>
      </c>
      <c r="F172" s="192"/>
      <c r="G172" s="192"/>
      <c r="H172" s="192"/>
      <c r="I172" s="192"/>
      <c r="J172" s="192"/>
      <c r="K172" s="192"/>
      <c r="L172" s="192"/>
    </row>
    <row r="173" spans="1:12">
      <c r="A173" s="195" t="s">
        <v>2190</v>
      </c>
      <c r="B173" s="197">
        <v>4.5</v>
      </c>
      <c r="C173" s="198" t="s">
        <v>213</v>
      </c>
      <c r="D173" s="210">
        <f>ROUND($E$122/$B$173,2)</f>
        <v>156.86000000000001</v>
      </c>
      <c r="E173" s="194"/>
      <c r="F173" s="192"/>
      <c r="G173" s="192"/>
      <c r="H173" s="192"/>
      <c r="I173" s="192"/>
      <c r="J173" s="192"/>
      <c r="K173" s="192"/>
      <c r="L173" s="192"/>
    </row>
    <row r="174" spans="1:12">
      <c r="A174" s="213" t="s">
        <v>2191</v>
      </c>
      <c r="B174" s="197">
        <v>7</v>
      </c>
      <c r="C174" s="198" t="s">
        <v>213</v>
      </c>
      <c r="D174" s="214">
        <v>154</v>
      </c>
      <c r="E174" s="194"/>
      <c r="F174" s="192"/>
      <c r="G174" s="192"/>
      <c r="H174" s="192"/>
      <c r="I174" s="192"/>
      <c r="J174" s="192"/>
      <c r="K174" s="192"/>
      <c r="L174" s="192"/>
    </row>
    <row r="175" spans="1:12">
      <c r="A175" s="195" t="s">
        <v>2192</v>
      </c>
      <c r="B175" s="197">
        <v>3.5</v>
      </c>
      <c r="C175" s="198" t="s">
        <v>213</v>
      </c>
      <c r="D175" s="197">
        <f t="shared" si="6"/>
        <v>201.67142857142858</v>
      </c>
      <c r="E175" s="194"/>
      <c r="F175" s="192"/>
      <c r="G175" s="192"/>
      <c r="H175" s="192"/>
      <c r="I175" s="192"/>
      <c r="J175" s="192"/>
      <c r="K175" s="192"/>
      <c r="L175" s="192"/>
    </row>
    <row r="176" spans="1:12">
      <c r="A176" s="195" t="s">
        <v>2193</v>
      </c>
      <c r="B176" s="197">
        <v>3.5</v>
      </c>
      <c r="C176" s="198" t="s">
        <v>213</v>
      </c>
      <c r="D176" s="197">
        <f t="shared" si="6"/>
        <v>201.67142857142858</v>
      </c>
      <c r="E176" s="194"/>
      <c r="F176" s="192"/>
      <c r="G176" s="192"/>
      <c r="H176" s="192"/>
      <c r="I176" s="192"/>
      <c r="J176" s="192"/>
      <c r="K176" s="192"/>
      <c r="L176" s="192"/>
    </row>
    <row r="177" spans="1:12">
      <c r="A177" s="195" t="s">
        <v>2194</v>
      </c>
      <c r="B177" s="197">
        <v>2</v>
      </c>
      <c r="C177" s="198" t="s">
        <v>213</v>
      </c>
      <c r="D177" s="197">
        <f t="shared" si="6"/>
        <v>352.92500000000001</v>
      </c>
      <c r="E177" s="194"/>
      <c r="F177" s="192"/>
      <c r="G177" s="192"/>
      <c r="H177" s="192"/>
      <c r="I177" s="192"/>
      <c r="J177" s="192"/>
      <c r="K177" s="192"/>
      <c r="L177" s="192"/>
    </row>
    <row r="178" spans="1:12">
      <c r="A178" s="195" t="s">
        <v>2145</v>
      </c>
      <c r="B178" s="197">
        <v>5</v>
      </c>
      <c r="C178" s="198" t="s">
        <v>213</v>
      </c>
      <c r="D178" s="197">
        <v>145.44999999999999</v>
      </c>
      <c r="E178" s="194"/>
      <c r="F178" s="192"/>
      <c r="G178" s="192"/>
      <c r="H178" s="192"/>
      <c r="I178" s="192"/>
      <c r="J178" s="192"/>
      <c r="K178" s="192"/>
      <c r="L178" s="192"/>
    </row>
    <row r="179" spans="1:12">
      <c r="A179" s="195" t="s">
        <v>2195</v>
      </c>
      <c r="B179" s="197">
        <v>4.5</v>
      </c>
      <c r="C179" s="198" t="s">
        <v>213</v>
      </c>
      <c r="D179" s="210">
        <f>ROUND($E$122/$B$179,2)</f>
        <v>156.86000000000001</v>
      </c>
      <c r="E179" s="194"/>
      <c r="F179" s="192"/>
      <c r="G179" s="192"/>
      <c r="H179" s="192"/>
      <c r="I179" s="192"/>
      <c r="J179" s="192"/>
      <c r="K179" s="192"/>
      <c r="L179" s="192"/>
    </row>
    <row r="180" spans="1:12">
      <c r="A180" s="195" t="s">
        <v>2196</v>
      </c>
      <c r="B180" s="197">
        <v>5</v>
      </c>
      <c r="C180" s="198" t="s">
        <v>213</v>
      </c>
      <c r="D180" s="210">
        <f>ROUND($E$122/$B$180,2)</f>
        <v>141.16999999999999</v>
      </c>
      <c r="E180" s="194"/>
      <c r="F180" s="192"/>
      <c r="G180" s="192"/>
      <c r="H180" s="192"/>
      <c r="I180" s="192"/>
      <c r="J180" s="192"/>
      <c r="K180" s="192"/>
      <c r="L180" s="192"/>
    </row>
    <row r="181" spans="1:12">
      <c r="A181" s="195" t="s">
        <v>2197</v>
      </c>
      <c r="B181" s="197">
        <v>5.25</v>
      </c>
      <c r="C181" s="198" t="s">
        <v>213</v>
      </c>
      <c r="D181" s="197">
        <f t="shared" si="6"/>
        <v>134.44761904761904</v>
      </c>
      <c r="E181" s="194"/>
      <c r="F181" s="192"/>
      <c r="G181" s="192"/>
      <c r="H181" s="192"/>
      <c r="I181" s="192"/>
      <c r="J181" s="192"/>
      <c r="K181" s="192"/>
      <c r="L181" s="192"/>
    </row>
    <row r="182" spans="1:12">
      <c r="A182" s="195" t="s">
        <v>2198</v>
      </c>
      <c r="B182" s="197">
        <v>7.5</v>
      </c>
      <c r="C182" s="198" t="s">
        <v>1171</v>
      </c>
      <c r="D182" s="197">
        <f>ROUND($E$122/B182,2)</f>
        <v>94.11</v>
      </c>
      <c r="E182" s="194"/>
      <c r="F182" s="192"/>
      <c r="G182" s="192"/>
      <c r="H182" s="192"/>
      <c r="I182" s="192"/>
      <c r="J182" s="192"/>
      <c r="K182" s="192"/>
      <c r="L182" s="192"/>
    </row>
    <row r="183" spans="1:12" hidden="1">
      <c r="A183" s="195" t="s">
        <v>2199</v>
      </c>
      <c r="B183" s="197">
        <v>10</v>
      </c>
      <c r="C183" s="198" t="s">
        <v>1171</v>
      </c>
      <c r="D183" s="197">
        <f t="shared" si="6"/>
        <v>70.585000000000008</v>
      </c>
      <c r="E183" s="194"/>
      <c r="F183" s="192"/>
      <c r="G183" s="192"/>
      <c r="H183" s="192"/>
      <c r="I183" s="192"/>
      <c r="J183" s="192"/>
      <c r="K183" s="192"/>
      <c r="L183" s="192"/>
    </row>
    <row r="184" spans="1:12" hidden="1">
      <c r="A184" s="195" t="s">
        <v>2200</v>
      </c>
      <c r="B184" s="197">
        <v>6.15</v>
      </c>
      <c r="C184" s="198" t="s">
        <v>213</v>
      </c>
      <c r="D184" s="197">
        <f t="shared" si="6"/>
        <v>114.77235772357723</v>
      </c>
      <c r="E184" s="194"/>
      <c r="F184" s="192"/>
      <c r="G184" s="192"/>
      <c r="H184" s="192"/>
      <c r="I184" s="192"/>
      <c r="J184" s="192"/>
      <c r="K184" s="192"/>
      <c r="L184" s="192"/>
    </row>
    <row r="185" spans="1:12" hidden="1">
      <c r="A185" s="195" t="s">
        <v>2201</v>
      </c>
      <c r="B185" s="197">
        <v>6</v>
      </c>
      <c r="C185" s="198" t="s">
        <v>213</v>
      </c>
      <c r="D185" s="197">
        <f t="shared" si="6"/>
        <v>117.64166666666667</v>
      </c>
      <c r="E185" s="194"/>
      <c r="F185" s="192"/>
      <c r="G185" s="192"/>
      <c r="H185" s="192"/>
      <c r="I185" s="192"/>
      <c r="J185" s="192"/>
      <c r="K185" s="192"/>
      <c r="L185" s="192"/>
    </row>
    <row r="186" spans="1:12">
      <c r="A186" s="195" t="s">
        <v>2202</v>
      </c>
      <c r="B186" s="197">
        <v>35</v>
      </c>
      <c r="C186" s="198" t="s">
        <v>213</v>
      </c>
      <c r="D186" s="197">
        <f>ROUND($E$122/$B$186,2)</f>
        <v>20.170000000000002</v>
      </c>
      <c r="E186" s="194"/>
      <c r="F186" s="192"/>
      <c r="G186" s="192"/>
      <c r="H186" s="192"/>
      <c r="I186" s="192"/>
      <c r="J186" s="192"/>
      <c r="K186" s="192"/>
      <c r="L186" s="192"/>
    </row>
    <row r="187" spans="1:12">
      <c r="A187" s="195" t="s">
        <v>2203</v>
      </c>
      <c r="B187" s="197">
        <v>8.5</v>
      </c>
      <c r="C187" s="198" t="s">
        <v>213</v>
      </c>
      <c r="D187" s="197">
        <f>ROUND($E$122/$B$187,2)</f>
        <v>83.04</v>
      </c>
      <c r="E187" s="194"/>
      <c r="F187" s="192"/>
      <c r="G187" s="192"/>
      <c r="H187" s="192"/>
      <c r="I187" s="192"/>
      <c r="J187" s="192"/>
      <c r="K187" s="192"/>
      <c r="L187" s="192"/>
    </row>
    <row r="188" spans="1:12" ht="13.5" hidden="1" customHeight="1">
      <c r="A188" s="195" t="s">
        <v>883</v>
      </c>
      <c r="B188" s="197">
        <v>55</v>
      </c>
      <c r="C188" s="198" t="s">
        <v>1171</v>
      </c>
      <c r="D188" s="197">
        <f t="shared" si="6"/>
        <v>12.833636363636364</v>
      </c>
      <c r="E188" s="194"/>
      <c r="F188" s="192"/>
      <c r="G188" s="192"/>
      <c r="H188" s="192"/>
      <c r="I188" s="192"/>
      <c r="J188" s="192"/>
      <c r="K188" s="192"/>
      <c r="L188" s="192"/>
    </row>
    <row r="189" spans="1:12">
      <c r="A189" s="195" t="s">
        <v>2204</v>
      </c>
      <c r="B189" s="197">
        <v>25</v>
      </c>
      <c r="C189" s="198" t="s">
        <v>1171</v>
      </c>
      <c r="D189" s="210">
        <f>ROUND($E$122/$B$189,2)</f>
        <v>28.23</v>
      </c>
      <c r="E189" s="194">
        <v>25</v>
      </c>
      <c r="F189" s="192"/>
      <c r="G189" s="192"/>
      <c r="H189" s="192"/>
      <c r="I189" s="192"/>
      <c r="J189" s="192"/>
      <c r="K189" s="192"/>
      <c r="L189" s="192"/>
    </row>
    <row r="190" spans="1:12">
      <c r="A190" s="195" t="s">
        <v>2205</v>
      </c>
      <c r="B190" s="197">
        <v>15</v>
      </c>
      <c r="C190" s="198" t="s">
        <v>1171</v>
      </c>
      <c r="D190" s="197">
        <f>ROUND($E$122/$B$190,2)</f>
        <v>47.06</v>
      </c>
      <c r="E190" s="194">
        <v>25</v>
      </c>
      <c r="F190" s="192"/>
      <c r="G190" s="192"/>
      <c r="H190" s="192"/>
      <c r="I190" s="192"/>
      <c r="J190" s="192"/>
      <c r="K190" s="192"/>
      <c r="L190" s="192"/>
    </row>
    <row r="191" spans="1:12">
      <c r="A191" s="195" t="s">
        <v>2206</v>
      </c>
      <c r="B191" s="197">
        <v>10</v>
      </c>
      <c r="C191" s="198" t="s">
        <v>1171</v>
      </c>
      <c r="D191" s="197">
        <f>ROUND($E$122/$B$191,2)</f>
        <v>70.59</v>
      </c>
      <c r="E191" s="194"/>
      <c r="F191" s="192"/>
      <c r="G191" s="192"/>
      <c r="H191" s="192"/>
      <c r="I191" s="192"/>
      <c r="J191" s="192"/>
      <c r="K191" s="192"/>
      <c r="L191" s="192"/>
    </row>
    <row r="192" spans="1:12">
      <c r="A192" s="195" t="s">
        <v>2207</v>
      </c>
      <c r="B192" s="197">
        <v>3</v>
      </c>
      <c r="C192" s="198" t="s">
        <v>1171</v>
      </c>
      <c r="D192" s="197">
        <f>ROUND($E$122/$B$192,2)</f>
        <v>235.28</v>
      </c>
      <c r="E192" s="194"/>
      <c r="F192" s="192"/>
      <c r="G192" s="192"/>
      <c r="H192" s="192"/>
      <c r="I192" s="192"/>
      <c r="J192" s="192"/>
      <c r="K192" s="192"/>
      <c r="L192" s="192"/>
    </row>
    <row r="193" spans="1:12" hidden="1">
      <c r="A193" s="195" t="s">
        <v>2208</v>
      </c>
      <c r="B193" s="197">
        <v>5</v>
      </c>
      <c r="C193" s="198" t="s">
        <v>213</v>
      </c>
      <c r="D193" s="197">
        <f t="shared" si="6"/>
        <v>141.17000000000002</v>
      </c>
      <c r="E193" s="194"/>
      <c r="F193" s="192"/>
      <c r="G193" s="192"/>
      <c r="H193" s="192"/>
      <c r="I193" s="192"/>
      <c r="J193" s="192"/>
      <c r="K193" s="192"/>
      <c r="L193" s="192"/>
    </row>
    <row r="194" spans="1:12">
      <c r="A194" s="195" t="s">
        <v>2209</v>
      </c>
      <c r="B194" s="197">
        <v>2.25</v>
      </c>
      <c r="C194" s="198" t="s">
        <v>213</v>
      </c>
      <c r="D194" s="197">
        <f>ROUND($E$122/B194,2)</f>
        <v>313.70999999999998</v>
      </c>
      <c r="E194" s="194"/>
      <c r="F194" s="192"/>
      <c r="G194" s="192"/>
      <c r="H194" s="192"/>
      <c r="I194" s="192"/>
      <c r="J194" s="192"/>
      <c r="K194" s="192"/>
      <c r="L194" s="192"/>
    </row>
    <row r="195" spans="1:12" hidden="1">
      <c r="A195" s="195" t="s">
        <v>2210</v>
      </c>
      <c r="B195" s="197">
        <v>5.5</v>
      </c>
      <c r="C195" s="198" t="s">
        <v>213</v>
      </c>
      <c r="D195" s="197">
        <f t="shared" si="6"/>
        <v>128.33636363636364</v>
      </c>
      <c r="E195" s="194"/>
      <c r="F195" s="192"/>
      <c r="G195" s="192"/>
      <c r="H195" s="192"/>
      <c r="I195" s="192"/>
      <c r="J195" s="192"/>
      <c r="K195" s="192"/>
      <c r="L195" s="192"/>
    </row>
    <row r="196" spans="1:12" hidden="1">
      <c r="A196" s="195" t="s">
        <v>2211</v>
      </c>
      <c r="B196" s="197">
        <v>3.5</v>
      </c>
      <c r="C196" s="198" t="s">
        <v>1171</v>
      </c>
      <c r="D196" s="197">
        <f t="shared" si="6"/>
        <v>201.67142857142858</v>
      </c>
      <c r="E196" s="194"/>
      <c r="F196" s="192"/>
      <c r="G196" s="192"/>
      <c r="H196" s="192"/>
      <c r="I196" s="192"/>
      <c r="J196" s="192"/>
      <c r="K196" s="192"/>
      <c r="L196" s="192"/>
    </row>
    <row r="197" spans="1:12" hidden="1">
      <c r="A197" s="195" t="s">
        <v>2212</v>
      </c>
      <c r="B197" s="197">
        <v>1</v>
      </c>
      <c r="C197" s="198" t="s">
        <v>213</v>
      </c>
      <c r="D197" s="197">
        <v>7.5</v>
      </c>
      <c r="E197" s="194"/>
      <c r="F197" s="192"/>
      <c r="G197" s="192"/>
      <c r="H197" s="192"/>
      <c r="I197" s="192"/>
      <c r="J197" s="192"/>
      <c r="K197" s="192"/>
      <c r="L197" s="192"/>
    </row>
    <row r="198" spans="1:12" hidden="1">
      <c r="A198" s="195" t="s">
        <v>2213</v>
      </c>
      <c r="B198" s="197">
        <v>1</v>
      </c>
      <c r="C198" s="198" t="s">
        <v>213</v>
      </c>
      <c r="D198" s="197">
        <v>18.5</v>
      </c>
      <c r="E198" s="194"/>
      <c r="F198" s="192"/>
      <c r="G198" s="192"/>
      <c r="H198" s="192"/>
      <c r="I198" s="192"/>
      <c r="J198" s="192"/>
      <c r="K198" s="192"/>
      <c r="L198" s="192"/>
    </row>
    <row r="199" spans="1:12">
      <c r="A199" s="195" t="s">
        <v>2214</v>
      </c>
      <c r="B199" s="197">
        <v>1</v>
      </c>
      <c r="C199" s="198" t="s">
        <v>324</v>
      </c>
      <c r="D199" s="197">
        <v>100</v>
      </c>
      <c r="E199" s="194"/>
      <c r="F199" s="192"/>
      <c r="G199" s="192"/>
      <c r="H199" s="192"/>
      <c r="I199" s="192"/>
      <c r="J199" s="192"/>
      <c r="K199" s="192"/>
      <c r="L199" s="192"/>
    </row>
    <row r="200" spans="1:12">
      <c r="A200" s="195" t="s">
        <v>2215</v>
      </c>
      <c r="B200" s="197">
        <v>1</v>
      </c>
      <c r="C200" s="198" t="s">
        <v>1752</v>
      </c>
      <c r="D200" s="197">
        <v>50</v>
      </c>
      <c r="E200" s="194"/>
      <c r="F200" s="192"/>
      <c r="G200" s="192"/>
      <c r="H200" s="192"/>
      <c r="I200" s="192"/>
      <c r="J200" s="192"/>
      <c r="K200" s="192"/>
      <c r="L200" s="192"/>
    </row>
    <row r="201" spans="1:12">
      <c r="A201" s="195" t="s">
        <v>2216</v>
      </c>
      <c r="B201" s="197">
        <v>1</v>
      </c>
      <c r="C201" s="198" t="s">
        <v>1752</v>
      </c>
      <c r="D201" s="197">
        <v>25</v>
      </c>
      <c r="E201" s="194"/>
      <c r="F201" s="192"/>
      <c r="G201" s="192"/>
      <c r="H201" s="192"/>
      <c r="I201" s="192"/>
      <c r="J201" s="192"/>
      <c r="K201" s="192"/>
      <c r="L201" s="192"/>
    </row>
    <row r="202" spans="1:12">
      <c r="A202" s="195" t="s">
        <v>2217</v>
      </c>
      <c r="B202" s="197">
        <v>1</v>
      </c>
      <c r="C202" s="198" t="s">
        <v>1333</v>
      </c>
      <c r="D202" s="197">
        <v>150</v>
      </c>
      <c r="E202" s="194"/>
      <c r="F202" s="192"/>
      <c r="G202" s="192"/>
      <c r="H202" s="192"/>
      <c r="I202" s="192"/>
      <c r="J202" s="192"/>
      <c r="K202" s="192"/>
      <c r="L202" s="192"/>
    </row>
    <row r="203" spans="1:12">
      <c r="A203" s="195" t="s">
        <v>2218</v>
      </c>
      <c r="B203" s="208"/>
      <c r="C203" s="198" t="s">
        <v>1017</v>
      </c>
      <c r="D203" s="197">
        <f>+E203*1.2</f>
        <v>2.04</v>
      </c>
      <c r="E203" s="194">
        <v>1.7</v>
      </c>
      <c r="F203" s="192"/>
      <c r="G203" s="192"/>
      <c r="H203" s="192"/>
      <c r="I203" s="192"/>
      <c r="J203" s="192"/>
      <c r="K203" s="192"/>
      <c r="L203" s="192"/>
    </row>
    <row r="204" spans="1:12">
      <c r="A204" s="195" t="s">
        <v>2219</v>
      </c>
      <c r="B204" s="190"/>
      <c r="C204" s="198" t="s">
        <v>213</v>
      </c>
      <c r="D204" s="211">
        <f>1*13</f>
        <v>13</v>
      </c>
      <c r="E204" s="195"/>
      <c r="F204" s="192"/>
      <c r="G204" s="192"/>
      <c r="H204" s="192"/>
      <c r="I204" s="192"/>
      <c r="J204" s="192"/>
      <c r="K204" s="192"/>
      <c r="L204" s="192"/>
    </row>
    <row r="205" spans="1:12">
      <c r="A205" s="195" t="s">
        <v>2220</v>
      </c>
      <c r="B205" s="190"/>
      <c r="C205" s="198" t="s">
        <v>2221</v>
      </c>
      <c r="D205" s="211">
        <f>2*7</f>
        <v>14</v>
      </c>
      <c r="E205" s="195"/>
      <c r="F205" s="192"/>
      <c r="G205" s="192"/>
      <c r="H205" s="192"/>
      <c r="I205" s="192"/>
      <c r="J205" s="192"/>
      <c r="K205" s="192"/>
      <c r="L205" s="192"/>
    </row>
    <row r="206" spans="1:12">
      <c r="A206" s="195" t="s">
        <v>2222</v>
      </c>
      <c r="B206" s="194"/>
      <c r="C206" s="198"/>
      <c r="D206" s="194">
        <v>1</v>
      </c>
      <c r="E206" s="195"/>
      <c r="F206" s="192"/>
      <c r="G206" s="192"/>
      <c r="H206" s="192"/>
      <c r="I206" s="192"/>
      <c r="J206" s="192"/>
      <c r="K206" s="192"/>
      <c r="L206" s="192"/>
    </row>
    <row r="207" spans="1:12" hidden="1">
      <c r="B207" s="190"/>
      <c r="C207" s="190"/>
      <c r="D207" s="194"/>
      <c r="E207" s="195"/>
      <c r="F207" s="192"/>
      <c r="G207" s="192"/>
      <c r="H207" s="192"/>
      <c r="I207" s="192"/>
      <c r="J207" s="192"/>
      <c r="K207" s="192"/>
      <c r="L207" s="192"/>
    </row>
    <row r="208" spans="1:12" ht="15.75" hidden="1">
      <c r="A208" s="205"/>
      <c r="B208" s="194"/>
      <c r="C208" s="198"/>
      <c r="D208" s="194"/>
      <c r="E208" s="195"/>
      <c r="F208" s="192"/>
      <c r="G208" s="192"/>
      <c r="H208" s="192"/>
      <c r="I208" s="192"/>
      <c r="J208" s="192"/>
      <c r="K208" s="192"/>
      <c r="L208" s="192"/>
    </row>
    <row r="209" spans="1:12" ht="15.75" hidden="1">
      <c r="A209" s="205" t="s">
        <v>2223</v>
      </c>
      <c r="B209" s="194"/>
      <c r="C209" s="194"/>
      <c r="D209" s="194"/>
      <c r="E209" s="195"/>
      <c r="F209" s="192"/>
      <c r="G209" s="192"/>
      <c r="H209" s="192"/>
      <c r="I209" s="192"/>
      <c r="J209" s="192"/>
      <c r="K209" s="192"/>
      <c r="L209" s="192"/>
    </row>
    <row r="210" spans="1:12" hidden="1">
      <c r="A210" s="195" t="s">
        <v>2113</v>
      </c>
      <c r="B210" s="194"/>
      <c r="C210" s="194"/>
      <c r="D210" s="194"/>
      <c r="E210" s="195"/>
      <c r="F210" s="192"/>
      <c r="G210" s="192"/>
      <c r="H210" s="192"/>
      <c r="I210" s="192"/>
      <c r="J210" s="192"/>
      <c r="K210" s="192"/>
      <c r="L210" s="192"/>
    </row>
    <row r="211" spans="1:12" hidden="1">
      <c r="A211" s="195" t="s">
        <v>2055</v>
      </c>
      <c r="B211" s="194">
        <v>4</v>
      </c>
      <c r="C211" s="194" t="s">
        <v>2224</v>
      </c>
      <c r="D211" s="194">
        <f>[12]precios!E16</f>
        <v>113.74999999999999</v>
      </c>
      <c r="E211" s="199">
        <f>ROUND(D211*B211,2)</f>
        <v>455</v>
      </c>
      <c r="F211" s="192"/>
      <c r="G211" s="192"/>
      <c r="H211" s="192"/>
      <c r="I211" s="192"/>
      <c r="J211" s="192"/>
      <c r="K211" s="192"/>
      <c r="L211" s="192"/>
    </row>
    <row r="212" spans="1:12" hidden="1">
      <c r="A212" s="195" t="s">
        <v>2225</v>
      </c>
      <c r="B212" s="194">
        <v>32</v>
      </c>
      <c r="C212" s="194" t="s">
        <v>2224</v>
      </c>
      <c r="D212" s="197">
        <f>[12]precios!E34</f>
        <v>46.999580360889638</v>
      </c>
      <c r="E212" s="199">
        <f>ROUND(D212*B212,2)</f>
        <v>1503.99</v>
      </c>
      <c r="F212" s="192"/>
      <c r="G212" s="192"/>
      <c r="H212" s="192"/>
      <c r="I212" s="192"/>
      <c r="J212" s="192"/>
      <c r="K212" s="192"/>
      <c r="L212" s="192"/>
    </row>
    <row r="213" spans="1:12" ht="15.75" hidden="1">
      <c r="A213" s="195" t="s">
        <v>1085</v>
      </c>
      <c r="B213" s="194" t="s">
        <v>1085</v>
      </c>
      <c r="C213" s="194" t="s">
        <v>1085</v>
      </c>
      <c r="D213" s="201" t="s">
        <v>2090</v>
      </c>
      <c r="E213" s="202">
        <f>E212+E211</f>
        <v>1958.99</v>
      </c>
      <c r="F213" s="192"/>
      <c r="G213" s="192"/>
      <c r="H213" s="192"/>
      <c r="I213" s="192"/>
      <c r="J213" s="192"/>
      <c r="K213" s="192"/>
      <c r="L213" s="192"/>
    </row>
    <row r="214" spans="1:12" ht="15.75" hidden="1">
      <c r="A214" s="195"/>
      <c r="B214" s="194"/>
      <c r="C214" s="194"/>
      <c r="D214" s="201"/>
      <c r="E214" s="202"/>
      <c r="F214" s="192"/>
      <c r="G214" s="192"/>
      <c r="H214" s="192"/>
      <c r="I214" s="192"/>
      <c r="J214" s="192"/>
      <c r="K214" s="192"/>
      <c r="L214" s="192"/>
    </row>
    <row r="215" spans="1:12" hidden="1">
      <c r="A215" s="192" t="s">
        <v>2226</v>
      </c>
      <c r="B215" s="208" t="s">
        <v>1085</v>
      </c>
      <c r="C215" s="208" t="s">
        <v>1085</v>
      </c>
      <c r="D215" s="215" t="s">
        <v>1085</v>
      </c>
      <c r="E215" s="216" t="s">
        <v>1085</v>
      </c>
      <c r="F215" s="192"/>
      <c r="G215" s="192"/>
      <c r="H215" s="192"/>
      <c r="I215" s="192"/>
      <c r="J215" s="192"/>
      <c r="K215" s="192"/>
      <c r="L215" s="192"/>
    </row>
    <row r="216" spans="1:12" hidden="1">
      <c r="A216" s="192" t="s">
        <v>2227</v>
      </c>
      <c r="B216" s="217">
        <v>950</v>
      </c>
      <c r="C216" s="211" t="s">
        <v>2228</v>
      </c>
      <c r="D216" s="218">
        <f t="shared" ref="D216:D225" si="7">$E$213/B216</f>
        <v>2.0620947368421052</v>
      </c>
      <c r="E216" s="219" t="s">
        <v>2229</v>
      </c>
      <c r="F216" s="192"/>
      <c r="G216" s="192"/>
      <c r="H216" s="192"/>
      <c r="I216" s="192"/>
      <c r="J216" s="192"/>
      <c r="K216" s="192"/>
      <c r="L216" s="192"/>
    </row>
    <row r="217" spans="1:12" hidden="1">
      <c r="A217" s="192" t="s">
        <v>2230</v>
      </c>
      <c r="B217" s="220">
        <v>5</v>
      </c>
      <c r="C217" s="208" t="s">
        <v>2231</v>
      </c>
      <c r="D217" s="221">
        <f t="shared" si="7"/>
        <v>391.798</v>
      </c>
      <c r="E217" s="200" t="s">
        <v>2232</v>
      </c>
      <c r="F217" s="192"/>
      <c r="G217" s="192"/>
      <c r="H217" s="192"/>
      <c r="I217" s="192"/>
      <c r="J217" s="192"/>
      <c r="K217" s="192"/>
      <c r="L217" s="192"/>
    </row>
    <row r="218" spans="1:12" hidden="1">
      <c r="A218" s="192" t="s">
        <v>2233</v>
      </c>
      <c r="B218" s="220">
        <v>5</v>
      </c>
      <c r="C218" s="208" t="s">
        <v>2231</v>
      </c>
      <c r="D218" s="221">
        <f t="shared" si="7"/>
        <v>391.798</v>
      </c>
      <c r="E218" s="200" t="s">
        <v>2232</v>
      </c>
      <c r="F218" s="192"/>
      <c r="G218" s="192"/>
      <c r="H218" s="192"/>
      <c r="I218" s="192"/>
      <c r="J218" s="192"/>
      <c r="K218" s="192"/>
      <c r="L218" s="192"/>
    </row>
    <row r="219" spans="1:12" hidden="1">
      <c r="A219" s="192" t="s">
        <v>2234</v>
      </c>
      <c r="B219" s="220">
        <v>30</v>
      </c>
      <c r="C219" s="208" t="s">
        <v>2235</v>
      </c>
      <c r="D219" s="221">
        <f t="shared" si="7"/>
        <v>65.299666666666667</v>
      </c>
      <c r="E219" s="192" t="s">
        <v>2236</v>
      </c>
      <c r="F219" s="192"/>
      <c r="G219" s="192"/>
      <c r="H219" s="192"/>
      <c r="I219" s="192"/>
      <c r="J219" s="192"/>
      <c r="K219" s="192"/>
      <c r="L219" s="192"/>
    </row>
    <row r="220" spans="1:12" hidden="1">
      <c r="A220" s="192" t="s">
        <v>2237</v>
      </c>
      <c r="B220" s="220">
        <v>200</v>
      </c>
      <c r="C220" s="208" t="s">
        <v>2238</v>
      </c>
      <c r="D220" s="221">
        <f t="shared" si="7"/>
        <v>9.79495</v>
      </c>
      <c r="E220" s="192" t="s">
        <v>2239</v>
      </c>
      <c r="F220" s="192"/>
      <c r="G220" s="192"/>
      <c r="H220" s="192"/>
      <c r="I220" s="192"/>
      <c r="J220" s="192"/>
      <c r="K220" s="192"/>
      <c r="L220" s="192"/>
    </row>
    <row r="221" spans="1:12" hidden="1">
      <c r="A221" s="192" t="s">
        <v>2240</v>
      </c>
      <c r="B221" s="208">
        <v>1250</v>
      </c>
      <c r="C221" s="208" t="s">
        <v>211</v>
      </c>
      <c r="D221" s="221">
        <f t="shared" si="7"/>
        <v>1.5671919999999999</v>
      </c>
      <c r="E221" s="192" t="s">
        <v>2241</v>
      </c>
      <c r="F221" s="192"/>
      <c r="G221" s="192"/>
      <c r="H221" s="192"/>
      <c r="I221" s="192"/>
      <c r="J221" s="192"/>
      <c r="K221" s="192"/>
      <c r="L221" s="192"/>
    </row>
    <row r="222" spans="1:12" hidden="1">
      <c r="A222" s="222" t="s">
        <v>2242</v>
      </c>
      <c r="B222" s="223">
        <v>350</v>
      </c>
      <c r="C222" s="222" t="s">
        <v>213</v>
      </c>
      <c r="D222" s="221">
        <f t="shared" si="7"/>
        <v>5.5971142857142855</v>
      </c>
      <c r="E222" s="192" t="s">
        <v>2243</v>
      </c>
      <c r="F222" s="192"/>
      <c r="G222" s="192"/>
      <c r="H222" s="192"/>
      <c r="I222" s="192"/>
      <c r="J222" s="192"/>
      <c r="K222" s="192"/>
      <c r="L222" s="192"/>
    </row>
    <row r="223" spans="1:12" hidden="1">
      <c r="A223" s="222" t="s">
        <v>2244</v>
      </c>
      <c r="B223" s="223">
        <v>1000</v>
      </c>
      <c r="C223" s="222" t="s">
        <v>218</v>
      </c>
      <c r="D223" s="221">
        <f t="shared" si="7"/>
        <v>1.95899</v>
      </c>
      <c r="E223" s="192" t="s">
        <v>2245</v>
      </c>
      <c r="F223" s="192"/>
      <c r="G223" s="192"/>
      <c r="H223" s="192"/>
      <c r="I223" s="192"/>
      <c r="J223" s="192"/>
      <c r="K223" s="192"/>
      <c r="L223" s="192"/>
    </row>
    <row r="224" spans="1:12" hidden="1">
      <c r="A224" s="222" t="s">
        <v>2246</v>
      </c>
      <c r="B224" s="223">
        <v>5</v>
      </c>
      <c r="C224" s="222" t="s">
        <v>825</v>
      </c>
      <c r="D224" s="221">
        <f t="shared" si="7"/>
        <v>391.798</v>
      </c>
      <c r="E224" s="200" t="s">
        <v>2232</v>
      </c>
      <c r="F224" s="192"/>
      <c r="G224" s="192"/>
      <c r="H224" s="192"/>
      <c r="I224" s="192"/>
      <c r="J224" s="192"/>
      <c r="K224" s="192"/>
      <c r="L224" s="192"/>
    </row>
    <row r="225" spans="1:12" hidden="1">
      <c r="A225" s="222" t="s">
        <v>2247</v>
      </c>
      <c r="B225" s="208">
        <v>1000</v>
      </c>
      <c r="C225" s="208" t="s">
        <v>1171</v>
      </c>
      <c r="D225" s="208">
        <f t="shared" si="7"/>
        <v>1.95899</v>
      </c>
      <c r="E225" s="192" t="s">
        <v>2248</v>
      </c>
      <c r="F225" s="192"/>
      <c r="G225" s="192"/>
      <c r="H225" s="192"/>
      <c r="I225" s="192"/>
      <c r="J225" s="192"/>
      <c r="K225" s="192"/>
      <c r="L225" s="192"/>
    </row>
    <row r="226" spans="1:12" hidden="1">
      <c r="A226" s="195"/>
      <c r="B226" s="194"/>
      <c r="C226" s="198"/>
      <c r="D226" s="194"/>
      <c r="E226" s="195"/>
      <c r="F226" s="192"/>
      <c r="G226" s="192"/>
      <c r="H226" s="192"/>
      <c r="I226" s="192"/>
      <c r="J226" s="192"/>
      <c r="K226" s="192"/>
      <c r="L226" s="192"/>
    </row>
    <row r="227" spans="1:12" ht="15.75" hidden="1">
      <c r="A227" s="196" t="s">
        <v>2249</v>
      </c>
      <c r="B227" s="194"/>
      <c r="C227" s="198"/>
      <c r="D227" s="194"/>
      <c r="E227" s="195"/>
      <c r="F227" s="192"/>
      <c r="G227" s="192"/>
      <c r="H227" s="192"/>
      <c r="I227" s="192"/>
      <c r="J227" s="192"/>
      <c r="K227" s="192"/>
      <c r="L227" s="192"/>
    </row>
    <row r="228" spans="1:12" hidden="1">
      <c r="A228" s="195" t="s">
        <v>2250</v>
      </c>
      <c r="B228" s="194"/>
      <c r="C228" s="198"/>
      <c r="D228" s="194"/>
      <c r="E228" s="195"/>
      <c r="F228" s="192"/>
      <c r="G228" s="192"/>
      <c r="H228" s="192"/>
      <c r="I228" s="192"/>
      <c r="J228" s="192"/>
      <c r="K228" s="192"/>
      <c r="L228" s="192"/>
    </row>
    <row r="229" spans="1:12" hidden="1">
      <c r="A229" s="195" t="s">
        <v>2237</v>
      </c>
      <c r="B229" s="197">
        <f>0.25/30</f>
        <v>8.3333333333333332E-3</v>
      </c>
      <c r="C229" s="198" t="s">
        <v>2251</v>
      </c>
      <c r="D229" s="197" t="e">
        <f>ROUND([12]precios!#REF!,2)</f>
        <v>#REF!</v>
      </c>
      <c r="E229" s="199" t="e">
        <f>ROUND(D229*B229,2)</f>
        <v>#REF!</v>
      </c>
      <c r="F229" s="192"/>
      <c r="G229" s="192"/>
      <c r="H229" s="192"/>
      <c r="I229" s="192"/>
      <c r="J229" s="192"/>
      <c r="K229" s="192"/>
      <c r="L229" s="192"/>
    </row>
    <row r="230" spans="1:12" hidden="1">
      <c r="A230" s="195" t="s">
        <v>2252</v>
      </c>
      <c r="B230" s="197">
        <v>0.03</v>
      </c>
      <c r="C230" s="198" t="s">
        <v>2056</v>
      </c>
      <c r="D230" s="224">
        <f>$E$10</f>
        <v>400.07</v>
      </c>
      <c r="E230" s="199">
        <f>ROUND(D230*B230,2)</f>
        <v>12</v>
      </c>
      <c r="F230" s="192"/>
      <c r="G230" s="192"/>
      <c r="H230" s="192"/>
      <c r="I230" s="192"/>
      <c r="J230" s="192"/>
      <c r="K230" s="192"/>
      <c r="L230" s="192"/>
    </row>
    <row r="231" spans="1:12" hidden="1">
      <c r="A231" s="195" t="s">
        <v>2253</v>
      </c>
      <c r="B231" s="197">
        <f>1.5/2</f>
        <v>0.75</v>
      </c>
      <c r="C231" s="198" t="s">
        <v>1792</v>
      </c>
      <c r="D231" s="197">
        <f>[12]precios!$D$114</f>
        <v>40</v>
      </c>
      <c r="E231" s="199">
        <f>ROUND(D231*B231,2)</f>
        <v>30</v>
      </c>
      <c r="F231" s="192"/>
      <c r="G231" s="192"/>
      <c r="H231" s="192"/>
      <c r="I231" s="192"/>
      <c r="J231" s="192"/>
      <c r="K231" s="192"/>
      <c r="L231" s="192"/>
    </row>
    <row r="232" spans="1:12" ht="15.75" hidden="1">
      <c r="A232" s="195"/>
      <c r="B232" s="194"/>
      <c r="C232" s="198"/>
      <c r="D232" s="201" t="s">
        <v>2254</v>
      </c>
      <c r="E232" s="202" t="e">
        <f>SUM(E229:E231)</f>
        <v>#REF!</v>
      </c>
      <c r="F232" s="192"/>
      <c r="G232" s="192"/>
      <c r="H232" s="192"/>
      <c r="I232" s="192"/>
      <c r="J232" s="192"/>
      <c r="K232" s="192"/>
      <c r="L232" s="192"/>
    </row>
    <row r="233" spans="1:12" hidden="1">
      <c r="A233" s="195"/>
      <c r="B233" s="194"/>
      <c r="C233" s="198"/>
      <c r="D233" s="194"/>
      <c r="E233" s="195"/>
      <c r="F233" s="192"/>
      <c r="G233" s="192"/>
      <c r="H233" s="192"/>
      <c r="I233" s="192"/>
      <c r="J233" s="192"/>
      <c r="K233" s="192"/>
      <c r="L233" s="192"/>
    </row>
    <row r="234" spans="1:12" ht="15.75" hidden="1">
      <c r="A234" s="196" t="s">
        <v>2255</v>
      </c>
      <c r="B234" s="194"/>
      <c r="C234" s="198"/>
      <c r="D234" s="194"/>
      <c r="E234" s="195"/>
      <c r="F234" s="192"/>
      <c r="G234" s="192"/>
      <c r="H234" s="192"/>
      <c r="I234" s="192"/>
      <c r="J234" s="192"/>
      <c r="K234" s="192"/>
      <c r="L234" s="192"/>
    </row>
    <row r="235" spans="1:12" hidden="1">
      <c r="A235" s="195" t="s">
        <v>1780</v>
      </c>
      <c r="B235" s="197">
        <v>0.159</v>
      </c>
      <c r="C235" s="198" t="s">
        <v>218</v>
      </c>
      <c r="D235" s="197">
        <f>[12]precios!$D$260</f>
        <v>21.81</v>
      </c>
      <c r="E235" s="199">
        <f>ROUND(D235*B235,2)</f>
        <v>3.47</v>
      </c>
      <c r="F235" s="192"/>
      <c r="G235" s="192"/>
      <c r="H235" s="192"/>
      <c r="I235" s="192"/>
      <c r="J235" s="192"/>
      <c r="K235" s="192"/>
      <c r="L235" s="192"/>
    </row>
    <row r="236" spans="1:12" hidden="1">
      <c r="A236" s="195" t="s">
        <v>2252</v>
      </c>
      <c r="B236" s="197">
        <v>0.03</v>
      </c>
      <c r="C236" s="198" t="s">
        <v>2056</v>
      </c>
      <c r="D236" s="224">
        <f>$E$10</f>
        <v>400.07</v>
      </c>
      <c r="E236" s="199">
        <f>ROUND(D236*B236,2)</f>
        <v>12</v>
      </c>
      <c r="F236" s="192"/>
      <c r="G236" s="192"/>
      <c r="H236" s="192"/>
      <c r="I236" s="192"/>
      <c r="J236" s="192"/>
      <c r="K236" s="192"/>
      <c r="L236" s="192"/>
    </row>
    <row r="237" spans="1:12" hidden="1">
      <c r="A237" s="195" t="s">
        <v>2256</v>
      </c>
      <c r="B237" s="197">
        <v>1</v>
      </c>
      <c r="C237" s="198" t="s">
        <v>1333</v>
      </c>
      <c r="D237" s="197" t="e">
        <f>D243</f>
        <v>#REF!</v>
      </c>
      <c r="E237" s="199" t="e">
        <f>ROUND(D237*B237,2)</f>
        <v>#REF!</v>
      </c>
      <c r="F237" s="192"/>
      <c r="G237" s="192"/>
      <c r="H237" s="192"/>
      <c r="I237" s="192"/>
      <c r="J237" s="192"/>
      <c r="K237" s="192"/>
      <c r="L237" s="192"/>
    </row>
    <row r="238" spans="1:12" ht="15.75" hidden="1">
      <c r="A238" s="195"/>
      <c r="B238" s="194"/>
      <c r="C238" s="198"/>
      <c r="D238" s="201" t="s">
        <v>2254</v>
      </c>
      <c r="E238" s="202" t="e">
        <f>SUM(E235:E237)</f>
        <v>#REF!</v>
      </c>
      <c r="F238" s="192"/>
      <c r="G238" s="192"/>
      <c r="H238" s="192"/>
      <c r="I238" s="192"/>
      <c r="J238" s="192"/>
      <c r="K238" s="192"/>
      <c r="L238" s="192"/>
    </row>
    <row r="239" spans="1:12" hidden="1">
      <c r="A239" s="195"/>
      <c r="B239" s="194"/>
      <c r="C239" s="198"/>
      <c r="D239" s="194"/>
      <c r="E239" s="195"/>
      <c r="F239" s="192"/>
      <c r="G239" s="192"/>
      <c r="H239" s="192"/>
      <c r="I239" s="192"/>
      <c r="J239" s="192"/>
      <c r="K239" s="192"/>
      <c r="L239" s="192"/>
    </row>
    <row r="240" spans="1:12" ht="15.75" hidden="1">
      <c r="A240" s="196" t="s">
        <v>2257</v>
      </c>
      <c r="B240" s="194"/>
      <c r="C240" s="198"/>
      <c r="D240" s="194"/>
      <c r="E240" s="195"/>
      <c r="F240" s="192"/>
      <c r="G240" s="192"/>
      <c r="H240" s="192"/>
      <c r="I240" s="192"/>
      <c r="J240" s="192"/>
      <c r="K240" s="192"/>
      <c r="L240" s="192"/>
    </row>
    <row r="241" spans="1:12" hidden="1">
      <c r="A241" s="195" t="s">
        <v>1780</v>
      </c>
      <c r="B241" s="197">
        <v>0.159</v>
      </c>
      <c r="C241" s="198" t="s">
        <v>218</v>
      </c>
      <c r="D241" s="197">
        <f>[12]precios!$D$260</f>
        <v>21.81</v>
      </c>
      <c r="E241" s="199">
        <f>ROUND(D241*B241,2)</f>
        <v>3.47</v>
      </c>
      <c r="F241" s="192"/>
      <c r="G241" s="192"/>
      <c r="H241" s="192"/>
      <c r="I241" s="192"/>
      <c r="J241" s="192"/>
      <c r="K241" s="192"/>
      <c r="L241" s="192"/>
    </row>
    <row r="242" spans="1:12" hidden="1">
      <c r="A242" s="195" t="s">
        <v>2252</v>
      </c>
      <c r="B242" s="197">
        <v>0.02</v>
      </c>
      <c r="C242" s="198" t="s">
        <v>2056</v>
      </c>
      <c r="D242" s="224">
        <f>$E$10</f>
        <v>400.07</v>
      </c>
      <c r="E242" s="199">
        <f>ROUND(D242*B242,2)</f>
        <v>8</v>
      </c>
      <c r="F242" s="192"/>
      <c r="G242" s="192"/>
      <c r="H242" s="192"/>
      <c r="I242" s="192"/>
      <c r="J242" s="192"/>
      <c r="K242" s="192"/>
      <c r="L242" s="192"/>
    </row>
    <row r="243" spans="1:12" hidden="1">
      <c r="A243" s="195" t="s">
        <v>2258</v>
      </c>
      <c r="B243" s="197">
        <v>1</v>
      </c>
      <c r="C243" s="198" t="s">
        <v>1333</v>
      </c>
      <c r="D243" s="197" t="e">
        <f>[12]precios!#REF!</f>
        <v>#REF!</v>
      </c>
      <c r="E243" s="199" t="e">
        <f>ROUND(D243*B243,2)</f>
        <v>#REF!</v>
      </c>
      <c r="F243" s="192"/>
      <c r="G243" s="192"/>
      <c r="H243" s="192"/>
      <c r="I243" s="192"/>
      <c r="J243" s="192"/>
      <c r="K243" s="192"/>
      <c r="L243" s="192"/>
    </row>
    <row r="244" spans="1:12" ht="15.75" hidden="1">
      <c r="A244" s="195"/>
      <c r="B244" s="194"/>
      <c r="C244" s="194"/>
      <c r="D244" s="201" t="s">
        <v>2254</v>
      </c>
      <c r="E244" s="202" t="e">
        <f>SUM(E241:E243)</f>
        <v>#REF!</v>
      </c>
      <c r="F244" s="192"/>
      <c r="G244" s="192"/>
      <c r="H244" s="192"/>
      <c r="I244" s="192"/>
      <c r="J244" s="192"/>
      <c r="K244" s="192"/>
      <c r="L244" s="192"/>
    </row>
    <row r="245" spans="1:12" ht="15.75" hidden="1">
      <c r="A245" s="225" t="s">
        <v>2259</v>
      </c>
      <c r="B245" s="194"/>
      <c r="C245" s="198"/>
      <c r="D245" s="194"/>
      <c r="E245" s="195"/>
      <c r="F245" s="192"/>
      <c r="G245" s="192"/>
      <c r="H245" s="192"/>
      <c r="I245" s="192"/>
      <c r="J245" s="192"/>
      <c r="K245" s="192"/>
      <c r="L245" s="192"/>
    </row>
    <row r="246" spans="1:12" hidden="1">
      <c r="A246" s="195" t="s">
        <v>1780</v>
      </c>
      <c r="B246" s="197">
        <v>0.159</v>
      </c>
      <c r="C246" s="198" t="s">
        <v>218</v>
      </c>
      <c r="D246" s="197">
        <f>[12]precios!$D$260</f>
        <v>21.81</v>
      </c>
      <c r="E246" s="199">
        <f>ROUND(D246*B246,2)</f>
        <v>3.47</v>
      </c>
      <c r="F246" s="192"/>
      <c r="G246" s="192"/>
      <c r="H246" s="192"/>
      <c r="I246" s="192"/>
      <c r="J246" s="192"/>
      <c r="K246" s="192"/>
      <c r="L246" s="192"/>
    </row>
    <row r="247" spans="1:12" hidden="1">
      <c r="A247" s="195" t="s">
        <v>2252</v>
      </c>
      <c r="B247" s="197">
        <v>1.7999999999999999E-2</v>
      </c>
      <c r="C247" s="198" t="s">
        <v>2056</v>
      </c>
      <c r="D247" s="224">
        <f>$E$10</f>
        <v>400.07</v>
      </c>
      <c r="E247" s="199">
        <f>ROUND(D247*B247,2)</f>
        <v>7.2</v>
      </c>
      <c r="F247" s="192"/>
      <c r="G247" s="192"/>
      <c r="H247" s="192"/>
      <c r="I247" s="192"/>
      <c r="J247" s="192"/>
      <c r="K247" s="192"/>
      <c r="L247" s="192"/>
    </row>
    <row r="248" spans="1:12" hidden="1">
      <c r="A248" s="195" t="s">
        <v>2253</v>
      </c>
      <c r="B248" s="197">
        <v>0.25</v>
      </c>
      <c r="C248" s="198" t="s">
        <v>1792</v>
      </c>
      <c r="D248" s="197">
        <f>[12]precios!$D$114</f>
        <v>40</v>
      </c>
      <c r="E248" s="199">
        <f>ROUND(D248*B248,2)</f>
        <v>10</v>
      </c>
      <c r="F248" s="192"/>
      <c r="G248" s="192"/>
      <c r="H248" s="192"/>
      <c r="I248" s="192"/>
      <c r="J248" s="192"/>
      <c r="K248" s="192"/>
      <c r="L248" s="192"/>
    </row>
    <row r="249" spans="1:12" hidden="1">
      <c r="A249" s="195" t="s">
        <v>2260</v>
      </c>
      <c r="B249" s="197"/>
      <c r="C249" s="198"/>
      <c r="D249" s="197"/>
      <c r="E249" s="199"/>
      <c r="F249" s="192"/>
      <c r="G249" s="192"/>
      <c r="H249" s="192"/>
      <c r="I249" s="192"/>
      <c r="J249" s="192"/>
      <c r="K249" s="192"/>
      <c r="L249" s="192"/>
    </row>
    <row r="250" spans="1:12" hidden="1">
      <c r="A250" s="195" t="s">
        <v>2253</v>
      </c>
      <c r="B250" s="197">
        <f>B248*5</f>
        <v>1.25</v>
      </c>
      <c r="C250" s="198" t="s">
        <v>211</v>
      </c>
      <c r="D250" s="226">
        <f>$D$221</f>
        <v>1.5671919999999999</v>
      </c>
      <c r="E250" s="199">
        <f>ROUND(D250*B250,2)</f>
        <v>1.96</v>
      </c>
      <c r="F250" s="192"/>
      <c r="G250" s="192"/>
      <c r="H250" s="192"/>
      <c r="I250" s="192"/>
      <c r="J250" s="192"/>
      <c r="K250" s="192"/>
      <c r="L250" s="192"/>
    </row>
    <row r="251" spans="1:12" ht="15.75" hidden="1">
      <c r="A251" s="195"/>
      <c r="B251" s="194"/>
      <c r="C251" s="194"/>
      <c r="D251" s="201" t="s">
        <v>2254</v>
      </c>
      <c r="E251" s="202">
        <f>SUM(E246:E250)</f>
        <v>22.630000000000003</v>
      </c>
      <c r="F251" s="192"/>
      <c r="G251" s="192"/>
      <c r="H251" s="192"/>
      <c r="I251" s="192"/>
      <c r="J251" s="192"/>
      <c r="K251" s="192"/>
      <c r="L251" s="192"/>
    </row>
    <row r="252" spans="1:12" hidden="1">
      <c r="A252" s="195"/>
      <c r="B252" s="194"/>
      <c r="C252" s="194"/>
      <c r="D252" s="194"/>
      <c r="E252" s="195"/>
      <c r="F252" s="192"/>
      <c r="G252" s="192"/>
      <c r="H252" s="192"/>
      <c r="I252" s="192"/>
      <c r="J252" s="192"/>
      <c r="K252" s="192"/>
      <c r="L252" s="192"/>
    </row>
    <row r="253" spans="1:12">
      <c r="A253" s="195"/>
      <c r="B253" s="194"/>
      <c r="C253" s="194"/>
      <c r="D253" s="194"/>
      <c r="E253" s="195"/>
      <c r="F253" s="192"/>
      <c r="G253" s="192"/>
      <c r="H253" s="192"/>
      <c r="I253" s="192"/>
      <c r="J253" s="192"/>
      <c r="K253" s="192"/>
      <c r="L253" s="192"/>
    </row>
    <row r="254" spans="1:12" s="213" customFormat="1" ht="15.75">
      <c r="A254" s="227" t="s">
        <v>2261</v>
      </c>
      <c r="B254" s="228"/>
      <c r="C254" s="228" t="s">
        <v>2262</v>
      </c>
      <c r="D254" s="228">
        <v>381.76</v>
      </c>
    </row>
    <row r="255" spans="1:12" s="213" customFormat="1" ht="15.75">
      <c r="A255" s="227" t="s">
        <v>2263</v>
      </c>
      <c r="B255" s="228"/>
      <c r="C255" s="228" t="s">
        <v>2262</v>
      </c>
      <c r="D255" s="228">
        <v>572.64</v>
      </c>
    </row>
    <row r="256" spans="1:12" s="213" customFormat="1" ht="15.75">
      <c r="A256" s="227" t="s">
        <v>2264</v>
      </c>
      <c r="B256" s="228"/>
      <c r="C256" s="228" t="s">
        <v>2262</v>
      </c>
      <c r="D256" s="228">
        <v>1145.28</v>
      </c>
    </row>
    <row r="257" spans="1:12">
      <c r="A257" s="195"/>
      <c r="B257" s="194"/>
      <c r="C257" s="194"/>
      <c r="D257" s="194"/>
      <c r="E257" s="195"/>
      <c r="F257" s="192"/>
      <c r="G257" s="192"/>
      <c r="H257" s="192"/>
      <c r="I257" s="192"/>
      <c r="J257" s="192"/>
      <c r="K257" s="192"/>
      <c r="L257" s="192"/>
    </row>
    <row r="258" spans="1:12">
      <c r="A258" s="195"/>
      <c r="B258" s="194"/>
      <c r="C258" s="194"/>
      <c r="D258" s="194"/>
      <c r="E258" s="195"/>
      <c r="F258" s="192"/>
      <c r="G258" s="192"/>
      <c r="H258" s="192"/>
      <c r="I258" s="192"/>
      <c r="J258" s="192"/>
      <c r="K258" s="192"/>
      <c r="L258" s="192"/>
    </row>
    <row r="259" spans="1:12">
      <c r="A259" s="195"/>
      <c r="B259" s="194"/>
      <c r="C259" s="194"/>
      <c r="D259" s="194"/>
      <c r="E259" s="195"/>
      <c r="F259" s="192"/>
      <c r="G259" s="192"/>
      <c r="H259" s="192"/>
      <c r="I259" s="192"/>
      <c r="J259" s="192"/>
      <c r="K259" s="192"/>
      <c r="L259" s="192"/>
    </row>
    <row r="260" spans="1:12">
      <c r="A260" s="195"/>
      <c r="B260" s="194"/>
      <c r="C260" s="194"/>
      <c r="D260" s="194"/>
      <c r="E260" s="195"/>
      <c r="F260" s="192"/>
      <c r="G260" s="192"/>
      <c r="H260" s="192"/>
      <c r="I260" s="192"/>
      <c r="J260" s="192"/>
      <c r="K260" s="192"/>
      <c r="L260" s="192"/>
    </row>
    <row r="261" spans="1:12">
      <c r="A261" s="195"/>
      <c r="B261" s="194"/>
      <c r="C261" s="194"/>
      <c r="D261" s="194"/>
      <c r="E261" s="195"/>
      <c r="F261" s="192"/>
      <c r="G261" s="192"/>
      <c r="H261" s="192"/>
      <c r="I261" s="192"/>
      <c r="J261" s="192"/>
      <c r="K261" s="192"/>
      <c r="L261" s="192"/>
    </row>
    <row r="262" spans="1:12" ht="15.75">
      <c r="A262" s="196" t="s">
        <v>2265</v>
      </c>
      <c r="B262" s="194"/>
      <c r="C262" s="194"/>
      <c r="D262" s="194"/>
      <c r="E262" s="195"/>
      <c r="F262" s="192"/>
      <c r="G262" s="192"/>
      <c r="H262" s="192"/>
      <c r="I262" s="192"/>
      <c r="J262" s="192"/>
      <c r="K262" s="192"/>
      <c r="L262" s="192"/>
    </row>
    <row r="263" spans="1:12">
      <c r="A263" s="195" t="s">
        <v>2113</v>
      </c>
      <c r="B263" s="197">
        <v>8</v>
      </c>
      <c r="C263" s="198" t="s">
        <v>2266</v>
      </c>
      <c r="D263" s="194"/>
      <c r="E263" s="195"/>
      <c r="F263" s="192"/>
      <c r="G263" s="192"/>
      <c r="H263" s="192"/>
      <c r="I263" s="192"/>
      <c r="J263" s="192"/>
      <c r="K263" s="192"/>
      <c r="L263" s="192"/>
    </row>
    <row r="264" spans="1:12">
      <c r="A264" s="195" t="s">
        <v>2267</v>
      </c>
      <c r="B264" s="197">
        <v>8</v>
      </c>
      <c r="C264" s="197">
        <f>[12]precios!$E$22</f>
        <v>145.25</v>
      </c>
      <c r="D264" s="197">
        <f>ROUND(C264*B264,2)</f>
        <v>1162</v>
      </c>
      <c r="E264" s="195"/>
      <c r="F264" s="192"/>
      <c r="G264" s="192"/>
      <c r="H264" s="192"/>
      <c r="I264" s="192"/>
      <c r="J264" s="192"/>
      <c r="K264" s="192"/>
      <c r="L264" s="192"/>
    </row>
    <row r="265" spans="1:12">
      <c r="A265" s="195" t="s">
        <v>2268</v>
      </c>
      <c r="B265" s="197">
        <v>24</v>
      </c>
      <c r="C265" s="197">
        <f>[12]precios!$E$35</f>
        <v>50.315999999999995</v>
      </c>
      <c r="D265" s="197">
        <f>ROUND(C265*B265,2)</f>
        <v>1207.58</v>
      </c>
      <c r="E265" s="195"/>
      <c r="F265" s="192"/>
      <c r="G265" s="192"/>
      <c r="H265" s="192"/>
      <c r="I265" s="192"/>
      <c r="J265" s="192"/>
      <c r="K265" s="192"/>
      <c r="L265" s="192"/>
    </row>
    <row r="266" spans="1:12" ht="15.75">
      <c r="A266" s="195"/>
      <c r="B266" s="194"/>
      <c r="C266" s="201" t="s">
        <v>2090</v>
      </c>
      <c r="D266" s="212">
        <f>D265+D264</f>
        <v>2369.58</v>
      </c>
      <c r="E266" s="195"/>
      <c r="F266" s="192"/>
      <c r="G266" s="192"/>
      <c r="H266" s="192"/>
      <c r="I266" s="192"/>
      <c r="J266" s="192"/>
      <c r="K266" s="192"/>
      <c r="L266" s="192"/>
    </row>
    <row r="267" spans="1:12">
      <c r="A267" s="195"/>
      <c r="B267" s="194"/>
      <c r="C267" s="194"/>
      <c r="D267" s="194"/>
      <c r="E267" s="195"/>
      <c r="F267" s="192"/>
      <c r="G267" s="192"/>
      <c r="H267" s="192"/>
      <c r="I267" s="192"/>
      <c r="J267" s="192"/>
      <c r="K267" s="192"/>
      <c r="L267" s="192"/>
    </row>
    <row r="268" spans="1:12">
      <c r="A268" s="195" t="s">
        <v>2269</v>
      </c>
      <c r="B268" s="194"/>
      <c r="C268" s="197">
        <v>80</v>
      </c>
      <c r="D268" s="210">
        <v>47.31</v>
      </c>
      <c r="E268" s="195" t="s">
        <v>2270</v>
      </c>
      <c r="F268" s="192"/>
      <c r="G268" s="192"/>
      <c r="H268" s="192"/>
      <c r="I268" s="192"/>
      <c r="J268" s="192"/>
      <c r="K268" s="192"/>
      <c r="L268" s="192"/>
    </row>
    <row r="269" spans="1:12">
      <c r="A269" s="195" t="s">
        <v>2271</v>
      </c>
      <c r="B269" s="194"/>
      <c r="C269" s="197"/>
      <c r="D269" s="210">
        <v>64.05</v>
      </c>
      <c r="E269" s="195" t="s">
        <v>2270</v>
      </c>
      <c r="F269" s="192"/>
      <c r="G269" s="192"/>
      <c r="H269" s="192"/>
      <c r="I269" s="192"/>
      <c r="J269" s="192"/>
      <c r="K269" s="192"/>
      <c r="L269" s="192"/>
    </row>
    <row r="270" spans="1:12">
      <c r="A270" s="195" t="s">
        <v>2272</v>
      </c>
      <c r="B270" s="194"/>
      <c r="C270" s="197">
        <v>80</v>
      </c>
      <c r="D270" s="210">
        <v>58.52</v>
      </c>
      <c r="E270" s="195"/>
      <c r="F270" s="192"/>
      <c r="G270" s="192"/>
      <c r="H270" s="192"/>
      <c r="I270" s="192"/>
      <c r="J270" s="192"/>
      <c r="K270" s="192"/>
      <c r="L270" s="192"/>
    </row>
    <row r="271" spans="1:12">
      <c r="A271" s="195" t="s">
        <v>2273</v>
      </c>
      <c r="B271" s="194"/>
      <c r="C271" s="197">
        <v>70</v>
      </c>
      <c r="D271" s="210">
        <v>50.96</v>
      </c>
      <c r="E271" s="195"/>
      <c r="F271" s="192"/>
      <c r="G271" s="192"/>
      <c r="H271" s="192"/>
      <c r="I271" s="192"/>
      <c r="J271" s="192"/>
      <c r="K271" s="192"/>
      <c r="L271" s="192"/>
    </row>
    <row r="272" spans="1:12">
      <c r="A272" s="195" t="s">
        <v>2274</v>
      </c>
      <c r="B272" s="194"/>
      <c r="C272" s="197">
        <v>110</v>
      </c>
      <c r="D272" s="197">
        <v>50.96</v>
      </c>
      <c r="E272" s="195"/>
      <c r="F272" s="192"/>
      <c r="G272" s="192"/>
      <c r="H272" s="192"/>
      <c r="I272" s="192"/>
      <c r="J272" s="192"/>
      <c r="K272" s="192"/>
      <c r="L272" s="192"/>
    </row>
    <row r="273" spans="1:12" hidden="1">
      <c r="A273" s="195" t="s">
        <v>2275</v>
      </c>
      <c r="B273" s="194">
        <v>1</v>
      </c>
      <c r="C273" s="229" t="s">
        <v>1333</v>
      </c>
      <c r="D273" s="197">
        <v>120</v>
      </c>
      <c r="E273" s="195"/>
      <c r="F273" s="192"/>
      <c r="G273" s="192"/>
      <c r="H273" s="192"/>
      <c r="I273" s="192"/>
      <c r="J273" s="192"/>
      <c r="K273" s="192"/>
      <c r="L273" s="192"/>
    </row>
    <row r="274" spans="1:12" ht="15.75" hidden="1">
      <c r="A274" s="196" t="s">
        <v>2276</v>
      </c>
      <c r="B274" s="194"/>
      <c r="C274" s="194"/>
      <c r="D274" s="194"/>
      <c r="E274" s="195"/>
      <c r="F274" s="192"/>
      <c r="G274" s="192"/>
      <c r="H274" s="192"/>
      <c r="I274" s="192"/>
      <c r="J274" s="192"/>
      <c r="K274" s="192"/>
      <c r="L274" s="192"/>
    </row>
    <row r="275" spans="1:12" hidden="1">
      <c r="A275" s="195" t="s">
        <v>2113</v>
      </c>
      <c r="B275" s="197">
        <v>1</v>
      </c>
      <c r="C275" s="198" t="s">
        <v>825</v>
      </c>
      <c r="D275" s="194">
        <v>25</v>
      </c>
      <c r="E275" s="195" t="s">
        <v>2231</v>
      </c>
      <c r="F275" s="192"/>
      <c r="G275" s="192"/>
      <c r="H275" s="192"/>
      <c r="I275" s="192"/>
      <c r="J275" s="192"/>
      <c r="K275" s="192"/>
      <c r="L275" s="192"/>
    </row>
    <row r="276" spans="1:12" hidden="1">
      <c r="A276" s="195" t="s">
        <v>2277</v>
      </c>
      <c r="B276" s="197">
        <v>8</v>
      </c>
      <c r="C276" s="198" t="s">
        <v>2266</v>
      </c>
      <c r="D276" s="197">
        <f>[12]precios!D389</f>
        <v>150</v>
      </c>
      <c r="E276" s="199">
        <f t="shared" ref="E276:E282" si="8">D276*B276</f>
        <v>1200</v>
      </c>
      <c r="F276" s="192"/>
      <c r="G276" s="192"/>
      <c r="H276" s="192"/>
      <c r="I276" s="192"/>
      <c r="J276" s="192"/>
      <c r="K276" s="192"/>
      <c r="L276" s="192"/>
    </row>
    <row r="277" spans="1:12" hidden="1">
      <c r="A277" s="195" t="s">
        <v>2278</v>
      </c>
      <c r="B277" s="197">
        <v>5</v>
      </c>
      <c r="C277" s="198" t="s">
        <v>1878</v>
      </c>
      <c r="D277" s="197">
        <f>[12]precios!D390</f>
        <v>140</v>
      </c>
      <c r="E277" s="199">
        <f t="shared" si="8"/>
        <v>700</v>
      </c>
      <c r="F277" s="192"/>
      <c r="G277" s="192"/>
      <c r="H277" s="192"/>
      <c r="I277" s="192"/>
      <c r="J277" s="192"/>
      <c r="K277" s="192"/>
      <c r="L277" s="192"/>
    </row>
    <row r="278" spans="1:12" hidden="1">
      <c r="A278" s="195" t="s">
        <v>2279</v>
      </c>
      <c r="B278" s="197">
        <v>8</v>
      </c>
      <c r="C278" s="198" t="s">
        <v>1878</v>
      </c>
      <c r="D278" s="197">
        <f>[12]precios!D387</f>
        <v>675</v>
      </c>
      <c r="E278" s="199">
        <f t="shared" si="8"/>
        <v>5400</v>
      </c>
      <c r="F278" s="192"/>
      <c r="G278" s="192"/>
      <c r="H278" s="192"/>
      <c r="I278" s="192"/>
      <c r="J278" s="192"/>
      <c r="K278" s="192"/>
      <c r="L278" s="192"/>
    </row>
    <row r="279" spans="1:12" hidden="1">
      <c r="A279" s="195" t="s">
        <v>2280</v>
      </c>
      <c r="B279" s="197">
        <v>10</v>
      </c>
      <c r="C279" s="198" t="s">
        <v>1792</v>
      </c>
      <c r="D279" s="197">
        <f>[12]precios!D114</f>
        <v>40</v>
      </c>
      <c r="E279" s="199">
        <f t="shared" si="8"/>
        <v>400</v>
      </c>
      <c r="F279" s="192"/>
      <c r="G279" s="192"/>
      <c r="H279" s="192"/>
      <c r="I279" s="192"/>
      <c r="J279" s="192"/>
      <c r="K279" s="192"/>
      <c r="L279" s="192"/>
    </row>
    <row r="280" spans="1:12" hidden="1">
      <c r="A280" s="195" t="s">
        <v>1810</v>
      </c>
      <c r="B280" s="197">
        <v>8</v>
      </c>
      <c r="C280" s="198" t="s">
        <v>2281</v>
      </c>
      <c r="D280" s="197">
        <f>[12]precios!E26</f>
        <v>70.433999999999997</v>
      </c>
      <c r="E280" s="199">
        <f t="shared" si="8"/>
        <v>563.47199999999998</v>
      </c>
      <c r="F280" s="192"/>
      <c r="G280" s="192"/>
      <c r="H280" s="192"/>
      <c r="I280" s="192"/>
      <c r="J280" s="192"/>
      <c r="K280" s="192"/>
      <c r="L280" s="192"/>
    </row>
    <row r="281" spans="1:12" hidden="1">
      <c r="A281" s="195" t="s">
        <v>2282</v>
      </c>
      <c r="B281" s="197">
        <v>8</v>
      </c>
      <c r="C281" s="198" t="s">
        <v>2281</v>
      </c>
      <c r="D281" s="197">
        <f>E10</f>
        <v>400.07</v>
      </c>
      <c r="E281" s="199">
        <f t="shared" si="8"/>
        <v>3200.56</v>
      </c>
      <c r="F281" s="192"/>
      <c r="G281" s="192"/>
      <c r="H281" s="192"/>
      <c r="I281" s="192"/>
      <c r="J281" s="192"/>
      <c r="K281" s="192"/>
      <c r="L281" s="192"/>
    </row>
    <row r="282" spans="1:12" hidden="1">
      <c r="A282" s="195" t="s">
        <v>2283</v>
      </c>
      <c r="B282" s="197">
        <v>8</v>
      </c>
      <c r="C282" s="198" t="s">
        <v>2281</v>
      </c>
      <c r="D282" s="197">
        <f>[12]precios!E34</f>
        <v>46.999580360889638</v>
      </c>
      <c r="E282" s="199">
        <f t="shared" si="8"/>
        <v>375.9966428871171</v>
      </c>
      <c r="F282" s="192"/>
      <c r="G282" s="192"/>
      <c r="H282" s="192"/>
      <c r="I282" s="192"/>
      <c r="J282" s="192"/>
      <c r="K282" s="192"/>
      <c r="L282" s="192"/>
    </row>
    <row r="283" spans="1:12" ht="15.75" hidden="1">
      <c r="A283" s="195"/>
      <c r="B283" s="194"/>
      <c r="C283" s="201" t="s">
        <v>2284</v>
      </c>
      <c r="D283" s="201"/>
      <c r="E283" s="202">
        <f>SUM(E276:E282)</f>
        <v>11840.028642887117</v>
      </c>
      <c r="F283" s="192"/>
      <c r="G283" s="192"/>
      <c r="H283" s="192"/>
      <c r="I283" s="192"/>
      <c r="J283" s="192"/>
      <c r="K283" s="192"/>
      <c r="L283" s="192"/>
    </row>
    <row r="284" spans="1:12" ht="15.75" hidden="1">
      <c r="A284" s="195"/>
      <c r="B284" s="194"/>
      <c r="C284" s="201" t="s">
        <v>2285</v>
      </c>
      <c r="D284" s="201"/>
      <c r="E284" s="202">
        <f>E283/D275</f>
        <v>473.60114571548468</v>
      </c>
      <c r="F284" s="192"/>
      <c r="G284" s="192"/>
      <c r="H284" s="192"/>
      <c r="I284" s="192"/>
      <c r="J284" s="192"/>
      <c r="K284" s="192"/>
      <c r="L284" s="192"/>
    </row>
    <row r="285" spans="1:12" hidden="1">
      <c r="A285" s="195"/>
      <c r="B285" s="194"/>
      <c r="C285" s="194"/>
      <c r="D285" s="194"/>
      <c r="E285" s="195"/>
      <c r="F285" s="192"/>
      <c r="G285" s="192"/>
      <c r="H285" s="192"/>
      <c r="I285" s="192"/>
      <c r="J285" s="192"/>
      <c r="K285" s="192"/>
      <c r="L285" s="192"/>
    </row>
    <row r="286" spans="1:12">
      <c r="A286" s="195" t="s">
        <v>2286</v>
      </c>
      <c r="B286" s="194"/>
      <c r="C286" s="194">
        <v>60</v>
      </c>
      <c r="D286" s="211">
        <v>50.96</v>
      </c>
      <c r="E286" s="195"/>
      <c r="F286" s="192"/>
      <c r="G286" s="192"/>
      <c r="H286" s="192"/>
      <c r="I286" s="192"/>
      <c r="J286" s="192"/>
      <c r="K286" s="192"/>
      <c r="L286" s="192"/>
    </row>
    <row r="287" spans="1:12">
      <c r="A287" s="195"/>
      <c r="B287" s="194"/>
      <c r="C287" s="194"/>
      <c r="D287" s="194"/>
      <c r="E287" s="195"/>
      <c r="F287" s="192"/>
      <c r="G287" s="192"/>
      <c r="H287" s="192"/>
      <c r="I287" s="192"/>
      <c r="J287" s="192"/>
      <c r="K287" s="192"/>
      <c r="L287" s="192"/>
    </row>
    <row r="288" spans="1:12">
      <c r="A288" s="195"/>
      <c r="B288" s="194"/>
      <c r="C288" s="194"/>
      <c r="D288" s="194"/>
      <c r="E288" s="195"/>
      <c r="F288" s="192"/>
      <c r="G288" s="192"/>
      <c r="H288" s="192"/>
      <c r="I288" s="192"/>
      <c r="J288" s="192"/>
      <c r="K288" s="192"/>
      <c r="L288" s="192"/>
    </row>
    <row r="289" spans="1:12" ht="15.75">
      <c r="A289" s="196" t="s">
        <v>2287</v>
      </c>
      <c r="B289" s="194"/>
      <c r="C289" s="194"/>
      <c r="D289" s="194"/>
      <c r="E289" s="195"/>
      <c r="F289" s="192"/>
      <c r="G289" s="192"/>
      <c r="H289" s="192"/>
      <c r="I289" s="192"/>
      <c r="J289" s="192"/>
      <c r="K289" s="192"/>
      <c r="L289" s="192"/>
    </row>
    <row r="290" spans="1:12">
      <c r="A290" s="195" t="s">
        <v>2113</v>
      </c>
      <c r="B290" s="194">
        <v>25</v>
      </c>
      <c r="C290" s="194" t="s">
        <v>213</v>
      </c>
      <c r="D290" s="194"/>
      <c r="E290" s="195"/>
      <c r="F290" s="192"/>
      <c r="G290" s="192"/>
      <c r="H290" s="192"/>
      <c r="I290" s="192"/>
      <c r="J290" s="192"/>
      <c r="K290" s="192"/>
      <c r="L290" s="192"/>
    </row>
    <row r="291" spans="1:12">
      <c r="A291" s="195" t="s">
        <v>2288</v>
      </c>
      <c r="B291" s="194">
        <f>(5.65*4*3.28*4+8*2*2*5)/(12*4)</f>
        <v>9.5106666666666673</v>
      </c>
      <c r="C291" s="198" t="s">
        <v>1792</v>
      </c>
      <c r="D291" s="197">
        <f>[12]precios!$D$114</f>
        <v>40</v>
      </c>
      <c r="E291" s="199">
        <f>ROUND(D291*B291,2)</f>
        <v>380.43</v>
      </c>
      <c r="F291" s="192"/>
      <c r="G291" s="192"/>
      <c r="H291" s="192"/>
      <c r="I291" s="192"/>
      <c r="J291" s="192"/>
      <c r="K291" s="192"/>
      <c r="L291" s="192"/>
    </row>
    <row r="292" spans="1:12">
      <c r="A292" s="195" t="s">
        <v>2289</v>
      </c>
      <c r="B292" s="197">
        <v>3</v>
      </c>
      <c r="C292" s="198" t="s">
        <v>218</v>
      </c>
      <c r="D292" s="197">
        <f>[12]precios!$D$260</f>
        <v>21.81</v>
      </c>
      <c r="E292" s="199">
        <f t="shared" ref="E292:E299" si="9">ROUND(D292*B292,2)</f>
        <v>65.430000000000007</v>
      </c>
      <c r="F292" s="192"/>
      <c r="G292" s="192"/>
      <c r="H292" s="192"/>
      <c r="I292" s="192"/>
      <c r="J292" s="192"/>
      <c r="K292" s="192"/>
      <c r="L292" s="192"/>
    </row>
    <row r="293" spans="1:12">
      <c r="A293" s="195" t="s">
        <v>2290</v>
      </c>
      <c r="B293" s="197">
        <v>0.25</v>
      </c>
      <c r="C293" s="198" t="s">
        <v>1479</v>
      </c>
      <c r="D293" s="197">
        <f>[12]precios!$E$18*8</f>
        <v>715.4</v>
      </c>
      <c r="E293" s="199">
        <f t="shared" si="9"/>
        <v>178.85</v>
      </c>
      <c r="F293" s="192"/>
      <c r="G293" s="192"/>
      <c r="H293" s="192"/>
      <c r="I293" s="192"/>
      <c r="J293" s="192"/>
      <c r="K293" s="192"/>
      <c r="L293" s="192"/>
    </row>
    <row r="294" spans="1:12">
      <c r="A294" s="195" t="s">
        <v>2291</v>
      </c>
      <c r="B294" s="197">
        <v>0.1</v>
      </c>
      <c r="C294" s="198" t="s">
        <v>2292</v>
      </c>
      <c r="D294" s="197">
        <f>$D$84/23.83</f>
        <v>2937.4737725556024</v>
      </c>
      <c r="E294" s="199">
        <f t="shared" si="9"/>
        <v>293.75</v>
      </c>
      <c r="F294" s="192"/>
      <c r="G294" s="192"/>
      <c r="H294" s="192"/>
      <c r="I294" s="192"/>
      <c r="J294" s="192"/>
      <c r="K294" s="192"/>
      <c r="L294" s="192"/>
    </row>
    <row r="295" spans="1:12">
      <c r="A295" s="195" t="s">
        <v>2293</v>
      </c>
      <c r="B295" s="197">
        <v>0.2</v>
      </c>
      <c r="C295" s="198" t="s">
        <v>1479</v>
      </c>
      <c r="D295" s="197">
        <f>[12]precios!$E$34*8</f>
        <v>375.9966428871171</v>
      </c>
      <c r="E295" s="199">
        <f t="shared" si="9"/>
        <v>75.2</v>
      </c>
      <c r="F295" s="192"/>
      <c r="G295" s="192"/>
      <c r="H295" s="192"/>
      <c r="I295" s="192"/>
      <c r="J295" s="192"/>
      <c r="K295" s="192"/>
      <c r="L295" s="192"/>
    </row>
    <row r="296" spans="1:12">
      <c r="A296" s="195" t="s">
        <v>210</v>
      </c>
      <c r="B296" s="197">
        <v>0.25</v>
      </c>
      <c r="C296" s="198" t="s">
        <v>755</v>
      </c>
      <c r="D296" s="197">
        <f>[12]precios!$D$137</f>
        <v>350</v>
      </c>
      <c r="E296" s="199">
        <f t="shared" si="9"/>
        <v>87.5</v>
      </c>
      <c r="F296" s="192"/>
      <c r="G296" s="192"/>
      <c r="H296" s="192"/>
      <c r="I296" s="192"/>
      <c r="J296" s="192"/>
      <c r="K296" s="192"/>
      <c r="L296" s="192"/>
    </row>
    <row r="297" spans="1:12">
      <c r="A297" s="195" t="s">
        <v>2294</v>
      </c>
      <c r="B297" s="194">
        <v>0.05</v>
      </c>
      <c r="C297" s="198" t="s">
        <v>1110</v>
      </c>
      <c r="D297" s="197">
        <v>60</v>
      </c>
      <c r="E297" s="199">
        <f t="shared" si="9"/>
        <v>3</v>
      </c>
      <c r="F297" s="192"/>
      <c r="G297" s="192"/>
      <c r="H297" s="192"/>
      <c r="I297" s="192"/>
      <c r="J297" s="192"/>
      <c r="K297" s="192"/>
      <c r="L297" s="192"/>
    </row>
    <row r="298" spans="1:12">
      <c r="A298" s="230" t="str">
        <f>+[12]precios!B399</f>
        <v>Labores auxiliares</v>
      </c>
      <c r="B298" s="194">
        <f>SUM(E291:E297)</f>
        <v>1084.1600000000001</v>
      </c>
      <c r="C298" s="198" t="s">
        <v>48</v>
      </c>
      <c r="D298" s="231">
        <f>+[12]precios!$D$399</f>
        <v>0.01</v>
      </c>
      <c r="E298" s="199">
        <f t="shared" si="9"/>
        <v>10.84</v>
      </c>
      <c r="F298" s="192"/>
      <c r="G298" s="192"/>
      <c r="H298" s="192"/>
      <c r="I298" s="192"/>
      <c r="J298" s="192"/>
      <c r="K298" s="192"/>
      <c r="L298" s="192"/>
    </row>
    <row r="299" spans="1:12">
      <c r="A299" s="230" t="str">
        <f>+[12]precios!B400</f>
        <v>Herramientas y equipos</v>
      </c>
      <c r="B299" s="194">
        <f>+B298</f>
        <v>1084.1600000000001</v>
      </c>
      <c r="C299" s="198" t="s">
        <v>48</v>
      </c>
      <c r="D299" s="231">
        <f>+[12]precios!$D$400</f>
        <v>5.0000000000000001E-3</v>
      </c>
      <c r="E299" s="199">
        <f t="shared" si="9"/>
        <v>5.42</v>
      </c>
      <c r="F299" s="192"/>
      <c r="G299" s="192"/>
      <c r="H299" s="192"/>
      <c r="I299" s="192"/>
      <c r="J299" s="192"/>
      <c r="K299" s="192"/>
      <c r="L299" s="192"/>
    </row>
    <row r="300" spans="1:12" ht="15.75">
      <c r="A300" s="195"/>
      <c r="B300" s="194"/>
      <c r="C300" s="194"/>
      <c r="D300" s="201" t="s">
        <v>2090</v>
      </c>
      <c r="E300" s="202">
        <f>SUM(E291:E299)</f>
        <v>1100.42</v>
      </c>
      <c r="F300" s="192"/>
      <c r="G300" s="192"/>
      <c r="H300" s="192"/>
      <c r="I300" s="192"/>
      <c r="J300" s="192"/>
      <c r="K300" s="192"/>
      <c r="L300" s="192"/>
    </row>
    <row r="301" spans="1:12" ht="15.75">
      <c r="A301" s="195"/>
      <c r="B301" s="194"/>
      <c r="C301" s="194"/>
      <c r="D301" s="201" t="s">
        <v>2295</v>
      </c>
      <c r="E301" s="202">
        <f>ROUND(E300/25,2)</f>
        <v>44.02</v>
      </c>
      <c r="F301" s="192"/>
      <c r="G301" s="192"/>
      <c r="H301" s="192"/>
      <c r="I301" s="192"/>
      <c r="J301" s="192"/>
      <c r="K301" s="192"/>
      <c r="L301" s="192"/>
    </row>
    <row r="302" spans="1:12" hidden="1">
      <c r="A302" s="195"/>
      <c r="B302" s="194"/>
      <c r="C302" s="194"/>
      <c r="D302" s="194"/>
      <c r="E302" s="195"/>
      <c r="F302" s="192"/>
      <c r="G302" s="192"/>
      <c r="H302" s="192"/>
      <c r="I302" s="192"/>
      <c r="J302" s="192"/>
      <c r="K302" s="192"/>
      <c r="L302" s="192"/>
    </row>
    <row r="303" spans="1:12" ht="15.75" hidden="1">
      <c r="A303" s="196" t="s">
        <v>2296</v>
      </c>
      <c r="B303" s="194"/>
      <c r="C303" s="194"/>
      <c r="D303" s="194"/>
      <c r="E303" s="195"/>
      <c r="F303" s="192"/>
      <c r="G303" s="192"/>
      <c r="H303" s="192"/>
      <c r="I303" s="192"/>
      <c r="J303" s="192"/>
      <c r="K303" s="192"/>
      <c r="L303" s="192"/>
    </row>
    <row r="304" spans="1:12" hidden="1">
      <c r="A304" s="195" t="s">
        <v>2113</v>
      </c>
      <c r="B304" s="194"/>
      <c r="C304" s="194"/>
      <c r="D304" s="194"/>
      <c r="E304" s="195"/>
      <c r="F304" s="192"/>
      <c r="G304" s="192"/>
      <c r="H304" s="192"/>
      <c r="I304" s="192"/>
      <c r="J304" s="192"/>
      <c r="K304" s="192"/>
      <c r="L304" s="192"/>
    </row>
    <row r="305" spans="1:12" hidden="1">
      <c r="A305" s="195" t="s">
        <v>2297</v>
      </c>
      <c r="B305" s="194">
        <v>8</v>
      </c>
      <c r="C305" s="194" t="s">
        <v>2224</v>
      </c>
      <c r="D305" s="197">
        <v>43.75</v>
      </c>
      <c r="E305" s="199">
        <f>D305*B305</f>
        <v>350</v>
      </c>
      <c r="F305" s="192"/>
      <c r="G305" s="192"/>
      <c r="H305" s="192"/>
      <c r="I305" s="192"/>
      <c r="J305" s="192"/>
      <c r="K305" s="192"/>
      <c r="L305" s="192"/>
    </row>
    <row r="306" spans="1:12" hidden="1">
      <c r="A306" s="195" t="s">
        <v>2298</v>
      </c>
      <c r="B306" s="194">
        <v>8</v>
      </c>
      <c r="C306" s="194" t="s">
        <v>2224</v>
      </c>
      <c r="D306" s="197">
        <v>31.25</v>
      </c>
      <c r="E306" s="199">
        <f>D306*B306</f>
        <v>250</v>
      </c>
      <c r="F306" s="192"/>
      <c r="G306" s="192"/>
      <c r="H306" s="192"/>
      <c r="I306" s="192"/>
      <c r="J306" s="192"/>
      <c r="K306" s="192"/>
      <c r="L306" s="192"/>
    </row>
    <row r="307" spans="1:12" hidden="1">
      <c r="A307" s="195" t="s">
        <v>2299</v>
      </c>
      <c r="B307" s="194">
        <v>8</v>
      </c>
      <c r="C307" s="194" t="s">
        <v>2224</v>
      </c>
      <c r="D307" s="197">
        <v>20.329999999999998</v>
      </c>
      <c r="E307" s="199">
        <f>D307*B307</f>
        <v>162.63999999999999</v>
      </c>
      <c r="F307" s="192"/>
      <c r="G307" s="192"/>
      <c r="H307" s="192"/>
      <c r="I307" s="192"/>
      <c r="J307" s="192"/>
      <c r="K307" s="192"/>
      <c r="L307" s="192"/>
    </row>
    <row r="308" spans="1:12" hidden="1">
      <c r="A308" s="195" t="s">
        <v>2225</v>
      </c>
      <c r="B308" s="194">
        <v>16</v>
      </c>
      <c r="C308" s="194" t="s">
        <v>2224</v>
      </c>
      <c r="D308" s="197">
        <v>19.34</v>
      </c>
      <c r="E308" s="199">
        <f>D308*B308</f>
        <v>309.44</v>
      </c>
      <c r="F308" s="192"/>
      <c r="G308" s="192"/>
      <c r="H308" s="192"/>
      <c r="I308" s="192"/>
      <c r="J308" s="192"/>
      <c r="K308" s="192"/>
      <c r="L308" s="192"/>
    </row>
    <row r="309" spans="1:12" hidden="1">
      <c r="A309" s="195"/>
      <c r="B309" s="194"/>
      <c r="C309" s="194"/>
      <c r="D309" s="194"/>
      <c r="E309" s="232">
        <f>SUM(E305:E308)</f>
        <v>1072.08</v>
      </c>
      <c r="F309" s="192"/>
      <c r="G309" s="192"/>
      <c r="H309" s="192"/>
      <c r="I309" s="192"/>
      <c r="J309" s="192"/>
      <c r="K309" s="192"/>
      <c r="L309" s="192"/>
    </row>
    <row r="310" spans="1:12" hidden="1">
      <c r="A310" s="195"/>
      <c r="B310" s="194"/>
      <c r="C310" s="194"/>
      <c r="D310" s="194"/>
      <c r="E310" s="195"/>
      <c r="F310" s="192"/>
      <c r="G310" s="192"/>
      <c r="H310" s="192"/>
      <c r="I310" s="192"/>
      <c r="J310" s="192"/>
      <c r="K310" s="192"/>
      <c r="L310" s="192"/>
    </row>
    <row r="311" spans="1:12">
      <c r="B311" s="190"/>
      <c r="C311" s="190"/>
      <c r="D311" s="190"/>
      <c r="F311" s="192"/>
      <c r="G311" s="192"/>
      <c r="H311" s="192"/>
      <c r="I311" s="192"/>
      <c r="J311" s="192"/>
      <c r="K311" s="192"/>
      <c r="L311" s="192"/>
    </row>
    <row r="312" spans="1:12">
      <c r="F312" s="192"/>
      <c r="G312" s="192"/>
      <c r="H312" s="192"/>
      <c r="I312" s="192"/>
      <c r="J312" s="192"/>
      <c r="K312" s="192"/>
      <c r="L312" s="192"/>
    </row>
    <row r="313" spans="1:12">
      <c r="F313" s="192"/>
      <c r="G313" s="192"/>
      <c r="H313" s="192"/>
      <c r="I313" s="192"/>
      <c r="J313" s="192"/>
      <c r="K313" s="192"/>
      <c r="L313" s="192"/>
    </row>
    <row r="314" spans="1:12">
      <c r="A314" s="233"/>
      <c r="F314" s="192"/>
      <c r="G314" s="192"/>
      <c r="H314" s="192"/>
      <c r="I314" s="192"/>
      <c r="J314" s="192"/>
      <c r="K314" s="192"/>
      <c r="L314" s="192"/>
    </row>
    <row r="315" spans="1:12">
      <c r="A315" s="234" t="s">
        <v>514</v>
      </c>
      <c r="B315" s="235" t="s">
        <v>515</v>
      </c>
      <c r="C315" s="234" t="s">
        <v>2069</v>
      </c>
      <c r="D315" s="235" t="s">
        <v>2300</v>
      </c>
      <c r="E315" s="235" t="s">
        <v>2118</v>
      </c>
      <c r="F315" s="192"/>
      <c r="G315" s="192"/>
      <c r="H315" s="192"/>
      <c r="I315" s="192"/>
      <c r="J315" s="192"/>
      <c r="K315" s="192"/>
      <c r="L315" s="192"/>
    </row>
    <row r="316" spans="1:12">
      <c r="A316" s="236"/>
      <c r="B316" s="237"/>
      <c r="C316" s="238"/>
      <c r="D316" s="237"/>
      <c r="E316" s="237"/>
      <c r="F316" s="192"/>
      <c r="G316" s="192"/>
      <c r="H316" s="192"/>
      <c r="I316" s="192"/>
      <c r="J316" s="192"/>
      <c r="K316" s="192"/>
      <c r="L316" s="192"/>
    </row>
    <row r="317" spans="1:12">
      <c r="A317" s="239" t="s">
        <v>2301</v>
      </c>
      <c r="B317" s="237"/>
      <c r="C317" s="238"/>
      <c r="D317" s="237"/>
      <c r="E317" s="237"/>
      <c r="F317" s="192"/>
      <c r="G317" s="192"/>
      <c r="H317" s="192"/>
      <c r="I317" s="192"/>
      <c r="J317" s="192"/>
      <c r="K317" s="192"/>
      <c r="L317" s="192"/>
    </row>
    <row r="318" spans="1:12">
      <c r="A318" s="239"/>
      <c r="B318" s="237"/>
      <c r="C318" s="238"/>
      <c r="D318" s="237"/>
      <c r="E318" s="237"/>
      <c r="F318" s="192"/>
      <c r="G318" s="192"/>
      <c r="H318" s="192"/>
      <c r="I318" s="192"/>
      <c r="J318" s="192"/>
      <c r="K318" s="192"/>
      <c r="L318" s="192"/>
    </row>
    <row r="319" spans="1:12">
      <c r="A319" s="236" t="s">
        <v>2302</v>
      </c>
      <c r="B319" s="237"/>
      <c r="C319" s="238"/>
      <c r="D319" s="237"/>
      <c r="E319" s="237"/>
      <c r="F319" s="192"/>
      <c r="G319" s="192"/>
      <c r="H319" s="192"/>
      <c r="I319" s="192"/>
      <c r="J319" s="192"/>
      <c r="K319" s="192"/>
      <c r="L319" s="192"/>
    </row>
    <row r="320" spans="1:12">
      <c r="A320" s="236"/>
      <c r="B320" s="237"/>
      <c r="C320" s="238"/>
      <c r="D320" s="237"/>
      <c r="E320" s="237"/>
      <c r="F320" s="192"/>
      <c r="G320" s="192"/>
      <c r="H320" s="192"/>
      <c r="I320" s="192"/>
      <c r="J320" s="192"/>
      <c r="K320" s="192"/>
      <c r="L320" s="192"/>
    </row>
    <row r="321" spans="1:12">
      <c r="A321" s="236" t="s">
        <v>2303</v>
      </c>
      <c r="B321" s="237">
        <v>8</v>
      </c>
      <c r="C321" s="238" t="s">
        <v>2304</v>
      </c>
      <c r="D321" s="237">
        <f>[12]precios!E42</f>
        <v>62.999999999999993</v>
      </c>
      <c r="E321" s="237">
        <f>D321*B321</f>
        <v>503.99999999999994</v>
      </c>
      <c r="F321" s="192"/>
      <c r="G321" s="192"/>
      <c r="H321" s="192"/>
      <c r="I321" s="192"/>
      <c r="J321" s="192"/>
      <c r="K321" s="192"/>
      <c r="L321" s="192"/>
    </row>
    <row r="322" spans="1:12">
      <c r="A322" s="236" t="s">
        <v>2305</v>
      </c>
      <c r="B322" s="237">
        <v>8</v>
      </c>
      <c r="C322" s="238" t="s">
        <v>2304</v>
      </c>
      <c r="D322" s="237">
        <f>[12]precios!E43</f>
        <v>111.82499999999999</v>
      </c>
      <c r="E322" s="237">
        <f t="shared" ref="E322:E328" si="10">D322*B322</f>
        <v>894.59999999999991</v>
      </c>
      <c r="F322" s="192"/>
      <c r="G322" s="192"/>
      <c r="H322" s="192"/>
      <c r="I322" s="192"/>
      <c r="J322" s="192"/>
      <c r="K322" s="192"/>
      <c r="L322" s="192"/>
    </row>
    <row r="323" spans="1:12">
      <c r="A323" s="236" t="s">
        <v>2306</v>
      </c>
      <c r="B323" s="237">
        <v>8</v>
      </c>
      <c r="C323" s="238" t="s">
        <v>2304</v>
      </c>
      <c r="D323" s="237">
        <f>[12]precios!E44</f>
        <v>24.961999999999996</v>
      </c>
      <c r="E323" s="237">
        <f t="shared" si="10"/>
        <v>199.69599999999997</v>
      </c>
      <c r="F323" s="192"/>
      <c r="G323" s="192"/>
      <c r="H323" s="192"/>
      <c r="I323" s="192"/>
      <c r="J323" s="192"/>
      <c r="K323" s="192"/>
      <c r="L323" s="192"/>
    </row>
    <row r="324" spans="1:12">
      <c r="A324" s="236" t="s">
        <v>2307</v>
      </c>
      <c r="B324" s="237">
        <v>8</v>
      </c>
      <c r="C324" s="238" t="s">
        <v>2304</v>
      </c>
      <c r="D324" s="237">
        <f>[12]precios!E47</f>
        <v>24.961999999999996</v>
      </c>
      <c r="E324" s="237">
        <f t="shared" si="10"/>
        <v>199.69599999999997</v>
      </c>
      <c r="F324" s="192"/>
      <c r="G324" s="192"/>
      <c r="H324" s="192"/>
      <c r="I324" s="192"/>
      <c r="J324" s="192"/>
      <c r="K324" s="192"/>
      <c r="L324" s="192"/>
    </row>
    <row r="325" spans="1:12">
      <c r="A325" s="236" t="s">
        <v>2308</v>
      </c>
      <c r="B325" s="237">
        <v>8</v>
      </c>
      <c r="C325" s="238" t="s">
        <v>2304</v>
      </c>
      <c r="D325" s="237">
        <f>[12]precios!E48</f>
        <v>27.146000000000001</v>
      </c>
      <c r="E325" s="237">
        <f t="shared" si="10"/>
        <v>217.16800000000001</v>
      </c>
      <c r="F325" s="192"/>
      <c r="G325" s="192"/>
      <c r="H325" s="192"/>
      <c r="I325" s="192"/>
      <c r="J325" s="192"/>
      <c r="K325" s="192"/>
      <c r="L325" s="192"/>
    </row>
    <row r="326" spans="1:12">
      <c r="A326" s="236" t="s">
        <v>2309</v>
      </c>
      <c r="B326" s="237">
        <v>8</v>
      </c>
      <c r="C326" s="238" t="s">
        <v>2304</v>
      </c>
      <c r="D326" s="237">
        <f>[12]precios!E49</f>
        <v>23.323999999999998</v>
      </c>
      <c r="E326" s="237">
        <f t="shared" si="10"/>
        <v>186.59199999999998</v>
      </c>
      <c r="F326" s="192"/>
      <c r="G326" s="192"/>
      <c r="H326" s="192"/>
      <c r="I326" s="192"/>
      <c r="J326" s="192"/>
      <c r="K326" s="192"/>
      <c r="L326" s="192"/>
    </row>
    <row r="327" spans="1:12">
      <c r="A327" s="236" t="s">
        <v>2310</v>
      </c>
      <c r="B327" s="237">
        <v>8</v>
      </c>
      <c r="C327" s="238" t="s">
        <v>2304</v>
      </c>
      <c r="D327" s="237">
        <f>[12]precios!E50</f>
        <v>8.26</v>
      </c>
      <c r="E327" s="237">
        <f t="shared" si="10"/>
        <v>66.08</v>
      </c>
      <c r="F327" s="192"/>
      <c r="G327" s="192"/>
      <c r="H327" s="192"/>
      <c r="I327" s="192"/>
      <c r="J327" s="192"/>
      <c r="K327" s="192"/>
      <c r="L327" s="192"/>
    </row>
    <row r="328" spans="1:12">
      <c r="A328" s="236" t="s">
        <v>2311</v>
      </c>
      <c r="B328" s="237">
        <v>16</v>
      </c>
      <c r="C328" s="238" t="s">
        <v>2304</v>
      </c>
      <c r="D328" s="237">
        <v>17.22</v>
      </c>
      <c r="E328" s="237">
        <f t="shared" si="10"/>
        <v>275.52</v>
      </c>
      <c r="F328" s="192"/>
      <c r="G328" s="192"/>
      <c r="H328" s="192"/>
      <c r="I328" s="192"/>
      <c r="J328" s="192"/>
      <c r="K328" s="192"/>
      <c r="L328" s="192"/>
    </row>
    <row r="329" spans="1:12" ht="15.75">
      <c r="A329" s="240"/>
      <c r="B329" s="237"/>
      <c r="C329" s="238"/>
      <c r="D329" s="237"/>
      <c r="E329" s="237"/>
      <c r="F329" s="192"/>
      <c r="G329" s="192"/>
      <c r="H329" s="192"/>
      <c r="I329" s="192"/>
      <c r="J329" s="192"/>
      <c r="K329" s="192"/>
      <c r="L329" s="192"/>
    </row>
    <row r="330" spans="1:12">
      <c r="A330" s="236"/>
      <c r="B330" s="237"/>
      <c r="C330" s="238"/>
      <c r="D330" s="237"/>
      <c r="E330" s="237"/>
      <c r="F330" s="192"/>
      <c r="G330" s="192"/>
      <c r="H330" s="192"/>
      <c r="I330" s="192"/>
      <c r="J330" s="192"/>
      <c r="K330" s="192"/>
      <c r="L330" s="192"/>
    </row>
    <row r="331" spans="1:12">
      <c r="A331" s="241" t="s">
        <v>2312</v>
      </c>
      <c r="B331" s="237"/>
      <c r="C331" s="238"/>
      <c r="D331" s="237"/>
      <c r="E331" s="237">
        <f>SUM(E321:E328)</f>
        <v>2543.3519999999999</v>
      </c>
      <c r="F331" s="192"/>
      <c r="G331" s="192"/>
      <c r="H331" s="192"/>
      <c r="I331" s="192"/>
      <c r="J331" s="192"/>
      <c r="K331" s="192"/>
      <c r="L331" s="192"/>
    </row>
    <row r="332" spans="1:12">
      <c r="A332" s="241"/>
      <c r="B332" s="237"/>
      <c r="C332" s="238"/>
      <c r="D332" s="237"/>
      <c r="E332" s="237"/>
      <c r="F332" s="192"/>
      <c r="G332" s="192"/>
      <c r="H332" s="192"/>
      <c r="I332" s="192"/>
      <c r="J332" s="192"/>
      <c r="K332" s="192"/>
      <c r="L332" s="192"/>
    </row>
    <row r="333" spans="1:12">
      <c r="A333" s="241" t="s">
        <v>2313</v>
      </c>
      <c r="B333" s="237"/>
      <c r="C333" s="242"/>
      <c r="D333" s="237"/>
      <c r="E333" s="237">
        <f>E331*23.83</f>
        <v>60608.07815999999</v>
      </c>
      <c r="F333" s="192"/>
      <c r="G333" s="192"/>
      <c r="H333" s="192"/>
      <c r="I333" s="192"/>
      <c r="J333" s="192"/>
      <c r="K333" s="192"/>
      <c r="L333" s="192"/>
    </row>
    <row r="334" spans="1:12">
      <c r="A334" s="236"/>
      <c r="B334" s="237"/>
      <c r="C334" s="238"/>
      <c r="D334" s="237"/>
      <c r="E334" s="237"/>
      <c r="F334" s="192"/>
      <c r="G334" s="192"/>
      <c r="H334" s="192"/>
      <c r="I334" s="192"/>
      <c r="J334" s="192"/>
      <c r="K334" s="192"/>
      <c r="L334" s="192"/>
    </row>
    <row r="335" spans="1:12" ht="15.75">
      <c r="A335" s="240" t="s">
        <v>2314</v>
      </c>
      <c r="B335" s="243">
        <v>6</v>
      </c>
      <c r="C335" s="244" t="s">
        <v>2315</v>
      </c>
      <c r="D335" s="243"/>
      <c r="E335" s="243">
        <f>E333*B335</f>
        <v>363648.46895999997</v>
      </c>
      <c r="F335" s="192"/>
      <c r="G335" s="192"/>
      <c r="H335" s="192"/>
      <c r="I335" s="192"/>
      <c r="J335" s="192"/>
      <c r="K335" s="192"/>
      <c r="L335" s="192"/>
    </row>
    <row r="336" spans="1:12">
      <c r="A336" s="236"/>
      <c r="B336" s="237"/>
      <c r="C336" s="238"/>
      <c r="D336" s="237"/>
      <c r="E336" s="237"/>
      <c r="F336" s="192"/>
      <c r="G336" s="192"/>
      <c r="H336" s="192"/>
      <c r="I336" s="192"/>
      <c r="J336" s="192"/>
      <c r="K336" s="192"/>
      <c r="L336" s="192"/>
    </row>
    <row r="337" spans="1:12" ht="15.75">
      <c r="A337" s="240" t="s">
        <v>2316</v>
      </c>
      <c r="B337" s="237"/>
      <c r="C337" s="238"/>
      <c r="D337" s="237"/>
      <c r="E337" s="237"/>
      <c r="F337" s="192"/>
      <c r="G337" s="192"/>
      <c r="H337" s="192"/>
      <c r="I337" s="192"/>
      <c r="J337" s="192"/>
      <c r="K337" s="192"/>
      <c r="L337" s="192"/>
    </row>
    <row r="338" spans="1:12">
      <c r="A338" s="236"/>
      <c r="B338" s="237"/>
      <c r="C338" s="238"/>
      <c r="D338" s="237"/>
      <c r="E338" s="237"/>
      <c r="F338" s="192"/>
      <c r="G338" s="192"/>
      <c r="H338" s="192"/>
      <c r="I338" s="192"/>
      <c r="J338" s="192"/>
      <c r="K338" s="192"/>
      <c r="L338" s="192"/>
    </row>
    <row r="339" spans="1:12">
      <c r="A339" s="236" t="s">
        <v>2303</v>
      </c>
      <c r="B339" s="237">
        <v>1264.75</v>
      </c>
      <c r="C339" s="238" t="s">
        <v>1806</v>
      </c>
      <c r="D339" s="237">
        <v>0.54</v>
      </c>
      <c r="E339" s="237">
        <f t="shared" ref="E339:E344" si="11">D339*B339</f>
        <v>682.96500000000003</v>
      </c>
      <c r="F339" s="192"/>
      <c r="G339" s="192"/>
      <c r="H339" s="192"/>
      <c r="I339" s="192"/>
      <c r="J339" s="192"/>
      <c r="K339" s="192"/>
      <c r="L339" s="192"/>
    </row>
    <row r="340" spans="1:12">
      <c r="A340" s="236" t="s">
        <v>2305</v>
      </c>
      <c r="B340" s="237">
        <f>B339</f>
        <v>1264.75</v>
      </c>
      <c r="C340" s="238" t="s">
        <v>1806</v>
      </c>
      <c r="D340" s="237">
        <v>0.9</v>
      </c>
      <c r="E340" s="237">
        <f t="shared" si="11"/>
        <v>1138.2750000000001</v>
      </c>
      <c r="F340" s="192"/>
      <c r="G340" s="192"/>
      <c r="H340" s="192"/>
      <c r="I340" s="192"/>
      <c r="J340" s="192"/>
      <c r="K340" s="192"/>
      <c r="L340" s="192"/>
    </row>
    <row r="341" spans="1:12">
      <c r="A341" s="236" t="s">
        <v>2309</v>
      </c>
      <c r="B341" s="237">
        <f>B340</f>
        <v>1264.75</v>
      </c>
      <c r="C341" s="238" t="s">
        <v>1806</v>
      </c>
      <c r="D341" s="237">
        <v>1.8</v>
      </c>
      <c r="E341" s="237">
        <f t="shared" si="11"/>
        <v>2276.5500000000002</v>
      </c>
      <c r="F341" s="192"/>
      <c r="G341" s="192"/>
      <c r="H341" s="192"/>
      <c r="I341" s="192"/>
      <c r="J341" s="192"/>
      <c r="K341" s="192"/>
      <c r="L341" s="192"/>
    </row>
    <row r="342" spans="1:12">
      <c r="A342" s="236" t="s">
        <v>2310</v>
      </c>
      <c r="B342" s="237">
        <f>B341</f>
        <v>1264.75</v>
      </c>
      <c r="C342" s="238" t="s">
        <v>1806</v>
      </c>
      <c r="D342" s="237">
        <v>2</v>
      </c>
      <c r="E342" s="237">
        <f t="shared" si="11"/>
        <v>2529.5</v>
      </c>
      <c r="F342" s="192"/>
      <c r="G342" s="192"/>
      <c r="H342" s="192"/>
      <c r="I342" s="192"/>
      <c r="J342" s="192"/>
      <c r="K342" s="192"/>
      <c r="L342" s="192"/>
    </row>
    <row r="343" spans="1:12">
      <c r="A343" s="236" t="s">
        <v>2311</v>
      </c>
      <c r="B343" s="237">
        <v>180</v>
      </c>
      <c r="C343" s="238" t="s">
        <v>2317</v>
      </c>
      <c r="D343" s="237">
        <v>61.35</v>
      </c>
      <c r="E343" s="237">
        <f t="shared" si="11"/>
        <v>11043</v>
      </c>
      <c r="F343" s="192"/>
      <c r="G343" s="192"/>
      <c r="H343" s="192"/>
      <c r="I343" s="192"/>
      <c r="J343" s="192"/>
      <c r="K343" s="192"/>
      <c r="L343" s="192"/>
    </row>
    <row r="344" spans="1:12">
      <c r="A344" s="236" t="s">
        <v>2308</v>
      </c>
      <c r="B344" s="237">
        <v>15</v>
      </c>
      <c r="C344" s="238" t="s">
        <v>2318</v>
      </c>
      <c r="D344" s="237">
        <v>27</v>
      </c>
      <c r="E344" s="237">
        <f t="shared" si="11"/>
        <v>405</v>
      </c>
      <c r="F344" s="192"/>
      <c r="G344" s="192"/>
      <c r="H344" s="192"/>
      <c r="I344" s="192"/>
      <c r="J344" s="192"/>
      <c r="K344" s="192"/>
      <c r="L344" s="192"/>
    </row>
    <row r="345" spans="1:12">
      <c r="A345" s="236"/>
      <c r="B345" s="237"/>
      <c r="C345" s="238"/>
      <c r="D345" s="237"/>
      <c r="E345" s="237"/>
      <c r="F345" s="192"/>
      <c r="G345" s="192"/>
      <c r="H345" s="192"/>
      <c r="I345" s="192"/>
      <c r="J345" s="192"/>
      <c r="K345" s="192"/>
      <c r="L345" s="192"/>
    </row>
    <row r="346" spans="1:12">
      <c r="A346" s="236"/>
      <c r="B346" s="237"/>
      <c r="C346" s="238"/>
      <c r="D346" s="237"/>
      <c r="E346" s="237"/>
      <c r="F346" s="192"/>
      <c r="G346" s="192"/>
      <c r="H346" s="192"/>
      <c r="I346" s="192"/>
      <c r="J346" s="192"/>
      <c r="K346" s="192"/>
      <c r="L346" s="192"/>
    </row>
    <row r="347" spans="1:12" ht="15.75">
      <c r="A347" s="240" t="s">
        <v>2319</v>
      </c>
      <c r="B347" s="237"/>
      <c r="C347" s="238"/>
      <c r="D347" s="237"/>
      <c r="E347" s="243">
        <f>SUM(E339:E346)</f>
        <v>18075.29</v>
      </c>
      <c r="F347" s="192"/>
      <c r="G347" s="192"/>
      <c r="H347" s="192"/>
      <c r="I347" s="192"/>
      <c r="J347" s="192"/>
      <c r="K347" s="192"/>
      <c r="L347" s="192"/>
    </row>
    <row r="348" spans="1:12">
      <c r="A348" s="236"/>
      <c r="B348" s="237"/>
      <c r="C348" s="238"/>
      <c r="D348" s="237"/>
      <c r="E348" s="237"/>
      <c r="F348" s="192"/>
      <c r="G348" s="192"/>
      <c r="H348" s="192"/>
      <c r="I348" s="192"/>
      <c r="J348" s="192"/>
      <c r="K348" s="192"/>
      <c r="L348" s="192"/>
    </row>
    <row r="349" spans="1:12" ht="15.75">
      <c r="A349" s="240" t="s">
        <v>2320</v>
      </c>
      <c r="B349" s="237"/>
      <c r="C349" s="238"/>
      <c r="D349" s="237"/>
      <c r="E349" s="237"/>
      <c r="F349" s="192"/>
      <c r="G349" s="192"/>
      <c r="H349" s="192"/>
      <c r="I349" s="192"/>
      <c r="J349" s="192"/>
      <c r="K349" s="192"/>
      <c r="L349" s="192"/>
    </row>
    <row r="350" spans="1:12">
      <c r="A350" s="236"/>
      <c r="B350" s="237"/>
      <c r="C350" s="238"/>
      <c r="D350" s="237"/>
      <c r="E350" s="237"/>
      <c r="F350" s="192"/>
      <c r="G350" s="192"/>
      <c r="H350" s="192"/>
      <c r="I350" s="192"/>
      <c r="J350" s="192"/>
      <c r="K350" s="192"/>
      <c r="L350" s="192"/>
    </row>
    <row r="351" spans="1:12">
      <c r="A351" s="236" t="s">
        <v>2321</v>
      </c>
      <c r="B351" s="237">
        <f>5*4*23.83*5</f>
        <v>2383</v>
      </c>
      <c r="C351" s="238" t="s">
        <v>2322</v>
      </c>
      <c r="D351" s="237">
        <f>[12]precios!D69</f>
        <v>145</v>
      </c>
      <c r="E351" s="237">
        <f>D351*B351</f>
        <v>345535</v>
      </c>
      <c r="F351" s="192"/>
      <c r="G351" s="192"/>
      <c r="H351" s="192"/>
      <c r="I351" s="192"/>
      <c r="J351" s="192"/>
      <c r="K351" s="192"/>
      <c r="L351" s="192"/>
    </row>
    <row r="352" spans="1:12">
      <c r="A352" s="236" t="s">
        <v>2323</v>
      </c>
      <c r="B352" s="237">
        <v>48</v>
      </c>
      <c r="C352" s="238" t="s">
        <v>2322</v>
      </c>
      <c r="D352" s="237">
        <f>D351</f>
        <v>145</v>
      </c>
      <c r="E352" s="237">
        <f>D352*B352</f>
        <v>6960</v>
      </c>
      <c r="F352" s="192"/>
      <c r="G352" s="192"/>
      <c r="H352" s="192"/>
      <c r="I352" s="192"/>
      <c r="J352" s="192"/>
      <c r="K352" s="192"/>
      <c r="L352" s="192"/>
    </row>
    <row r="353" spans="1:12">
      <c r="A353" s="236" t="s">
        <v>2324</v>
      </c>
      <c r="B353" s="237">
        <f>4*4*23.83*5</f>
        <v>1906.3999999999999</v>
      </c>
      <c r="C353" s="238" t="s">
        <v>2322</v>
      </c>
      <c r="D353" s="237">
        <f>D352</f>
        <v>145</v>
      </c>
      <c r="E353" s="237">
        <f>D353*B353</f>
        <v>276428</v>
      </c>
      <c r="F353" s="192"/>
      <c r="G353" s="192"/>
      <c r="H353" s="192"/>
      <c r="I353" s="192"/>
      <c r="J353" s="192"/>
      <c r="K353" s="192"/>
      <c r="L353" s="192"/>
    </row>
    <row r="354" spans="1:12">
      <c r="A354" s="236" t="s">
        <v>1814</v>
      </c>
      <c r="B354" s="237">
        <v>1</v>
      </c>
      <c r="C354" s="238" t="s">
        <v>48</v>
      </c>
      <c r="D354" s="245">
        <f>SUM(E351:E353)*0.2</f>
        <v>125784.6</v>
      </c>
      <c r="E354" s="237">
        <f>D354*B354</f>
        <v>125784.6</v>
      </c>
      <c r="F354" s="192"/>
      <c r="G354" s="192"/>
      <c r="H354" s="192"/>
      <c r="I354" s="192"/>
      <c r="J354" s="192"/>
      <c r="K354" s="192"/>
      <c r="L354" s="192"/>
    </row>
    <row r="355" spans="1:12">
      <c r="A355" s="236"/>
      <c r="B355" s="237"/>
      <c r="C355" s="238"/>
      <c r="D355" s="237"/>
      <c r="E355" s="237"/>
      <c r="F355" s="192"/>
      <c r="G355" s="192"/>
      <c r="H355" s="192"/>
      <c r="I355" s="192"/>
      <c r="J355" s="192"/>
      <c r="K355" s="192"/>
      <c r="L355" s="192"/>
    </row>
    <row r="356" spans="1:12" ht="15.75">
      <c r="A356" s="240" t="s">
        <v>2325</v>
      </c>
      <c r="B356" s="237"/>
      <c r="C356" s="238"/>
      <c r="D356" s="237"/>
      <c r="E356" s="243">
        <f>SUM(E351:E355)</f>
        <v>754707.6</v>
      </c>
      <c r="F356" s="192"/>
      <c r="G356" s="192"/>
      <c r="H356" s="192"/>
      <c r="I356" s="192"/>
      <c r="J356" s="192"/>
      <c r="K356" s="192"/>
      <c r="L356" s="192"/>
    </row>
    <row r="357" spans="1:12">
      <c r="A357" s="236"/>
      <c r="B357" s="237"/>
      <c r="C357" s="238"/>
      <c r="D357" s="237"/>
      <c r="E357" s="237"/>
      <c r="F357" s="192"/>
      <c r="G357" s="192"/>
      <c r="H357" s="192"/>
      <c r="I357" s="192"/>
      <c r="J357" s="192"/>
      <c r="K357" s="192"/>
      <c r="L357" s="192"/>
    </row>
    <row r="358" spans="1:12">
      <c r="A358" s="236"/>
      <c r="B358" s="237"/>
      <c r="C358" s="238"/>
      <c r="D358" s="237"/>
      <c r="E358" s="237"/>
      <c r="F358" s="192"/>
      <c r="G358" s="192"/>
      <c r="H358" s="192"/>
      <c r="I358" s="192"/>
      <c r="J358" s="192"/>
      <c r="K358" s="192"/>
      <c r="L358" s="192"/>
    </row>
    <row r="359" spans="1:12">
      <c r="A359" s="236"/>
      <c r="B359" s="237"/>
      <c r="C359" s="238"/>
      <c r="D359" s="237"/>
      <c r="E359" s="237"/>
      <c r="F359" s="192"/>
      <c r="G359" s="192"/>
      <c r="H359" s="192"/>
      <c r="I359" s="192"/>
      <c r="J359" s="192"/>
      <c r="K359" s="192"/>
      <c r="L359" s="192"/>
    </row>
    <row r="360" spans="1:12" ht="15.75">
      <c r="A360" s="240" t="s">
        <v>2326</v>
      </c>
      <c r="B360" s="243"/>
      <c r="C360" s="244"/>
      <c r="D360" s="243"/>
      <c r="E360" s="243">
        <f>E335+E347+E356</f>
        <v>1136431.3589599999</v>
      </c>
      <c r="F360" s="192"/>
      <c r="G360" s="192"/>
      <c r="H360" s="192"/>
      <c r="I360" s="192"/>
      <c r="J360" s="192"/>
      <c r="K360" s="192"/>
      <c r="L360" s="192"/>
    </row>
    <row r="361" spans="1:12">
      <c r="A361" s="236"/>
      <c r="B361" s="237"/>
      <c r="C361" s="238"/>
      <c r="D361" s="237"/>
      <c r="E361" s="237"/>
      <c r="F361" s="192"/>
      <c r="G361" s="192"/>
      <c r="H361" s="192"/>
      <c r="I361" s="192"/>
      <c r="J361" s="192"/>
      <c r="K361" s="192"/>
      <c r="L361" s="192"/>
    </row>
    <row r="362" spans="1:12">
      <c r="A362" s="236"/>
      <c r="B362" s="237"/>
      <c r="C362" s="238"/>
      <c r="D362" s="237"/>
      <c r="E362" s="237"/>
      <c r="F362" s="192"/>
      <c r="G362" s="192"/>
      <c r="H362" s="192"/>
      <c r="I362" s="192"/>
      <c r="J362" s="192"/>
      <c r="K362" s="192"/>
      <c r="L362" s="192"/>
    </row>
    <row r="363" spans="1:12">
      <c r="A363" s="236" t="s">
        <v>2327</v>
      </c>
      <c r="B363" s="237"/>
      <c r="C363" s="238"/>
      <c r="D363" s="237"/>
      <c r="E363" s="237">
        <v>1264.75</v>
      </c>
      <c r="F363" s="192"/>
      <c r="G363" s="192"/>
      <c r="H363" s="192"/>
      <c r="I363" s="192"/>
      <c r="J363" s="192"/>
      <c r="K363" s="192"/>
      <c r="L363" s="192"/>
    </row>
    <row r="364" spans="1:12">
      <c r="A364" s="236"/>
      <c r="B364" s="237"/>
      <c r="C364" s="238"/>
      <c r="D364" s="237"/>
      <c r="E364" s="237"/>
      <c r="F364" s="192"/>
      <c r="G364" s="192"/>
      <c r="H364" s="192"/>
      <c r="I364" s="192"/>
      <c r="J364" s="192"/>
      <c r="K364" s="192"/>
      <c r="L364" s="192"/>
    </row>
    <row r="365" spans="1:12">
      <c r="A365" s="246"/>
      <c r="B365" s="247"/>
      <c r="C365" s="248"/>
      <c r="D365" s="247"/>
      <c r="E365" s="247"/>
      <c r="F365" s="192"/>
      <c r="G365" s="192"/>
      <c r="H365" s="192"/>
      <c r="I365" s="192"/>
      <c r="J365" s="192"/>
      <c r="K365" s="192"/>
      <c r="L365" s="192"/>
    </row>
    <row r="366" spans="1:12" ht="18" customHeight="1">
      <c r="A366" s="249" t="s">
        <v>2328</v>
      </c>
      <c r="B366" s="247"/>
      <c r="C366" s="248"/>
      <c r="D366" s="247"/>
      <c r="E366" s="250">
        <f>E360/E363</f>
        <v>898.5422881676219</v>
      </c>
      <c r="F366" s="192"/>
      <c r="G366" s="192"/>
      <c r="H366" s="192"/>
      <c r="I366" s="192"/>
      <c r="J366" s="192"/>
      <c r="K366" s="192"/>
      <c r="L366" s="192"/>
    </row>
    <row r="367" spans="1:12">
      <c r="A367" s="195"/>
      <c r="B367" s="197"/>
      <c r="C367" s="198"/>
      <c r="D367" s="197"/>
      <c r="F367" s="192"/>
      <c r="G367" s="192"/>
      <c r="H367" s="192"/>
      <c r="I367" s="192"/>
      <c r="J367" s="192"/>
      <c r="K367" s="192"/>
      <c r="L367" s="192"/>
    </row>
    <row r="368" spans="1:12">
      <c r="F368" s="192"/>
      <c r="G368" s="192"/>
      <c r="H368" s="192"/>
      <c r="I368" s="192"/>
      <c r="J368" s="192"/>
      <c r="K368" s="192"/>
      <c r="L368" s="192"/>
    </row>
    <row r="369" spans="1:12">
      <c r="A369" s="195"/>
      <c r="B369" s="197"/>
      <c r="C369" s="198"/>
      <c r="D369" s="197"/>
      <c r="F369" s="192"/>
      <c r="G369" s="192"/>
      <c r="H369" s="192"/>
      <c r="I369" s="192"/>
      <c r="J369" s="192"/>
      <c r="K369" s="192"/>
      <c r="L369" s="192"/>
    </row>
    <row r="370" spans="1:12">
      <c r="A370" s="195"/>
      <c r="B370" s="197"/>
      <c r="C370" s="198"/>
      <c r="D370" s="197"/>
      <c r="F370" s="192"/>
      <c r="G370" s="192"/>
      <c r="H370" s="192"/>
      <c r="I370" s="192"/>
      <c r="J370" s="192"/>
      <c r="K370" s="192"/>
      <c r="L370" s="192"/>
    </row>
    <row r="371" spans="1:12">
      <c r="A371" s="195"/>
      <c r="B371" s="197"/>
      <c r="C371" s="198"/>
      <c r="D371" s="197"/>
      <c r="F371" s="192"/>
      <c r="G371" s="192"/>
      <c r="H371" s="192"/>
      <c r="I371" s="192"/>
      <c r="J371" s="192"/>
      <c r="K371" s="192"/>
      <c r="L371" s="192"/>
    </row>
    <row r="372" spans="1:12">
      <c r="A372" s="195"/>
      <c r="B372" s="197"/>
      <c r="C372" s="198"/>
      <c r="D372" s="197"/>
      <c r="F372" s="192"/>
      <c r="G372" s="192"/>
      <c r="H372" s="192"/>
      <c r="I372" s="192"/>
      <c r="J372" s="192"/>
      <c r="K372" s="192"/>
      <c r="L372" s="192"/>
    </row>
    <row r="373" spans="1:12">
      <c r="A373" s="195"/>
      <c r="B373" s="197"/>
      <c r="C373" s="198"/>
      <c r="D373" s="197"/>
      <c r="F373" s="192"/>
      <c r="G373" s="192"/>
      <c r="H373" s="192"/>
      <c r="I373" s="192"/>
      <c r="J373" s="192"/>
      <c r="K373" s="192"/>
      <c r="L373" s="192"/>
    </row>
    <row r="374" spans="1:12">
      <c r="A374" s="195"/>
      <c r="B374" s="197"/>
      <c r="C374" s="198"/>
      <c r="D374" s="197"/>
      <c r="F374" s="192"/>
      <c r="G374" s="192"/>
      <c r="H374" s="192"/>
      <c r="I374" s="192"/>
      <c r="J374" s="192"/>
      <c r="K374" s="192"/>
      <c r="L374" s="192"/>
    </row>
    <row r="375" spans="1:12">
      <c r="A375" s="195"/>
      <c r="B375" s="197"/>
      <c r="C375" s="198"/>
      <c r="D375" s="197"/>
      <c r="F375" s="192"/>
      <c r="G375" s="192"/>
      <c r="H375" s="192"/>
      <c r="I375" s="192"/>
      <c r="J375" s="192"/>
      <c r="K375" s="192"/>
      <c r="L375" s="192"/>
    </row>
    <row r="376" spans="1:12">
      <c r="F376" s="192"/>
      <c r="G376" s="192"/>
      <c r="H376" s="192"/>
      <c r="I376" s="192"/>
      <c r="J376" s="192"/>
      <c r="K376" s="192"/>
      <c r="L376" s="192"/>
    </row>
    <row r="377" spans="1:12">
      <c r="B377" s="247"/>
      <c r="C377" s="251"/>
      <c r="D377" s="197"/>
      <c r="F377" s="192"/>
      <c r="G377" s="192"/>
      <c r="H377" s="192"/>
      <c r="I377" s="192"/>
      <c r="J377" s="192"/>
      <c r="K377" s="192"/>
      <c r="L377" s="192"/>
    </row>
    <row r="378" spans="1:12">
      <c r="D378" s="194"/>
      <c r="F378" s="192"/>
      <c r="G378" s="192"/>
      <c r="H378" s="192"/>
      <c r="I378" s="192"/>
      <c r="J378" s="192"/>
      <c r="K378" s="192"/>
      <c r="L378" s="192"/>
    </row>
    <row r="379" spans="1:12">
      <c r="B379" s="247"/>
      <c r="C379" s="251"/>
      <c r="D379" s="197"/>
      <c r="F379" s="192"/>
      <c r="G379" s="192"/>
      <c r="H379" s="192"/>
      <c r="I379" s="192"/>
      <c r="J379" s="192"/>
      <c r="K379" s="192"/>
      <c r="L379" s="192"/>
    </row>
    <row r="380" spans="1:12">
      <c r="B380" s="247"/>
      <c r="C380" s="251"/>
      <c r="D380" s="197"/>
      <c r="F380" s="192"/>
      <c r="G380" s="192"/>
      <c r="H380" s="192"/>
      <c r="I380" s="192"/>
      <c r="J380" s="192"/>
      <c r="K380" s="192"/>
      <c r="L380" s="192"/>
    </row>
    <row r="381" spans="1:12">
      <c r="D381" s="194"/>
      <c r="F381" s="192"/>
      <c r="G381" s="192"/>
      <c r="H381" s="192"/>
      <c r="I381" s="192"/>
      <c r="J381" s="192"/>
      <c r="K381" s="192"/>
      <c r="L381" s="192"/>
    </row>
    <row r="382" spans="1:12">
      <c r="A382" s="195"/>
      <c r="B382" s="197"/>
      <c r="C382" s="198"/>
      <c r="D382" s="197"/>
      <c r="F382" s="192"/>
      <c r="G382" s="192"/>
      <c r="H382" s="192"/>
      <c r="I382" s="192"/>
      <c r="J382" s="192"/>
      <c r="K382" s="192"/>
      <c r="L382" s="192"/>
    </row>
    <row r="383" spans="1:12">
      <c r="A383" s="195"/>
      <c r="B383" s="197"/>
      <c r="C383" s="198"/>
      <c r="D383" s="197"/>
      <c r="F383" s="192"/>
      <c r="G383" s="192"/>
      <c r="H383" s="192"/>
      <c r="I383" s="192"/>
      <c r="J383" s="192"/>
      <c r="K383" s="192"/>
      <c r="L383" s="192"/>
    </row>
    <row r="384" spans="1:12">
      <c r="A384" s="195"/>
      <c r="B384" s="194"/>
      <c r="C384" s="194"/>
      <c r="D384" s="194"/>
      <c r="F384" s="192"/>
      <c r="G384" s="192"/>
      <c r="H384" s="192"/>
      <c r="I384" s="192"/>
      <c r="J384" s="192"/>
      <c r="K384" s="192"/>
      <c r="L384" s="192"/>
    </row>
    <row r="385" spans="1:12">
      <c r="A385" s="195"/>
      <c r="B385" s="197"/>
      <c r="C385" s="198"/>
      <c r="D385" s="197"/>
      <c r="F385" s="192"/>
      <c r="G385" s="192"/>
      <c r="H385" s="192"/>
      <c r="I385" s="192"/>
      <c r="J385" s="192"/>
      <c r="K385" s="192"/>
      <c r="L385" s="192"/>
    </row>
    <row r="386" spans="1:12">
      <c r="A386" s="195"/>
      <c r="B386" s="194"/>
      <c r="C386" s="194"/>
      <c r="D386" s="194"/>
      <c r="F386" s="192"/>
      <c r="G386" s="192"/>
      <c r="H386" s="192"/>
      <c r="I386" s="192"/>
      <c r="J386" s="192"/>
      <c r="K386" s="192"/>
      <c r="L386" s="192"/>
    </row>
    <row r="387" spans="1:12">
      <c r="A387" s="195"/>
      <c r="B387" s="197"/>
      <c r="C387" s="198"/>
      <c r="D387" s="197"/>
      <c r="F387" s="192"/>
      <c r="G387" s="192"/>
      <c r="H387" s="192"/>
      <c r="I387" s="192"/>
      <c r="J387" s="192"/>
      <c r="K387" s="192"/>
      <c r="L387" s="192"/>
    </row>
    <row r="388" spans="1:12">
      <c r="A388" s="195"/>
      <c r="B388" s="194"/>
      <c r="C388" s="194"/>
      <c r="D388" s="194"/>
      <c r="F388" s="192"/>
      <c r="G388" s="192"/>
      <c r="H388" s="192"/>
      <c r="I388" s="192"/>
      <c r="J388" s="192"/>
      <c r="K388" s="192"/>
      <c r="L388" s="192"/>
    </row>
    <row r="389" spans="1:12">
      <c r="A389" s="195"/>
      <c r="B389" s="197"/>
      <c r="C389" s="198"/>
      <c r="D389" s="197"/>
      <c r="F389" s="192"/>
      <c r="G389" s="192"/>
      <c r="H389" s="192"/>
      <c r="I389" s="192"/>
      <c r="J389" s="192"/>
      <c r="K389" s="192"/>
      <c r="L389" s="192"/>
    </row>
    <row r="390" spans="1:12">
      <c r="A390" s="195"/>
      <c r="B390" s="197"/>
      <c r="C390" s="198"/>
      <c r="D390" s="197"/>
      <c r="F390" s="192"/>
      <c r="G390" s="192"/>
      <c r="H390" s="192"/>
      <c r="I390" s="192"/>
      <c r="J390" s="192"/>
      <c r="K390" s="192"/>
      <c r="L390" s="192"/>
    </row>
    <row r="391" spans="1:12">
      <c r="A391" s="195"/>
      <c r="B391" s="197"/>
      <c r="C391" s="198"/>
      <c r="D391" s="197"/>
      <c r="F391" s="192"/>
      <c r="G391" s="192"/>
      <c r="H391" s="192"/>
      <c r="I391" s="192"/>
      <c r="J391" s="192"/>
      <c r="K391" s="192"/>
      <c r="L391" s="192"/>
    </row>
    <row r="392" spans="1:12">
      <c r="A392" s="195"/>
      <c r="B392" s="194"/>
      <c r="C392" s="194"/>
      <c r="D392" s="194"/>
      <c r="E392" s="195"/>
      <c r="F392" s="192"/>
      <c r="G392" s="192"/>
      <c r="H392" s="192"/>
      <c r="I392" s="192"/>
      <c r="J392" s="192"/>
      <c r="K392" s="192"/>
      <c r="L392" s="192"/>
    </row>
    <row r="393" spans="1:12">
      <c r="A393" s="195"/>
      <c r="B393" s="197"/>
      <c r="C393" s="198"/>
      <c r="D393" s="197"/>
      <c r="E393" s="195"/>
      <c r="F393" s="192"/>
      <c r="G393" s="192"/>
      <c r="H393" s="192"/>
      <c r="I393" s="192"/>
      <c r="J393" s="192"/>
      <c r="K393" s="192"/>
      <c r="L393" s="192"/>
    </row>
    <row r="394" spans="1:12">
      <c r="A394" s="195"/>
      <c r="B394" s="197"/>
      <c r="C394" s="198"/>
      <c r="D394" s="197"/>
      <c r="E394" s="195"/>
      <c r="F394" s="192"/>
      <c r="G394" s="192"/>
      <c r="H394" s="192"/>
      <c r="I394" s="192"/>
      <c r="J394" s="192"/>
      <c r="K394" s="192"/>
      <c r="L394" s="192"/>
    </row>
    <row r="395" spans="1:12">
      <c r="A395" s="195"/>
      <c r="B395" s="194"/>
      <c r="C395" s="194"/>
      <c r="D395" s="194"/>
      <c r="E395" s="195"/>
      <c r="F395" s="192"/>
      <c r="G395" s="192"/>
      <c r="H395" s="192"/>
      <c r="I395" s="192"/>
      <c r="J395" s="192"/>
      <c r="K395" s="192"/>
      <c r="L395" s="192"/>
    </row>
    <row r="396" spans="1:12">
      <c r="A396" s="195"/>
      <c r="B396" s="197"/>
      <c r="C396" s="198"/>
      <c r="D396" s="197"/>
      <c r="E396" s="195"/>
      <c r="F396" s="192"/>
      <c r="G396" s="192"/>
      <c r="H396" s="192"/>
      <c r="I396" s="192"/>
      <c r="J396" s="192"/>
      <c r="K396" s="192"/>
      <c r="L396" s="192"/>
    </row>
    <row r="397" spans="1:12">
      <c r="A397" s="195"/>
      <c r="B397" s="197"/>
      <c r="C397" s="198"/>
      <c r="D397" s="197"/>
      <c r="E397" s="195"/>
      <c r="F397" s="192"/>
      <c r="G397" s="192"/>
      <c r="H397" s="192"/>
      <c r="I397" s="192"/>
      <c r="J397" s="192"/>
      <c r="K397" s="192"/>
      <c r="L397" s="192"/>
    </row>
    <row r="398" spans="1:12">
      <c r="A398" s="195"/>
      <c r="B398" s="194"/>
      <c r="C398" s="194"/>
      <c r="D398" s="194"/>
      <c r="E398" s="195"/>
      <c r="F398" s="192"/>
      <c r="G398" s="192"/>
      <c r="H398" s="192"/>
      <c r="I398" s="192"/>
      <c r="J398" s="192"/>
      <c r="K398" s="192"/>
      <c r="L398" s="192"/>
    </row>
    <row r="399" spans="1:12">
      <c r="A399" s="195"/>
      <c r="B399" s="197"/>
      <c r="C399" s="198"/>
      <c r="D399" s="197"/>
      <c r="E399" s="195"/>
      <c r="F399" s="192"/>
      <c r="G399" s="192"/>
      <c r="H399" s="192"/>
      <c r="I399" s="192"/>
      <c r="J399" s="192"/>
      <c r="K399" s="192"/>
      <c r="L399" s="192"/>
    </row>
    <row r="400" spans="1:12">
      <c r="A400" s="195"/>
      <c r="B400" s="197"/>
      <c r="C400" s="198"/>
      <c r="D400" s="197"/>
      <c r="E400" s="195"/>
      <c r="F400" s="192"/>
      <c r="G400" s="192"/>
      <c r="H400" s="192"/>
      <c r="I400" s="192"/>
      <c r="J400" s="192"/>
      <c r="K400" s="192"/>
      <c r="L400" s="192"/>
    </row>
    <row r="401" spans="1:12">
      <c r="A401" s="195"/>
      <c r="B401" s="197"/>
      <c r="C401" s="198"/>
      <c r="D401" s="197"/>
      <c r="E401" s="195"/>
      <c r="F401" s="192"/>
      <c r="G401" s="192"/>
      <c r="H401" s="192"/>
      <c r="I401" s="192"/>
      <c r="J401" s="192"/>
      <c r="K401" s="192"/>
      <c r="L401" s="192"/>
    </row>
    <row r="402" spans="1:12">
      <c r="A402" s="195"/>
      <c r="B402" s="197"/>
      <c r="C402" s="198"/>
      <c r="D402" s="197"/>
      <c r="E402" s="195"/>
      <c r="F402" s="192"/>
      <c r="G402" s="192"/>
      <c r="H402" s="192"/>
      <c r="I402" s="192"/>
      <c r="J402" s="192"/>
      <c r="K402" s="192"/>
      <c r="L402" s="192"/>
    </row>
    <row r="403" spans="1:12">
      <c r="A403" s="195"/>
      <c r="B403" s="194"/>
      <c r="C403" s="194"/>
      <c r="D403" s="194"/>
      <c r="E403" s="195"/>
      <c r="F403" s="192"/>
      <c r="G403" s="192"/>
      <c r="H403" s="192"/>
      <c r="I403" s="192"/>
      <c r="J403" s="192"/>
      <c r="K403" s="192"/>
      <c r="L403" s="192"/>
    </row>
    <row r="404" spans="1:12" ht="15.75">
      <c r="A404" s="196"/>
      <c r="B404" s="194"/>
      <c r="C404" s="198"/>
      <c r="D404" s="194"/>
      <c r="E404" s="195"/>
      <c r="F404" s="192"/>
      <c r="G404" s="192"/>
      <c r="H404" s="192"/>
      <c r="I404" s="192"/>
      <c r="J404" s="192"/>
      <c r="K404" s="192"/>
      <c r="L404" s="192"/>
    </row>
    <row r="405" spans="1:12">
      <c r="A405" s="195"/>
      <c r="B405" s="194"/>
      <c r="C405" s="198"/>
      <c r="D405" s="194"/>
      <c r="E405" s="195"/>
      <c r="F405" s="192"/>
      <c r="G405" s="192"/>
      <c r="H405" s="192"/>
      <c r="I405" s="192"/>
      <c r="J405" s="192"/>
      <c r="K405" s="192"/>
      <c r="L405" s="192"/>
    </row>
    <row r="406" spans="1:12">
      <c r="A406" s="195"/>
      <c r="B406" s="197"/>
      <c r="C406" s="198"/>
      <c r="D406" s="197"/>
      <c r="E406" s="199"/>
      <c r="F406" s="192"/>
      <c r="G406" s="192"/>
      <c r="H406" s="192"/>
      <c r="I406" s="192"/>
      <c r="J406" s="192"/>
      <c r="K406" s="192"/>
      <c r="L406" s="192"/>
    </row>
    <row r="407" spans="1:12">
      <c r="A407" s="195"/>
      <c r="B407" s="197"/>
      <c r="C407" s="198"/>
      <c r="D407" s="224"/>
      <c r="E407" s="199"/>
      <c r="F407" s="192"/>
      <c r="G407" s="192"/>
      <c r="H407" s="192"/>
      <c r="I407" s="192"/>
      <c r="J407" s="192"/>
      <c r="K407" s="192"/>
      <c r="L407" s="192"/>
    </row>
    <row r="408" spans="1:12">
      <c r="A408" s="195"/>
      <c r="B408" s="197"/>
      <c r="C408" s="198"/>
      <c r="D408" s="197"/>
      <c r="E408" s="199"/>
      <c r="F408" s="192"/>
      <c r="G408" s="192"/>
      <c r="H408" s="192"/>
      <c r="I408" s="192"/>
      <c r="J408" s="192"/>
      <c r="K408" s="192"/>
      <c r="L408" s="192"/>
    </row>
    <row r="409" spans="1:12" ht="15.75">
      <c r="A409" s="195"/>
      <c r="B409" s="194"/>
      <c r="C409" s="198"/>
      <c r="D409" s="201"/>
      <c r="E409" s="202"/>
      <c r="F409" s="192"/>
      <c r="G409" s="192"/>
      <c r="H409" s="192"/>
      <c r="I409" s="192"/>
      <c r="J409" s="192"/>
      <c r="K409" s="192"/>
      <c r="L409" s="192"/>
    </row>
    <row r="410" spans="1:12">
      <c r="A410" s="195"/>
      <c r="B410" s="194"/>
      <c r="C410" s="194"/>
      <c r="D410" s="194"/>
      <c r="E410" s="195"/>
      <c r="F410" s="192"/>
      <c r="G410" s="192"/>
      <c r="H410" s="192"/>
      <c r="I410" s="192"/>
      <c r="J410" s="192"/>
      <c r="K410" s="192"/>
      <c r="L410" s="192"/>
    </row>
    <row r="411" spans="1:12" ht="15.75">
      <c r="A411" s="196"/>
      <c r="B411" s="194"/>
      <c r="C411" s="198"/>
      <c r="D411" s="194"/>
      <c r="E411" s="195"/>
      <c r="F411" s="192"/>
      <c r="G411" s="192"/>
      <c r="H411" s="192"/>
      <c r="I411" s="192"/>
      <c r="J411" s="192"/>
      <c r="K411" s="192"/>
      <c r="L411" s="192"/>
    </row>
    <row r="412" spans="1:12">
      <c r="A412" s="195"/>
      <c r="B412" s="197"/>
      <c r="C412" s="198"/>
      <c r="D412" s="197"/>
      <c r="E412" s="199"/>
      <c r="F412" s="192"/>
      <c r="G412" s="192"/>
      <c r="H412" s="192"/>
      <c r="I412" s="192"/>
      <c r="J412" s="192"/>
      <c r="K412" s="192"/>
      <c r="L412" s="192"/>
    </row>
    <row r="413" spans="1:12">
      <c r="A413" s="195"/>
      <c r="B413" s="197"/>
      <c r="C413" s="198"/>
      <c r="D413" s="224"/>
      <c r="E413" s="199"/>
      <c r="F413" s="192"/>
      <c r="G413" s="192"/>
      <c r="H413" s="192"/>
      <c r="I413" s="192"/>
      <c r="J413" s="192"/>
      <c r="K413" s="192"/>
      <c r="L413" s="192"/>
    </row>
    <row r="414" spans="1:12">
      <c r="A414" s="195"/>
      <c r="B414" s="197"/>
      <c r="C414" s="198"/>
      <c r="D414" s="197"/>
      <c r="E414" s="199"/>
      <c r="F414" s="192"/>
      <c r="G414" s="192"/>
      <c r="H414" s="192"/>
      <c r="I414" s="192"/>
      <c r="J414" s="192"/>
      <c r="K414" s="192"/>
      <c r="L414" s="192"/>
    </row>
    <row r="415" spans="1:12" ht="15.75">
      <c r="A415" s="195"/>
      <c r="B415" s="194"/>
      <c r="C415" s="198"/>
      <c r="D415" s="201"/>
      <c r="E415" s="202"/>
      <c r="F415" s="192"/>
      <c r="G415" s="192"/>
      <c r="H415" s="192"/>
      <c r="I415" s="192"/>
      <c r="J415" s="192"/>
      <c r="K415" s="192"/>
      <c r="L415" s="192"/>
    </row>
    <row r="416" spans="1:12">
      <c r="A416" s="195"/>
      <c r="B416" s="194"/>
      <c r="C416" s="194"/>
      <c r="D416" s="194"/>
      <c r="E416" s="195"/>
      <c r="F416" s="192"/>
      <c r="G416" s="192"/>
      <c r="H416" s="192"/>
      <c r="I416" s="192"/>
      <c r="J416" s="192"/>
      <c r="K416" s="192"/>
      <c r="L416" s="192"/>
    </row>
    <row r="417" spans="1:12">
      <c r="A417" s="195"/>
      <c r="B417" s="194"/>
      <c r="C417" s="194"/>
      <c r="D417" s="194"/>
      <c r="E417" s="195"/>
      <c r="F417" s="192"/>
      <c r="G417" s="192"/>
      <c r="H417" s="192"/>
      <c r="I417" s="192"/>
      <c r="J417" s="192"/>
      <c r="K417" s="192"/>
      <c r="L417" s="192"/>
    </row>
    <row r="418" spans="1:12" ht="15.75">
      <c r="A418" s="196"/>
      <c r="B418" s="194"/>
      <c r="C418" s="198"/>
      <c r="D418" s="194"/>
      <c r="E418" s="195"/>
      <c r="F418" s="192"/>
      <c r="G418" s="192"/>
      <c r="H418" s="192"/>
      <c r="I418" s="192"/>
      <c r="J418" s="192"/>
      <c r="K418" s="192"/>
      <c r="L418" s="192"/>
    </row>
    <row r="419" spans="1:12">
      <c r="A419" s="195"/>
      <c r="B419" s="197"/>
      <c r="C419" s="198"/>
      <c r="D419" s="197"/>
      <c r="E419" s="199"/>
      <c r="F419" s="192"/>
      <c r="G419" s="192"/>
      <c r="H419" s="192"/>
      <c r="I419" s="192"/>
      <c r="J419" s="192"/>
      <c r="K419" s="192"/>
      <c r="L419" s="192"/>
    </row>
    <row r="420" spans="1:12">
      <c r="A420" s="195"/>
      <c r="B420" s="197"/>
      <c r="C420" s="198"/>
      <c r="D420" s="224"/>
      <c r="E420" s="199"/>
      <c r="F420" s="192"/>
      <c r="G420" s="192"/>
      <c r="H420" s="192"/>
      <c r="I420" s="192"/>
      <c r="J420" s="192"/>
      <c r="K420" s="192"/>
      <c r="L420" s="192"/>
    </row>
    <row r="421" spans="1:12">
      <c r="A421" s="195"/>
      <c r="B421" s="197"/>
      <c r="C421" s="198"/>
      <c r="D421" s="197"/>
      <c r="E421" s="199"/>
      <c r="F421" s="192"/>
      <c r="G421" s="192"/>
      <c r="H421" s="192"/>
      <c r="I421" s="192"/>
      <c r="J421" s="192"/>
      <c r="K421" s="192"/>
      <c r="L421" s="192"/>
    </row>
    <row r="422" spans="1:12" ht="15.75">
      <c r="A422" s="195"/>
      <c r="B422" s="194"/>
      <c r="C422" s="194"/>
      <c r="D422" s="201"/>
      <c r="E422" s="202"/>
      <c r="F422" s="192"/>
      <c r="G422" s="192"/>
      <c r="H422" s="192"/>
      <c r="I422" s="192"/>
      <c r="J422" s="192"/>
      <c r="K422" s="192"/>
      <c r="L422" s="192"/>
    </row>
    <row r="423" spans="1:12" ht="15.75">
      <c r="A423" s="196"/>
      <c r="B423" s="194"/>
      <c r="C423" s="198"/>
      <c r="D423" s="194"/>
      <c r="E423" s="195"/>
      <c r="F423" s="192"/>
      <c r="G423" s="192"/>
      <c r="H423" s="192"/>
      <c r="I423" s="192"/>
      <c r="J423" s="192"/>
      <c r="K423" s="192"/>
      <c r="L423" s="192"/>
    </row>
    <row r="424" spans="1:12">
      <c r="A424" s="195"/>
      <c r="B424" s="197"/>
      <c r="C424" s="198"/>
      <c r="D424" s="197"/>
      <c r="E424" s="199"/>
      <c r="F424" s="192"/>
      <c r="G424" s="192"/>
      <c r="H424" s="192"/>
      <c r="I424" s="192"/>
      <c r="J424" s="192"/>
      <c r="K424" s="192"/>
      <c r="L424" s="192"/>
    </row>
    <row r="425" spans="1:12">
      <c r="A425" s="195"/>
      <c r="B425" s="197"/>
      <c r="C425" s="198"/>
      <c r="D425" s="224"/>
      <c r="E425" s="199"/>
      <c r="F425" s="192"/>
      <c r="G425" s="192"/>
      <c r="H425" s="192"/>
      <c r="I425" s="192"/>
      <c r="J425" s="192"/>
      <c r="K425" s="192"/>
      <c r="L425" s="192"/>
    </row>
    <row r="426" spans="1:12">
      <c r="A426" s="195"/>
      <c r="B426" s="197"/>
      <c r="C426" s="198"/>
      <c r="D426" s="197"/>
      <c r="E426" s="199"/>
      <c r="F426" s="192"/>
      <c r="G426" s="192"/>
      <c r="H426" s="192"/>
      <c r="I426" s="192"/>
      <c r="J426" s="192"/>
      <c r="K426" s="192"/>
      <c r="L426" s="192"/>
    </row>
    <row r="427" spans="1:12">
      <c r="A427" s="195"/>
      <c r="B427" s="197"/>
      <c r="C427" s="198"/>
      <c r="D427" s="197"/>
      <c r="E427" s="199"/>
      <c r="F427" s="192"/>
      <c r="G427" s="192"/>
      <c r="H427" s="192"/>
      <c r="I427" s="192"/>
      <c r="J427" s="192"/>
      <c r="K427" s="192"/>
      <c r="L427" s="192"/>
    </row>
    <row r="428" spans="1:12">
      <c r="A428" s="195"/>
      <c r="B428" s="197"/>
      <c r="C428" s="198"/>
      <c r="D428" s="226"/>
      <c r="E428" s="199"/>
      <c r="F428" s="192"/>
      <c r="G428" s="192"/>
      <c r="H428" s="192"/>
      <c r="I428" s="192"/>
      <c r="J428" s="192"/>
      <c r="K428" s="192"/>
      <c r="L428" s="192"/>
    </row>
    <row r="429" spans="1:12" ht="15.75">
      <c r="A429" s="195"/>
      <c r="B429" s="194"/>
      <c r="C429" s="194"/>
      <c r="D429" s="201"/>
      <c r="E429" s="202"/>
      <c r="F429" s="192"/>
      <c r="G429" s="192"/>
      <c r="H429" s="192"/>
      <c r="I429" s="192"/>
      <c r="J429" s="192"/>
      <c r="K429" s="192"/>
      <c r="L429" s="192"/>
    </row>
    <row r="430" spans="1:12">
      <c r="A430" s="195"/>
      <c r="B430" s="194"/>
      <c r="C430" s="194"/>
      <c r="D430" s="194"/>
      <c r="E430" s="195"/>
      <c r="F430" s="192"/>
      <c r="G430" s="192"/>
      <c r="H430" s="192"/>
      <c r="I430" s="192"/>
      <c r="J430" s="192"/>
      <c r="K430" s="192"/>
      <c r="L430" s="192"/>
    </row>
    <row r="431" spans="1:12" ht="15.75">
      <c r="A431" s="196"/>
      <c r="B431" s="194"/>
      <c r="C431" s="194"/>
      <c r="D431" s="194"/>
      <c r="E431" s="195"/>
      <c r="F431" s="192"/>
      <c r="G431" s="192"/>
      <c r="H431" s="192"/>
      <c r="I431" s="192"/>
      <c r="J431" s="192"/>
      <c r="K431" s="192"/>
      <c r="L431" s="192"/>
    </row>
    <row r="432" spans="1:12">
      <c r="A432" s="195"/>
      <c r="B432" s="197"/>
      <c r="C432" s="198"/>
      <c r="D432" s="194"/>
      <c r="E432" s="195"/>
      <c r="F432" s="192"/>
      <c r="G432" s="192"/>
      <c r="H432" s="192"/>
      <c r="I432" s="192"/>
      <c r="J432" s="192"/>
      <c r="K432" s="192"/>
      <c r="L432" s="192"/>
    </row>
    <row r="433" spans="1:12">
      <c r="A433" s="195"/>
      <c r="B433" s="197"/>
      <c r="C433" s="197"/>
      <c r="D433" s="197"/>
      <c r="E433" s="195"/>
      <c r="F433" s="192"/>
      <c r="G433" s="192"/>
      <c r="H433" s="192"/>
      <c r="I433" s="192"/>
      <c r="J433" s="192"/>
      <c r="K433" s="192"/>
      <c r="L433" s="192"/>
    </row>
    <row r="434" spans="1:12">
      <c r="A434" s="195"/>
      <c r="B434" s="197"/>
      <c r="C434" s="197"/>
      <c r="D434" s="197"/>
      <c r="E434" s="195"/>
      <c r="F434" s="192"/>
      <c r="G434" s="192"/>
      <c r="H434" s="192"/>
      <c r="I434" s="192"/>
      <c r="J434" s="192"/>
      <c r="K434" s="192"/>
      <c r="L434" s="192"/>
    </row>
    <row r="435" spans="1:12" ht="15.75">
      <c r="A435" s="195"/>
      <c r="B435" s="194"/>
      <c r="C435" s="201"/>
      <c r="D435" s="212"/>
      <c r="E435" s="195"/>
      <c r="F435" s="192"/>
      <c r="G435" s="192"/>
      <c r="H435" s="192"/>
      <c r="I435" s="192"/>
      <c r="J435" s="192"/>
      <c r="K435" s="192"/>
      <c r="L435" s="192"/>
    </row>
    <row r="436" spans="1:12">
      <c r="A436" s="195"/>
      <c r="B436" s="194"/>
      <c r="C436" s="194"/>
      <c r="D436" s="194"/>
      <c r="E436" s="195"/>
      <c r="F436" s="192"/>
      <c r="G436" s="192"/>
      <c r="H436" s="192"/>
      <c r="I436" s="192"/>
      <c r="J436" s="192"/>
      <c r="K436" s="192"/>
      <c r="L436" s="192"/>
    </row>
    <row r="437" spans="1:12">
      <c r="A437" s="195"/>
      <c r="B437" s="194"/>
      <c r="C437" s="197"/>
      <c r="D437" s="197"/>
      <c r="E437" s="195"/>
      <c r="F437" s="192"/>
      <c r="G437" s="192"/>
      <c r="H437" s="192"/>
      <c r="I437" s="192"/>
      <c r="J437" s="192"/>
      <c r="K437" s="192"/>
      <c r="L437" s="192"/>
    </row>
    <row r="438" spans="1:12">
      <c r="A438" s="195"/>
      <c r="B438" s="194"/>
      <c r="C438" s="197"/>
      <c r="D438" s="197"/>
      <c r="E438" s="195"/>
      <c r="F438" s="192"/>
      <c r="G438" s="192"/>
      <c r="H438" s="192"/>
      <c r="I438" s="192"/>
      <c r="J438" s="192"/>
      <c r="K438" s="192"/>
      <c r="L438" s="192"/>
    </row>
    <row r="439" spans="1:12">
      <c r="A439" s="195"/>
      <c r="B439" s="194"/>
      <c r="C439" s="194"/>
      <c r="D439" s="194"/>
      <c r="E439" s="195"/>
      <c r="F439" s="192"/>
      <c r="G439" s="192"/>
      <c r="H439" s="192"/>
      <c r="I439" s="192"/>
      <c r="J439" s="192"/>
      <c r="K439" s="192"/>
      <c r="L439" s="192"/>
    </row>
    <row r="440" spans="1:12" ht="15.75">
      <c r="A440" s="196"/>
      <c r="B440" s="194"/>
      <c r="C440" s="194"/>
      <c r="D440" s="194"/>
      <c r="E440" s="195"/>
      <c r="F440" s="192"/>
      <c r="G440" s="192"/>
      <c r="H440" s="192"/>
      <c r="I440" s="192"/>
      <c r="J440" s="192"/>
      <c r="K440" s="192"/>
      <c r="L440" s="192"/>
    </row>
    <row r="441" spans="1:12">
      <c r="A441" s="195"/>
      <c r="B441" s="194"/>
      <c r="C441" s="194"/>
      <c r="D441" s="194"/>
      <c r="E441" s="195"/>
      <c r="F441" s="192"/>
      <c r="G441" s="192"/>
      <c r="H441" s="192"/>
      <c r="I441" s="192"/>
      <c r="J441" s="192"/>
      <c r="K441" s="192"/>
      <c r="L441" s="192"/>
    </row>
    <row r="442" spans="1:12">
      <c r="A442" s="195"/>
      <c r="B442" s="194"/>
      <c r="C442" s="198"/>
      <c r="D442" s="197"/>
      <c r="E442" s="199"/>
      <c r="F442" s="192"/>
      <c r="G442" s="192"/>
      <c r="H442" s="192"/>
      <c r="I442" s="192"/>
      <c r="J442" s="192"/>
      <c r="K442" s="192"/>
      <c r="L442" s="192"/>
    </row>
    <row r="443" spans="1:12">
      <c r="A443" s="195"/>
      <c r="B443" s="197"/>
      <c r="C443" s="198"/>
      <c r="D443" s="197"/>
      <c r="E443" s="199"/>
      <c r="F443" s="192"/>
      <c r="G443" s="192"/>
      <c r="H443" s="192"/>
      <c r="I443" s="192"/>
      <c r="J443" s="192"/>
      <c r="K443" s="192"/>
      <c r="L443" s="192"/>
    </row>
    <row r="444" spans="1:12">
      <c r="A444" s="195"/>
      <c r="B444" s="197"/>
      <c r="C444" s="198"/>
      <c r="D444" s="197"/>
      <c r="E444" s="199"/>
      <c r="F444" s="192"/>
      <c r="G444" s="192"/>
      <c r="H444" s="192"/>
      <c r="I444" s="192"/>
      <c r="J444" s="192"/>
      <c r="K444" s="192"/>
      <c r="L444" s="192"/>
    </row>
    <row r="445" spans="1:12">
      <c r="A445" s="195"/>
      <c r="B445" s="197"/>
      <c r="C445" s="198"/>
      <c r="D445" s="197"/>
      <c r="E445" s="199"/>
      <c r="F445" s="192"/>
      <c r="G445" s="192"/>
      <c r="H445" s="192"/>
      <c r="I445" s="192"/>
      <c r="J445" s="192"/>
      <c r="K445" s="192"/>
      <c r="L445" s="192"/>
    </row>
    <row r="446" spans="1:12">
      <c r="A446" s="195"/>
      <c r="B446" s="197"/>
      <c r="C446" s="198"/>
      <c r="D446" s="197"/>
      <c r="E446" s="199"/>
      <c r="F446" s="192"/>
      <c r="G446" s="192"/>
      <c r="H446" s="192"/>
      <c r="I446" s="192"/>
      <c r="J446" s="192"/>
      <c r="K446" s="192"/>
      <c r="L446" s="192"/>
    </row>
    <row r="447" spans="1:12">
      <c r="A447" s="195"/>
      <c r="B447" s="197"/>
      <c r="C447" s="198"/>
      <c r="D447" s="197"/>
      <c r="E447" s="199"/>
      <c r="F447" s="192"/>
      <c r="G447" s="192"/>
      <c r="H447" s="192"/>
      <c r="I447" s="192"/>
      <c r="J447" s="192"/>
      <c r="K447" s="192"/>
      <c r="L447" s="192"/>
    </row>
    <row r="448" spans="1:12">
      <c r="A448" s="195"/>
      <c r="B448" s="194"/>
      <c r="C448" s="198"/>
      <c r="D448" s="197"/>
      <c r="E448" s="199"/>
      <c r="F448" s="192"/>
      <c r="G448" s="192"/>
      <c r="H448" s="192"/>
      <c r="I448" s="192"/>
      <c r="J448" s="192"/>
      <c r="K448" s="192"/>
      <c r="L448" s="192"/>
    </row>
    <row r="449" spans="1:12">
      <c r="A449" s="230"/>
      <c r="B449" s="194"/>
      <c r="C449" s="198"/>
      <c r="D449" s="231"/>
      <c r="E449" s="199"/>
      <c r="F449" s="192"/>
      <c r="G449" s="192"/>
      <c r="H449" s="192"/>
      <c r="I449" s="192"/>
      <c r="J449" s="192"/>
      <c r="K449" s="192"/>
      <c r="L449" s="192"/>
    </row>
    <row r="450" spans="1:12">
      <c r="A450" s="230"/>
      <c r="B450" s="194"/>
      <c r="C450" s="198"/>
      <c r="D450" s="231"/>
      <c r="E450" s="199"/>
      <c r="F450" s="192"/>
      <c r="G450" s="192"/>
      <c r="H450" s="192"/>
      <c r="I450" s="192"/>
      <c r="J450" s="192"/>
      <c r="K450" s="192"/>
      <c r="L450" s="192"/>
    </row>
    <row r="451" spans="1:12" ht="15.75">
      <c r="A451" s="195"/>
      <c r="B451" s="194"/>
      <c r="C451" s="194"/>
      <c r="D451" s="201"/>
      <c r="E451" s="202"/>
      <c r="F451" s="192"/>
      <c r="G451" s="192"/>
      <c r="H451" s="192"/>
      <c r="I451" s="192"/>
      <c r="J451" s="192"/>
      <c r="K451" s="192"/>
      <c r="L451" s="192"/>
    </row>
    <row r="452" spans="1:12" ht="15.75">
      <c r="A452" s="195"/>
      <c r="B452" s="194"/>
      <c r="C452" s="194"/>
      <c r="D452" s="201"/>
      <c r="E452" s="202"/>
      <c r="F452" s="192"/>
      <c r="G452" s="192"/>
      <c r="H452" s="192"/>
      <c r="I452" s="192"/>
      <c r="J452" s="192"/>
      <c r="K452" s="192"/>
      <c r="L452" s="192"/>
    </row>
    <row r="453" spans="1:12">
      <c r="A453" s="195"/>
      <c r="B453" s="194"/>
      <c r="C453" s="194"/>
      <c r="D453" s="194"/>
      <c r="E453" s="195"/>
      <c r="F453" s="192"/>
      <c r="G453" s="192"/>
      <c r="H453" s="192"/>
      <c r="I453" s="192"/>
      <c r="J453" s="192"/>
      <c r="K453" s="192"/>
      <c r="L453" s="192"/>
    </row>
    <row r="454" spans="1:12">
      <c r="A454" s="195"/>
      <c r="B454" s="194"/>
      <c r="C454" s="194"/>
      <c r="D454" s="194"/>
      <c r="E454" s="195"/>
      <c r="F454" s="192"/>
      <c r="G454" s="192"/>
      <c r="H454" s="192"/>
      <c r="I454" s="192"/>
      <c r="J454" s="192"/>
      <c r="K454" s="192"/>
      <c r="L454" s="192"/>
    </row>
    <row r="455" spans="1:12">
      <c r="F455" s="192"/>
      <c r="G455" s="192"/>
      <c r="H455" s="192"/>
      <c r="I455" s="192"/>
      <c r="J455" s="192"/>
      <c r="K455" s="192"/>
      <c r="L455" s="192"/>
    </row>
    <row r="456" spans="1:12">
      <c r="F456" s="192"/>
      <c r="G456" s="192"/>
      <c r="H456" s="192"/>
      <c r="I456" s="192"/>
      <c r="J456" s="192"/>
      <c r="K456" s="192"/>
      <c r="L456" s="192"/>
    </row>
    <row r="457" spans="1:12">
      <c r="F457" s="192"/>
      <c r="G457" s="192"/>
      <c r="H457" s="192"/>
      <c r="I457" s="192"/>
      <c r="J457" s="192"/>
      <c r="K457" s="192"/>
      <c r="L457" s="192"/>
    </row>
    <row r="458" spans="1:12">
      <c r="F458" s="192"/>
      <c r="G458" s="192"/>
      <c r="H458" s="192"/>
      <c r="I458" s="192"/>
      <c r="J458" s="192"/>
      <c r="K458" s="192"/>
      <c r="L458" s="192"/>
    </row>
    <row r="459" spans="1:12">
      <c r="F459" s="192"/>
      <c r="G459" s="192"/>
      <c r="H459" s="192"/>
      <c r="I459" s="192"/>
      <c r="J459" s="192"/>
      <c r="K459" s="192"/>
      <c r="L459" s="192"/>
    </row>
    <row r="460" spans="1:12">
      <c r="F460" s="192"/>
      <c r="G460" s="192"/>
      <c r="H460" s="192"/>
      <c r="I460" s="192"/>
      <c r="J460" s="192"/>
      <c r="K460" s="192"/>
      <c r="L460" s="192"/>
    </row>
    <row r="461" spans="1:12">
      <c r="F461" s="192"/>
      <c r="G461" s="192"/>
      <c r="H461" s="192"/>
      <c r="I461" s="192"/>
      <c r="J461" s="192"/>
      <c r="K461" s="192"/>
      <c r="L461" s="192"/>
    </row>
    <row r="462" spans="1:12">
      <c r="F462" s="192"/>
      <c r="G462" s="192"/>
      <c r="H462" s="192"/>
      <c r="I462" s="192"/>
      <c r="J462" s="192"/>
      <c r="K462" s="192"/>
      <c r="L462" s="192"/>
    </row>
    <row r="463" spans="1:12">
      <c r="F463" s="192"/>
      <c r="G463" s="192"/>
      <c r="H463" s="192"/>
      <c r="I463" s="192"/>
      <c r="J463" s="192"/>
      <c r="K463" s="192"/>
      <c r="L463" s="192"/>
    </row>
    <row r="464" spans="1:12">
      <c r="F464" s="192"/>
      <c r="G464" s="192"/>
      <c r="H464" s="192"/>
      <c r="I464" s="192"/>
      <c r="J464" s="192"/>
      <c r="K464" s="192"/>
      <c r="L464" s="192"/>
    </row>
    <row r="465" spans="6:12">
      <c r="F465" s="192"/>
      <c r="G465" s="192"/>
      <c r="H465" s="192"/>
      <c r="I465" s="192"/>
      <c r="J465" s="192"/>
      <c r="K465" s="192"/>
      <c r="L465" s="192"/>
    </row>
    <row r="466" spans="6:12">
      <c r="F466" s="192"/>
      <c r="G466" s="192"/>
      <c r="H466" s="192"/>
      <c r="I466" s="192"/>
      <c r="J466" s="192"/>
      <c r="K466" s="192"/>
      <c r="L466" s="192"/>
    </row>
    <row r="467" spans="6:12">
      <c r="F467" s="192"/>
      <c r="G467" s="192"/>
      <c r="H467" s="192"/>
      <c r="I467" s="192"/>
      <c r="J467" s="192"/>
      <c r="K467" s="192"/>
      <c r="L467" s="192"/>
    </row>
    <row r="468" spans="6:12">
      <c r="F468" s="192"/>
      <c r="G468" s="192"/>
      <c r="H468" s="192"/>
      <c r="I468" s="192"/>
      <c r="J468" s="192"/>
      <c r="K468" s="192"/>
      <c r="L468" s="192"/>
    </row>
    <row r="469" spans="6:12">
      <c r="F469" s="192"/>
      <c r="G469" s="192"/>
      <c r="H469" s="192"/>
      <c r="I469" s="192"/>
      <c r="J469" s="192"/>
      <c r="K469" s="192"/>
      <c r="L469" s="192"/>
    </row>
    <row r="470" spans="6:12">
      <c r="F470" s="192"/>
      <c r="G470" s="192"/>
      <c r="H470" s="192"/>
      <c r="I470" s="192"/>
      <c r="J470" s="192"/>
      <c r="K470" s="192"/>
      <c r="L470" s="192"/>
    </row>
    <row r="471" spans="6:12">
      <c r="F471" s="192"/>
      <c r="G471" s="192"/>
      <c r="H471" s="192"/>
      <c r="I471" s="192"/>
      <c r="J471" s="192"/>
      <c r="K471" s="192"/>
      <c r="L471" s="192"/>
    </row>
    <row r="472" spans="6:12">
      <c r="F472" s="192"/>
      <c r="G472" s="192"/>
      <c r="H472" s="192"/>
      <c r="I472" s="192"/>
      <c r="J472" s="192"/>
      <c r="K472" s="192"/>
      <c r="L472" s="192"/>
    </row>
    <row r="473" spans="6:12">
      <c r="F473" s="192"/>
      <c r="G473" s="192"/>
      <c r="H473" s="192"/>
      <c r="I473" s="192"/>
      <c r="J473" s="192"/>
      <c r="K473" s="192"/>
      <c r="L473" s="192"/>
    </row>
    <row r="474" spans="6:12">
      <c r="F474" s="192"/>
      <c r="G474" s="192"/>
      <c r="H474" s="192"/>
      <c r="I474" s="192"/>
      <c r="J474" s="192"/>
      <c r="K474" s="192"/>
      <c r="L474" s="192"/>
    </row>
    <row r="475" spans="6:12">
      <c r="F475" s="192"/>
      <c r="G475" s="192"/>
      <c r="H475" s="192"/>
      <c r="I475" s="192"/>
      <c r="J475" s="192"/>
      <c r="K475" s="192"/>
      <c r="L475" s="192"/>
    </row>
    <row r="476" spans="6:12">
      <c r="F476" s="192"/>
      <c r="G476" s="192"/>
      <c r="H476" s="192"/>
      <c r="I476" s="192"/>
      <c r="J476" s="192"/>
      <c r="K476" s="192"/>
      <c r="L476" s="192"/>
    </row>
    <row r="477" spans="6:12">
      <c r="F477" s="192"/>
      <c r="G477" s="192"/>
      <c r="H477" s="192"/>
      <c r="I477" s="192"/>
      <c r="J477" s="192"/>
      <c r="K477" s="192"/>
      <c r="L477" s="192"/>
    </row>
    <row r="478" spans="6:12">
      <c r="F478" s="192"/>
      <c r="G478" s="192"/>
      <c r="H478" s="192"/>
      <c r="I478" s="192"/>
      <c r="J478" s="192"/>
      <c r="K478" s="192"/>
      <c r="L478" s="192"/>
    </row>
    <row r="479" spans="6:12">
      <c r="F479" s="192"/>
      <c r="G479" s="192"/>
      <c r="H479" s="192"/>
      <c r="I479" s="192"/>
      <c r="J479" s="192"/>
      <c r="K479" s="192"/>
      <c r="L479" s="192"/>
    </row>
    <row r="480" spans="6:12">
      <c r="F480" s="192"/>
      <c r="G480" s="192"/>
      <c r="H480" s="192"/>
      <c r="I480" s="192"/>
      <c r="J480" s="192"/>
      <c r="K480" s="192"/>
      <c r="L480" s="192"/>
    </row>
    <row r="481" spans="6:12">
      <c r="F481" s="192"/>
      <c r="G481" s="192"/>
      <c r="H481" s="192"/>
      <c r="I481" s="192"/>
      <c r="J481" s="192"/>
      <c r="K481" s="192"/>
      <c r="L481" s="192"/>
    </row>
    <row r="482" spans="6:12">
      <c r="F482" s="192"/>
      <c r="G482" s="192"/>
      <c r="H482" s="192"/>
      <c r="I482" s="192"/>
      <c r="J482" s="192"/>
      <c r="K482" s="192"/>
      <c r="L482" s="192"/>
    </row>
    <row r="483" spans="6:12">
      <c r="F483" s="192"/>
      <c r="G483" s="192"/>
      <c r="H483" s="192"/>
      <c r="I483" s="192"/>
      <c r="J483" s="192"/>
      <c r="K483" s="192"/>
      <c r="L483" s="192"/>
    </row>
    <row r="484" spans="6:12">
      <c r="F484" s="192"/>
      <c r="G484" s="192"/>
      <c r="H484" s="192"/>
      <c r="I484" s="192"/>
      <c r="J484" s="192"/>
      <c r="K484" s="192"/>
      <c r="L484" s="192"/>
    </row>
    <row r="485" spans="6:12">
      <c r="F485" s="192"/>
      <c r="G485" s="192"/>
      <c r="H485" s="192"/>
      <c r="I485" s="192"/>
      <c r="J485" s="192"/>
      <c r="K485" s="192"/>
      <c r="L485" s="192"/>
    </row>
    <row r="486" spans="6:12">
      <c r="F486" s="192"/>
      <c r="G486" s="192"/>
      <c r="H486" s="192"/>
      <c r="I486" s="192"/>
      <c r="J486" s="192"/>
      <c r="K486" s="192"/>
      <c r="L486" s="192"/>
    </row>
    <row r="487" spans="6:12">
      <c r="F487" s="192"/>
      <c r="G487" s="192"/>
      <c r="H487" s="192"/>
      <c r="I487" s="192"/>
      <c r="J487" s="192"/>
      <c r="K487" s="192"/>
      <c r="L487" s="192"/>
    </row>
    <row r="488" spans="6:12">
      <c r="F488" s="192"/>
      <c r="G488" s="192"/>
      <c r="H488" s="192"/>
      <c r="I488" s="192"/>
      <c r="J488" s="192"/>
      <c r="K488" s="192"/>
      <c r="L488" s="192"/>
    </row>
    <row r="489" spans="6:12">
      <c r="F489" s="192"/>
      <c r="G489" s="192"/>
      <c r="H489" s="192"/>
      <c r="I489" s="192"/>
      <c r="J489" s="192"/>
      <c r="K489" s="192"/>
      <c r="L489" s="192"/>
    </row>
    <row r="490" spans="6:12">
      <c r="F490" s="192"/>
      <c r="G490" s="192"/>
      <c r="H490" s="192"/>
      <c r="I490" s="192"/>
      <c r="J490" s="192"/>
      <c r="K490" s="192"/>
      <c r="L490" s="192"/>
    </row>
    <row r="491" spans="6:12">
      <c r="F491" s="192"/>
      <c r="G491" s="192"/>
      <c r="H491" s="192"/>
      <c r="I491" s="192"/>
      <c r="J491" s="192"/>
      <c r="K491" s="192"/>
      <c r="L491" s="192"/>
    </row>
    <row r="492" spans="6:12">
      <c r="F492" s="192"/>
      <c r="G492" s="192"/>
      <c r="H492" s="192"/>
      <c r="I492" s="192"/>
      <c r="J492" s="192"/>
      <c r="K492" s="192"/>
      <c r="L492" s="192"/>
    </row>
    <row r="493" spans="6:12">
      <c r="F493" s="192"/>
      <c r="G493" s="192"/>
      <c r="H493" s="192"/>
      <c r="I493" s="192"/>
      <c r="J493" s="192"/>
      <c r="K493" s="192"/>
      <c r="L493" s="192"/>
    </row>
    <row r="494" spans="6:12">
      <c r="F494" s="192"/>
      <c r="G494" s="192"/>
      <c r="H494" s="192"/>
      <c r="I494" s="192"/>
      <c r="J494" s="192"/>
      <c r="K494" s="192"/>
      <c r="L494" s="192"/>
    </row>
    <row r="495" spans="6:12">
      <c r="F495" s="192"/>
      <c r="G495" s="192"/>
      <c r="H495" s="192"/>
      <c r="I495" s="192"/>
      <c r="J495" s="192"/>
      <c r="K495" s="192"/>
      <c r="L495" s="192"/>
    </row>
    <row r="496" spans="6:12">
      <c r="F496" s="192"/>
      <c r="G496" s="192"/>
      <c r="H496" s="192"/>
      <c r="I496" s="192"/>
      <c r="J496" s="192"/>
      <c r="K496" s="192"/>
      <c r="L496" s="192"/>
    </row>
    <row r="497" spans="6:12">
      <c r="F497" s="192"/>
      <c r="G497" s="192"/>
      <c r="H497" s="192"/>
      <c r="I497" s="192"/>
      <c r="J497" s="192"/>
      <c r="K497" s="192"/>
      <c r="L497" s="192"/>
    </row>
    <row r="498" spans="6:12">
      <c r="F498" s="192"/>
      <c r="G498" s="192"/>
      <c r="H498" s="192"/>
      <c r="I498" s="192"/>
      <c r="J498" s="192"/>
      <c r="K498" s="192"/>
      <c r="L498" s="192"/>
    </row>
    <row r="499" spans="6:12">
      <c r="F499" s="192"/>
      <c r="G499" s="192"/>
      <c r="H499" s="192"/>
      <c r="I499" s="192"/>
      <c r="J499" s="192"/>
      <c r="K499" s="192"/>
      <c r="L499" s="192"/>
    </row>
    <row r="500" spans="6:12">
      <c r="F500" s="192"/>
      <c r="G500" s="192"/>
      <c r="H500" s="192"/>
      <c r="I500" s="192"/>
      <c r="J500" s="192"/>
      <c r="K500" s="192"/>
      <c r="L500" s="192"/>
    </row>
    <row r="501" spans="6:12">
      <c r="F501" s="192"/>
      <c r="G501" s="192"/>
      <c r="H501" s="192"/>
      <c r="I501" s="192"/>
      <c r="J501" s="192"/>
      <c r="K501" s="192"/>
      <c r="L501" s="192"/>
    </row>
    <row r="502" spans="6:12">
      <c r="F502" s="192"/>
      <c r="G502" s="192"/>
      <c r="H502" s="192"/>
      <c r="I502" s="192"/>
      <c r="J502" s="192"/>
      <c r="K502" s="192"/>
      <c r="L502" s="192"/>
    </row>
    <row r="503" spans="6:12">
      <c r="F503" s="192"/>
      <c r="G503" s="192"/>
      <c r="H503" s="192"/>
      <c r="I503" s="192"/>
      <c r="J503" s="192"/>
      <c r="K503" s="192"/>
      <c r="L503" s="192"/>
    </row>
    <row r="504" spans="6:12">
      <c r="F504" s="192"/>
      <c r="G504" s="192"/>
      <c r="H504" s="192"/>
      <c r="I504" s="192"/>
      <c r="J504" s="192"/>
      <c r="K504" s="192"/>
      <c r="L504" s="192"/>
    </row>
    <row r="505" spans="6:12">
      <c r="F505" s="192"/>
      <c r="G505" s="192"/>
      <c r="H505" s="192"/>
      <c r="I505" s="192"/>
      <c r="J505" s="192"/>
      <c r="K505" s="192"/>
      <c r="L505" s="192"/>
    </row>
    <row r="506" spans="6:12">
      <c r="F506" s="192"/>
      <c r="G506" s="192"/>
      <c r="H506" s="192"/>
      <c r="I506" s="192"/>
      <c r="J506" s="192"/>
      <c r="K506" s="192"/>
      <c r="L506" s="192"/>
    </row>
    <row r="507" spans="6:12">
      <c r="F507" s="192"/>
      <c r="G507" s="192"/>
      <c r="H507" s="192"/>
      <c r="I507" s="192"/>
      <c r="J507" s="192"/>
      <c r="K507" s="192"/>
      <c r="L507" s="192"/>
    </row>
    <row r="508" spans="6:12">
      <c r="F508" s="192"/>
      <c r="G508" s="192"/>
      <c r="H508" s="192"/>
      <c r="I508" s="192"/>
      <c r="J508" s="192"/>
      <c r="K508" s="192"/>
      <c r="L508" s="192"/>
    </row>
    <row r="509" spans="6:12">
      <c r="F509" s="192"/>
      <c r="G509" s="192"/>
      <c r="H509" s="192"/>
      <c r="I509" s="192"/>
      <c r="J509" s="192"/>
      <c r="K509" s="192"/>
      <c r="L509" s="192"/>
    </row>
    <row r="510" spans="6:12">
      <c r="F510" s="192"/>
      <c r="G510" s="192"/>
      <c r="H510" s="192"/>
      <c r="I510" s="192"/>
      <c r="J510" s="192"/>
      <c r="K510" s="192"/>
      <c r="L510" s="192"/>
    </row>
    <row r="511" spans="6:12">
      <c r="F511" s="192"/>
      <c r="G511" s="192"/>
      <c r="H511" s="192"/>
      <c r="I511" s="192"/>
      <c r="J511" s="192"/>
      <c r="K511" s="192"/>
      <c r="L511" s="192"/>
    </row>
    <row r="512" spans="6:12">
      <c r="F512" s="192"/>
      <c r="G512" s="192"/>
      <c r="H512" s="192"/>
      <c r="I512" s="192"/>
      <c r="J512" s="192"/>
      <c r="K512" s="192"/>
      <c r="L512" s="192"/>
    </row>
    <row r="513" spans="6:12">
      <c r="F513" s="192"/>
      <c r="G513" s="192"/>
      <c r="H513" s="192"/>
      <c r="I513" s="192"/>
      <c r="J513" s="192"/>
      <c r="K513" s="192"/>
      <c r="L513" s="192"/>
    </row>
    <row r="514" spans="6:12">
      <c r="F514" s="192"/>
      <c r="G514" s="192"/>
      <c r="H514" s="192"/>
      <c r="I514" s="192"/>
      <c r="J514" s="192"/>
      <c r="K514" s="192"/>
      <c r="L514" s="192"/>
    </row>
    <row r="515" spans="6:12">
      <c r="F515" s="192"/>
      <c r="G515" s="192"/>
      <c r="H515" s="192"/>
      <c r="I515" s="192"/>
      <c r="J515" s="192"/>
      <c r="K515" s="192"/>
      <c r="L515" s="192"/>
    </row>
    <row r="516" spans="6:12">
      <c r="F516" s="192"/>
      <c r="G516" s="192"/>
      <c r="H516" s="192"/>
      <c r="I516" s="192"/>
      <c r="J516" s="192"/>
      <c r="K516" s="192"/>
      <c r="L516" s="192"/>
    </row>
    <row r="517" spans="6:12">
      <c r="F517" s="192"/>
      <c r="G517" s="192"/>
      <c r="H517" s="192"/>
      <c r="I517" s="192"/>
      <c r="J517" s="192"/>
      <c r="K517" s="192"/>
      <c r="L517" s="192"/>
    </row>
    <row r="518" spans="6:12">
      <c r="F518" s="192"/>
      <c r="G518" s="192"/>
      <c r="H518" s="192"/>
      <c r="I518" s="192"/>
      <c r="J518" s="192"/>
      <c r="K518" s="192"/>
      <c r="L518" s="192"/>
    </row>
    <row r="519" spans="6:12">
      <c r="F519" s="192"/>
      <c r="G519" s="192"/>
      <c r="H519" s="192"/>
      <c r="I519" s="192"/>
      <c r="J519" s="192"/>
      <c r="K519" s="192"/>
      <c r="L519" s="192"/>
    </row>
    <row r="520" spans="6:12">
      <c r="F520" s="192"/>
      <c r="G520" s="192"/>
      <c r="H520" s="192"/>
      <c r="I520" s="192"/>
      <c r="J520" s="192"/>
      <c r="K520" s="192"/>
      <c r="L520" s="192"/>
    </row>
    <row r="521" spans="6:12">
      <c r="F521" s="192"/>
      <c r="G521" s="192"/>
      <c r="H521" s="192"/>
      <c r="I521" s="192"/>
      <c r="J521" s="192"/>
      <c r="K521" s="192"/>
      <c r="L521" s="192"/>
    </row>
    <row r="522" spans="6:12">
      <c r="F522" s="192"/>
      <c r="G522" s="192"/>
      <c r="H522" s="192"/>
      <c r="I522" s="192"/>
      <c r="J522" s="192"/>
      <c r="K522" s="192"/>
      <c r="L522" s="192"/>
    </row>
    <row r="523" spans="6:12">
      <c r="F523" s="192"/>
      <c r="G523" s="192"/>
      <c r="H523" s="192"/>
      <c r="I523" s="192"/>
      <c r="J523" s="192"/>
      <c r="K523" s="192"/>
      <c r="L523" s="192"/>
    </row>
    <row r="524" spans="6:12">
      <c r="F524" s="192"/>
      <c r="G524" s="192"/>
      <c r="H524" s="192"/>
      <c r="I524" s="192"/>
      <c r="J524" s="192"/>
      <c r="K524" s="192"/>
      <c r="L524" s="192"/>
    </row>
    <row r="525" spans="6:12">
      <c r="F525" s="192"/>
      <c r="G525" s="192"/>
      <c r="H525" s="192"/>
      <c r="I525" s="192"/>
      <c r="J525" s="192"/>
      <c r="K525" s="192"/>
      <c r="L525" s="192"/>
    </row>
    <row r="526" spans="6:12">
      <c r="F526" s="192"/>
      <c r="G526" s="192"/>
      <c r="H526" s="192"/>
      <c r="I526" s="192"/>
      <c r="J526" s="192"/>
      <c r="K526" s="192"/>
      <c r="L526" s="192"/>
    </row>
    <row r="527" spans="6:12">
      <c r="F527" s="192"/>
      <c r="G527" s="192"/>
      <c r="H527" s="192"/>
      <c r="I527" s="192"/>
      <c r="J527" s="192"/>
      <c r="K527" s="192"/>
      <c r="L527" s="192"/>
    </row>
    <row r="528" spans="6:12">
      <c r="F528" s="192"/>
      <c r="G528" s="192"/>
      <c r="H528" s="192"/>
      <c r="I528" s="192"/>
      <c r="J528" s="192"/>
      <c r="K528" s="192"/>
      <c r="L528" s="192"/>
    </row>
    <row r="529" spans="6:12">
      <c r="F529" s="192"/>
      <c r="G529" s="192"/>
      <c r="H529" s="192"/>
      <c r="I529" s="192"/>
      <c r="J529" s="192"/>
      <c r="K529" s="192"/>
      <c r="L529" s="192"/>
    </row>
    <row r="530" spans="6:12">
      <c r="F530" s="192"/>
      <c r="G530" s="192"/>
      <c r="H530" s="192"/>
      <c r="I530" s="192"/>
      <c r="J530" s="192"/>
      <c r="K530" s="192"/>
      <c r="L530" s="192"/>
    </row>
    <row r="531" spans="6:12">
      <c r="F531" s="192"/>
      <c r="G531" s="192"/>
      <c r="H531" s="192"/>
      <c r="I531" s="192"/>
      <c r="J531" s="192"/>
      <c r="K531" s="192"/>
      <c r="L531" s="192"/>
    </row>
    <row r="532" spans="6:12">
      <c r="F532" s="192"/>
      <c r="G532" s="192"/>
      <c r="H532" s="192"/>
      <c r="I532" s="192"/>
      <c r="J532" s="192"/>
      <c r="K532" s="192"/>
      <c r="L532" s="192"/>
    </row>
    <row r="533" spans="6:12">
      <c r="F533" s="192"/>
      <c r="G533" s="192"/>
      <c r="H533" s="192"/>
      <c r="I533" s="192"/>
      <c r="J533" s="192"/>
      <c r="K533" s="192"/>
      <c r="L533" s="192"/>
    </row>
    <row r="534" spans="6:12">
      <c r="F534" s="192"/>
      <c r="G534" s="192"/>
      <c r="H534" s="192"/>
      <c r="I534" s="192"/>
      <c r="J534" s="192"/>
      <c r="K534" s="192"/>
      <c r="L534" s="192"/>
    </row>
    <row r="535" spans="6:12">
      <c r="F535" s="192"/>
      <c r="G535" s="192"/>
      <c r="H535" s="192"/>
      <c r="I535" s="192"/>
      <c r="J535" s="192"/>
      <c r="K535" s="192"/>
      <c r="L535" s="192"/>
    </row>
    <row r="536" spans="6:12">
      <c r="F536" s="192"/>
      <c r="G536" s="192"/>
      <c r="H536" s="192"/>
      <c r="I536" s="192"/>
      <c r="J536" s="192"/>
      <c r="K536" s="192"/>
      <c r="L536" s="192"/>
    </row>
    <row r="537" spans="6:12">
      <c r="F537" s="192"/>
      <c r="G537" s="192"/>
      <c r="H537" s="192"/>
      <c r="I537" s="192"/>
      <c r="J537" s="192"/>
      <c r="K537" s="192"/>
      <c r="L537" s="192"/>
    </row>
    <row r="538" spans="6:12">
      <c r="F538" s="192"/>
      <c r="G538" s="192"/>
      <c r="H538" s="192"/>
      <c r="I538" s="192"/>
      <c r="J538" s="192"/>
      <c r="K538" s="192"/>
      <c r="L538" s="192"/>
    </row>
    <row r="539" spans="6:12">
      <c r="F539" s="192"/>
      <c r="G539" s="192"/>
      <c r="H539" s="192"/>
      <c r="I539" s="192"/>
      <c r="J539" s="192"/>
      <c r="K539" s="192"/>
      <c r="L539" s="192"/>
    </row>
    <row r="540" spans="6:12">
      <c r="F540" s="192"/>
      <c r="G540" s="192"/>
      <c r="H540" s="192"/>
      <c r="I540" s="192"/>
      <c r="J540" s="192"/>
      <c r="K540" s="192"/>
      <c r="L540" s="192"/>
    </row>
    <row r="541" spans="6:12">
      <c r="F541" s="192"/>
      <c r="G541" s="192"/>
      <c r="H541" s="192"/>
      <c r="I541" s="192"/>
      <c r="J541" s="192"/>
      <c r="K541" s="192"/>
      <c r="L541" s="192"/>
    </row>
    <row r="542" spans="6:12">
      <c r="F542" s="192"/>
      <c r="G542" s="192"/>
      <c r="H542" s="192"/>
      <c r="I542" s="192"/>
      <c r="J542" s="192"/>
      <c r="K542" s="192"/>
      <c r="L542" s="192"/>
    </row>
    <row r="543" spans="6:12">
      <c r="F543" s="192"/>
      <c r="G543" s="192"/>
      <c r="H543" s="192"/>
      <c r="I543" s="192"/>
      <c r="J543" s="192"/>
      <c r="K543" s="192"/>
      <c r="L543" s="192"/>
    </row>
    <row r="544" spans="6:12">
      <c r="F544" s="192"/>
      <c r="G544" s="192"/>
      <c r="H544" s="192"/>
      <c r="I544" s="192"/>
      <c r="J544" s="192"/>
      <c r="K544" s="192"/>
      <c r="L544" s="192"/>
    </row>
  </sheetData>
  <printOptions horizontalCentered="1" gridLines="1"/>
  <pageMargins left="0.70866141732283472" right="0.51181102362204722" top="0.74803149606299213" bottom="0.98425196850393704" header="0.19685039370078741" footer="0.19685039370078741"/>
  <pageSetup scale="65" orientation="portrait" horizontalDpi="300" verticalDpi="300" r:id="rId1"/>
  <headerFooter alignWithMargins="0">
    <oddHeader>&amp;L&amp;8MOYA
SUPERVISIONES Y CONSTRUCCIONES S.A&amp;R&amp;8Costa del Sol
Análisis de Precios Unitarios.</oddHeader>
    <oddFooter>&amp;L&amp;8Pagina No. &amp;P de &amp;N</oddFooter>
  </headerFooter>
  <drawing r:id="rId2"/>
  <legacyDrawing r:id="rId3"/>
  <oleObjects>
    <mc:AlternateContent xmlns:mc="http://schemas.openxmlformats.org/markup-compatibility/2006">
      <mc:Choice Requires="x14">
        <oleObject progId="Word.Document.12" shapeId="5121" r:id="rId4">
          <objectPr defaultSize="0" r:id="rId5">
            <anchor moveWithCells="1">
              <from>
                <xdr:col>5</xdr:col>
                <xdr:colOff>676275</xdr:colOff>
                <xdr:row>5</xdr:row>
                <xdr:rowOff>76200</xdr:rowOff>
              </from>
              <to>
                <xdr:col>13</xdr:col>
                <xdr:colOff>19050</xdr:colOff>
                <xdr:row>19</xdr:row>
                <xdr:rowOff>161925</xdr:rowOff>
              </to>
            </anchor>
          </objectPr>
        </oleObject>
      </mc:Choice>
      <mc:Fallback>
        <oleObject progId="Word.Document.12" shapeId="5121" r:id="rId4"/>
      </mc:Fallback>
    </mc:AlternateContent>
    <mc:AlternateContent xmlns:mc="http://schemas.openxmlformats.org/markup-compatibility/2006">
      <mc:Choice Requires="x14">
        <oleObject progId="Word.Document.8" shapeId="5122" r:id="rId6">
          <objectPr defaultSize="0" r:id="rId7">
            <anchor moveWithCells="1">
              <from>
                <xdr:col>6</xdr:col>
                <xdr:colOff>0</xdr:colOff>
                <xdr:row>27</xdr:row>
                <xdr:rowOff>0</xdr:rowOff>
              </from>
              <to>
                <xdr:col>11</xdr:col>
                <xdr:colOff>809625</xdr:colOff>
                <xdr:row>131</xdr:row>
                <xdr:rowOff>180975</xdr:rowOff>
              </to>
            </anchor>
          </objectPr>
        </oleObject>
      </mc:Choice>
      <mc:Fallback>
        <oleObject progId="Word.Document.8" shapeId="5122" r:id="rId6"/>
      </mc:Fallback>
    </mc:AlternateContent>
    <mc:AlternateContent xmlns:mc="http://schemas.openxmlformats.org/markup-compatibility/2006">
      <mc:Choice Requires="x14">
        <oleObject progId="Word.Document.8" shapeId="5123" r:id="rId8">
          <objectPr defaultSize="0" r:id="rId9">
            <anchor moveWithCells="1">
              <from>
                <xdr:col>6</xdr:col>
                <xdr:colOff>0</xdr:colOff>
                <xdr:row>134</xdr:row>
                <xdr:rowOff>0</xdr:rowOff>
              </from>
              <to>
                <xdr:col>12</xdr:col>
                <xdr:colOff>657225</xdr:colOff>
                <xdr:row>256</xdr:row>
                <xdr:rowOff>142875</xdr:rowOff>
              </to>
            </anchor>
          </objectPr>
        </oleObject>
      </mc:Choice>
      <mc:Fallback>
        <oleObject progId="Word.Document.8" shapeId="5123"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8"/>
  <sheetViews>
    <sheetView workbookViewId="0">
      <selection activeCell="F29" sqref="F29"/>
    </sheetView>
  </sheetViews>
  <sheetFormatPr baseColWidth="10" defaultColWidth="11.42578125" defaultRowHeight="15"/>
  <cols>
    <col min="1" max="1" width="52.28515625" style="253" customWidth="1"/>
    <col min="2" max="16384" width="11.42578125" style="253"/>
  </cols>
  <sheetData>
    <row r="3" spans="1:8" ht="15.75">
      <c r="A3" s="1721" t="s">
        <v>2329</v>
      </c>
      <c r="B3" s="1722"/>
      <c r="C3" s="1722"/>
      <c r="D3" s="1722"/>
      <c r="E3" s="1723"/>
      <c r="F3" s="252"/>
      <c r="G3" s="252"/>
      <c r="H3" s="252"/>
    </row>
    <row r="4" spans="1:8" ht="15.75">
      <c r="A4" s="252"/>
      <c r="B4" s="254"/>
      <c r="C4" s="255"/>
      <c r="D4" s="252"/>
      <c r="E4" s="252"/>
      <c r="F4" s="252"/>
      <c r="G4" s="252"/>
      <c r="H4" s="252"/>
    </row>
    <row r="5" spans="1:8" ht="15.75">
      <c r="A5" s="252"/>
      <c r="B5" s="254"/>
      <c r="C5" s="255"/>
      <c r="D5" s="252"/>
      <c r="E5" s="252"/>
      <c r="F5" s="252"/>
      <c r="G5" s="252"/>
      <c r="H5" s="252"/>
    </row>
    <row r="6" spans="1:8" ht="15.75">
      <c r="A6" s="256"/>
      <c r="B6" s="257"/>
      <c r="C6" s="258"/>
      <c r="D6" s="252"/>
      <c r="E6" s="252"/>
      <c r="F6" s="252"/>
      <c r="G6" s="252"/>
      <c r="H6" s="252"/>
    </row>
    <row r="7" spans="1:8" ht="15.75">
      <c r="A7" s="259"/>
      <c r="B7" s="257"/>
      <c r="C7" s="258"/>
      <c r="D7" s="252"/>
      <c r="E7" s="252"/>
      <c r="F7" s="252"/>
      <c r="G7" s="252"/>
      <c r="H7" s="252"/>
    </row>
    <row r="8" spans="1:8" ht="15.75">
      <c r="A8" s="256" t="s">
        <v>2330</v>
      </c>
      <c r="B8" s="257"/>
      <c r="C8" s="258"/>
      <c r="D8" s="252"/>
      <c r="E8" s="252"/>
      <c r="F8" s="252"/>
      <c r="G8" s="252"/>
      <c r="H8" s="252"/>
    </row>
    <row r="9" spans="1:8" ht="15.75">
      <c r="A9" s="259"/>
      <c r="B9" s="257"/>
      <c r="C9" s="258"/>
      <c r="D9" s="252"/>
      <c r="E9" s="252"/>
      <c r="F9" s="252"/>
      <c r="G9" s="252"/>
      <c r="H9" s="252"/>
    </row>
    <row r="10" spans="1:8" ht="15.75">
      <c r="A10" s="260" t="s">
        <v>2331</v>
      </c>
      <c r="B10" s="257" t="s">
        <v>1752</v>
      </c>
      <c r="C10" s="261">
        <f>(675+708.75+708.75+708.75+742.5+742.5+742.5)/7+F11</f>
        <v>742.93368134412276</v>
      </c>
      <c r="D10" s="252">
        <v>718.07142857142856</v>
      </c>
      <c r="E10" s="252" t="s">
        <v>2332</v>
      </c>
      <c r="F10" s="252"/>
      <c r="G10" s="252"/>
      <c r="H10" s="252"/>
    </row>
    <row r="11" spans="1:8" ht="15.75">
      <c r="A11" s="259" t="s">
        <v>2333</v>
      </c>
      <c r="B11" s="257" t="s">
        <v>1752</v>
      </c>
      <c r="C11" s="261">
        <f>(590+619.5+619.5+619.5+649+649+649)/7+F11</f>
        <v>652.46939562983709</v>
      </c>
      <c r="D11" s="252">
        <v>627.71428571428567</v>
      </c>
      <c r="E11" s="252">
        <f>40+13+15.6+88.4+33.8+15.6+70.2+33.8+15.6+70.2+18.2+33.8+15.6+70.2+18.2+33.8+15.6+70.2+18.2+33.8+15.6+70.2+18.2+33.8+15.6+70.2+18.2+33.8+15.6+122.2+18.2+33.8+54.6+18.2+23.4+10.4</f>
        <v>1295.8000000000004</v>
      </c>
      <c r="F11" s="252">
        <f>31800/E11</f>
        <v>24.540824201265618</v>
      </c>
      <c r="G11" s="252" t="s">
        <v>2334</v>
      </c>
      <c r="H11" s="252"/>
    </row>
    <row r="12" spans="1:8" ht="15.75">
      <c r="A12" s="259" t="s">
        <v>2335</v>
      </c>
      <c r="B12" s="257" t="s">
        <v>1752</v>
      </c>
      <c r="C12" s="261">
        <f>((362.75+380.89+380.89+380.99+399.03+399.03+399.03)/7)+F11</f>
        <v>410.62796705840839</v>
      </c>
      <c r="D12" s="252">
        <v>426.51714285714303</v>
      </c>
      <c r="E12" s="252"/>
      <c r="F12" s="252"/>
      <c r="G12" s="252"/>
      <c r="H12" s="252"/>
    </row>
    <row r="13" spans="1:8" ht="15.75">
      <c r="A13" s="262" t="s">
        <v>2336</v>
      </c>
      <c r="B13" s="257" t="s">
        <v>1752</v>
      </c>
      <c r="C13" s="263">
        <v>157.5</v>
      </c>
      <c r="D13" s="252">
        <f>C13*2</f>
        <v>315</v>
      </c>
      <c r="E13" s="252" t="s">
        <v>2337</v>
      </c>
      <c r="F13" s="252"/>
      <c r="G13" s="252"/>
      <c r="H13" s="252"/>
    </row>
    <row r="14" spans="1:8" ht="43.5" customHeight="1">
      <c r="A14" s="262" t="s">
        <v>2338</v>
      </c>
      <c r="B14" s="257" t="s">
        <v>1752</v>
      </c>
      <c r="C14" s="263">
        <v>36.75</v>
      </c>
      <c r="D14" s="252"/>
      <c r="E14" s="252"/>
      <c r="F14" s="252"/>
      <c r="G14" s="252"/>
      <c r="H14" s="252"/>
    </row>
    <row r="15" spans="1:8" ht="15.75">
      <c r="A15" s="259" t="s">
        <v>2339</v>
      </c>
      <c r="B15" s="257" t="s">
        <v>2340</v>
      </c>
      <c r="C15" s="264">
        <f>212.5/1.12</f>
        <v>189.73214285714283</v>
      </c>
      <c r="D15" s="252">
        <v>189.732142857143</v>
      </c>
      <c r="E15" s="252"/>
      <c r="F15" s="252"/>
      <c r="G15" s="252"/>
      <c r="H15" s="252"/>
    </row>
    <row r="16" spans="1:8" ht="15.75">
      <c r="A16" s="265" t="s">
        <v>2341</v>
      </c>
      <c r="B16" s="257" t="s">
        <v>1333</v>
      </c>
      <c r="C16" s="264">
        <f>(325+341.25+357.6)/3+(42.5+45+45+45+46.75+46.75+46.75+46.75)/8</f>
        <v>386.84583333333336</v>
      </c>
      <c r="D16" s="252">
        <v>357.50333333333333</v>
      </c>
      <c r="E16" s="252"/>
      <c r="F16" s="252"/>
      <c r="G16" s="252"/>
      <c r="H16" s="252"/>
    </row>
    <row r="17" spans="1:8" ht="15.75">
      <c r="A17" s="260" t="s">
        <v>2342</v>
      </c>
      <c r="B17" s="257" t="s">
        <v>1752</v>
      </c>
      <c r="C17" s="266">
        <f>(384.46+378.58+243.68)/3+(42.5+45+42+46.75)/3</f>
        <v>394.32333333333332</v>
      </c>
      <c r="D17" s="252">
        <v>369.05</v>
      </c>
      <c r="E17" s="252">
        <f>C17*2</f>
        <v>788.64666666666665</v>
      </c>
      <c r="F17" s="252"/>
      <c r="G17" s="252"/>
      <c r="H17" s="252"/>
    </row>
    <row r="18" spans="1:8" ht="15.75">
      <c r="A18" s="260" t="s">
        <v>2343</v>
      </c>
      <c r="B18" s="257" t="s">
        <v>1752</v>
      </c>
      <c r="C18" s="266">
        <f>+C17+60</f>
        <v>454.32333333333332</v>
      </c>
      <c r="D18" s="252">
        <v>369.05</v>
      </c>
      <c r="E18" s="252"/>
      <c r="F18" s="252"/>
      <c r="G18" s="252"/>
      <c r="H18" s="252"/>
    </row>
    <row r="19" spans="1:8" ht="15.75">
      <c r="A19" s="260" t="s">
        <v>2344</v>
      </c>
      <c r="B19" s="257" t="s">
        <v>1752</v>
      </c>
      <c r="C19" s="252">
        <v>231</v>
      </c>
      <c r="D19" s="252"/>
      <c r="E19" s="252"/>
      <c r="F19" s="252"/>
      <c r="G19" s="252"/>
      <c r="H19" s="252"/>
    </row>
    <row r="20" spans="1:8" ht="15.75">
      <c r="A20" s="260" t="s">
        <v>2345</v>
      </c>
      <c r="B20" s="257" t="s">
        <v>1752</v>
      </c>
      <c r="C20" s="252">
        <v>283.5</v>
      </c>
      <c r="D20" s="252"/>
      <c r="E20" s="252"/>
      <c r="F20" s="252"/>
      <c r="G20" s="252"/>
      <c r="H20" s="252"/>
    </row>
    <row r="21" spans="1:8" ht="15.75">
      <c r="A21" s="260"/>
      <c r="B21" s="257"/>
      <c r="C21" s="252"/>
      <c r="D21" s="252"/>
      <c r="E21" s="252"/>
      <c r="F21" s="252"/>
      <c r="G21" s="252"/>
      <c r="H21" s="252"/>
    </row>
    <row r="22" spans="1:8" ht="15.75">
      <c r="A22" s="259" t="s">
        <v>2346</v>
      </c>
      <c r="B22" s="257" t="s">
        <v>1752</v>
      </c>
      <c r="C22" s="266">
        <f>(236.5+248.33+260.15)/3+106.75</f>
        <v>355.07666666666671</v>
      </c>
      <c r="D22" s="252">
        <v>332.5</v>
      </c>
      <c r="E22" s="252"/>
      <c r="F22" s="252"/>
      <c r="G22" s="252"/>
      <c r="H22" s="252"/>
    </row>
    <row r="23" spans="1:8" ht="15.75">
      <c r="A23" s="259" t="s">
        <v>2347</v>
      </c>
      <c r="B23" s="257" t="s">
        <v>1752</v>
      </c>
      <c r="C23" s="267">
        <v>210</v>
      </c>
      <c r="D23" s="252"/>
      <c r="E23" s="252"/>
      <c r="F23" s="252"/>
      <c r="G23" s="252"/>
      <c r="H23" s="252"/>
    </row>
    <row r="24" spans="1:8" ht="15.75">
      <c r="A24" s="268" t="s">
        <v>2348</v>
      </c>
      <c r="B24" s="257" t="s">
        <v>1752</v>
      </c>
      <c r="C24" s="269">
        <v>294</v>
      </c>
      <c r="D24" s="252"/>
      <c r="E24" s="252"/>
      <c r="F24" s="252"/>
      <c r="G24" s="252"/>
      <c r="H24" s="252"/>
    </row>
    <row r="25" spans="1:8" ht="15.75">
      <c r="A25" s="259" t="s">
        <v>2349</v>
      </c>
      <c r="B25" s="257" t="s">
        <v>1333</v>
      </c>
      <c r="C25" s="267">
        <v>262.5</v>
      </c>
      <c r="D25" s="252">
        <v>306.49599999999998</v>
      </c>
      <c r="E25" s="252"/>
      <c r="F25" s="252"/>
      <c r="G25" s="252"/>
      <c r="H25" s="252"/>
    </row>
    <row r="26" spans="1:8" ht="15.75">
      <c r="A26" s="259" t="s">
        <v>2350</v>
      </c>
      <c r="B26" s="257" t="s">
        <v>1333</v>
      </c>
      <c r="C26" s="267">
        <v>294</v>
      </c>
      <c r="D26" s="252"/>
      <c r="E26" s="252"/>
      <c r="F26" s="252"/>
      <c r="G26" s="252"/>
      <c r="H26" s="252"/>
    </row>
    <row r="27" spans="1:8" ht="15.75">
      <c r="A27" s="259" t="s">
        <v>2351</v>
      </c>
      <c r="B27" s="257" t="s">
        <v>1333</v>
      </c>
      <c r="C27" s="267">
        <v>325</v>
      </c>
      <c r="D27" s="252"/>
      <c r="E27" s="252"/>
      <c r="F27" s="252"/>
      <c r="G27" s="252"/>
      <c r="H27" s="252"/>
    </row>
    <row r="28" spans="1:8" ht="15.75">
      <c r="A28" s="259" t="s">
        <v>2352</v>
      </c>
      <c r="B28" s="257" t="s">
        <v>1333</v>
      </c>
      <c r="C28" s="267">
        <v>357</v>
      </c>
      <c r="D28" s="252"/>
      <c r="E28" s="252"/>
      <c r="F28" s="252"/>
      <c r="G28" s="252"/>
      <c r="H28" s="252"/>
    </row>
    <row r="29" spans="1:8" ht="15.75">
      <c r="A29" s="259" t="s">
        <v>2353</v>
      </c>
      <c r="B29" s="257" t="s">
        <v>1333</v>
      </c>
      <c r="C29" s="267">
        <v>315</v>
      </c>
      <c r="D29" s="252"/>
      <c r="E29" s="252"/>
      <c r="F29" s="252"/>
      <c r="G29" s="252"/>
      <c r="H29" s="252"/>
    </row>
    <row r="30" spans="1:8" ht="15.75">
      <c r="A30" s="259" t="s">
        <v>2354</v>
      </c>
      <c r="B30" s="257" t="s">
        <v>1333</v>
      </c>
      <c r="C30" s="267">
        <v>315</v>
      </c>
      <c r="D30" s="252"/>
      <c r="E30" s="252"/>
      <c r="F30" s="252"/>
      <c r="G30" s="252"/>
      <c r="H30" s="252"/>
    </row>
    <row r="31" spans="1:8" ht="15.75">
      <c r="A31" s="259" t="s">
        <v>2355</v>
      </c>
      <c r="B31" s="257" t="s">
        <v>1752</v>
      </c>
      <c r="C31" s="267">
        <v>262.5</v>
      </c>
      <c r="D31" s="252"/>
      <c r="E31" s="252"/>
      <c r="F31" s="252"/>
      <c r="G31" s="252"/>
      <c r="H31" s="252"/>
    </row>
    <row r="32" spans="1:8" ht="15.75">
      <c r="A32" s="259" t="s">
        <v>2356</v>
      </c>
      <c r="B32" s="257" t="s">
        <v>1752</v>
      </c>
      <c r="C32" s="267">
        <v>294</v>
      </c>
      <c r="D32" s="252"/>
      <c r="E32" s="252"/>
      <c r="F32" s="252"/>
      <c r="G32" s="252"/>
      <c r="H32" s="252"/>
    </row>
    <row r="33" spans="1:8" ht="15.75">
      <c r="A33" s="259" t="s">
        <v>2357</v>
      </c>
      <c r="B33" s="257" t="s">
        <v>1752</v>
      </c>
      <c r="C33" s="267">
        <v>346.5</v>
      </c>
      <c r="D33" s="252"/>
      <c r="E33" s="252"/>
      <c r="F33" s="252"/>
      <c r="G33" s="252"/>
      <c r="H33" s="252"/>
    </row>
    <row r="34" spans="1:8" ht="15.75">
      <c r="A34" s="259" t="s">
        <v>2358</v>
      </c>
      <c r="B34" s="257" t="s">
        <v>324</v>
      </c>
      <c r="C34" s="266">
        <v>6000</v>
      </c>
      <c r="D34" s="252">
        <v>4000</v>
      </c>
      <c r="E34" s="252"/>
      <c r="F34" s="252"/>
      <c r="G34" s="252"/>
      <c r="H34" s="252"/>
    </row>
    <row r="35" spans="1:8" ht="15.75">
      <c r="A35" s="259" t="s">
        <v>2359</v>
      </c>
      <c r="B35" s="257" t="s">
        <v>1752</v>
      </c>
      <c r="C35" s="266">
        <v>348.75</v>
      </c>
      <c r="D35" s="252">
        <v>348.75</v>
      </c>
      <c r="E35" s="252"/>
      <c r="F35" s="252"/>
      <c r="G35" s="252"/>
      <c r="H35" s="252"/>
    </row>
    <row r="36" spans="1:8" ht="15.75">
      <c r="A36" s="252" t="s">
        <v>2360</v>
      </c>
      <c r="B36" s="254" t="s">
        <v>1752</v>
      </c>
      <c r="C36" s="266">
        <f>(112.5+135+146.25+191.25)/4</f>
        <v>146.25</v>
      </c>
      <c r="D36" s="252">
        <v>55</v>
      </c>
      <c r="E36" s="252"/>
      <c r="F36" s="252"/>
      <c r="G36" s="252"/>
      <c r="H36" s="252"/>
    </row>
    <row r="37" spans="1:8" ht="15.75">
      <c r="A37" s="252" t="s">
        <v>2361</v>
      </c>
      <c r="B37" s="254" t="s">
        <v>1752</v>
      </c>
      <c r="C37" s="266">
        <v>44</v>
      </c>
      <c r="D37" s="252">
        <v>44</v>
      </c>
      <c r="E37" s="252"/>
      <c r="F37" s="252"/>
      <c r="G37" s="252"/>
      <c r="H37" s="252"/>
    </row>
    <row r="38" spans="1:8" ht="15.75">
      <c r="A38" s="252" t="s">
        <v>2362</v>
      </c>
      <c r="B38" s="254" t="s">
        <v>1752</v>
      </c>
      <c r="C38" s="266">
        <v>150</v>
      </c>
      <c r="D38" s="252"/>
      <c r="E38" s="252"/>
      <c r="F38" s="252"/>
      <c r="G38" s="252"/>
      <c r="H38" s="252"/>
    </row>
  </sheetData>
  <mergeCells count="1">
    <mergeCell ref="A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1"/>
  <sheetViews>
    <sheetView workbookViewId="0">
      <selection activeCell="H29" sqref="H29"/>
    </sheetView>
  </sheetViews>
  <sheetFormatPr baseColWidth="10" defaultColWidth="11.42578125" defaultRowHeight="15"/>
  <cols>
    <col min="1" max="1" width="41.42578125" style="253" customWidth="1"/>
    <col min="2" max="16384" width="11.42578125" style="253"/>
  </cols>
  <sheetData>
    <row r="3" spans="1:8">
      <c r="A3" s="312"/>
    </row>
    <row r="4" spans="1:8">
      <c r="A4" s="312" t="s">
        <v>3983</v>
      </c>
    </row>
    <row r="7" spans="1:8">
      <c r="A7" s="313" t="s">
        <v>3984</v>
      </c>
      <c r="B7" s="314"/>
      <c r="C7" s="315"/>
      <c r="D7" s="316"/>
      <c r="E7" s="317"/>
      <c r="F7" s="318"/>
      <c r="G7" s="313"/>
    </row>
    <row r="8" spans="1:8">
      <c r="A8" s="319" t="s">
        <v>3985</v>
      </c>
      <c r="B8" s="314">
        <f>ROUND(3.66*4.88,2)</f>
        <v>17.86</v>
      </c>
      <c r="C8" s="315" t="s">
        <v>213</v>
      </c>
      <c r="D8" s="316"/>
      <c r="E8" s="320"/>
      <c r="F8" s="321"/>
      <c r="G8" s="319"/>
    </row>
    <row r="9" spans="1:8">
      <c r="A9" s="319" t="s">
        <v>3986</v>
      </c>
      <c r="B9" s="314">
        <f>ROUND(14*2*4*12/12,2)</f>
        <v>112</v>
      </c>
      <c r="C9" s="315" t="s">
        <v>211</v>
      </c>
      <c r="D9" s="316"/>
      <c r="E9" s="320"/>
      <c r="F9" s="321"/>
      <c r="G9" s="319"/>
    </row>
    <row r="10" spans="1:8">
      <c r="A10" s="319" t="s">
        <v>3987</v>
      </c>
      <c r="B10" s="314">
        <f>ROUND(7*2*4*8/12,2)</f>
        <v>37.33</v>
      </c>
      <c r="C10" s="315" t="s">
        <v>211</v>
      </c>
      <c r="D10" s="316"/>
      <c r="E10" s="320"/>
      <c r="F10" s="321"/>
      <c r="G10" s="319"/>
      <c r="H10" s="253">
        <f>B8*25</f>
        <v>446.5</v>
      </c>
    </row>
    <row r="11" spans="1:8">
      <c r="A11" s="319" t="s">
        <v>3988</v>
      </c>
      <c r="B11" s="314">
        <f>ROUND(2*2*4*14/12,2)</f>
        <v>18.670000000000002</v>
      </c>
      <c r="C11" s="315" t="s">
        <v>211</v>
      </c>
      <c r="D11" s="316"/>
      <c r="E11" s="320"/>
      <c r="F11" s="321"/>
      <c r="G11" s="319"/>
    </row>
    <row r="12" spans="1:8">
      <c r="A12" s="319" t="s">
        <v>3989</v>
      </c>
      <c r="B12" s="314">
        <f>ROUND(2*2*4*18/12,2)</f>
        <v>24</v>
      </c>
      <c r="C12" s="315" t="s">
        <v>211</v>
      </c>
      <c r="D12" s="316"/>
      <c r="E12" s="320"/>
      <c r="F12" s="321"/>
      <c r="G12" s="319"/>
    </row>
    <row r="13" spans="1:8">
      <c r="A13" s="319" t="s">
        <v>3990</v>
      </c>
      <c r="B13" s="314">
        <f>ROUND(4*1*4*8/12,2)</f>
        <v>10.67</v>
      </c>
      <c r="C13" s="315" t="s">
        <v>211</v>
      </c>
      <c r="D13" s="316"/>
      <c r="E13" s="320"/>
      <c r="F13" s="321"/>
      <c r="G13" s="319"/>
    </row>
    <row r="14" spans="1:8">
      <c r="A14" s="319" t="s">
        <v>3991</v>
      </c>
      <c r="B14" s="314">
        <f>ROUND(SUM(B9:B13)/4*1.25,2)</f>
        <v>63.33</v>
      </c>
      <c r="C14" s="315" t="s">
        <v>211</v>
      </c>
      <c r="D14" s="316">
        <v>100</v>
      </c>
      <c r="E14" s="320">
        <f t="shared" ref="E14:E28" si="0">ROUND(B14*D14,2)</f>
        <v>6333</v>
      </c>
      <c r="F14" s="321"/>
      <c r="G14" s="319"/>
    </row>
    <row r="15" spans="1:8">
      <c r="A15" s="319" t="s">
        <v>3992</v>
      </c>
      <c r="B15" s="314">
        <f>ROUND(13/6,2)</f>
        <v>2.17</v>
      </c>
      <c r="C15" s="315" t="s">
        <v>215</v>
      </c>
      <c r="D15" s="316">
        <v>2095</v>
      </c>
      <c r="E15" s="320">
        <f t="shared" si="0"/>
        <v>4546.1499999999996</v>
      </c>
      <c r="F15" s="321"/>
      <c r="G15" s="319"/>
    </row>
    <row r="16" spans="1:8">
      <c r="A16" s="319" t="s">
        <v>3993</v>
      </c>
      <c r="B16" s="322">
        <f>ROUND(1/6,2)</f>
        <v>0.17</v>
      </c>
      <c r="C16" s="315" t="s">
        <v>215</v>
      </c>
      <c r="D16" s="316">
        <v>2095</v>
      </c>
      <c r="E16" s="320">
        <f t="shared" si="0"/>
        <v>356.15</v>
      </c>
      <c r="F16" s="321"/>
      <c r="G16" s="319"/>
    </row>
    <row r="17" spans="1:7">
      <c r="A17" s="319" t="s">
        <v>3994</v>
      </c>
      <c r="B17" s="322">
        <v>14</v>
      </c>
      <c r="C17" s="315" t="s">
        <v>215</v>
      </c>
      <c r="D17" s="316">
        <v>275</v>
      </c>
      <c r="E17" s="320">
        <f t="shared" si="0"/>
        <v>3850</v>
      </c>
      <c r="F17" s="321"/>
      <c r="G17" s="319"/>
    </row>
    <row r="18" spans="1:7">
      <c r="A18" s="313" t="s">
        <v>3995</v>
      </c>
      <c r="B18" s="314">
        <f>SUM(B9:B13)/100*5</f>
        <v>10.1335</v>
      </c>
      <c r="C18" s="315" t="s">
        <v>1018</v>
      </c>
      <c r="D18" s="316">
        <v>33</v>
      </c>
      <c r="E18" s="320">
        <f t="shared" si="0"/>
        <v>334.41</v>
      </c>
      <c r="F18" s="318"/>
      <c r="G18" s="313"/>
    </row>
    <row r="19" spans="1:7">
      <c r="A19" s="319" t="s">
        <v>3996</v>
      </c>
      <c r="B19" s="314">
        <f>ROUND(B17*4*0.133,2)</f>
        <v>7.45</v>
      </c>
      <c r="C19" s="315" t="s">
        <v>1018</v>
      </c>
      <c r="D19" s="316">
        <v>48</v>
      </c>
      <c r="E19" s="320">
        <f t="shared" si="0"/>
        <v>357.6</v>
      </c>
      <c r="F19" s="321"/>
      <c r="G19" s="319"/>
    </row>
    <row r="20" spans="1:7">
      <c r="A20" s="319" t="s">
        <v>3997</v>
      </c>
      <c r="B20" s="314">
        <v>2</v>
      </c>
      <c r="C20" s="315" t="s">
        <v>3998</v>
      </c>
      <c r="D20" s="316">
        <v>95</v>
      </c>
      <c r="E20" s="320">
        <f t="shared" si="0"/>
        <v>190</v>
      </c>
      <c r="F20" s="321"/>
      <c r="G20" s="319"/>
    </row>
    <row r="21" spans="1:7">
      <c r="A21" s="319" t="s">
        <v>3999</v>
      </c>
      <c r="B21" s="314">
        <v>1</v>
      </c>
      <c r="C21" s="315" t="s">
        <v>215</v>
      </c>
      <c r="D21" s="316">
        <v>80</v>
      </c>
      <c r="E21" s="320">
        <f t="shared" si="0"/>
        <v>80</v>
      </c>
      <c r="F21" s="321"/>
      <c r="G21" s="319"/>
    </row>
    <row r="22" spans="1:7">
      <c r="A22" s="319" t="s">
        <v>4000</v>
      </c>
      <c r="B22" s="314">
        <v>1</v>
      </c>
      <c r="C22" s="315" t="s">
        <v>215</v>
      </c>
      <c r="D22" s="316">
        <v>43</v>
      </c>
      <c r="E22" s="320">
        <f t="shared" si="0"/>
        <v>43</v>
      </c>
      <c r="F22" s="321"/>
      <c r="G22" s="319"/>
    </row>
    <row r="23" spans="1:7">
      <c r="A23" s="319" t="s">
        <v>4001</v>
      </c>
      <c r="B23" s="314">
        <v>1</v>
      </c>
      <c r="C23" s="315" t="s">
        <v>215</v>
      </c>
      <c r="D23" s="316">
        <v>580</v>
      </c>
      <c r="E23" s="320">
        <f t="shared" si="0"/>
        <v>580</v>
      </c>
      <c r="F23" s="321"/>
      <c r="G23" s="319"/>
    </row>
    <row r="24" spans="1:7">
      <c r="A24" s="319" t="s">
        <v>4002</v>
      </c>
      <c r="B24" s="314">
        <v>2</v>
      </c>
      <c r="C24" s="315" t="s">
        <v>215</v>
      </c>
      <c r="D24" s="316">
        <v>1800</v>
      </c>
      <c r="E24" s="320">
        <f t="shared" si="0"/>
        <v>3600</v>
      </c>
      <c r="F24" s="321"/>
      <c r="G24" s="319"/>
    </row>
    <row r="25" spans="1:7">
      <c r="A25" s="319" t="s">
        <v>4003</v>
      </c>
      <c r="B25" s="314">
        <v>2</v>
      </c>
      <c r="C25" s="315" t="s">
        <v>215</v>
      </c>
      <c r="D25" s="316">
        <v>1600</v>
      </c>
      <c r="E25" s="320">
        <f t="shared" si="0"/>
        <v>3200</v>
      </c>
      <c r="F25" s="321"/>
      <c r="G25" s="319"/>
    </row>
    <row r="26" spans="1:7">
      <c r="A26" s="319" t="s">
        <v>4004</v>
      </c>
      <c r="B26" s="314">
        <v>1</v>
      </c>
      <c r="C26" s="315" t="s">
        <v>215</v>
      </c>
      <c r="D26" s="316">
        <v>2200</v>
      </c>
      <c r="E26" s="320">
        <f t="shared" si="0"/>
        <v>2200</v>
      </c>
      <c r="F26" s="321"/>
      <c r="G26" s="319"/>
    </row>
    <row r="27" spans="1:7">
      <c r="A27" s="319" t="s">
        <v>4005</v>
      </c>
      <c r="B27" s="322">
        <v>14</v>
      </c>
      <c r="C27" s="315" t="s">
        <v>215</v>
      </c>
      <c r="D27" s="316">
        <v>16.600000000000001</v>
      </c>
      <c r="E27" s="320">
        <f t="shared" si="0"/>
        <v>232.4</v>
      </c>
      <c r="F27" s="321"/>
      <c r="G27" s="319"/>
    </row>
    <row r="28" spans="1:7">
      <c r="A28" s="319" t="s">
        <v>4006</v>
      </c>
      <c r="B28" s="322">
        <v>2</v>
      </c>
      <c r="C28" s="315" t="s">
        <v>4007</v>
      </c>
      <c r="D28" s="316">
        <v>1091</v>
      </c>
      <c r="E28" s="320">
        <f t="shared" si="0"/>
        <v>2182</v>
      </c>
      <c r="F28" s="321"/>
      <c r="G28" s="319"/>
    </row>
    <row r="29" spans="1:7">
      <c r="A29" s="313" t="s">
        <v>4008</v>
      </c>
      <c r="B29" s="314">
        <v>2</v>
      </c>
      <c r="C29" s="315" t="s">
        <v>4007</v>
      </c>
      <c r="D29" s="316">
        <v>736.64</v>
      </c>
      <c r="E29" s="317">
        <f>ROUND(B29*D29,2)</f>
        <v>1473.28</v>
      </c>
      <c r="F29" s="318"/>
      <c r="G29" s="313"/>
    </row>
    <row r="30" spans="1:7">
      <c r="A30" s="319"/>
      <c r="B30" s="314"/>
      <c r="C30" s="315"/>
      <c r="D30" s="316" t="s">
        <v>2622</v>
      </c>
      <c r="E30" s="320">
        <f>SUM(E14:E29)</f>
        <v>29557.989999999998</v>
      </c>
      <c r="F30" s="321"/>
      <c r="G30" s="319"/>
    </row>
    <row r="31" spans="1:7">
      <c r="A31" s="319"/>
      <c r="B31" s="314"/>
      <c r="C31" s="315"/>
      <c r="D31" s="316" t="s">
        <v>1333</v>
      </c>
      <c r="E31" s="320">
        <f>ROUND(E30/B8,2)</f>
        <v>1654.98</v>
      </c>
      <c r="F31" s="321"/>
      <c r="G31" s="31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F0"/>
  </sheetPr>
  <dimension ref="A1:I25"/>
  <sheetViews>
    <sheetView view="pageBreakPreview" zoomScaleSheetLayoutView="100" workbookViewId="0">
      <selection activeCell="I27" sqref="I27"/>
    </sheetView>
  </sheetViews>
  <sheetFormatPr baseColWidth="10" defaultColWidth="11.42578125" defaultRowHeight="12.75"/>
  <cols>
    <col min="1" max="1" width="3.7109375" style="4" customWidth="1"/>
    <col min="2" max="2" width="30.7109375" style="4" customWidth="1"/>
    <col min="3" max="9" width="11.7109375" style="19" customWidth="1"/>
    <col min="10" max="16384" width="11.42578125" style="4"/>
  </cols>
  <sheetData>
    <row r="1" spans="1:9" ht="13.5" thickBot="1"/>
    <row r="2" spans="1:9" ht="16.5" thickBot="1">
      <c r="B2" s="1724" t="s">
        <v>1341</v>
      </c>
      <c r="C2" s="1725"/>
      <c r="D2" s="1725"/>
      <c r="E2" s="1725"/>
      <c r="F2" s="1725"/>
      <c r="G2" s="1725"/>
      <c r="H2" s="1725"/>
      <c r="I2" s="1726"/>
    </row>
    <row r="3" spans="1:9" ht="13.5" thickBot="1"/>
    <row r="4" spans="1:9" s="2" customFormat="1" ht="13.5" thickBot="1">
      <c r="A4" s="61" t="s">
        <v>41</v>
      </c>
      <c r="B4" s="62" t="s">
        <v>574</v>
      </c>
      <c r="C4" s="63" t="s">
        <v>1165</v>
      </c>
      <c r="D4" s="63" t="s">
        <v>1164</v>
      </c>
      <c r="E4" s="63" t="s">
        <v>902</v>
      </c>
      <c r="F4" s="63" t="s">
        <v>14</v>
      </c>
      <c r="G4" s="63" t="s">
        <v>619</v>
      </c>
      <c r="H4" s="63" t="s">
        <v>879</v>
      </c>
      <c r="I4" s="64" t="s">
        <v>957</v>
      </c>
    </row>
    <row r="5" spans="1:9" ht="13.5" thickBot="1"/>
    <row r="6" spans="1:9" ht="14.25" thickTop="1" thickBot="1">
      <c r="B6" s="67" t="s">
        <v>511</v>
      </c>
      <c r="C6" s="68">
        <f>Ana.term!F18</f>
        <v>1120.6400000000001</v>
      </c>
    </row>
    <row r="7" spans="1:9" ht="13.5" thickTop="1">
      <c r="B7" s="65" t="s">
        <v>42</v>
      </c>
      <c r="C7" s="69">
        <f>Ana.term!F39</f>
        <v>8322.44</v>
      </c>
      <c r="D7" s="70">
        <f>Ana.term!F167</f>
        <v>8539.65</v>
      </c>
      <c r="E7" s="70">
        <f>Ana.term!F339</f>
        <v>8708.6</v>
      </c>
      <c r="F7" s="70">
        <f>Ana.term!F500</f>
        <v>8863.07</v>
      </c>
      <c r="G7" s="70">
        <f>Ana.term!F680</f>
        <v>9010.5</v>
      </c>
      <c r="H7" s="71">
        <f>Ana.term!F841</f>
        <v>8509.89</v>
      </c>
    </row>
    <row r="8" spans="1:9">
      <c r="B8" s="65" t="s">
        <v>427</v>
      </c>
      <c r="C8" s="72">
        <f>Ana.term!F46</f>
        <v>6653.49</v>
      </c>
      <c r="D8" s="73">
        <f>Ana.term!F176</f>
        <v>6851.01</v>
      </c>
      <c r="E8" s="73">
        <f>Ana.term!F348</f>
        <v>7012.85</v>
      </c>
      <c r="F8" s="73">
        <f>Ana.term!F509</f>
        <v>7163.99</v>
      </c>
      <c r="G8" s="73">
        <f>Ana.term!F689</f>
        <v>7343.1500000000005</v>
      </c>
      <c r="H8" s="74">
        <f>Ana.term!F849</f>
        <v>6795.98</v>
      </c>
      <c r="I8" s="45">
        <f>Ana.term!F992</f>
        <v>6949.2699999999995</v>
      </c>
    </row>
    <row r="9" spans="1:9">
      <c r="B9" s="65" t="s">
        <v>1174</v>
      </c>
      <c r="C9" s="72">
        <f>Ana.term!F53</f>
        <v>5667.56</v>
      </c>
      <c r="D9" s="73">
        <f>Ana.term!F185</f>
        <v>5853.53</v>
      </c>
      <c r="E9" s="73">
        <f>Ana.term!F357</f>
        <v>6011.2699999999995</v>
      </c>
      <c r="F9" s="73">
        <f>Ana.term!F518</f>
        <v>6160.53</v>
      </c>
      <c r="G9" s="73">
        <f>Ana.term!F699</f>
        <v>6334.35</v>
      </c>
      <c r="H9" s="74">
        <f>Ana.term!F857</f>
        <v>5783.9699999999993</v>
      </c>
    </row>
    <row r="10" spans="1:9">
      <c r="B10" s="65" t="s">
        <v>663</v>
      </c>
      <c r="C10" s="72">
        <f>Ana.term!F60</f>
        <v>5023.9699999999993</v>
      </c>
      <c r="D10" s="73">
        <f>Ana.term!F194</f>
        <v>5201.6399999999976</v>
      </c>
      <c r="E10" s="73">
        <f>Ana.term!F366</f>
        <v>5355.8599999999988</v>
      </c>
      <c r="F10" s="73">
        <f>Ana.term!F527</f>
        <v>5503.0599999999995</v>
      </c>
      <c r="G10" s="73">
        <f>Ana.term!F708</f>
        <v>5672.4999999999991</v>
      </c>
      <c r="H10" s="74">
        <f>Ana.term!F865</f>
        <v>5119.2199999999993</v>
      </c>
    </row>
    <row r="11" spans="1:9">
      <c r="B11" s="65" t="s">
        <v>664</v>
      </c>
      <c r="C11" s="72">
        <f>Ana.term!F67</f>
        <v>4554.5599999999995</v>
      </c>
      <c r="D11" s="73">
        <f>Ana.term!F203</f>
        <v>4729.6900000000005</v>
      </c>
      <c r="E11" s="73">
        <f>Ana.term!F375</f>
        <v>4884.4900000000007</v>
      </c>
      <c r="F11" s="73">
        <f>Ana.term!F536</f>
        <v>5033.2000000000007</v>
      </c>
      <c r="G11" s="73">
        <f>Ana.term!F717</f>
        <v>5190.1600000000008</v>
      </c>
      <c r="H11" s="74">
        <f>Ana.term!F873</f>
        <v>4657.6900000000005</v>
      </c>
    </row>
    <row r="12" spans="1:9">
      <c r="B12" s="65" t="s">
        <v>125</v>
      </c>
      <c r="C12" s="72">
        <f>Ana.term!F75</f>
        <v>7269.64</v>
      </c>
      <c r="D12" s="73">
        <f>Ana.term!F214</f>
        <v>7489.3199999999988</v>
      </c>
      <c r="E12" s="73">
        <f>Ana.term!F386</f>
        <v>7660.1799999999994</v>
      </c>
      <c r="F12" s="73">
        <f>Ana.term!F547</f>
        <v>7816.39</v>
      </c>
      <c r="G12" s="73">
        <f>Ana.term!F728</f>
        <v>8006.89</v>
      </c>
      <c r="H12" s="74">
        <f>Ana.term!F883</f>
        <v>7472.68</v>
      </c>
    </row>
    <row r="13" spans="1:9">
      <c r="B13" s="65" t="s">
        <v>420</v>
      </c>
      <c r="C13" s="72">
        <f>Ana.term!F82</f>
        <v>3943.55</v>
      </c>
      <c r="D13" s="73">
        <f>Ana.term!F225</f>
        <v>4860</v>
      </c>
      <c r="E13" s="73">
        <f>Ana.term!F396</f>
        <v>4360.2699999999995</v>
      </c>
      <c r="F13" s="73">
        <f>Ana.term!F576</f>
        <v>4552.6499999999996</v>
      </c>
      <c r="G13" s="73">
        <f>Ana.term!F738</f>
        <v>4753.1399999999994</v>
      </c>
      <c r="H13" s="74">
        <f>Ana.term!F893</f>
        <v>4962.09</v>
      </c>
    </row>
    <row r="14" spans="1:9">
      <c r="B14" s="65" t="s">
        <v>421</v>
      </c>
      <c r="C14" s="72">
        <f>Ana.term!F97</f>
        <v>5147.68</v>
      </c>
      <c r="D14" s="73">
        <f>Ana.term!F242</f>
        <v>5373.880000000001</v>
      </c>
      <c r="E14" s="73">
        <f>Ana.term!F407</f>
        <v>5567.74</v>
      </c>
      <c r="F14" s="73">
        <f>Ana.term!F587</f>
        <v>5771.3299999999981</v>
      </c>
      <c r="G14" s="73">
        <f>Ana.term!F749</f>
        <v>5976.1900000000005</v>
      </c>
      <c r="H14" s="74">
        <f>Ana.term!F902</f>
        <v>5466.17</v>
      </c>
    </row>
    <row r="15" spans="1:9">
      <c r="B15" s="65" t="s">
        <v>760</v>
      </c>
      <c r="C15" s="72">
        <f>Ana.term!F104</f>
        <v>4554.8100000000004</v>
      </c>
      <c r="D15" s="73">
        <f>Ana.term!F253</f>
        <v>5479.35</v>
      </c>
      <c r="E15" s="73">
        <f>Ana.term!F417</f>
        <v>4983.01</v>
      </c>
      <c r="F15" s="73">
        <f>Ana.term!F597</f>
        <v>5177.3999999999996</v>
      </c>
      <c r="G15" s="73">
        <f>Ana.term!F759</f>
        <v>5381.7899999999991</v>
      </c>
      <c r="H15" s="74">
        <f>Ana.term!F912</f>
        <v>5596.61</v>
      </c>
    </row>
    <row r="16" spans="1:9">
      <c r="B16" s="65" t="s">
        <v>422</v>
      </c>
      <c r="C16" s="72">
        <f>Ana.term!F111</f>
        <v>4616.8899999999994</v>
      </c>
      <c r="D16" s="73">
        <f>Ana.term!F264</f>
        <v>5541.68</v>
      </c>
      <c r="E16" s="73">
        <f>Ana.term!F427</f>
        <v>5045.1099999999997</v>
      </c>
      <c r="F16" s="73">
        <f>Ana.term!F607</f>
        <v>5239.08</v>
      </c>
      <c r="G16" s="73">
        <f>Ana.term!F769</f>
        <v>5443.28</v>
      </c>
      <c r="H16" s="74">
        <f>Ana.term!F922</f>
        <v>5658.14</v>
      </c>
    </row>
    <row r="17" spans="2:8">
      <c r="B17" s="65" t="s">
        <v>423</v>
      </c>
      <c r="C17" s="72">
        <f>Ana.term!F119</f>
        <v>5459</v>
      </c>
      <c r="D17" s="73">
        <f>Ana.term!F275</f>
        <v>5687.49</v>
      </c>
      <c r="E17" s="73">
        <f>Ana.term!F438</f>
        <v>5889.53</v>
      </c>
      <c r="F17" s="73">
        <f>Ana.term!F618</f>
        <v>6083.7900000000009</v>
      </c>
      <c r="G17" s="73">
        <f>Ana.term!F780</f>
        <v>6288.72</v>
      </c>
      <c r="H17" s="74">
        <f>Ana.term!F932</f>
        <v>5778.2600000000011</v>
      </c>
    </row>
    <row r="18" spans="2:8">
      <c r="B18" s="65" t="s">
        <v>424</v>
      </c>
      <c r="C18" s="72">
        <f>Ana.term!F127</f>
        <v>4855.01</v>
      </c>
      <c r="D18" s="73">
        <f>Ana.term!F286</f>
        <v>5781.06</v>
      </c>
      <c r="E18" s="73">
        <f>Ana.term!F448</f>
        <v>5283.82</v>
      </c>
      <c r="F18" s="73">
        <f>Ana.term!F628</f>
        <v>5476.5400000000009</v>
      </c>
      <c r="G18" s="73">
        <f>Ana.term!F790</f>
        <v>5680.2900000000009</v>
      </c>
      <c r="H18" s="74">
        <f>Ana.term!F942</f>
        <v>5895.4800000000005</v>
      </c>
    </row>
    <row r="19" spans="2:8">
      <c r="B19" s="65" t="s">
        <v>425</v>
      </c>
      <c r="C19" s="72">
        <f>Ana.term!F135</f>
        <v>5714.31</v>
      </c>
      <c r="D19" s="73">
        <f>Ana.term!F297</f>
        <v>5940.7</v>
      </c>
      <c r="E19" s="73">
        <f>Ana.term!F459</f>
        <v>6139.2</v>
      </c>
      <c r="F19" s="73">
        <f>Ana.term!F639</f>
        <v>6341.7899999999991</v>
      </c>
      <c r="G19" s="73">
        <f>Ana.term!F801</f>
        <v>6547.36</v>
      </c>
      <c r="H19" s="74">
        <f>Ana.term!F952</f>
        <v>6037.12</v>
      </c>
    </row>
    <row r="20" spans="2:8">
      <c r="B20" s="65" t="s">
        <v>1161</v>
      </c>
      <c r="C20" s="72">
        <f>Ana.term!F142</f>
        <v>5407.25</v>
      </c>
      <c r="D20" s="73">
        <f>Ana.term!F308</f>
        <v>6341.0700000000006</v>
      </c>
      <c r="E20" s="73">
        <f>Ana.term!F469</f>
        <v>5847.4900000000007</v>
      </c>
      <c r="F20" s="73">
        <f>Ana.term!F649</f>
        <v>6042.6</v>
      </c>
      <c r="G20" s="73">
        <f>Ana.term!F811</f>
        <v>6250.42</v>
      </c>
      <c r="H20" s="74">
        <f>Ana.term!F962</f>
        <v>6471.4500000000007</v>
      </c>
    </row>
    <row r="21" spans="2:8">
      <c r="B21" s="65" t="s">
        <v>1162</v>
      </c>
      <c r="C21" s="72">
        <f>Ana.term!F149</f>
        <v>5545.7699999999995</v>
      </c>
      <c r="D21" s="73">
        <f>Ana.term!F318</f>
        <v>5783.5899999999992</v>
      </c>
      <c r="E21" s="73">
        <f>Ana.term!F479</f>
        <v>5988.9899999999989</v>
      </c>
      <c r="F21" s="73">
        <f>Ana.term!F659</f>
        <v>6184.7699999999995</v>
      </c>
      <c r="G21" s="73">
        <f>Ana.term!F821</f>
        <v>6393.6799999999994</v>
      </c>
      <c r="H21" s="74">
        <f>Ana.term!F972</f>
        <v>6616.2299999999987</v>
      </c>
    </row>
    <row r="22" spans="2:8">
      <c r="B22" s="65" t="s">
        <v>1163</v>
      </c>
      <c r="C22" s="72">
        <f>Ana.term!F156</f>
        <v>4067.5899999999997</v>
      </c>
      <c r="D22" s="73">
        <f>Ana.term!F328</f>
        <v>4288.6099999999997</v>
      </c>
      <c r="E22" s="73">
        <f>Ana.term!F489</f>
        <v>4488.4299999999994</v>
      </c>
      <c r="F22" s="73">
        <f>Ana.term!F669</f>
        <v>4682.0299999999988</v>
      </c>
      <c r="G22" s="73">
        <f>Ana.term!F831</f>
        <v>4884.170000000001</v>
      </c>
      <c r="H22" s="74">
        <f>Ana.term!F982</f>
        <v>5095.1899999999996</v>
      </c>
    </row>
    <row r="23" spans="2:8">
      <c r="B23" s="65" t="s">
        <v>975</v>
      </c>
      <c r="C23" s="72">
        <f>Ana.term!F999</f>
        <v>18.830000000000002</v>
      </c>
      <c r="D23" s="73">
        <f>Ana.term!F1005</f>
        <v>19.21</v>
      </c>
      <c r="E23" s="73">
        <f>Ana.term!F1011</f>
        <v>19.440000000000001</v>
      </c>
      <c r="F23" s="73">
        <f>Ana.term!F1017</f>
        <v>19.66</v>
      </c>
      <c r="G23" s="73">
        <f>Ana.term!F1023</f>
        <v>20.03</v>
      </c>
      <c r="H23" s="74">
        <f>Ana.term!F1029</f>
        <v>20.250000000000004</v>
      </c>
    </row>
    <row r="24" spans="2:8" ht="13.5" thickBot="1">
      <c r="B24" s="66" t="s">
        <v>1287</v>
      </c>
      <c r="C24" s="75">
        <f>Ana.term!F1040</f>
        <v>150.69</v>
      </c>
      <c r="D24" s="76">
        <f>C24</f>
        <v>150.69</v>
      </c>
      <c r="E24" s="76">
        <f>C24</f>
        <v>150.69</v>
      </c>
      <c r="F24" s="76">
        <f>C24</f>
        <v>150.69</v>
      </c>
      <c r="G24" s="76">
        <f>Ana.term!F1051</f>
        <v>159.33000000000001</v>
      </c>
      <c r="H24" s="77">
        <f>Ana.term!F1060</f>
        <v>160.80000000000001</v>
      </c>
    </row>
    <row r="25" spans="2:8" ht="13.5" thickTop="1"/>
  </sheetData>
  <sheetProtection selectLockedCells="1" selectUnlockedCells="1"/>
  <mergeCells count="1">
    <mergeCell ref="B2:I2"/>
  </mergeCells>
  <phoneticPr fontId="37" type="noConversion"/>
  <pageMargins left="0.98425196850393704" right="0.78740157480314965" top="0.59055118110236227" bottom="0.59055118110236227" header="0" footer="0.39370078740157483"/>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88"/>
  <sheetViews>
    <sheetView workbookViewId="0">
      <selection activeCell="A11" sqref="A11"/>
    </sheetView>
  </sheetViews>
  <sheetFormatPr baseColWidth="10" defaultColWidth="11.42578125" defaultRowHeight="15"/>
  <cols>
    <col min="1" max="1" width="48.85546875" style="253" customWidth="1"/>
    <col min="2" max="16384" width="11.42578125" style="253"/>
  </cols>
  <sheetData>
    <row r="3" spans="1:5" ht="36" customHeight="1">
      <c r="A3" s="323" t="s">
        <v>1796</v>
      </c>
      <c r="B3" s="1728" t="s">
        <v>1797</v>
      </c>
      <c r="C3" s="1728"/>
      <c r="D3" s="1728"/>
      <c r="E3" s="324">
        <f>3*0.3</f>
        <v>0.89999999999999991</v>
      </c>
    </row>
    <row r="4" spans="1:5">
      <c r="A4" s="325" t="s">
        <v>1798</v>
      </c>
      <c r="B4" s="326">
        <v>1</v>
      </c>
      <c r="C4" s="326" t="s">
        <v>213</v>
      </c>
      <c r="D4" s="327">
        <f>140*1.3</f>
        <v>182</v>
      </c>
      <c r="E4" s="327">
        <f>+B4*D4</f>
        <v>182</v>
      </c>
    </row>
    <row r="5" spans="1:5">
      <c r="A5" s="325" t="s">
        <v>1799</v>
      </c>
      <c r="B5" s="326">
        <v>1</v>
      </c>
      <c r="C5" s="326" t="s">
        <v>213</v>
      </c>
      <c r="D5" s="327">
        <v>35</v>
      </c>
      <c r="E5" s="327">
        <f t="shared" ref="E5:E7" si="0">+B5*D5</f>
        <v>35</v>
      </c>
    </row>
    <row r="6" spans="1:5">
      <c r="A6" s="325" t="s">
        <v>1800</v>
      </c>
      <c r="B6" s="326">
        <f>1/10</f>
        <v>0.1</v>
      </c>
      <c r="C6" s="326" t="s">
        <v>218</v>
      </c>
      <c r="D6" s="327">
        <v>40</v>
      </c>
      <c r="E6" s="327">
        <f t="shared" si="0"/>
        <v>4</v>
      </c>
    </row>
    <row r="7" spans="1:5">
      <c r="A7" s="325" t="s">
        <v>1801</v>
      </c>
      <c r="B7" s="326">
        <v>1</v>
      </c>
      <c r="C7" s="326" t="s">
        <v>1017</v>
      </c>
      <c r="D7" s="327">
        <v>5</v>
      </c>
      <c r="E7" s="327">
        <f t="shared" si="0"/>
        <v>5</v>
      </c>
    </row>
    <row r="8" spans="1:5">
      <c r="A8" s="325" t="s">
        <v>1802</v>
      </c>
      <c r="B8" s="328">
        <f>SUM(E4:E7)</f>
        <v>226</v>
      </c>
      <c r="C8" s="329" t="s">
        <v>48</v>
      </c>
      <c r="D8" s="330">
        <v>5.0000000000000001E-3</v>
      </c>
      <c r="E8" s="327"/>
    </row>
    <row r="9" spans="1:5">
      <c r="A9" s="331"/>
      <c r="B9" s="332"/>
      <c r="C9" s="333" t="s">
        <v>1742</v>
      </c>
      <c r="D9" s="333"/>
      <c r="E9" s="334">
        <f>SUM(E4:E8)</f>
        <v>226</v>
      </c>
    </row>
    <row r="12" spans="1:5" ht="25.5">
      <c r="A12" s="335" t="s">
        <v>1766</v>
      </c>
      <c r="B12" s="336"/>
      <c r="C12" s="337"/>
      <c r="D12" s="337"/>
      <c r="E12" s="337"/>
    </row>
    <row r="13" spans="1:5">
      <c r="A13" s="325" t="s">
        <v>1767</v>
      </c>
      <c r="B13" s="326">
        <v>0.2</v>
      </c>
      <c r="C13" s="338" t="s">
        <v>825</v>
      </c>
      <c r="D13" s="339">
        <f>900</f>
        <v>900</v>
      </c>
      <c r="E13" s="327"/>
    </row>
    <row r="14" spans="1:5">
      <c r="A14" s="325" t="s">
        <v>1768</v>
      </c>
      <c r="B14" s="326">
        <v>0.2</v>
      </c>
      <c r="C14" s="338" t="s">
        <v>825</v>
      </c>
      <c r="D14" s="339">
        <v>400</v>
      </c>
      <c r="E14" s="327"/>
    </row>
    <row r="15" spans="1:5">
      <c r="A15" s="325" t="s">
        <v>1769</v>
      </c>
      <c r="B15" s="326">
        <v>0.2</v>
      </c>
      <c r="C15" s="338" t="s">
        <v>825</v>
      </c>
      <c r="D15" s="339">
        <v>100</v>
      </c>
      <c r="E15" s="327"/>
    </row>
    <row r="16" spans="1:5">
      <c r="A16" s="325" t="s">
        <v>1770</v>
      </c>
      <c r="B16" s="326">
        <v>1</v>
      </c>
      <c r="C16" s="338" t="s">
        <v>213</v>
      </c>
      <c r="D16" s="339">
        <v>85</v>
      </c>
      <c r="E16" s="327">
        <f t="shared" ref="E16:E17" si="1">ROUND(B16*D16,2)</f>
        <v>85</v>
      </c>
    </row>
    <row r="17" spans="1:6">
      <c r="A17" s="325" t="s">
        <v>1771</v>
      </c>
      <c r="B17" s="326">
        <v>1</v>
      </c>
      <c r="C17" s="338" t="s">
        <v>213</v>
      </c>
      <c r="D17" s="339">
        <v>45</v>
      </c>
      <c r="E17" s="327">
        <f t="shared" si="1"/>
        <v>45</v>
      </c>
    </row>
    <row r="18" spans="1:6">
      <c r="A18" s="325" t="s">
        <v>1843</v>
      </c>
      <c r="B18" s="328">
        <f>SUM(E13:E17)</f>
        <v>130</v>
      </c>
      <c r="C18" s="329" t="s">
        <v>48</v>
      </c>
      <c r="D18" s="330">
        <v>5.0000000000000001E-3</v>
      </c>
      <c r="E18" s="327"/>
    </row>
    <row r="19" spans="1:6">
      <c r="A19" s="337"/>
      <c r="B19" s="340"/>
      <c r="C19" s="337"/>
      <c r="D19" s="169" t="s">
        <v>1772</v>
      </c>
      <c r="E19" s="334">
        <f>SUM(E13:E18)</f>
        <v>130</v>
      </c>
    </row>
    <row r="21" spans="1:6">
      <c r="A21" s="341" t="s">
        <v>1731</v>
      </c>
      <c r="B21" s="342"/>
      <c r="C21" s="343"/>
      <c r="D21" s="344" t="s">
        <v>1714</v>
      </c>
      <c r="E21" s="345" t="s">
        <v>1712</v>
      </c>
      <c r="F21" s="334">
        <f>F33/D22</f>
        <v>9116.7476190476173</v>
      </c>
    </row>
    <row r="22" spans="1:6">
      <c r="A22" s="341"/>
      <c r="B22" s="342"/>
      <c r="C22" s="343" t="s">
        <v>1715</v>
      </c>
      <c r="D22" s="346">
        <f>1*2.1</f>
        <v>2.1</v>
      </c>
      <c r="E22" s="347">
        <f>D22*10.76</f>
        <v>22.596</v>
      </c>
      <c r="F22" s="334"/>
    </row>
    <row r="23" spans="1:6">
      <c r="A23" s="348" t="s">
        <v>1728</v>
      </c>
      <c r="B23" s="342"/>
      <c r="C23" s="349">
        <v>2</v>
      </c>
      <c r="D23" s="344" t="s">
        <v>215</v>
      </c>
      <c r="E23" s="345">
        <v>850</v>
      </c>
      <c r="F23" s="327">
        <f t="shared" ref="F23:F32" si="2">ROUND(C23*E23,2)</f>
        <v>1700</v>
      </c>
    </row>
    <row r="24" spans="1:6">
      <c r="A24" s="348" t="s">
        <v>1716</v>
      </c>
      <c r="B24" s="342"/>
      <c r="C24" s="349">
        <v>2</v>
      </c>
      <c r="D24" s="344" t="s">
        <v>215</v>
      </c>
      <c r="E24" s="345">
        <v>850</v>
      </c>
      <c r="F24" s="327">
        <f t="shared" si="2"/>
        <v>1700</v>
      </c>
    </row>
    <row r="25" spans="1:6">
      <c r="A25" s="348" t="s">
        <v>1729</v>
      </c>
      <c r="B25" s="342"/>
      <c r="C25" s="343">
        <v>1.5</v>
      </c>
      <c r="D25" s="344" t="s">
        <v>1730</v>
      </c>
      <c r="E25" s="345">
        <v>1200</v>
      </c>
      <c r="F25" s="327">
        <f t="shared" si="2"/>
        <v>1800</v>
      </c>
    </row>
    <row r="26" spans="1:6">
      <c r="A26" s="348" t="s">
        <v>1725</v>
      </c>
      <c r="B26" s="342"/>
      <c r="C26" s="343">
        <v>12.166666666666666</v>
      </c>
      <c r="D26" s="344" t="s">
        <v>215</v>
      </c>
      <c r="E26" s="345">
        <v>748</v>
      </c>
      <c r="F26" s="327">
        <f>ROUND(C26*E26,2)</f>
        <v>9100.67</v>
      </c>
    </row>
    <row r="27" spans="1:6">
      <c r="A27" s="348" t="s">
        <v>4009</v>
      </c>
      <c r="B27" s="350"/>
      <c r="C27" s="351">
        <v>1</v>
      </c>
      <c r="D27" s="343" t="s">
        <v>215</v>
      </c>
      <c r="E27" s="352">
        <v>1000</v>
      </c>
      <c r="F27" s="327">
        <f t="shared" si="2"/>
        <v>1000</v>
      </c>
    </row>
    <row r="28" spans="1:6">
      <c r="A28" s="348" t="s">
        <v>1717</v>
      </c>
      <c r="B28" s="342"/>
      <c r="C28" s="343">
        <v>4</v>
      </c>
      <c r="D28" s="344" t="s">
        <v>218</v>
      </c>
      <c r="E28" s="345">
        <v>55</v>
      </c>
      <c r="F28" s="327">
        <f t="shared" si="2"/>
        <v>220</v>
      </c>
    </row>
    <row r="29" spans="1:6">
      <c r="A29" s="348" t="s">
        <v>1718</v>
      </c>
      <c r="B29" s="342"/>
      <c r="C29" s="343">
        <v>1</v>
      </c>
      <c r="D29" s="344" t="s">
        <v>1038</v>
      </c>
      <c r="E29" s="345">
        <v>125</v>
      </c>
      <c r="F29" s="327">
        <f t="shared" si="2"/>
        <v>125</v>
      </c>
    </row>
    <row r="30" spans="1:6">
      <c r="A30" s="348" t="s">
        <v>1719</v>
      </c>
      <c r="B30" s="342"/>
      <c r="C30" s="343">
        <v>3</v>
      </c>
      <c r="D30" s="344" t="s">
        <v>1017</v>
      </c>
      <c r="E30" s="345">
        <v>125</v>
      </c>
      <c r="F30" s="327">
        <f t="shared" si="2"/>
        <v>375</v>
      </c>
    </row>
    <row r="31" spans="1:6">
      <c r="A31" s="348" t="s">
        <v>1720</v>
      </c>
      <c r="B31" s="342"/>
      <c r="C31" s="343">
        <v>2</v>
      </c>
      <c r="D31" s="344" t="s">
        <v>488</v>
      </c>
      <c r="E31" s="345">
        <v>150</v>
      </c>
      <c r="F31" s="327">
        <f t="shared" si="2"/>
        <v>300</v>
      </c>
    </row>
    <row r="32" spans="1:6">
      <c r="A32" s="348" t="s">
        <v>1722</v>
      </c>
      <c r="B32" s="342"/>
      <c r="C32" s="343">
        <v>22.596</v>
      </c>
      <c r="D32" s="344" t="s">
        <v>1723</v>
      </c>
      <c r="E32" s="345">
        <v>125</v>
      </c>
      <c r="F32" s="327">
        <f t="shared" si="2"/>
        <v>2824.5</v>
      </c>
    </row>
    <row r="33" spans="1:6">
      <c r="A33" s="341"/>
      <c r="B33" s="342"/>
      <c r="C33" s="343"/>
      <c r="D33" s="353" t="s">
        <v>1724</v>
      </c>
      <c r="E33" s="334" t="s">
        <v>1712</v>
      </c>
      <c r="F33" s="334">
        <f>SUM(F23:F32)</f>
        <v>19145.169999999998</v>
      </c>
    </row>
    <row r="34" spans="1:6">
      <c r="A34" s="341"/>
      <c r="B34" s="342"/>
      <c r="C34" s="343"/>
      <c r="D34" s="344"/>
      <c r="E34" s="345"/>
      <c r="F34" s="334"/>
    </row>
    <row r="35" spans="1:6">
      <c r="A35" s="341" t="s">
        <v>1733</v>
      </c>
      <c r="B35" s="342"/>
      <c r="C35" s="343"/>
      <c r="D35" s="353" t="s">
        <v>1714</v>
      </c>
      <c r="E35" s="334" t="s">
        <v>1712</v>
      </c>
      <c r="F35" s="334">
        <f>F41/D36</f>
        <v>974.97500000000002</v>
      </c>
    </row>
    <row r="36" spans="1:6">
      <c r="A36" s="341"/>
      <c r="B36" s="342"/>
      <c r="C36" s="343" t="s">
        <v>1715</v>
      </c>
      <c r="D36" s="346">
        <f>1*1.2</f>
        <v>1.2</v>
      </c>
      <c r="E36" s="334">
        <f>D36*10.76</f>
        <v>12.911999999999999</v>
      </c>
      <c r="F36" s="334" t="s">
        <v>211</v>
      </c>
    </row>
    <row r="37" spans="1:6">
      <c r="A37" s="348" t="s">
        <v>1734</v>
      </c>
      <c r="B37" s="342"/>
      <c r="C37" s="349">
        <v>1</v>
      </c>
      <c r="D37" s="344" t="s">
        <v>213</v>
      </c>
      <c r="E37" s="345">
        <v>479.16666666666669</v>
      </c>
      <c r="F37" s="327">
        <f t="shared" ref="F37:F40" si="3">ROUND(C37*E37,2)</f>
        <v>479.17</v>
      </c>
    </row>
    <row r="38" spans="1:6">
      <c r="A38" s="348" t="s">
        <v>1717</v>
      </c>
      <c r="B38" s="342"/>
      <c r="C38" s="349">
        <v>2</v>
      </c>
      <c r="D38" s="344" t="s">
        <v>218</v>
      </c>
      <c r="E38" s="345">
        <v>55</v>
      </c>
      <c r="F38" s="327">
        <f t="shared" si="3"/>
        <v>110</v>
      </c>
    </row>
    <row r="39" spans="1:6">
      <c r="A39" s="348" t="s">
        <v>1718</v>
      </c>
      <c r="B39" s="342"/>
      <c r="C39" s="349">
        <v>1</v>
      </c>
      <c r="D39" s="344" t="s">
        <v>1038</v>
      </c>
      <c r="E39" s="345">
        <v>150</v>
      </c>
      <c r="F39" s="327">
        <f t="shared" si="3"/>
        <v>150</v>
      </c>
    </row>
    <row r="40" spans="1:6">
      <c r="A40" s="348" t="s">
        <v>1722</v>
      </c>
      <c r="B40" s="342"/>
      <c r="C40" s="354">
        <v>1.2</v>
      </c>
      <c r="D40" s="344" t="s">
        <v>213</v>
      </c>
      <c r="E40" s="345">
        <v>359</v>
      </c>
      <c r="F40" s="327">
        <f t="shared" si="3"/>
        <v>430.8</v>
      </c>
    </row>
    <row r="41" spans="1:6">
      <c r="A41" s="341"/>
      <c r="B41" s="342"/>
      <c r="C41" s="343"/>
      <c r="D41" s="353" t="s">
        <v>1724</v>
      </c>
      <c r="E41" s="334" t="s">
        <v>1712</v>
      </c>
      <c r="F41" s="334">
        <f>SUM(F37:F40)</f>
        <v>1169.97</v>
      </c>
    </row>
    <row r="42" spans="1:6">
      <c r="A42" s="341"/>
      <c r="B42" s="342"/>
      <c r="C42" s="343"/>
      <c r="D42" s="344"/>
      <c r="E42" s="345"/>
      <c r="F42" s="334"/>
    </row>
    <row r="43" spans="1:6">
      <c r="A43" s="1729" t="s">
        <v>1732</v>
      </c>
      <c r="B43" s="340"/>
      <c r="C43" s="355"/>
      <c r="D43" s="169" t="s">
        <v>1714</v>
      </c>
      <c r="E43" s="169" t="s">
        <v>1712</v>
      </c>
      <c r="F43" s="334"/>
    </row>
    <row r="44" spans="1:6">
      <c r="A44" s="1729"/>
      <c r="B44" s="340"/>
      <c r="C44" s="336" t="s">
        <v>1715</v>
      </c>
      <c r="D44" s="346">
        <f>1*2.1</f>
        <v>2.1</v>
      </c>
      <c r="E44" s="347">
        <f>D44*10.76</f>
        <v>22.596</v>
      </c>
      <c r="F44" s="334">
        <f>E54/D44</f>
        <v>8999.4285714285706</v>
      </c>
    </row>
    <row r="45" spans="1:6">
      <c r="A45" s="348" t="s">
        <v>1726</v>
      </c>
      <c r="B45" s="350">
        <v>2</v>
      </c>
      <c r="C45" s="343" t="s">
        <v>215</v>
      </c>
      <c r="D45" s="352">
        <v>835</v>
      </c>
      <c r="E45" s="345">
        <f>B45*D45</f>
        <v>1670</v>
      </c>
      <c r="F45" s="334"/>
    </row>
    <row r="46" spans="1:6">
      <c r="A46" s="348" t="s">
        <v>1726</v>
      </c>
      <c r="B46" s="350">
        <v>2</v>
      </c>
      <c r="C46" s="343" t="s">
        <v>215</v>
      </c>
      <c r="D46" s="352">
        <v>835</v>
      </c>
      <c r="E46" s="345">
        <f t="shared" ref="E46:E53" si="4">B46*D46</f>
        <v>1670</v>
      </c>
      <c r="F46" s="334"/>
    </row>
    <row r="47" spans="1:6">
      <c r="A47" s="348" t="s">
        <v>1725</v>
      </c>
      <c r="B47" s="350">
        <f>(2.1/0.1*1/3)+(1/0.1*1/6)</f>
        <v>8.6666666666666661</v>
      </c>
      <c r="C47" s="343" t="s">
        <v>215</v>
      </c>
      <c r="D47" s="352">
        <v>780</v>
      </c>
      <c r="E47" s="345">
        <f t="shared" si="4"/>
        <v>6759.9999999999991</v>
      </c>
      <c r="F47" s="356"/>
    </row>
    <row r="48" spans="1:6">
      <c r="A48" s="348" t="s">
        <v>4009</v>
      </c>
      <c r="B48" s="350">
        <v>1</v>
      </c>
      <c r="C48" s="343" t="s">
        <v>215</v>
      </c>
      <c r="D48" s="352">
        <v>1000</v>
      </c>
      <c r="E48" s="345">
        <f t="shared" si="4"/>
        <v>1000</v>
      </c>
      <c r="F48" s="356"/>
    </row>
    <row r="49" spans="1:6">
      <c r="A49" s="348" t="s">
        <v>1717</v>
      </c>
      <c r="B49" s="350">
        <v>4</v>
      </c>
      <c r="C49" s="343" t="s">
        <v>218</v>
      </c>
      <c r="D49" s="352">
        <f>+'[13]LISTADO DE RECURSOS '!$D$317</f>
        <v>55</v>
      </c>
      <c r="E49" s="345">
        <f t="shared" si="4"/>
        <v>220</v>
      </c>
      <c r="F49" s="334"/>
    </row>
    <row r="50" spans="1:6">
      <c r="A50" s="348" t="s">
        <v>1718</v>
      </c>
      <c r="B50" s="350">
        <v>1</v>
      </c>
      <c r="C50" s="343" t="s">
        <v>1038</v>
      </c>
      <c r="D50" s="352">
        <v>125</v>
      </c>
      <c r="E50" s="345">
        <f t="shared" si="4"/>
        <v>125</v>
      </c>
      <c r="F50" s="334"/>
    </row>
    <row r="51" spans="1:6">
      <c r="A51" s="348" t="s">
        <v>1719</v>
      </c>
      <c r="B51" s="350">
        <v>3</v>
      </c>
      <c r="C51" s="343" t="s">
        <v>1017</v>
      </c>
      <c r="D51" s="352">
        <v>125</v>
      </c>
      <c r="E51" s="345">
        <f t="shared" si="4"/>
        <v>375</v>
      </c>
      <c r="F51" s="334"/>
    </row>
    <row r="52" spans="1:6" ht="25.5">
      <c r="A52" s="357" t="s">
        <v>1720</v>
      </c>
      <c r="B52" s="358">
        <v>2</v>
      </c>
      <c r="C52" s="359" t="s">
        <v>488</v>
      </c>
      <c r="D52" s="360">
        <v>150</v>
      </c>
      <c r="E52" s="327">
        <f t="shared" si="4"/>
        <v>300</v>
      </c>
      <c r="F52" s="334"/>
    </row>
    <row r="53" spans="1:6">
      <c r="A53" s="348" t="s">
        <v>1722</v>
      </c>
      <c r="B53" s="350">
        <f>+E44</f>
        <v>22.596</v>
      </c>
      <c r="C53" s="343" t="s">
        <v>1723</v>
      </c>
      <c r="D53" s="352">
        <v>300</v>
      </c>
      <c r="E53" s="345">
        <f t="shared" si="4"/>
        <v>6778.8</v>
      </c>
      <c r="F53" s="334"/>
    </row>
    <row r="54" spans="1:6">
      <c r="A54" s="331"/>
      <c r="B54" s="340"/>
      <c r="C54" s="169" t="s">
        <v>1724</v>
      </c>
      <c r="D54" s="169" t="s">
        <v>1712</v>
      </c>
      <c r="E54" s="334">
        <f>SUM(E45:E53)</f>
        <v>18898.8</v>
      </c>
      <c r="F54" s="334"/>
    </row>
    <row r="55" spans="1:6">
      <c r="A55" s="334"/>
      <c r="B55" s="334"/>
      <c r="C55" s="334"/>
      <c r="D55" s="334"/>
      <c r="E55" s="334"/>
      <c r="F55" s="334"/>
    </row>
    <row r="56" spans="1:6">
      <c r="A56" s="334"/>
      <c r="B56" s="334"/>
      <c r="C56" s="334"/>
      <c r="D56" s="334"/>
      <c r="E56" s="334"/>
      <c r="F56" s="334"/>
    </row>
    <row r="57" spans="1:6">
      <c r="A57" s="1729" t="s">
        <v>4010</v>
      </c>
      <c r="B57" s="334"/>
      <c r="C57" s="334"/>
      <c r="D57" s="334" t="s">
        <v>4011</v>
      </c>
      <c r="E57" s="334"/>
      <c r="F57" s="334"/>
    </row>
    <row r="58" spans="1:6">
      <c r="A58" s="1729"/>
      <c r="B58" s="334"/>
      <c r="C58" s="334"/>
      <c r="D58" s="1730">
        <f>E54-E48-E51-E52</f>
        <v>17223.8</v>
      </c>
      <c r="E58" s="1730"/>
      <c r="F58" s="334"/>
    </row>
    <row r="59" spans="1:6">
      <c r="A59" s="334"/>
      <c r="B59" s="334"/>
      <c r="C59" s="334" t="s">
        <v>4012</v>
      </c>
      <c r="D59" s="1727">
        <f>D58/D44</f>
        <v>8201.8095238095229</v>
      </c>
      <c r="E59" s="1727"/>
      <c r="F59" s="334"/>
    </row>
    <row r="60" spans="1:6">
      <c r="A60" s="361">
        <f>F35+F44</f>
        <v>9974.403571428571</v>
      </c>
      <c r="B60" s="334"/>
      <c r="C60" s="334"/>
      <c r="D60" s="334" t="s">
        <v>4013</v>
      </c>
      <c r="E60" s="334"/>
      <c r="F60" s="334"/>
    </row>
    <row r="61" spans="1:6">
      <c r="A61" s="334"/>
      <c r="B61" s="334"/>
      <c r="C61" s="334"/>
      <c r="D61" s="1730">
        <f>F33-F27-F30-F31</f>
        <v>17470.169999999998</v>
      </c>
      <c r="E61" s="1730"/>
      <c r="F61" s="334"/>
    </row>
    <row r="62" spans="1:6">
      <c r="A62" s="334"/>
      <c r="B62" s="334"/>
      <c r="C62" s="334" t="s">
        <v>4012</v>
      </c>
      <c r="D62" s="1727">
        <f>D61/D22</f>
        <v>8319.1285714285696</v>
      </c>
      <c r="E62" s="1727"/>
      <c r="F62" s="334"/>
    </row>
    <row r="65" spans="1:5">
      <c r="A65" s="312" t="s">
        <v>1844</v>
      </c>
    </row>
    <row r="66" spans="1:5">
      <c r="A66" s="253" t="s">
        <v>1845</v>
      </c>
      <c r="B66" s="253">
        <v>0.25</v>
      </c>
      <c r="C66" s="253" t="s">
        <v>476</v>
      </c>
      <c r="D66" s="253">
        <v>450</v>
      </c>
      <c r="E66" s="345">
        <f t="shared" ref="E66:E69" si="5">B66*D66</f>
        <v>112.5</v>
      </c>
    </row>
    <row r="67" spans="1:5">
      <c r="A67" s="253" t="s">
        <v>1846</v>
      </c>
      <c r="B67" s="253">
        <v>1</v>
      </c>
      <c r="C67" s="253" t="s">
        <v>1038</v>
      </c>
      <c r="D67" s="253">
        <v>100</v>
      </c>
      <c r="E67" s="345">
        <f t="shared" si="5"/>
        <v>100</v>
      </c>
    </row>
    <row r="68" spans="1:5">
      <c r="A68" s="253" t="s">
        <v>1847</v>
      </c>
      <c r="B68" s="253">
        <v>0.42</v>
      </c>
      <c r="C68" s="253" t="s">
        <v>218</v>
      </c>
      <c r="D68" s="253">
        <v>40</v>
      </c>
      <c r="E68" s="345">
        <f t="shared" si="5"/>
        <v>16.8</v>
      </c>
    </row>
    <row r="69" spans="1:5">
      <c r="A69" s="253" t="s">
        <v>1848</v>
      </c>
      <c r="B69" s="253">
        <v>1</v>
      </c>
      <c r="C69" s="253" t="s">
        <v>1171</v>
      </c>
      <c r="D69" s="253">
        <v>234</v>
      </c>
      <c r="E69" s="345">
        <f t="shared" si="5"/>
        <v>234</v>
      </c>
    </row>
    <row r="70" spans="1:5">
      <c r="C70" s="312" t="s">
        <v>1711</v>
      </c>
      <c r="D70" s="253" t="s">
        <v>1712</v>
      </c>
      <c r="E70" s="362">
        <f>SUM(E66:E69)</f>
        <v>463.3</v>
      </c>
    </row>
    <row r="72" spans="1:5">
      <c r="A72" s="312" t="s">
        <v>4014</v>
      </c>
    </row>
    <row r="73" spans="1:5">
      <c r="A73" s="253" t="s">
        <v>1696</v>
      </c>
      <c r="B73" s="253">
        <v>0.78</v>
      </c>
      <c r="C73" s="253" t="s">
        <v>215</v>
      </c>
      <c r="D73" s="253">
        <v>35</v>
      </c>
      <c r="E73" s="345">
        <f t="shared" ref="E73:E87" si="6">B73*D73</f>
        <v>27.3</v>
      </c>
    </row>
    <row r="74" spans="1:5">
      <c r="A74" s="253" t="s">
        <v>1697</v>
      </c>
      <c r="B74" s="253">
        <v>1</v>
      </c>
      <c r="C74" s="253" t="s">
        <v>1171</v>
      </c>
      <c r="D74" s="253">
        <v>463.3</v>
      </c>
      <c r="E74" s="345">
        <f t="shared" si="6"/>
        <v>463.3</v>
      </c>
    </row>
    <row r="75" spans="1:5">
      <c r="A75" s="253" t="s">
        <v>1698</v>
      </c>
      <c r="B75" s="253">
        <v>0.05</v>
      </c>
      <c r="C75" s="253" t="s">
        <v>1018</v>
      </c>
      <c r="D75" s="253">
        <v>40</v>
      </c>
      <c r="E75" s="345">
        <f t="shared" si="6"/>
        <v>2</v>
      </c>
    </row>
    <row r="76" spans="1:5">
      <c r="A76" s="253" t="s">
        <v>1699</v>
      </c>
      <c r="B76" s="253">
        <v>0.08</v>
      </c>
      <c r="C76" s="253" t="s">
        <v>215</v>
      </c>
      <c r="D76" s="253">
        <v>122</v>
      </c>
      <c r="E76" s="345">
        <f t="shared" si="6"/>
        <v>9.76</v>
      </c>
    </row>
    <row r="77" spans="1:5">
      <c r="A77" s="253" t="s">
        <v>1700</v>
      </c>
      <c r="B77" s="253">
        <v>0.06</v>
      </c>
      <c r="C77" s="253" t="s">
        <v>215</v>
      </c>
      <c r="D77" s="253">
        <v>60</v>
      </c>
      <c r="E77" s="345">
        <f t="shared" si="6"/>
        <v>3.5999999999999996</v>
      </c>
    </row>
    <row r="78" spans="1:5">
      <c r="A78" s="253" t="s">
        <v>1701</v>
      </c>
      <c r="B78" s="253">
        <v>0.26</v>
      </c>
      <c r="C78" s="253" t="s">
        <v>215</v>
      </c>
      <c r="D78" s="253">
        <v>35</v>
      </c>
      <c r="E78" s="345">
        <f t="shared" si="6"/>
        <v>9.1</v>
      </c>
    </row>
    <row r="79" spans="1:5">
      <c r="A79" s="253" t="s">
        <v>1702</v>
      </c>
      <c r="B79" s="253">
        <v>0.05</v>
      </c>
      <c r="C79" s="253" t="s">
        <v>215</v>
      </c>
      <c r="D79" s="253">
        <v>65</v>
      </c>
      <c r="E79" s="345">
        <f t="shared" si="6"/>
        <v>3.25</v>
      </c>
    </row>
    <row r="80" spans="1:5">
      <c r="A80" s="253" t="s">
        <v>4015</v>
      </c>
      <c r="B80" s="253">
        <v>8.0000000000000002E-3</v>
      </c>
      <c r="C80" s="253" t="s">
        <v>825</v>
      </c>
      <c r="D80" s="253">
        <v>4800.63</v>
      </c>
      <c r="E80" s="345">
        <f t="shared" si="6"/>
        <v>38.40504</v>
      </c>
    </row>
    <row r="81" spans="1:5">
      <c r="A81" s="253" t="s">
        <v>1703</v>
      </c>
      <c r="B81" s="253">
        <v>0.11</v>
      </c>
      <c r="C81" s="253" t="s">
        <v>215</v>
      </c>
      <c r="D81" s="253">
        <v>5500</v>
      </c>
      <c r="E81" s="345">
        <f t="shared" si="6"/>
        <v>605</v>
      </c>
    </row>
    <row r="82" spans="1:5">
      <c r="A82" s="253" t="s">
        <v>1704</v>
      </c>
      <c r="B82" s="253">
        <v>2</v>
      </c>
      <c r="C82" s="253" t="s">
        <v>1705</v>
      </c>
      <c r="D82" s="253">
        <v>35.4</v>
      </c>
      <c r="E82" s="345">
        <f t="shared" si="6"/>
        <v>70.8</v>
      </c>
    </row>
    <row r="83" spans="1:5">
      <c r="A83" s="253" t="s">
        <v>1706</v>
      </c>
      <c r="B83" s="253">
        <v>0.28000000000000003</v>
      </c>
      <c r="C83" s="253" t="s">
        <v>215</v>
      </c>
      <c r="D83" s="253">
        <v>160</v>
      </c>
      <c r="E83" s="345">
        <f t="shared" si="6"/>
        <v>44.800000000000004</v>
      </c>
    </row>
    <row r="84" spans="1:5">
      <c r="A84" s="253" t="s">
        <v>1707</v>
      </c>
      <c r="B84" s="253">
        <v>0.2</v>
      </c>
      <c r="C84" s="253" t="s">
        <v>215</v>
      </c>
      <c r="D84" s="253">
        <v>60</v>
      </c>
      <c r="E84" s="345">
        <f t="shared" si="6"/>
        <v>12</v>
      </c>
    </row>
    <row r="85" spans="1:5">
      <c r="A85" s="253" t="s">
        <v>1708</v>
      </c>
      <c r="B85" s="253">
        <v>0.18</v>
      </c>
      <c r="C85" s="253" t="s">
        <v>215</v>
      </c>
      <c r="D85" s="253">
        <v>975</v>
      </c>
      <c r="E85" s="345">
        <f t="shared" si="6"/>
        <v>175.5</v>
      </c>
    </row>
    <row r="86" spans="1:5">
      <c r="A86" s="253" t="s">
        <v>1709</v>
      </c>
      <c r="B86" s="253">
        <v>0.16</v>
      </c>
      <c r="C86" s="253" t="s">
        <v>215</v>
      </c>
      <c r="D86" s="253">
        <v>875</v>
      </c>
      <c r="E86" s="345">
        <f t="shared" si="6"/>
        <v>140</v>
      </c>
    </row>
    <row r="87" spans="1:5">
      <c r="A87" s="253" t="s">
        <v>1710</v>
      </c>
      <c r="B87" s="253">
        <v>1</v>
      </c>
      <c r="C87" s="253" t="s">
        <v>1171</v>
      </c>
      <c r="D87" s="253">
        <v>500</v>
      </c>
      <c r="E87" s="345">
        <f t="shared" si="6"/>
        <v>500</v>
      </c>
    </row>
    <row r="88" spans="1:5">
      <c r="C88" s="312" t="s">
        <v>1711</v>
      </c>
      <c r="D88" s="253" t="s">
        <v>1712</v>
      </c>
      <c r="E88" s="363">
        <f>SUM(E73:E87)</f>
        <v>2104.81504</v>
      </c>
    </row>
  </sheetData>
  <mergeCells count="7">
    <mergeCell ref="D62:E62"/>
    <mergeCell ref="B3:D3"/>
    <mergeCell ref="A43:A44"/>
    <mergeCell ref="A57:A58"/>
    <mergeCell ref="D58:E58"/>
    <mergeCell ref="D59:E59"/>
    <mergeCell ref="D61:E6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5"/>
  <sheetViews>
    <sheetView topLeftCell="A1117" zoomScale="80" zoomScaleNormal="80" workbookViewId="0">
      <selection activeCell="I1141" sqref="I1141:J1141"/>
    </sheetView>
  </sheetViews>
  <sheetFormatPr baseColWidth="10" defaultColWidth="11.42578125" defaultRowHeight="14.25"/>
  <cols>
    <col min="1" max="1" width="3.42578125" style="608" customWidth="1"/>
    <col min="2" max="2" width="66.7109375" style="608" bestFit="1" customWidth="1"/>
    <col min="3" max="4" width="11.42578125" style="608"/>
    <col min="5" max="5" width="12.7109375" style="608" bestFit="1" customWidth="1"/>
    <col min="6" max="6" width="16.140625" style="608" bestFit="1" customWidth="1"/>
    <col min="7" max="7" width="13.140625" style="608" customWidth="1"/>
    <col min="8" max="8" width="23.42578125" style="608" customWidth="1"/>
    <col min="9" max="9" width="38.85546875" style="608" customWidth="1"/>
    <col min="10" max="10" width="13.7109375" style="608" customWidth="1"/>
    <col min="11" max="11" width="9.28515625" style="608" customWidth="1"/>
    <col min="12" max="12" width="11.42578125" style="608"/>
    <col min="13" max="13" width="13" style="608" bestFit="1" customWidth="1"/>
    <col min="14" max="14" width="11.42578125" style="612"/>
    <col min="15" max="15" width="24" style="612" customWidth="1"/>
    <col min="16" max="16" width="30.85546875" style="612" customWidth="1"/>
    <col min="17" max="16384" width="11.42578125" style="612"/>
  </cols>
  <sheetData>
    <row r="1" spans="1:13" s="599" customFormat="1">
      <c r="A1" s="594"/>
      <c r="B1" s="595" t="s">
        <v>4223</v>
      </c>
      <c r="C1" s="596"/>
      <c r="D1" s="596"/>
      <c r="E1" s="596"/>
      <c r="F1" s="597"/>
      <c r="G1" s="598"/>
      <c r="H1" s="598"/>
      <c r="I1" s="598"/>
      <c r="J1" s="598"/>
      <c r="K1" s="598"/>
      <c r="L1" s="598"/>
      <c r="M1" s="598"/>
    </row>
    <row r="2" spans="1:13" s="599" customFormat="1">
      <c r="A2" s="600"/>
      <c r="B2" s="598"/>
      <c r="C2" s="598"/>
      <c r="D2" s="598"/>
      <c r="E2" s="598"/>
      <c r="F2" s="601"/>
      <c r="G2" s="598"/>
      <c r="H2" s="598"/>
      <c r="I2" s="598"/>
      <c r="J2" s="598"/>
      <c r="K2" s="598"/>
      <c r="L2" s="598"/>
      <c r="M2" s="598"/>
    </row>
    <row r="3" spans="1:13" s="599" customFormat="1">
      <c r="A3" s="602"/>
      <c r="B3" s="603" t="s">
        <v>4224</v>
      </c>
      <c r="C3" s="604">
        <v>9</v>
      </c>
      <c r="D3" s="603" t="s">
        <v>4225</v>
      </c>
      <c r="E3" s="605">
        <f>2*30800</f>
        <v>61600</v>
      </c>
      <c r="F3" s="606">
        <f>+E3*C3</f>
        <v>554400</v>
      </c>
      <c r="G3" s="598"/>
      <c r="H3" s="598"/>
      <c r="I3" s="598"/>
      <c r="J3" s="598"/>
      <c r="K3" s="598"/>
      <c r="L3" s="598"/>
      <c r="M3" s="598"/>
    </row>
    <row r="4" spans="1:13" s="599" customFormat="1">
      <c r="A4" s="602"/>
      <c r="B4" s="607" t="s">
        <v>4226</v>
      </c>
      <c r="C4" s="604">
        <v>9</v>
      </c>
      <c r="D4" s="603" t="s">
        <v>4225</v>
      </c>
      <c r="E4" s="605">
        <f>2*22000</f>
        <v>44000</v>
      </c>
      <c r="F4" s="606">
        <f t="shared" ref="F4:F6" si="0">+C4*E4</f>
        <v>396000</v>
      </c>
      <c r="G4" s="598"/>
      <c r="H4" s="598"/>
      <c r="I4" s="598"/>
      <c r="J4" s="598"/>
      <c r="K4" s="598"/>
      <c r="L4" s="598"/>
      <c r="M4" s="598"/>
    </row>
    <row r="5" spans="1:13" s="599" customFormat="1">
      <c r="A5" s="602"/>
      <c r="B5" s="607" t="s">
        <v>4227</v>
      </c>
      <c r="C5" s="604">
        <v>9</v>
      </c>
      <c r="D5" s="603" t="s">
        <v>4225</v>
      </c>
      <c r="E5" s="605">
        <f>2*16000</f>
        <v>32000</v>
      </c>
      <c r="F5" s="606">
        <f t="shared" si="0"/>
        <v>288000</v>
      </c>
      <c r="G5" s="598"/>
      <c r="H5" s="598"/>
      <c r="I5" s="598"/>
      <c r="J5" s="598"/>
      <c r="K5" s="598"/>
      <c r="L5" s="598"/>
      <c r="M5" s="598"/>
    </row>
    <row r="6" spans="1:13" s="599" customFormat="1">
      <c r="A6" s="602"/>
      <c r="B6" s="603" t="s">
        <v>4228</v>
      </c>
      <c r="C6" s="604">
        <f>9*5</f>
        <v>45</v>
      </c>
      <c r="D6" s="603" t="s">
        <v>4229</v>
      </c>
      <c r="E6" s="605">
        <v>6985.5</v>
      </c>
      <c r="F6" s="606">
        <f t="shared" si="0"/>
        <v>314347.5</v>
      </c>
      <c r="G6" s="598"/>
      <c r="H6" s="598"/>
      <c r="I6" s="598"/>
      <c r="J6" s="598"/>
      <c r="K6" s="598"/>
      <c r="L6" s="598"/>
      <c r="M6" s="598"/>
    </row>
    <row r="7" spans="1:13" s="599" customFormat="1">
      <c r="A7" s="600"/>
      <c r="B7" s="598"/>
      <c r="C7" s="598"/>
      <c r="D7" s="598"/>
      <c r="E7" s="598"/>
      <c r="F7" s="601"/>
      <c r="G7" s="598"/>
      <c r="H7" s="598"/>
      <c r="I7" s="598"/>
      <c r="J7" s="598"/>
      <c r="K7" s="598"/>
      <c r="L7" s="598"/>
      <c r="M7" s="598"/>
    </row>
    <row r="8" spans="1:13" s="599" customFormat="1">
      <c r="A8" s="595"/>
      <c r="B8" s="595" t="s">
        <v>4230</v>
      </c>
      <c r="C8" s="596"/>
      <c r="D8" s="596"/>
      <c r="E8" s="596"/>
      <c r="F8" s="594">
        <f>SUM(F3:F7)</f>
        <v>1552747.5</v>
      </c>
      <c r="G8" s="598"/>
      <c r="H8" s="598"/>
      <c r="I8" s="598"/>
      <c r="J8" s="598"/>
      <c r="K8" s="598"/>
      <c r="L8" s="598"/>
      <c r="M8" s="598"/>
    </row>
    <row r="11" spans="1:13" s="599" customFormat="1">
      <c r="A11" s="594"/>
      <c r="B11" s="595" t="s">
        <v>4231</v>
      </c>
      <c r="C11" s="596"/>
      <c r="D11" s="596"/>
      <c r="E11" s="596"/>
      <c r="F11" s="597"/>
      <c r="G11" s="598"/>
      <c r="H11" s="598"/>
      <c r="I11" s="598"/>
      <c r="J11" s="598"/>
      <c r="K11" s="598"/>
      <c r="L11" s="598"/>
      <c r="M11" s="598"/>
    </row>
    <row r="12" spans="1:13" s="599" customFormat="1">
      <c r="A12" s="600"/>
      <c r="B12" s="598"/>
      <c r="C12" s="598"/>
      <c r="D12" s="598"/>
      <c r="E12" s="598"/>
      <c r="F12" s="601"/>
      <c r="G12" s="598"/>
      <c r="H12" s="598"/>
      <c r="I12" s="598"/>
      <c r="J12" s="598"/>
      <c r="K12" s="598"/>
      <c r="L12" s="598"/>
      <c r="M12" s="598"/>
    </row>
    <row r="13" spans="1:13" s="599" customFormat="1">
      <c r="A13" s="602"/>
      <c r="B13" s="603" t="s">
        <v>4232</v>
      </c>
      <c r="C13" s="604">
        <v>9</v>
      </c>
      <c r="D13" s="603" t="s">
        <v>4225</v>
      </c>
      <c r="E13" s="605">
        <f>2*8685</f>
        <v>17370</v>
      </c>
      <c r="F13" s="606">
        <f>+E13*C13</f>
        <v>156330</v>
      </c>
      <c r="G13" s="598"/>
      <c r="H13" s="598"/>
      <c r="I13" s="598"/>
      <c r="J13" s="598"/>
      <c r="K13" s="598"/>
      <c r="L13" s="598"/>
      <c r="M13" s="598"/>
    </row>
    <row r="14" spans="1:13" s="599" customFormat="1">
      <c r="A14" s="602"/>
      <c r="B14" s="607" t="s">
        <v>4233</v>
      </c>
      <c r="C14" s="604">
        <v>9</v>
      </c>
      <c r="D14" s="603" t="s">
        <v>4225</v>
      </c>
      <c r="E14" s="605">
        <f>2*2500</f>
        <v>5000</v>
      </c>
      <c r="F14" s="606">
        <f>+C14*E14</f>
        <v>45000</v>
      </c>
      <c r="G14" s="598"/>
      <c r="H14" s="598"/>
      <c r="I14" s="598"/>
      <c r="J14" s="598"/>
      <c r="K14" s="598"/>
      <c r="L14" s="598"/>
      <c r="M14" s="598"/>
    </row>
    <row r="15" spans="1:13" s="599" customFormat="1">
      <c r="A15" s="602"/>
      <c r="B15" s="607" t="s">
        <v>4234</v>
      </c>
      <c r="C15" s="604">
        <v>9</v>
      </c>
      <c r="D15" s="603" t="s">
        <v>4225</v>
      </c>
      <c r="E15" s="605">
        <f>2*36242.56</f>
        <v>72485.119999999995</v>
      </c>
      <c r="F15" s="606">
        <f>+C15*E15</f>
        <v>652366.07999999996</v>
      </c>
      <c r="G15" s="598"/>
      <c r="H15" s="598"/>
      <c r="I15" s="598"/>
      <c r="J15" s="598"/>
      <c r="K15" s="598"/>
      <c r="L15" s="598"/>
      <c r="M15" s="598"/>
    </row>
    <row r="16" spans="1:13" s="599" customFormat="1">
      <c r="A16" s="602"/>
      <c r="B16" s="603" t="s">
        <v>4235</v>
      </c>
      <c r="C16" s="604">
        <v>9</v>
      </c>
      <c r="D16" s="603" t="s">
        <v>4225</v>
      </c>
      <c r="E16" s="605">
        <f>2*12864</f>
        <v>25728</v>
      </c>
      <c r="F16" s="606">
        <f>+C16*E16</f>
        <v>231552</v>
      </c>
      <c r="G16" s="598"/>
      <c r="H16" s="598"/>
      <c r="I16" s="598"/>
      <c r="J16" s="598"/>
      <c r="K16" s="598"/>
      <c r="L16" s="598"/>
      <c r="M16" s="598"/>
    </row>
    <row r="17" spans="1:13" s="599" customFormat="1">
      <c r="A17" s="600"/>
      <c r="B17" s="598"/>
      <c r="C17" s="598"/>
      <c r="D17" s="598"/>
      <c r="E17" s="598"/>
      <c r="F17" s="601"/>
      <c r="G17" s="598"/>
      <c r="H17" s="598"/>
      <c r="I17" s="598"/>
      <c r="J17" s="598"/>
      <c r="K17" s="598"/>
      <c r="L17" s="598"/>
      <c r="M17" s="598"/>
    </row>
    <row r="18" spans="1:13" s="599" customFormat="1">
      <c r="A18" s="595"/>
      <c r="B18" s="595" t="s">
        <v>4230</v>
      </c>
      <c r="C18" s="596"/>
      <c r="D18" s="596"/>
      <c r="E18" s="596"/>
      <c r="F18" s="594">
        <f>SUM(F13:F17)</f>
        <v>1085248.08</v>
      </c>
      <c r="G18" s="598"/>
      <c r="H18" s="598"/>
      <c r="I18" s="598"/>
      <c r="J18" s="598"/>
      <c r="K18" s="598"/>
      <c r="L18" s="598"/>
      <c r="M18" s="598"/>
    </row>
    <row r="21" spans="1:13">
      <c r="A21" s="596"/>
      <c r="B21" s="1544" t="s">
        <v>4236</v>
      </c>
      <c r="C21" s="596"/>
      <c r="D21" s="596"/>
      <c r="E21" s="596"/>
      <c r="F21" s="596"/>
      <c r="H21" s="609" t="s">
        <v>4237</v>
      </c>
      <c r="I21" s="610"/>
      <c r="J21" s="611"/>
      <c r="K21" s="610"/>
      <c r="L21" s="610"/>
    </row>
    <row r="22" spans="1:13">
      <c r="A22" s="613"/>
      <c r="B22" s="614"/>
      <c r="C22" s="614"/>
      <c r="D22" s="614"/>
      <c r="E22" s="614"/>
      <c r="F22" s="615"/>
      <c r="H22" s="616"/>
      <c r="I22" s="610"/>
      <c r="J22" s="611"/>
      <c r="K22" s="610"/>
      <c r="L22" s="610"/>
    </row>
    <row r="23" spans="1:13" s="599" customFormat="1">
      <c r="A23" s="602"/>
      <c r="B23" s="607" t="s">
        <v>4238</v>
      </c>
      <c r="C23" s="604">
        <v>13</v>
      </c>
      <c r="D23" s="603" t="s">
        <v>1017</v>
      </c>
      <c r="E23" s="605">
        <f>+'[14]LISTADO DE MATERIALES'!G17</f>
        <v>29.9</v>
      </c>
      <c r="F23" s="606">
        <f t="shared" ref="F23:F29" si="1">+C23*E23</f>
        <v>388.7</v>
      </c>
      <c r="G23" s="598"/>
      <c r="H23" s="617" t="s">
        <v>4239</v>
      </c>
      <c r="I23" s="610"/>
      <c r="J23" s="611"/>
      <c r="K23" s="610"/>
      <c r="L23" s="610"/>
      <c r="M23" s="598"/>
    </row>
    <row r="24" spans="1:13" s="599" customFormat="1">
      <c r="A24" s="602"/>
      <c r="B24" s="607" t="s">
        <v>4240</v>
      </c>
      <c r="C24" s="604">
        <v>3.1199999999999999E-2</v>
      </c>
      <c r="D24" s="603" t="s">
        <v>825</v>
      </c>
      <c r="E24" s="618">
        <f>+L28</f>
        <v>4688.41</v>
      </c>
      <c r="F24" s="606">
        <f t="shared" si="1"/>
        <v>146.278392</v>
      </c>
      <c r="G24" s="598"/>
      <c r="H24" s="619" t="s">
        <v>4241</v>
      </c>
      <c r="I24" s="620">
        <v>0.998</v>
      </c>
      <c r="J24" s="621" t="s">
        <v>825</v>
      </c>
      <c r="K24" s="622">
        <v>900</v>
      </c>
      <c r="L24" s="622">
        <f>ROUND(I24*K24,2)</f>
        <v>898.2</v>
      </c>
      <c r="M24" s="598"/>
    </row>
    <row r="25" spans="1:13" s="599" customFormat="1">
      <c r="A25" s="602"/>
      <c r="B25" s="607" t="s">
        <v>4242</v>
      </c>
      <c r="C25" s="604">
        <v>0.08</v>
      </c>
      <c r="D25" s="603" t="s">
        <v>4</v>
      </c>
      <c r="E25" s="605">
        <f>+'[14]LISTADO DE MATERIALES'!G9</f>
        <v>2270.68345323741</v>
      </c>
      <c r="F25" s="606">
        <f>+C25*E25</f>
        <v>181.65467625899279</v>
      </c>
      <c r="G25" s="598"/>
      <c r="H25" s="619" t="s">
        <v>4243</v>
      </c>
      <c r="I25" s="623">
        <v>69.040000000000006</v>
      </c>
      <c r="J25" s="621" t="s">
        <v>828</v>
      </c>
      <c r="K25" s="622">
        <v>0.5</v>
      </c>
      <c r="L25" s="622">
        <f>ROUND(I25*K25,2)</f>
        <v>34.520000000000003</v>
      </c>
      <c r="M25" s="598"/>
    </row>
    <row r="26" spans="1:13" s="599" customFormat="1">
      <c r="A26" s="602"/>
      <c r="B26" s="607" t="s">
        <v>4244</v>
      </c>
      <c r="C26" s="604">
        <v>0.02</v>
      </c>
      <c r="D26" s="603" t="s">
        <v>825</v>
      </c>
      <c r="E26" s="605">
        <v>3748</v>
      </c>
      <c r="F26" s="606">
        <f t="shared" si="1"/>
        <v>74.960000000000008</v>
      </c>
      <c r="G26" s="598"/>
      <c r="H26" s="619" t="s">
        <v>4245</v>
      </c>
      <c r="I26" s="623">
        <v>11.51</v>
      </c>
      <c r="J26" s="621" t="s">
        <v>1172</v>
      </c>
      <c r="K26" s="622">
        <f>+'[14]LISTADO DE MATERIALES'!G7</f>
        <v>295.89</v>
      </c>
      <c r="L26" s="622">
        <f>ROUND(I26*K26,2)</f>
        <v>3405.69</v>
      </c>
      <c r="M26" s="598"/>
    </row>
    <row r="27" spans="1:13" s="599" customFormat="1">
      <c r="A27" s="602"/>
      <c r="B27" s="607" t="s">
        <v>4246</v>
      </c>
      <c r="C27" s="604">
        <v>1</v>
      </c>
      <c r="D27" s="603" t="s">
        <v>1333</v>
      </c>
      <c r="E27" s="605">
        <v>55</v>
      </c>
      <c r="F27" s="606">
        <f t="shared" si="1"/>
        <v>55</v>
      </c>
      <c r="G27" s="598"/>
      <c r="H27" s="619" t="s">
        <v>4247</v>
      </c>
      <c r="I27" s="623">
        <v>0.5</v>
      </c>
      <c r="J27" s="621" t="s">
        <v>4248</v>
      </c>
      <c r="K27" s="622">
        <v>700</v>
      </c>
      <c r="L27" s="622">
        <f>ROUND(I27*K27,2)</f>
        <v>350</v>
      </c>
      <c r="M27" s="598"/>
    </row>
    <row r="28" spans="1:13" s="599" customFormat="1">
      <c r="A28" s="602"/>
      <c r="B28" s="607" t="s">
        <v>4249</v>
      </c>
      <c r="C28" s="604">
        <v>6</v>
      </c>
      <c r="D28" s="603" t="s">
        <v>1017</v>
      </c>
      <c r="E28" s="605">
        <v>0.34</v>
      </c>
      <c r="F28" s="606">
        <f t="shared" si="1"/>
        <v>2.04</v>
      </c>
      <c r="G28" s="598"/>
      <c r="H28" s="616"/>
      <c r="I28" s="624"/>
      <c r="J28" s="621"/>
      <c r="K28" s="625" t="s">
        <v>1806</v>
      </c>
      <c r="L28" s="626">
        <f>SUM(L24:L27)</f>
        <v>4688.41</v>
      </c>
      <c r="M28" s="598"/>
    </row>
    <row r="29" spans="1:13" s="599" customFormat="1">
      <c r="A29" s="602"/>
      <c r="B29" s="607" t="s">
        <v>4250</v>
      </c>
      <c r="C29" s="604">
        <v>13</v>
      </c>
      <c r="D29" s="603" t="s">
        <v>1017</v>
      </c>
      <c r="E29" s="605">
        <v>25</v>
      </c>
      <c r="F29" s="606">
        <f t="shared" si="1"/>
        <v>325</v>
      </c>
      <c r="G29" s="598"/>
      <c r="H29" s="609" t="s">
        <v>4251</v>
      </c>
      <c r="I29" s="610"/>
      <c r="J29" s="611"/>
      <c r="K29" s="610"/>
      <c r="L29" s="610"/>
      <c r="M29" s="598"/>
    </row>
    <row r="30" spans="1:13" s="599" customFormat="1">
      <c r="A30" s="602"/>
      <c r="B30" s="607"/>
      <c r="C30" s="604"/>
      <c r="D30" s="603"/>
      <c r="E30" s="605"/>
      <c r="F30" s="606"/>
      <c r="G30" s="598"/>
      <c r="H30" s="619" t="s">
        <v>4252</v>
      </c>
      <c r="I30" s="624">
        <v>1.02</v>
      </c>
      <c r="J30" s="621" t="s">
        <v>825</v>
      </c>
      <c r="K30" s="622">
        <v>900</v>
      </c>
      <c r="L30" s="622">
        <f>ROUND(I30*K30,2)</f>
        <v>918</v>
      </c>
      <c r="M30" s="598"/>
    </row>
    <row r="31" spans="1:13">
      <c r="A31" s="595"/>
      <c r="B31" s="595" t="s">
        <v>4253</v>
      </c>
      <c r="C31" s="596"/>
      <c r="D31" s="596"/>
      <c r="E31" s="596"/>
      <c r="F31" s="594">
        <f>SUM(F23:F30)</f>
        <v>1173.6330682589928</v>
      </c>
      <c r="H31" s="619" t="s">
        <v>4254</v>
      </c>
      <c r="I31" s="624">
        <v>3.06</v>
      </c>
      <c r="J31" s="621" t="s">
        <v>1172</v>
      </c>
      <c r="K31" s="622">
        <v>295</v>
      </c>
      <c r="L31" s="622">
        <f>ROUND(I31*K31,2)</f>
        <v>902.7</v>
      </c>
    </row>
    <row r="32" spans="1:13">
      <c r="H32" s="619" t="s">
        <v>4247</v>
      </c>
      <c r="I32" s="623">
        <v>0.5</v>
      </c>
      <c r="J32" s="621" t="s">
        <v>4248</v>
      </c>
      <c r="K32" s="622">
        <v>700</v>
      </c>
      <c r="L32" s="622">
        <f>ROUND(I32*K32,2)</f>
        <v>350</v>
      </c>
    </row>
    <row r="33" spans="1:13">
      <c r="A33" s="596"/>
      <c r="B33" s="595" t="s">
        <v>4255</v>
      </c>
      <c r="C33" s="596"/>
      <c r="D33" s="596"/>
      <c r="E33" s="596"/>
      <c r="F33" s="596"/>
      <c r="H33" s="616"/>
      <c r="I33" s="624"/>
      <c r="J33" s="621"/>
      <c r="K33" s="625" t="s">
        <v>1806</v>
      </c>
      <c r="L33" s="626">
        <f>SUM(L30:L32)</f>
        <v>2170.6999999999998</v>
      </c>
    </row>
    <row r="34" spans="1:13">
      <c r="A34" s="613"/>
      <c r="B34" s="614"/>
      <c r="C34" s="614"/>
      <c r="D34" s="614"/>
      <c r="E34" s="614"/>
      <c r="F34" s="615"/>
      <c r="H34" s="617" t="s">
        <v>4256</v>
      </c>
      <c r="I34" s="610"/>
      <c r="J34" s="611"/>
      <c r="K34" s="610"/>
      <c r="L34" s="610"/>
    </row>
    <row r="35" spans="1:13" s="599" customFormat="1">
      <c r="A35" s="602"/>
      <c r="B35" s="607" t="s">
        <v>4257</v>
      </c>
      <c r="C35" s="604">
        <v>13</v>
      </c>
      <c r="D35" s="603" t="s">
        <v>1017</v>
      </c>
      <c r="E35" s="605">
        <f>+'[14]LISTADO DE MATERIALES'!G16</f>
        <v>28.749999999999996</v>
      </c>
      <c r="F35" s="606">
        <f t="shared" ref="F35:F41" si="2">+C35*E35</f>
        <v>373.74999999999994</v>
      </c>
      <c r="G35" s="598"/>
      <c r="H35" s="619" t="s">
        <v>4258</v>
      </c>
      <c r="I35" s="620">
        <v>1.1020000000000001</v>
      </c>
      <c r="J35" s="621" t="s">
        <v>825</v>
      </c>
      <c r="K35" s="622">
        <f>+L33</f>
        <v>2170.6999999999998</v>
      </c>
      <c r="L35" s="622">
        <f>ROUND(I35*K35,2)</f>
        <v>2392.11</v>
      </c>
      <c r="M35" s="598"/>
    </row>
    <row r="36" spans="1:13" s="599" customFormat="1">
      <c r="A36" s="602"/>
      <c r="B36" s="607" t="s">
        <v>4240</v>
      </c>
      <c r="C36" s="604">
        <v>2.5000000000000001E-2</v>
      </c>
      <c r="D36" s="603" t="s">
        <v>825</v>
      </c>
      <c r="E36" s="618">
        <f>+L28</f>
        <v>4688.41</v>
      </c>
      <c r="F36" s="606">
        <f t="shared" si="2"/>
        <v>117.21025</v>
      </c>
      <c r="G36" s="598"/>
      <c r="H36" s="619" t="s">
        <v>4245</v>
      </c>
      <c r="I36" s="624">
        <v>9.4600000000000009</v>
      </c>
      <c r="J36" s="621" t="s">
        <v>1172</v>
      </c>
      <c r="K36" s="622">
        <f>+'[14]LISTADO DE MATERIALES'!G7</f>
        <v>295.89</v>
      </c>
      <c r="L36" s="622">
        <f>ROUND(I36*K36,2)</f>
        <v>2799.12</v>
      </c>
      <c r="M36" s="598"/>
    </row>
    <row r="37" spans="1:13" s="599" customFormat="1">
      <c r="A37" s="602"/>
      <c r="B37" s="607" t="s">
        <v>4259</v>
      </c>
      <c r="C37" s="604">
        <v>0.04</v>
      </c>
      <c r="D37" s="603" t="s">
        <v>4</v>
      </c>
      <c r="E37" s="605">
        <f>+'[14]LISTADO DE MATERIALES'!G9</f>
        <v>2270.68345323741</v>
      </c>
      <c r="F37" s="606">
        <f t="shared" si="2"/>
        <v>90.827338129496397</v>
      </c>
      <c r="G37" s="598"/>
      <c r="H37" s="619" t="s">
        <v>4243</v>
      </c>
      <c r="I37" s="623">
        <v>45.24</v>
      </c>
      <c r="J37" s="621" t="s">
        <v>828</v>
      </c>
      <c r="K37" s="622">
        <v>0.5</v>
      </c>
      <c r="L37" s="622">
        <f>ROUND(I37*K37,2)</f>
        <v>22.62</v>
      </c>
      <c r="M37" s="598"/>
    </row>
    <row r="38" spans="1:13" s="599" customFormat="1">
      <c r="A38" s="602"/>
      <c r="B38" s="607" t="s">
        <v>4244</v>
      </c>
      <c r="C38" s="604">
        <v>1.4999999999999999E-2</v>
      </c>
      <c r="D38" s="603" t="s">
        <v>825</v>
      </c>
      <c r="E38" s="605">
        <v>3748</v>
      </c>
      <c r="F38" s="606">
        <f t="shared" si="2"/>
        <v>56.22</v>
      </c>
      <c r="G38" s="598"/>
      <c r="H38" s="619" t="s">
        <v>4247</v>
      </c>
      <c r="I38" s="623">
        <v>0.5</v>
      </c>
      <c r="J38" s="621" t="s">
        <v>4248</v>
      </c>
      <c r="K38" s="622">
        <v>700</v>
      </c>
      <c r="L38" s="622">
        <f>ROUND(I38*K38,2)</f>
        <v>350</v>
      </c>
      <c r="M38" s="598"/>
    </row>
    <row r="39" spans="1:13" s="599" customFormat="1">
      <c r="A39" s="602"/>
      <c r="B39" s="607" t="s">
        <v>4246</v>
      </c>
      <c r="C39" s="604">
        <v>1</v>
      </c>
      <c r="D39" s="603" t="s">
        <v>1333</v>
      </c>
      <c r="E39" s="605">
        <v>55</v>
      </c>
      <c r="F39" s="606">
        <f t="shared" si="2"/>
        <v>55</v>
      </c>
      <c r="G39" s="598"/>
      <c r="H39" s="616"/>
      <c r="I39" s="624"/>
      <c r="J39" s="621"/>
      <c r="K39" s="625" t="s">
        <v>1806</v>
      </c>
      <c r="L39" s="626">
        <f>SUM(L35:L38)</f>
        <v>5563.8499999999995</v>
      </c>
      <c r="M39" s="598"/>
    </row>
    <row r="40" spans="1:13" s="599" customFormat="1">
      <c r="A40" s="602"/>
      <c r="B40" s="607" t="s">
        <v>4249</v>
      </c>
      <c r="C40" s="604">
        <v>6</v>
      </c>
      <c r="D40" s="603" t="s">
        <v>1017</v>
      </c>
      <c r="E40" s="605">
        <v>0.34</v>
      </c>
      <c r="F40" s="606">
        <f t="shared" si="2"/>
        <v>2.04</v>
      </c>
      <c r="G40" s="598"/>
      <c r="H40" s="617" t="s">
        <v>4260</v>
      </c>
      <c r="I40" s="610"/>
      <c r="J40" s="611"/>
      <c r="K40" s="610"/>
      <c r="L40" s="610"/>
      <c r="M40" s="598"/>
    </row>
    <row r="41" spans="1:13" s="599" customFormat="1">
      <c r="A41" s="602"/>
      <c r="B41" s="607" t="s">
        <v>4250</v>
      </c>
      <c r="C41" s="604">
        <v>13</v>
      </c>
      <c r="D41" s="603" t="s">
        <v>1017</v>
      </c>
      <c r="E41" s="605">
        <v>25</v>
      </c>
      <c r="F41" s="606">
        <f t="shared" si="2"/>
        <v>325</v>
      </c>
      <c r="G41" s="598"/>
      <c r="H41" s="619" t="s">
        <v>4252</v>
      </c>
      <c r="I41" s="624">
        <v>1.02</v>
      </c>
      <c r="J41" s="621" t="s">
        <v>825</v>
      </c>
      <c r="K41" s="622">
        <v>900</v>
      </c>
      <c r="L41" s="622">
        <f>ROUND(I41*K41,2)</f>
        <v>918</v>
      </c>
      <c r="M41" s="598"/>
    </row>
    <row r="42" spans="1:13" s="599" customFormat="1">
      <c r="A42" s="602"/>
      <c r="B42" s="607"/>
      <c r="C42" s="604"/>
      <c r="D42" s="603"/>
      <c r="E42" s="605"/>
      <c r="F42" s="606"/>
      <c r="G42" s="598"/>
      <c r="H42" s="619" t="s">
        <v>4243</v>
      </c>
      <c r="I42" s="623">
        <v>100</v>
      </c>
      <c r="J42" s="621" t="s">
        <v>828</v>
      </c>
      <c r="K42" s="622">
        <v>0.5</v>
      </c>
      <c r="L42" s="622">
        <f>ROUND(I42*K42,2)</f>
        <v>50</v>
      </c>
      <c r="M42" s="598"/>
    </row>
    <row r="43" spans="1:13">
      <c r="A43" s="595"/>
      <c r="B43" s="595" t="s">
        <v>4253</v>
      </c>
      <c r="C43" s="596"/>
      <c r="D43" s="596"/>
      <c r="E43" s="596"/>
      <c r="F43" s="594">
        <f>SUM(F35:F42)</f>
        <v>1020.0475881294964</v>
      </c>
      <c r="H43" s="619" t="s">
        <v>4254</v>
      </c>
      <c r="I43" s="624">
        <v>3.06</v>
      </c>
      <c r="J43" s="621" t="s">
        <v>1172</v>
      </c>
      <c r="K43" s="622">
        <v>295</v>
      </c>
      <c r="L43" s="622">
        <f>ROUND(I43*K43,2)</f>
        <v>902.7</v>
      </c>
    </row>
    <row r="44" spans="1:13">
      <c r="H44" s="619" t="s">
        <v>4245</v>
      </c>
      <c r="I44" s="624">
        <v>17.66</v>
      </c>
      <c r="J44" s="621" t="s">
        <v>1172</v>
      </c>
      <c r="K44" s="622">
        <f>+'[14]LISTADO DE MATERIALES'!G7</f>
        <v>295.89</v>
      </c>
      <c r="L44" s="622">
        <f>ROUND(I44*K44,2)</f>
        <v>5225.42</v>
      </c>
    </row>
    <row r="45" spans="1:13">
      <c r="A45" s="596"/>
      <c r="B45" s="595" t="s">
        <v>4261</v>
      </c>
      <c r="C45" s="596"/>
      <c r="D45" s="596"/>
      <c r="E45" s="596"/>
      <c r="F45" s="596"/>
      <c r="H45" s="619" t="s">
        <v>4247</v>
      </c>
      <c r="I45" s="623">
        <v>0.5</v>
      </c>
      <c r="J45" s="621" t="s">
        <v>4248</v>
      </c>
      <c r="K45" s="622">
        <v>700</v>
      </c>
      <c r="L45" s="622">
        <f>ROUND(I45*K45,2)</f>
        <v>350</v>
      </c>
    </row>
    <row r="46" spans="1:13">
      <c r="A46" s="613"/>
      <c r="B46" s="614"/>
      <c r="C46" s="614"/>
      <c r="D46" s="614"/>
      <c r="E46" s="614"/>
      <c r="F46" s="615"/>
      <c r="H46" s="616"/>
      <c r="I46" s="624"/>
      <c r="J46" s="621"/>
      <c r="K46" s="625" t="s">
        <v>1806</v>
      </c>
      <c r="L46" s="626">
        <f>SUM(L41:L45)</f>
        <v>7446.12</v>
      </c>
    </row>
    <row r="47" spans="1:13" s="599" customFormat="1">
      <c r="A47" s="602"/>
      <c r="B47" s="627" t="s">
        <v>4262</v>
      </c>
      <c r="C47" s="604">
        <f>1.49*0.01</f>
        <v>1.49E-2</v>
      </c>
      <c r="D47" s="603" t="s">
        <v>1806</v>
      </c>
      <c r="E47" s="618">
        <f>+L28</f>
        <v>4688.41</v>
      </c>
      <c r="F47" s="606">
        <f t="shared" ref="F47:F49" si="3">+C47*E47</f>
        <v>69.857309000000001</v>
      </c>
      <c r="G47" s="598"/>
      <c r="H47" s="617" t="s">
        <v>4263</v>
      </c>
      <c r="I47" s="610"/>
      <c r="J47" s="611"/>
      <c r="K47" s="610"/>
      <c r="L47" s="610"/>
      <c r="M47" s="598"/>
    </row>
    <row r="48" spans="1:13" s="599" customFormat="1">
      <c r="A48" s="602"/>
      <c r="B48" s="627" t="s">
        <v>4264</v>
      </c>
      <c r="C48" s="604">
        <v>1</v>
      </c>
      <c r="D48" s="603" t="s">
        <v>1333</v>
      </c>
      <c r="E48" s="605">
        <v>55</v>
      </c>
      <c r="F48" s="606">
        <f t="shared" si="3"/>
        <v>55</v>
      </c>
      <c r="G48" s="598"/>
      <c r="H48" s="619" t="s">
        <v>4241</v>
      </c>
      <c r="I48" s="624">
        <v>1.02</v>
      </c>
      <c r="J48" s="621" t="s">
        <v>825</v>
      </c>
      <c r="K48" s="622">
        <v>950</v>
      </c>
      <c r="L48" s="622">
        <f>ROUND(I48*K48,2)</f>
        <v>969</v>
      </c>
      <c r="M48" s="598"/>
    </row>
    <row r="49" spans="1:13" s="599" customFormat="1">
      <c r="A49" s="602"/>
      <c r="B49" s="607" t="s">
        <v>4265</v>
      </c>
      <c r="C49" s="604">
        <v>7.7400000000000004E-3</v>
      </c>
      <c r="D49" s="603" t="s">
        <v>1749</v>
      </c>
      <c r="E49" s="605">
        <f>+F48+F47</f>
        <v>124.857309</v>
      </c>
      <c r="F49" s="606">
        <f t="shared" si="3"/>
        <v>0.96639557166000001</v>
      </c>
      <c r="G49" s="598"/>
      <c r="H49" s="619" t="s">
        <v>4254</v>
      </c>
      <c r="I49" s="624">
        <v>3.06</v>
      </c>
      <c r="J49" s="621" t="s">
        <v>1172</v>
      </c>
      <c r="K49" s="622">
        <v>295</v>
      </c>
      <c r="L49" s="622">
        <f>ROUND(I49*K49,2)</f>
        <v>902.7</v>
      </c>
      <c r="M49" s="598"/>
    </row>
    <row r="50" spans="1:13" s="599" customFormat="1">
      <c r="A50" s="602"/>
      <c r="B50" s="607"/>
      <c r="C50" s="604"/>
      <c r="D50" s="603"/>
      <c r="E50" s="605"/>
      <c r="F50" s="606"/>
      <c r="G50" s="598"/>
      <c r="H50" s="619" t="s">
        <v>4247</v>
      </c>
      <c r="I50" s="623">
        <v>0.5</v>
      </c>
      <c r="J50" s="621" t="s">
        <v>4248</v>
      </c>
      <c r="K50" s="622">
        <v>700</v>
      </c>
      <c r="L50" s="622">
        <f>ROUND(I50*K50,2)</f>
        <v>350</v>
      </c>
      <c r="M50" s="598"/>
    </row>
    <row r="51" spans="1:13">
      <c r="A51" s="595"/>
      <c r="B51" s="595" t="s">
        <v>4253</v>
      </c>
      <c r="C51" s="596"/>
      <c r="D51" s="596"/>
      <c r="E51" s="596"/>
      <c r="F51" s="594">
        <f>SUM(F47:F50)</f>
        <v>125.82370457166</v>
      </c>
      <c r="H51" s="616"/>
      <c r="I51" s="624"/>
      <c r="J51" s="621"/>
      <c r="K51" s="625" t="s">
        <v>1806</v>
      </c>
      <c r="L51" s="626">
        <f>SUM(L48:L50)</f>
        <v>2221.6999999999998</v>
      </c>
    </row>
    <row r="52" spans="1:13">
      <c r="H52" s="617" t="s">
        <v>4266</v>
      </c>
      <c r="I52" s="610"/>
      <c r="J52" s="611"/>
      <c r="K52" s="610"/>
      <c r="L52" s="610"/>
    </row>
    <row r="53" spans="1:13">
      <c r="A53" s="596"/>
      <c r="B53" s="595" t="s">
        <v>4267</v>
      </c>
      <c r="C53" s="596"/>
      <c r="D53" s="596"/>
      <c r="E53" s="596"/>
      <c r="F53" s="596"/>
      <c r="H53" s="619" t="s">
        <v>4268</v>
      </c>
      <c r="I53" s="628">
        <v>1.2</v>
      </c>
      <c r="J53" s="621" t="s">
        <v>825</v>
      </c>
      <c r="K53" s="622">
        <f>+L51</f>
        <v>2221.6999999999998</v>
      </c>
      <c r="L53" s="622">
        <f>ROUND(I53*K53,2)</f>
        <v>2666.04</v>
      </c>
    </row>
    <row r="54" spans="1:13">
      <c r="A54" s="613"/>
      <c r="B54" s="614"/>
      <c r="C54" s="614"/>
      <c r="D54" s="614"/>
      <c r="E54" s="614"/>
      <c r="F54" s="615"/>
      <c r="H54" s="619" t="s">
        <v>4245</v>
      </c>
      <c r="I54" s="624">
        <v>5.24</v>
      </c>
      <c r="J54" s="621" t="s">
        <v>1172</v>
      </c>
      <c r="K54" s="622">
        <f>+'[14]LISTADO DE MATERIALES'!G7</f>
        <v>295.89</v>
      </c>
      <c r="L54" s="622">
        <f>ROUND(I54*K54,2)</f>
        <v>1550.46</v>
      </c>
    </row>
    <row r="55" spans="1:13" s="599" customFormat="1">
      <c r="A55" s="602"/>
      <c r="B55" s="607" t="s">
        <v>4269</v>
      </c>
      <c r="C55" s="604">
        <v>2.6000000000000002E-2</v>
      </c>
      <c r="D55" s="603" t="s">
        <v>825</v>
      </c>
      <c r="E55" s="618">
        <f>+L39</f>
        <v>5563.8499999999995</v>
      </c>
      <c r="F55" s="606">
        <f t="shared" ref="F55:F59" si="4">+C55*E55</f>
        <v>144.6601</v>
      </c>
      <c r="G55" s="598"/>
      <c r="H55" s="619" t="s">
        <v>4243</v>
      </c>
      <c r="I55" s="623">
        <v>70</v>
      </c>
      <c r="J55" s="621" t="s">
        <v>828</v>
      </c>
      <c r="K55" s="622">
        <v>0.5</v>
      </c>
      <c r="L55" s="622">
        <f>ROUND(I55*K55,2)</f>
        <v>35</v>
      </c>
      <c r="M55" s="598"/>
    </row>
    <row r="56" spans="1:13" s="599" customFormat="1">
      <c r="A56" s="602"/>
      <c r="B56" s="607" t="s">
        <v>4270</v>
      </c>
      <c r="C56" s="604">
        <v>3.3299999999999996E-2</v>
      </c>
      <c r="D56" s="603" t="s">
        <v>211</v>
      </c>
      <c r="E56" s="605">
        <v>57.49</v>
      </c>
      <c r="F56" s="606">
        <f t="shared" si="4"/>
        <v>1.9144169999999998</v>
      </c>
      <c r="G56" s="598"/>
      <c r="H56" s="619" t="s">
        <v>4247</v>
      </c>
      <c r="I56" s="623">
        <v>0.5</v>
      </c>
      <c r="J56" s="621" t="s">
        <v>4248</v>
      </c>
      <c r="K56" s="622">
        <v>700</v>
      </c>
      <c r="L56" s="622">
        <f>ROUND(I56*K56,2)</f>
        <v>350</v>
      </c>
      <c r="M56" s="598"/>
    </row>
    <row r="57" spans="1:13" s="599" customFormat="1">
      <c r="A57" s="602"/>
      <c r="B57" s="607" t="s">
        <v>4271</v>
      </c>
      <c r="C57" s="604">
        <v>1</v>
      </c>
      <c r="D57" s="603" t="s">
        <v>1038</v>
      </c>
      <c r="E57" s="605">
        <v>35</v>
      </c>
      <c r="F57" s="606">
        <f t="shared" si="4"/>
        <v>35</v>
      </c>
      <c r="G57" s="598"/>
      <c r="H57" s="629"/>
      <c r="I57" s="630"/>
      <c r="J57" s="621"/>
      <c r="K57" s="625" t="s">
        <v>1806</v>
      </c>
      <c r="L57" s="626">
        <f>SUM(L53:L56)</f>
        <v>4601.5</v>
      </c>
      <c r="M57" s="598"/>
    </row>
    <row r="58" spans="1:13" s="599" customFormat="1">
      <c r="A58" s="602"/>
      <c r="B58" s="607" t="s">
        <v>4272</v>
      </c>
      <c r="C58" s="604">
        <v>2.3E-2</v>
      </c>
      <c r="D58" s="603" t="s">
        <v>4248</v>
      </c>
      <c r="E58" s="605">
        <v>850</v>
      </c>
      <c r="F58" s="606">
        <f t="shared" si="4"/>
        <v>19.55</v>
      </c>
      <c r="G58" s="598"/>
      <c r="H58" s="598"/>
      <c r="I58" s="598"/>
      <c r="J58" s="598"/>
      <c r="K58" s="598"/>
      <c r="L58" s="598"/>
      <c r="M58" s="598"/>
    </row>
    <row r="59" spans="1:13" s="599" customFormat="1">
      <c r="A59" s="602"/>
      <c r="B59" s="607" t="s">
        <v>4273</v>
      </c>
      <c r="C59" s="604">
        <v>1</v>
      </c>
      <c r="D59" s="603" t="s">
        <v>213</v>
      </c>
      <c r="E59" s="605">
        <v>125</v>
      </c>
      <c r="F59" s="606">
        <f t="shared" si="4"/>
        <v>125</v>
      </c>
      <c r="G59" s="598"/>
      <c r="H59" s="598"/>
      <c r="I59" s="598"/>
      <c r="J59" s="598"/>
      <c r="K59" s="598"/>
      <c r="L59" s="598"/>
      <c r="M59" s="598"/>
    </row>
    <row r="60" spans="1:13" s="599" customFormat="1">
      <c r="A60" s="602"/>
      <c r="B60" s="607"/>
      <c r="C60" s="604"/>
      <c r="D60" s="603"/>
      <c r="E60" s="605"/>
      <c r="F60" s="606"/>
      <c r="G60" s="598"/>
      <c r="H60" s="598"/>
      <c r="I60" s="598"/>
      <c r="J60" s="598"/>
      <c r="K60" s="598"/>
      <c r="L60" s="598"/>
      <c r="M60" s="598"/>
    </row>
    <row r="61" spans="1:13">
      <c r="A61" s="595"/>
      <c r="B61" s="595" t="s">
        <v>4253</v>
      </c>
      <c r="C61" s="596"/>
      <c r="D61" s="596"/>
      <c r="E61" s="596"/>
      <c r="F61" s="594">
        <f>SUM(F55:F60)</f>
        <v>326.12451699999997</v>
      </c>
    </row>
    <row r="63" spans="1:13">
      <c r="A63" s="596"/>
      <c r="B63" s="595" t="s">
        <v>4274</v>
      </c>
      <c r="C63" s="596"/>
      <c r="D63" s="596"/>
      <c r="E63" s="596"/>
      <c r="F63" s="596"/>
    </row>
    <row r="64" spans="1:13">
      <c r="A64" s="613"/>
      <c r="B64" s="614"/>
      <c r="C64" s="614"/>
      <c r="D64" s="614"/>
      <c r="E64" s="614"/>
      <c r="F64" s="615"/>
    </row>
    <row r="65" spans="1:13" s="599" customFormat="1">
      <c r="A65" s="602"/>
      <c r="B65" s="607" t="s">
        <v>4275</v>
      </c>
      <c r="C65" s="604">
        <f>0.0043*1.5</f>
        <v>6.45E-3</v>
      </c>
      <c r="D65" s="603" t="s">
        <v>825</v>
      </c>
      <c r="E65" s="618">
        <f>+E55</f>
        <v>5563.8499999999995</v>
      </c>
      <c r="F65" s="606">
        <f t="shared" ref="F65:F67" si="5">+C65*E65</f>
        <v>35.886832499999997</v>
      </c>
      <c r="G65" s="598"/>
      <c r="H65" s="598"/>
      <c r="I65" s="598"/>
      <c r="J65" s="598"/>
      <c r="K65" s="598"/>
      <c r="L65" s="598"/>
      <c r="M65" s="598"/>
    </row>
    <row r="66" spans="1:13" s="599" customFormat="1">
      <c r="A66" s="602"/>
      <c r="B66" s="607" t="s">
        <v>4276</v>
      </c>
      <c r="C66" s="604">
        <v>0.21800000000000003</v>
      </c>
      <c r="D66" s="603" t="s">
        <v>211</v>
      </c>
      <c r="E66" s="605">
        <v>57.49</v>
      </c>
      <c r="F66" s="606">
        <f t="shared" si="5"/>
        <v>12.532820000000003</v>
      </c>
      <c r="G66" s="598"/>
      <c r="H66" s="598"/>
      <c r="I66" s="598"/>
      <c r="J66" s="598"/>
      <c r="K66" s="598"/>
      <c r="L66" s="598"/>
      <c r="M66" s="598"/>
    </row>
    <row r="67" spans="1:13" s="599" customFormat="1">
      <c r="A67" s="602"/>
      <c r="B67" s="607" t="s">
        <v>4273</v>
      </c>
      <c r="C67" s="604">
        <v>1</v>
      </c>
      <c r="D67" s="603" t="s">
        <v>1705</v>
      </c>
      <c r="E67" s="605">
        <v>85</v>
      </c>
      <c r="F67" s="606">
        <f t="shared" si="5"/>
        <v>85</v>
      </c>
      <c r="G67" s="598"/>
      <c r="H67" s="598"/>
      <c r="I67" s="598"/>
      <c r="J67" s="598"/>
      <c r="K67" s="598"/>
      <c r="L67" s="598"/>
      <c r="M67" s="598"/>
    </row>
    <row r="68" spans="1:13" s="599" customFormat="1">
      <c r="A68" s="602"/>
      <c r="B68" s="607"/>
      <c r="C68" s="604"/>
      <c r="D68" s="603"/>
      <c r="E68" s="605"/>
      <c r="F68" s="606"/>
      <c r="G68" s="598"/>
      <c r="H68" s="598"/>
      <c r="I68" s="598"/>
      <c r="J68" s="598"/>
      <c r="K68" s="598"/>
      <c r="L68" s="598"/>
      <c r="M68" s="598"/>
    </row>
    <row r="69" spans="1:13">
      <c r="A69" s="595"/>
      <c r="B69" s="595" t="s">
        <v>4253</v>
      </c>
      <c r="C69" s="596"/>
      <c r="D69" s="596"/>
      <c r="E69" s="596"/>
      <c r="F69" s="594">
        <f>SUM(F65:F68)</f>
        <v>133.41965249999998</v>
      </c>
    </row>
    <row r="71" spans="1:13">
      <c r="A71" s="596"/>
      <c r="B71" s="595" t="s">
        <v>4277</v>
      </c>
      <c r="C71" s="596"/>
      <c r="D71" s="596"/>
      <c r="E71" s="596"/>
      <c r="F71" s="596"/>
    </row>
    <row r="72" spans="1:13">
      <c r="A72" s="613"/>
      <c r="B72" s="614"/>
      <c r="C72" s="614"/>
      <c r="D72" s="614"/>
      <c r="E72" s="614"/>
      <c r="F72" s="615"/>
    </row>
    <row r="73" spans="1:13" s="599" customFormat="1">
      <c r="A73" s="602"/>
      <c r="B73" s="607" t="s">
        <v>4278</v>
      </c>
      <c r="C73" s="604">
        <f>0.06*1.05</f>
        <v>6.3E-2</v>
      </c>
      <c r="D73" s="603" t="s">
        <v>825</v>
      </c>
      <c r="E73" s="618">
        <f>+'[14]LISTADO DE MATERIALES'!G23</f>
        <v>5430</v>
      </c>
      <c r="F73" s="606">
        <f t="shared" ref="F73:F75" si="6">+C73*E73</f>
        <v>342.09</v>
      </c>
      <c r="G73" s="598"/>
      <c r="H73" s="598"/>
      <c r="I73" s="598"/>
      <c r="J73" s="598"/>
      <c r="K73" s="598"/>
      <c r="L73" s="598"/>
      <c r="M73" s="598"/>
    </row>
    <row r="74" spans="1:13" s="599" customFormat="1">
      <c r="A74" s="602"/>
      <c r="B74" s="607" t="s">
        <v>4270</v>
      </c>
      <c r="C74" s="604">
        <v>3.3299999999999996E-2</v>
      </c>
      <c r="D74" s="603" t="s">
        <v>211</v>
      </c>
      <c r="E74" s="605">
        <v>57.49</v>
      </c>
      <c r="F74" s="606">
        <f t="shared" si="6"/>
        <v>1.9144169999999998</v>
      </c>
      <c r="G74" s="598"/>
      <c r="H74" s="598"/>
      <c r="I74" s="598"/>
      <c r="J74" s="598"/>
      <c r="K74" s="598"/>
      <c r="L74" s="598"/>
      <c r="M74" s="598"/>
    </row>
    <row r="75" spans="1:13" s="599" customFormat="1">
      <c r="A75" s="602"/>
      <c r="B75" s="607" t="s">
        <v>4273</v>
      </c>
      <c r="C75" s="604">
        <v>1</v>
      </c>
      <c r="D75" s="603" t="s">
        <v>213</v>
      </c>
      <c r="E75" s="605">
        <v>155</v>
      </c>
      <c r="F75" s="606">
        <f t="shared" si="6"/>
        <v>155</v>
      </c>
      <c r="G75" s="598"/>
      <c r="H75" s="598"/>
      <c r="I75" s="598"/>
      <c r="J75" s="598"/>
      <c r="K75" s="598"/>
      <c r="L75" s="598"/>
      <c r="M75" s="598"/>
    </row>
    <row r="76" spans="1:13" s="599" customFormat="1">
      <c r="A76" s="602"/>
      <c r="B76" s="607"/>
      <c r="C76" s="604"/>
      <c r="D76" s="603"/>
      <c r="E76" s="605"/>
      <c r="F76" s="606"/>
      <c r="G76" s="598"/>
      <c r="H76" s="598"/>
      <c r="I76" s="598"/>
      <c r="J76" s="598"/>
      <c r="K76" s="598"/>
      <c r="L76" s="598"/>
      <c r="M76" s="598"/>
    </row>
    <row r="77" spans="1:13">
      <c r="A77" s="595"/>
      <c r="B77" s="595" t="s">
        <v>4253</v>
      </c>
      <c r="C77" s="596"/>
      <c r="D77" s="596"/>
      <c r="E77" s="596"/>
      <c r="F77" s="594">
        <f>SUM(F73:F76)</f>
        <v>499.00441699999999</v>
      </c>
    </row>
    <row r="79" spans="1:13">
      <c r="A79" s="596"/>
      <c r="B79" s="595" t="s">
        <v>4279</v>
      </c>
      <c r="C79" s="596"/>
      <c r="D79" s="596"/>
      <c r="E79" s="596"/>
      <c r="F79" s="596"/>
    </row>
    <row r="80" spans="1:13">
      <c r="A80" s="613"/>
      <c r="B80" s="614"/>
      <c r="C80" s="614"/>
      <c r="D80" s="614"/>
      <c r="E80" s="614"/>
      <c r="F80" s="615"/>
    </row>
    <row r="81" spans="1:13" s="599" customFormat="1">
      <c r="A81" s="602"/>
      <c r="B81" s="607" t="s">
        <v>4280</v>
      </c>
      <c r="C81" s="604">
        <f>0.0043*15</f>
        <v>6.4500000000000002E-2</v>
      </c>
      <c r="D81" s="603" t="s">
        <v>825</v>
      </c>
      <c r="E81" s="618">
        <f>+L54</f>
        <v>1550.46</v>
      </c>
      <c r="F81" s="606">
        <f t="shared" ref="F81:F82" si="7">+C81*E81</f>
        <v>100.00467</v>
      </c>
      <c r="G81" s="598"/>
      <c r="H81" s="598"/>
      <c r="I81" s="598"/>
      <c r="J81" s="598"/>
      <c r="K81" s="598"/>
      <c r="L81" s="598"/>
      <c r="M81" s="598"/>
    </row>
    <row r="82" spans="1:13" s="599" customFormat="1">
      <c r="A82" s="602"/>
      <c r="B82" s="607" t="s">
        <v>4273</v>
      </c>
      <c r="C82" s="604">
        <v>1</v>
      </c>
      <c r="D82" s="603" t="s">
        <v>1705</v>
      </c>
      <c r="E82" s="605">
        <v>75</v>
      </c>
      <c r="F82" s="606">
        <f t="shared" si="7"/>
        <v>75</v>
      </c>
      <c r="G82" s="598"/>
      <c r="H82" s="598"/>
      <c r="I82" s="598"/>
      <c r="J82" s="598"/>
      <c r="K82" s="598"/>
      <c r="L82" s="598"/>
      <c r="M82" s="598"/>
    </row>
    <row r="83" spans="1:13" s="599" customFormat="1">
      <c r="A83" s="602"/>
      <c r="B83" s="607"/>
      <c r="C83" s="604"/>
      <c r="D83" s="603"/>
      <c r="E83" s="605"/>
      <c r="F83" s="606"/>
      <c r="G83" s="598"/>
      <c r="H83" s="598"/>
      <c r="I83" s="598"/>
      <c r="J83" s="598"/>
      <c r="K83" s="598"/>
      <c r="L83" s="598"/>
      <c r="M83" s="598"/>
    </row>
    <row r="84" spans="1:13">
      <c r="A84" s="595"/>
      <c r="B84" s="595" t="s">
        <v>4253</v>
      </c>
      <c r="C84" s="596"/>
      <c r="D84" s="596"/>
      <c r="E84" s="596"/>
      <c r="F84" s="594">
        <f>SUM(F81:F83)</f>
        <v>175.00467</v>
      </c>
    </row>
    <row r="86" spans="1:13">
      <c r="A86" s="596"/>
      <c r="B86" s="595" t="s">
        <v>4281</v>
      </c>
      <c r="C86" s="596"/>
      <c r="D86" s="596"/>
      <c r="E86" s="596"/>
      <c r="F86" s="596"/>
    </row>
    <row r="87" spans="1:13">
      <c r="A87" s="613"/>
      <c r="B87" s="614"/>
      <c r="C87" s="614"/>
      <c r="D87" s="614"/>
      <c r="E87" s="614"/>
      <c r="F87" s="615"/>
    </row>
    <row r="88" spans="1:13">
      <c r="A88" s="602"/>
      <c r="B88" s="607" t="s">
        <v>4238</v>
      </c>
      <c r="C88" s="604">
        <v>13</v>
      </c>
      <c r="D88" s="603" t="s">
        <v>1017</v>
      </c>
      <c r="E88" s="605">
        <f>+'[14]LISTADO DE MATERIALES'!G17</f>
        <v>29.9</v>
      </c>
      <c r="F88" s="606">
        <f t="shared" ref="F88:F94" si="8">+C88*E88</f>
        <v>388.7</v>
      </c>
    </row>
    <row r="89" spans="1:13">
      <c r="A89" s="602"/>
      <c r="B89" s="607" t="s">
        <v>4240</v>
      </c>
      <c r="C89" s="604">
        <v>3.1199999999999999E-2</v>
      </c>
      <c r="D89" s="603" t="s">
        <v>825</v>
      </c>
      <c r="E89" s="618">
        <f>+E24</f>
        <v>4688.41</v>
      </c>
      <c r="F89" s="606">
        <f t="shared" si="8"/>
        <v>146.278392</v>
      </c>
    </row>
    <row r="90" spans="1:13">
      <c r="A90" s="602"/>
      <c r="B90" s="607" t="s">
        <v>4242</v>
      </c>
      <c r="C90" s="604">
        <v>0.08</v>
      </c>
      <c r="D90" s="603" t="s">
        <v>4</v>
      </c>
      <c r="E90" s="605">
        <f>+'[14]LISTADO DE MATERIALES'!G9</f>
        <v>2270.68345323741</v>
      </c>
      <c r="F90" s="606">
        <f t="shared" si="8"/>
        <v>181.65467625899279</v>
      </c>
    </row>
    <row r="91" spans="1:13">
      <c r="A91" s="602"/>
      <c r="B91" s="607" t="s">
        <v>4244</v>
      </c>
      <c r="C91" s="604">
        <v>0.03</v>
      </c>
      <c r="D91" s="603" t="s">
        <v>825</v>
      </c>
      <c r="E91" s="605">
        <v>3748</v>
      </c>
      <c r="F91" s="606">
        <f t="shared" si="8"/>
        <v>112.44</v>
      </c>
    </row>
    <row r="92" spans="1:13">
      <c r="A92" s="602"/>
      <c r="B92" s="607" t="s">
        <v>4246</v>
      </c>
      <c r="C92" s="604">
        <v>1</v>
      </c>
      <c r="D92" s="603" t="s">
        <v>1333</v>
      </c>
      <c r="E92" s="605">
        <v>55</v>
      </c>
      <c r="F92" s="606">
        <f t="shared" si="8"/>
        <v>55</v>
      </c>
    </row>
    <row r="93" spans="1:13">
      <c r="A93" s="602"/>
      <c r="B93" s="607" t="s">
        <v>4249</v>
      </c>
      <c r="C93" s="604">
        <v>6</v>
      </c>
      <c r="D93" s="603" t="s">
        <v>1017</v>
      </c>
      <c r="E93" s="605">
        <v>0.34</v>
      </c>
      <c r="F93" s="606">
        <f t="shared" si="8"/>
        <v>2.04</v>
      </c>
    </row>
    <row r="94" spans="1:13">
      <c r="A94" s="602"/>
      <c r="B94" s="607" t="s">
        <v>4250</v>
      </c>
      <c r="C94" s="604">
        <v>13</v>
      </c>
      <c r="D94" s="603" t="s">
        <v>1017</v>
      </c>
      <c r="E94" s="605">
        <v>25</v>
      </c>
      <c r="F94" s="606">
        <f t="shared" si="8"/>
        <v>325</v>
      </c>
    </row>
    <row r="95" spans="1:13">
      <c r="A95" s="602"/>
      <c r="B95" s="607"/>
      <c r="C95" s="604"/>
      <c r="D95" s="603"/>
      <c r="E95" s="605"/>
      <c r="F95" s="606"/>
    </row>
    <row r="96" spans="1:13">
      <c r="A96" s="595"/>
      <c r="B96" s="595" t="s">
        <v>4253</v>
      </c>
      <c r="C96" s="596"/>
      <c r="D96" s="596"/>
      <c r="E96" s="596"/>
      <c r="F96" s="594">
        <f>SUM(F88:F95)</f>
        <v>1211.1130682589928</v>
      </c>
    </row>
    <row r="98" spans="1:13">
      <c r="A98" s="596"/>
      <c r="B98" s="595" t="s">
        <v>4282</v>
      </c>
      <c r="C98" s="596"/>
      <c r="D98" s="596"/>
      <c r="E98" s="596"/>
      <c r="F98" s="596"/>
    </row>
    <row r="99" spans="1:13">
      <c r="A99" s="613"/>
      <c r="B99" s="614"/>
      <c r="C99" s="614"/>
      <c r="D99" s="614"/>
      <c r="E99" s="614"/>
      <c r="F99" s="615"/>
    </row>
    <row r="100" spans="1:13" s="599" customFormat="1">
      <c r="A100" s="602"/>
      <c r="B100" s="607" t="s">
        <v>4275</v>
      </c>
      <c r="C100" s="604">
        <v>8.3000000000000001E-3</v>
      </c>
      <c r="D100" s="603" t="s">
        <v>825</v>
      </c>
      <c r="E100" s="618">
        <f>+E90</f>
        <v>2270.68345323741</v>
      </c>
      <c r="F100" s="606">
        <f t="shared" ref="F100:F102" si="9">+C100*E100</f>
        <v>18.846672661870503</v>
      </c>
      <c r="G100" s="598"/>
      <c r="H100" s="598"/>
      <c r="I100" s="598"/>
      <c r="J100" s="598"/>
      <c r="K100" s="598"/>
      <c r="L100" s="598"/>
      <c r="M100" s="598"/>
    </row>
    <row r="101" spans="1:13" s="599" customFormat="1">
      <c r="A101" s="602"/>
      <c r="B101" s="607" t="s">
        <v>4276</v>
      </c>
      <c r="C101" s="604">
        <v>0.21800000000000003</v>
      </c>
      <c r="D101" s="603" t="s">
        <v>211</v>
      </c>
      <c r="E101" s="605">
        <v>57.49</v>
      </c>
      <c r="F101" s="606">
        <f t="shared" si="9"/>
        <v>12.532820000000003</v>
      </c>
      <c r="G101" s="598"/>
      <c r="H101" s="598"/>
      <c r="I101" s="598"/>
      <c r="J101" s="598"/>
      <c r="K101" s="598"/>
      <c r="L101" s="598"/>
      <c r="M101" s="598"/>
    </row>
    <row r="102" spans="1:13" s="599" customFormat="1">
      <c r="A102" s="602"/>
      <c r="B102" s="607" t="s">
        <v>4273</v>
      </c>
      <c r="C102" s="604">
        <v>1</v>
      </c>
      <c r="D102" s="603" t="s">
        <v>1705</v>
      </c>
      <c r="E102" s="605">
        <v>155</v>
      </c>
      <c r="F102" s="606">
        <f t="shared" si="9"/>
        <v>155</v>
      </c>
      <c r="G102" s="598"/>
      <c r="H102" s="598"/>
      <c r="I102" s="598"/>
      <c r="J102" s="598"/>
      <c r="K102" s="598"/>
      <c r="L102" s="598"/>
      <c r="M102" s="598"/>
    </row>
    <row r="103" spans="1:13" s="599" customFormat="1">
      <c r="A103" s="602"/>
      <c r="B103" s="607"/>
      <c r="C103" s="604"/>
      <c r="D103" s="603"/>
      <c r="E103" s="605"/>
      <c r="F103" s="606"/>
      <c r="G103" s="598"/>
      <c r="H103" s="598"/>
      <c r="I103" s="598"/>
      <c r="J103" s="598"/>
      <c r="K103" s="598"/>
      <c r="L103" s="598"/>
      <c r="M103" s="598"/>
    </row>
    <row r="104" spans="1:13">
      <c r="A104" s="595"/>
      <c r="B104" s="595" t="s">
        <v>4253</v>
      </c>
      <c r="C104" s="596"/>
      <c r="D104" s="596"/>
      <c r="E104" s="596"/>
      <c r="F104" s="594">
        <f>SUM(F100:F103)</f>
        <v>186.3794926618705</v>
      </c>
    </row>
    <row r="106" spans="1:13">
      <c r="A106" s="596"/>
      <c r="B106" s="595" t="s">
        <v>5239</v>
      </c>
      <c r="C106" s="596"/>
      <c r="D106" s="596"/>
      <c r="E106" s="596"/>
      <c r="F106" s="596"/>
      <c r="H106" s="595" t="s">
        <v>4236</v>
      </c>
      <c r="I106" s="596"/>
      <c r="J106" s="596"/>
      <c r="K106" s="596"/>
      <c r="L106" s="596"/>
    </row>
    <row r="107" spans="1:13">
      <c r="A107" s="613"/>
      <c r="B107" s="614"/>
      <c r="C107" s="614"/>
      <c r="D107" s="614"/>
      <c r="E107" s="614"/>
      <c r="F107" s="615"/>
      <c r="H107" s="614"/>
      <c r="I107" s="614"/>
      <c r="J107" s="614"/>
      <c r="K107" s="614"/>
      <c r="L107" s="615"/>
    </row>
    <row r="108" spans="1:13">
      <c r="A108" s="602"/>
      <c r="B108" s="607" t="s">
        <v>4283</v>
      </c>
      <c r="C108" s="604">
        <v>13</v>
      </c>
      <c r="D108" s="603" t="s">
        <v>1017</v>
      </c>
      <c r="E108" s="605">
        <f>+'[14]LISTADO DE MATERIALES'!G18</f>
        <v>37.949999999999996</v>
      </c>
      <c r="F108" s="606">
        <f t="shared" ref="F108:F114" si="10">+C108*E108</f>
        <v>493.34999999999997</v>
      </c>
      <c r="H108" s="607" t="s">
        <v>4238</v>
      </c>
      <c r="I108" s="604">
        <v>13</v>
      </c>
      <c r="J108" s="603" t="s">
        <v>1017</v>
      </c>
      <c r="K108" s="605">
        <f>E23</f>
        <v>29.9</v>
      </c>
      <c r="L108" s="606">
        <f t="shared" ref="L108:L109" si="11">+I108*K108</f>
        <v>388.7</v>
      </c>
    </row>
    <row r="109" spans="1:13">
      <c r="A109" s="602"/>
      <c r="B109" s="607" t="s">
        <v>4240</v>
      </c>
      <c r="C109" s="604">
        <v>3.5000000000000003E-2</v>
      </c>
      <c r="D109" s="603" t="s">
        <v>825</v>
      </c>
      <c r="E109" s="618">
        <f>+E89</f>
        <v>4688.41</v>
      </c>
      <c r="F109" s="606">
        <f t="shared" si="10"/>
        <v>164.09435000000002</v>
      </c>
      <c r="H109" s="607" t="s">
        <v>4240</v>
      </c>
      <c r="I109" s="604">
        <f>C109</f>
        <v>3.5000000000000003E-2</v>
      </c>
      <c r="J109" s="603" t="s">
        <v>825</v>
      </c>
      <c r="K109" s="605">
        <f t="shared" ref="K109:K114" si="12">E24</f>
        <v>4688.41</v>
      </c>
      <c r="L109" s="606">
        <f t="shared" si="11"/>
        <v>164.09435000000002</v>
      </c>
    </row>
    <row r="110" spans="1:13" ht="28.5">
      <c r="A110" s="602"/>
      <c r="B110" s="607" t="s">
        <v>4242</v>
      </c>
      <c r="C110" s="604">
        <v>0.08</v>
      </c>
      <c r="D110" s="603" t="s">
        <v>4</v>
      </c>
      <c r="E110" s="605">
        <f>+'[14]LISTADO DE MATERIALES'!G9</f>
        <v>2270.68345323741</v>
      </c>
      <c r="F110" s="606">
        <f t="shared" si="10"/>
        <v>181.65467625899279</v>
      </c>
      <c r="H110" s="607" t="s">
        <v>4242</v>
      </c>
      <c r="I110" s="1518">
        <v>0.08</v>
      </c>
      <c r="J110" s="603" t="s">
        <v>4</v>
      </c>
      <c r="K110" s="605">
        <f t="shared" si="12"/>
        <v>2270.68345323741</v>
      </c>
      <c r="L110" s="606">
        <f>+I110*K110</f>
        <v>181.65467625899279</v>
      </c>
    </row>
    <row r="111" spans="1:13">
      <c r="A111" s="602"/>
      <c r="B111" s="607" t="s">
        <v>4244</v>
      </c>
      <c r="C111" s="604">
        <v>3.5000000000000003E-2</v>
      </c>
      <c r="D111" s="603" t="s">
        <v>825</v>
      </c>
      <c r="E111" s="605">
        <v>3748</v>
      </c>
      <c r="F111" s="606">
        <f t="shared" si="10"/>
        <v>131.18</v>
      </c>
      <c r="H111" s="607" t="s">
        <v>4244</v>
      </c>
      <c r="I111" s="604">
        <f>C123</f>
        <v>2.5000000000000001E-2</v>
      </c>
      <c r="J111" s="603" t="s">
        <v>825</v>
      </c>
      <c r="K111" s="605">
        <f t="shared" si="12"/>
        <v>3748</v>
      </c>
      <c r="L111" s="606">
        <f t="shared" ref="L111:L114" si="13">+I111*K111</f>
        <v>93.7</v>
      </c>
    </row>
    <row r="112" spans="1:13">
      <c r="A112" s="602"/>
      <c r="B112" s="607" t="s">
        <v>4246</v>
      </c>
      <c r="C112" s="604">
        <v>1</v>
      </c>
      <c r="D112" s="603" t="s">
        <v>1333</v>
      </c>
      <c r="E112" s="605">
        <v>55</v>
      </c>
      <c r="F112" s="606">
        <f t="shared" si="10"/>
        <v>55</v>
      </c>
      <c r="H112" s="607" t="s">
        <v>4246</v>
      </c>
      <c r="I112" s="604">
        <v>1</v>
      </c>
      <c r="J112" s="603" t="s">
        <v>1333</v>
      </c>
      <c r="K112" s="605">
        <f t="shared" si="12"/>
        <v>55</v>
      </c>
      <c r="L112" s="606">
        <f t="shared" si="13"/>
        <v>55</v>
      </c>
    </row>
    <row r="113" spans="1:12">
      <c r="A113" s="602"/>
      <c r="B113" s="607" t="s">
        <v>4249</v>
      </c>
      <c r="C113" s="604">
        <v>6</v>
      </c>
      <c r="D113" s="603" t="s">
        <v>1017</v>
      </c>
      <c r="E113" s="605">
        <v>0.34</v>
      </c>
      <c r="F113" s="606">
        <f t="shared" si="10"/>
        <v>2.04</v>
      </c>
      <c r="H113" s="607" t="s">
        <v>4249</v>
      </c>
      <c r="I113" s="604">
        <v>6</v>
      </c>
      <c r="J113" s="603" t="s">
        <v>1017</v>
      </c>
      <c r="K113" s="605">
        <f t="shared" si="12"/>
        <v>0.34</v>
      </c>
      <c r="L113" s="606">
        <f t="shared" si="13"/>
        <v>2.04</v>
      </c>
    </row>
    <row r="114" spans="1:12">
      <c r="A114" s="602"/>
      <c r="B114" s="607" t="s">
        <v>4250</v>
      </c>
      <c r="C114" s="604">
        <v>13</v>
      </c>
      <c r="D114" s="603" t="s">
        <v>1017</v>
      </c>
      <c r="E114" s="605">
        <v>25</v>
      </c>
      <c r="F114" s="606">
        <f t="shared" si="10"/>
        <v>325</v>
      </c>
      <c r="H114" s="607" t="s">
        <v>4250</v>
      </c>
      <c r="I114" s="604">
        <v>13</v>
      </c>
      <c r="J114" s="603" t="s">
        <v>1017</v>
      </c>
      <c r="K114" s="605">
        <f t="shared" si="12"/>
        <v>25</v>
      </c>
      <c r="L114" s="606">
        <f t="shared" si="13"/>
        <v>325</v>
      </c>
    </row>
    <row r="115" spans="1:12">
      <c r="A115" s="602"/>
      <c r="B115" s="607"/>
      <c r="C115" s="604"/>
      <c r="D115" s="603"/>
      <c r="E115" s="605"/>
      <c r="F115" s="606"/>
    </row>
    <row r="116" spans="1:12">
      <c r="A116" s="595"/>
      <c r="B116" s="595" t="s">
        <v>4253</v>
      </c>
      <c r="C116" s="596"/>
      <c r="D116" s="596"/>
      <c r="E116" s="596"/>
      <c r="F116" s="594">
        <f>SUM(F108:F115)</f>
        <v>1352.3190262589928</v>
      </c>
      <c r="H116" s="595" t="s">
        <v>4253</v>
      </c>
      <c r="I116" s="596"/>
      <c r="J116" s="596"/>
      <c r="K116" s="596"/>
      <c r="L116" s="594">
        <f>SUM(L108:L115)</f>
        <v>1210.1890262589927</v>
      </c>
    </row>
    <row r="118" spans="1:12">
      <c r="A118" s="596"/>
      <c r="B118" s="595" t="s">
        <v>4284</v>
      </c>
      <c r="C118" s="596"/>
      <c r="D118" s="596"/>
      <c r="E118" s="596"/>
      <c r="F118" s="596"/>
      <c r="H118" s="595" t="s">
        <v>5153</v>
      </c>
      <c r="I118" s="596"/>
      <c r="J118" s="596"/>
      <c r="K118" s="596"/>
      <c r="L118" s="596"/>
    </row>
    <row r="119" spans="1:12">
      <c r="A119" s="613"/>
      <c r="B119" s="614"/>
      <c r="C119" s="614"/>
      <c r="D119" s="614"/>
      <c r="E119" s="614"/>
      <c r="F119" s="615"/>
      <c r="H119" s="614"/>
      <c r="I119" s="614"/>
      <c r="J119" s="614"/>
      <c r="K119" s="614"/>
      <c r="L119" s="615"/>
    </row>
    <row r="120" spans="1:12">
      <c r="A120" s="602"/>
      <c r="B120" s="607" t="s">
        <v>4283</v>
      </c>
      <c r="C120" s="604">
        <v>13</v>
      </c>
      <c r="D120" s="603" t="s">
        <v>1017</v>
      </c>
      <c r="E120" s="605">
        <f>+'[14]LISTADO DE MATERIALES'!G18</f>
        <v>37.949999999999996</v>
      </c>
      <c r="F120" s="606">
        <f t="shared" ref="F120:F126" si="14">+C120*E120</f>
        <v>493.34999999999997</v>
      </c>
      <c r="H120" s="607" t="s">
        <v>4283</v>
      </c>
      <c r="I120" s="604">
        <v>13</v>
      </c>
      <c r="J120" s="603" t="s">
        <v>1017</v>
      </c>
      <c r="K120" s="605">
        <f>E120</f>
        <v>37.949999999999996</v>
      </c>
      <c r="L120" s="606">
        <f t="shared" ref="L120:L126" si="15">+I120*K120</f>
        <v>493.34999999999997</v>
      </c>
    </row>
    <row r="121" spans="1:12">
      <c r="A121" s="602"/>
      <c r="B121" s="607" t="s">
        <v>4240</v>
      </c>
      <c r="C121" s="604">
        <v>3.5000000000000003E-2</v>
      </c>
      <c r="D121" s="603" t="s">
        <v>825</v>
      </c>
      <c r="E121" s="618">
        <f>+E109</f>
        <v>4688.41</v>
      </c>
      <c r="F121" s="606">
        <f t="shared" si="14"/>
        <v>164.09435000000002</v>
      </c>
      <c r="H121" s="607" t="s">
        <v>4240</v>
      </c>
      <c r="I121" s="604">
        <v>3.5000000000000003E-2</v>
      </c>
      <c r="J121" s="603" t="s">
        <v>825</v>
      </c>
      <c r="K121" s="618">
        <f>E121</f>
        <v>4688.41</v>
      </c>
      <c r="L121" s="606">
        <f t="shared" si="15"/>
        <v>164.09435000000002</v>
      </c>
    </row>
    <row r="122" spans="1:12" ht="28.5">
      <c r="A122" s="602"/>
      <c r="B122" s="607" t="s">
        <v>4242</v>
      </c>
      <c r="C122" s="604">
        <v>3.2000000000000001E-2</v>
      </c>
      <c r="D122" s="603" t="s">
        <v>4</v>
      </c>
      <c r="E122" s="605">
        <f>+'[14]LISTADO DE MATERIALES'!G9</f>
        <v>2270.68345323741</v>
      </c>
      <c r="F122" s="606">
        <f t="shared" si="14"/>
        <v>72.661870503597129</v>
      </c>
      <c r="H122" s="607" t="s">
        <v>4242</v>
      </c>
      <c r="I122" s="1518">
        <v>0.08</v>
      </c>
      <c r="J122" s="603" t="s">
        <v>4</v>
      </c>
      <c r="K122" s="618">
        <f t="shared" ref="K122:K126" si="16">E122</f>
        <v>2270.68345323741</v>
      </c>
      <c r="L122" s="606">
        <f t="shared" si="15"/>
        <v>181.65467625899279</v>
      </c>
    </row>
    <row r="123" spans="1:12">
      <c r="A123" s="602"/>
      <c r="B123" s="607" t="s">
        <v>4244</v>
      </c>
      <c r="C123" s="604">
        <v>2.5000000000000001E-2</v>
      </c>
      <c r="D123" s="603" t="s">
        <v>825</v>
      </c>
      <c r="E123" s="605">
        <v>3748</v>
      </c>
      <c r="F123" s="606">
        <f t="shared" si="14"/>
        <v>93.7</v>
      </c>
      <c r="H123" s="607" t="s">
        <v>4244</v>
      </c>
      <c r="I123" s="604">
        <v>2.5000000000000001E-2</v>
      </c>
      <c r="J123" s="603" t="s">
        <v>825</v>
      </c>
      <c r="K123" s="618">
        <f t="shared" si="16"/>
        <v>3748</v>
      </c>
      <c r="L123" s="606">
        <f t="shared" si="15"/>
        <v>93.7</v>
      </c>
    </row>
    <row r="124" spans="1:12">
      <c r="A124" s="602"/>
      <c r="B124" s="607" t="s">
        <v>4246</v>
      </c>
      <c r="C124" s="604">
        <v>1</v>
      </c>
      <c r="D124" s="603" t="s">
        <v>1333</v>
      </c>
      <c r="E124" s="605">
        <v>55</v>
      </c>
      <c r="F124" s="606">
        <f t="shared" si="14"/>
        <v>55</v>
      </c>
      <c r="H124" s="607" t="s">
        <v>4246</v>
      </c>
      <c r="I124" s="604">
        <v>1</v>
      </c>
      <c r="J124" s="603" t="s">
        <v>1333</v>
      </c>
      <c r="K124" s="618">
        <f t="shared" si="16"/>
        <v>55</v>
      </c>
      <c r="L124" s="606">
        <f t="shared" si="15"/>
        <v>55</v>
      </c>
    </row>
    <row r="125" spans="1:12">
      <c r="A125" s="602"/>
      <c r="B125" s="607" t="s">
        <v>4249</v>
      </c>
      <c r="C125" s="604">
        <v>6</v>
      </c>
      <c r="D125" s="603" t="s">
        <v>1017</v>
      </c>
      <c r="E125" s="605">
        <v>0.34</v>
      </c>
      <c r="F125" s="606">
        <f t="shared" si="14"/>
        <v>2.04</v>
      </c>
      <c r="H125" s="607" t="s">
        <v>4249</v>
      </c>
      <c r="I125" s="604">
        <v>6</v>
      </c>
      <c r="J125" s="603" t="s">
        <v>1017</v>
      </c>
      <c r="K125" s="618">
        <f t="shared" si="16"/>
        <v>0.34</v>
      </c>
      <c r="L125" s="606">
        <f t="shared" si="15"/>
        <v>2.04</v>
      </c>
    </row>
    <row r="126" spans="1:12">
      <c r="A126" s="602"/>
      <c r="B126" s="607" t="s">
        <v>4250</v>
      </c>
      <c r="C126" s="604">
        <v>13</v>
      </c>
      <c r="D126" s="603" t="s">
        <v>1017</v>
      </c>
      <c r="E126" s="605">
        <v>18</v>
      </c>
      <c r="F126" s="606">
        <f t="shared" si="14"/>
        <v>234</v>
      </c>
      <c r="H126" s="607" t="s">
        <v>4250</v>
      </c>
      <c r="I126" s="604">
        <v>13</v>
      </c>
      <c r="J126" s="603" t="s">
        <v>1017</v>
      </c>
      <c r="K126" s="618">
        <f t="shared" si="16"/>
        <v>18</v>
      </c>
      <c r="L126" s="606">
        <f t="shared" si="15"/>
        <v>234</v>
      </c>
    </row>
    <row r="127" spans="1:12">
      <c r="A127" s="602"/>
      <c r="B127" s="607"/>
      <c r="C127" s="604"/>
      <c r="D127" s="603"/>
      <c r="E127" s="605"/>
      <c r="F127" s="606"/>
      <c r="H127" s="607"/>
      <c r="I127" s="604"/>
      <c r="J127" s="603"/>
      <c r="K127" s="605"/>
      <c r="L127" s="606"/>
    </row>
    <row r="128" spans="1:12">
      <c r="A128" s="595"/>
      <c r="B128" s="595" t="s">
        <v>4253</v>
      </c>
      <c r="C128" s="596"/>
      <c r="D128" s="596"/>
      <c r="E128" s="596"/>
      <c r="F128" s="594">
        <f>SUM(F120:F127)</f>
        <v>1114.8462205035971</v>
      </c>
      <c r="H128" s="595" t="s">
        <v>4253</v>
      </c>
      <c r="I128" s="596"/>
      <c r="J128" s="596"/>
      <c r="K128" s="596"/>
      <c r="L128" s="594">
        <f>SUM(L120:L127)</f>
        <v>1223.8390262589928</v>
      </c>
    </row>
    <row r="130" spans="1:12">
      <c r="A130" s="596"/>
      <c r="B130" s="595" t="s">
        <v>4285</v>
      </c>
      <c r="C130" s="596"/>
      <c r="D130" s="596"/>
      <c r="E130" s="596"/>
      <c r="F130" s="596"/>
    </row>
    <row r="131" spans="1:12">
      <c r="A131" s="613"/>
      <c r="B131" s="614"/>
      <c r="C131" s="614"/>
      <c r="D131" s="614"/>
      <c r="E131" s="614"/>
      <c r="F131" s="615"/>
      <c r="G131" s="596"/>
      <c r="H131" s="595" t="s">
        <v>5246</v>
      </c>
      <c r="I131" s="596"/>
      <c r="J131" s="596"/>
      <c r="K131" s="596"/>
      <c r="L131" s="596"/>
    </row>
    <row r="132" spans="1:12">
      <c r="A132" s="602"/>
      <c r="B132" s="607" t="s">
        <v>4286</v>
      </c>
      <c r="C132" s="604">
        <v>13</v>
      </c>
      <c r="D132" s="603" t="s">
        <v>1017</v>
      </c>
      <c r="E132" s="605">
        <v>50</v>
      </c>
      <c r="F132" s="606">
        <f t="shared" ref="F132:F138" si="17">+C132*E132</f>
        <v>650</v>
      </c>
      <c r="G132" s="613"/>
      <c r="H132" s="614"/>
      <c r="I132" s="614"/>
      <c r="J132" s="614"/>
      <c r="K132" s="614"/>
      <c r="L132" s="615"/>
    </row>
    <row r="133" spans="1:12">
      <c r="A133" s="602"/>
      <c r="B133" s="607" t="s">
        <v>4240</v>
      </c>
      <c r="C133" s="604">
        <v>3.5000000000000003E-2</v>
      </c>
      <c r="D133" s="603" t="s">
        <v>825</v>
      </c>
      <c r="E133" s="618">
        <f>+E121</f>
        <v>4688.41</v>
      </c>
      <c r="F133" s="606">
        <f t="shared" si="17"/>
        <v>164.09435000000002</v>
      </c>
      <c r="G133" s="602"/>
      <c r="H133" s="607" t="s">
        <v>4238</v>
      </c>
      <c r="I133" s="604">
        <v>13</v>
      </c>
      <c r="J133" s="603" t="s">
        <v>1017</v>
      </c>
      <c r="K133" s="605">
        <f>K108</f>
        <v>29.9</v>
      </c>
      <c r="L133" s="606">
        <f t="shared" ref="L133:L139" si="18">+I133*K133</f>
        <v>388.7</v>
      </c>
    </row>
    <row r="134" spans="1:12">
      <c r="A134" s="602"/>
      <c r="B134" s="607" t="s">
        <v>4242</v>
      </c>
      <c r="C134" s="604">
        <v>0.08</v>
      </c>
      <c r="D134" s="603" t="s">
        <v>4</v>
      </c>
      <c r="E134" s="605">
        <f>+E122</f>
        <v>2270.68345323741</v>
      </c>
      <c r="F134" s="606">
        <f t="shared" si="17"/>
        <v>181.65467625899279</v>
      </c>
      <c r="G134" s="602"/>
      <c r="H134" s="607" t="s">
        <v>4240</v>
      </c>
      <c r="I134" s="604">
        <v>3.5000000000000003E-2</v>
      </c>
      <c r="J134" s="603" t="s">
        <v>825</v>
      </c>
      <c r="K134" s="618">
        <f>K109</f>
        <v>4688.41</v>
      </c>
      <c r="L134" s="606">
        <f t="shared" si="18"/>
        <v>164.09435000000002</v>
      </c>
    </row>
    <row r="135" spans="1:12" ht="28.5">
      <c r="A135" s="602"/>
      <c r="B135" s="607" t="s">
        <v>4244</v>
      </c>
      <c r="C135" s="604">
        <v>2.5000000000000001E-2</v>
      </c>
      <c r="D135" s="603" t="s">
        <v>825</v>
      </c>
      <c r="E135" s="605">
        <v>3748</v>
      </c>
      <c r="F135" s="606">
        <f t="shared" si="17"/>
        <v>93.7</v>
      </c>
      <c r="G135" s="602"/>
      <c r="H135" s="607" t="s">
        <v>4242</v>
      </c>
      <c r="I135" s="604">
        <v>3.2000000000000001E-2</v>
      </c>
      <c r="J135" s="603" t="s">
        <v>4</v>
      </c>
      <c r="K135" s="605">
        <f>E134</f>
        <v>2270.68345323741</v>
      </c>
      <c r="L135" s="606">
        <f t="shared" si="18"/>
        <v>72.661870503597129</v>
      </c>
    </row>
    <row r="136" spans="1:12">
      <c r="A136" s="602"/>
      <c r="B136" s="607" t="s">
        <v>4246</v>
      </c>
      <c r="C136" s="604">
        <v>1</v>
      </c>
      <c r="D136" s="603" t="s">
        <v>1333</v>
      </c>
      <c r="E136" s="605">
        <v>55</v>
      </c>
      <c r="F136" s="606">
        <f t="shared" si="17"/>
        <v>55</v>
      </c>
      <c r="G136" s="602"/>
      <c r="H136" s="607" t="s">
        <v>4244</v>
      </c>
      <c r="I136" s="604">
        <v>2.5000000000000001E-2</v>
      </c>
      <c r="J136" s="603" t="s">
        <v>825</v>
      </c>
      <c r="K136" s="605">
        <v>3748</v>
      </c>
      <c r="L136" s="606">
        <f t="shared" si="18"/>
        <v>93.7</v>
      </c>
    </row>
    <row r="137" spans="1:12">
      <c r="A137" s="602"/>
      <c r="B137" s="607" t="s">
        <v>4249</v>
      </c>
      <c r="C137" s="604">
        <v>6</v>
      </c>
      <c r="D137" s="603" t="s">
        <v>1017</v>
      </c>
      <c r="E137" s="605">
        <v>0.34</v>
      </c>
      <c r="F137" s="606">
        <f t="shared" si="17"/>
        <v>2.04</v>
      </c>
      <c r="G137" s="602"/>
      <c r="H137" s="607" t="s">
        <v>4246</v>
      </c>
      <c r="I137" s="604">
        <v>1</v>
      </c>
      <c r="J137" s="603" t="s">
        <v>1333</v>
      </c>
      <c r="K137" s="605">
        <v>55</v>
      </c>
      <c r="L137" s="606">
        <f t="shared" si="18"/>
        <v>55</v>
      </c>
    </row>
    <row r="138" spans="1:12">
      <c r="A138" s="602"/>
      <c r="B138" s="607" t="s">
        <v>4250</v>
      </c>
      <c r="C138" s="604">
        <v>13</v>
      </c>
      <c r="D138" s="603" t="s">
        <v>1017</v>
      </c>
      <c r="E138" s="605">
        <v>18</v>
      </c>
      <c r="F138" s="606">
        <f t="shared" si="17"/>
        <v>234</v>
      </c>
      <c r="G138" s="602"/>
      <c r="H138" s="607" t="s">
        <v>4249</v>
      </c>
      <c r="I138" s="604">
        <v>6</v>
      </c>
      <c r="J138" s="603" t="s">
        <v>1017</v>
      </c>
      <c r="K138" s="605">
        <v>0.34</v>
      </c>
      <c r="L138" s="606">
        <f t="shared" si="18"/>
        <v>2.04</v>
      </c>
    </row>
    <row r="139" spans="1:12">
      <c r="A139" s="602"/>
      <c r="B139" s="607"/>
      <c r="C139" s="604"/>
      <c r="D139" s="603"/>
      <c r="E139" s="605"/>
      <c r="F139" s="606"/>
      <c r="G139" s="602"/>
      <c r="H139" s="607" t="s">
        <v>4250</v>
      </c>
      <c r="I139" s="604">
        <v>13</v>
      </c>
      <c r="J139" s="603" t="s">
        <v>1017</v>
      </c>
      <c r="K139" s="605">
        <v>18</v>
      </c>
      <c r="L139" s="606">
        <f t="shared" si="18"/>
        <v>234</v>
      </c>
    </row>
    <row r="140" spans="1:12">
      <c r="A140" s="595"/>
      <c r="B140" s="595" t="s">
        <v>4253</v>
      </c>
      <c r="C140" s="596"/>
      <c r="D140" s="596"/>
      <c r="E140" s="596"/>
      <c r="F140" s="594">
        <f>SUM(F132:F139)</f>
        <v>1380.4890262589929</v>
      </c>
      <c r="G140" s="602"/>
      <c r="H140" s="607"/>
      <c r="I140" s="604"/>
      <c r="J140" s="603"/>
      <c r="K140" s="605"/>
      <c r="L140" s="606"/>
    </row>
    <row r="141" spans="1:12">
      <c r="G141" s="595"/>
      <c r="H141" s="595" t="s">
        <v>4253</v>
      </c>
      <c r="I141" s="596"/>
      <c r="J141" s="596"/>
      <c r="K141" s="596"/>
      <c r="L141" s="594">
        <f>SUM(L133:L140)</f>
        <v>1010.1962205035971</v>
      </c>
    </row>
    <row r="142" spans="1:12">
      <c r="A142" s="596"/>
      <c r="B142" s="595" t="s">
        <v>4287</v>
      </c>
      <c r="C142" s="596"/>
      <c r="D142" s="596"/>
      <c r="E142" s="596"/>
      <c r="F142" s="596"/>
    </row>
    <row r="143" spans="1:12">
      <c r="A143" s="613"/>
      <c r="B143" s="614"/>
      <c r="C143" s="614"/>
      <c r="D143" s="614"/>
      <c r="E143" s="614"/>
      <c r="F143" s="615"/>
    </row>
    <row r="144" spans="1:12">
      <c r="A144" s="602"/>
      <c r="B144" s="607" t="s">
        <v>4288</v>
      </c>
      <c r="C144" s="604">
        <v>13</v>
      </c>
      <c r="D144" s="603" t="s">
        <v>1017</v>
      </c>
      <c r="E144" s="605">
        <f>+'[14]LISTADO DE MATERIALES'!G18</f>
        <v>37.949999999999996</v>
      </c>
      <c r="F144" s="606">
        <f t="shared" ref="F144:F150" si="19">+C144*E144</f>
        <v>493.34999999999997</v>
      </c>
    </row>
    <row r="145" spans="1:13">
      <c r="A145" s="602"/>
      <c r="B145" s="607" t="s">
        <v>4240</v>
      </c>
      <c r="C145" s="604">
        <v>3.5000000000000003E-2</v>
      </c>
      <c r="D145" s="603" t="s">
        <v>825</v>
      </c>
      <c r="E145" s="618">
        <f>+E133</f>
        <v>4688.41</v>
      </c>
      <c r="F145" s="606">
        <f t="shared" si="19"/>
        <v>164.09435000000002</v>
      </c>
    </row>
    <row r="146" spans="1:13">
      <c r="A146" s="602"/>
      <c r="B146" s="607" t="s">
        <v>4242</v>
      </c>
      <c r="C146" s="604">
        <v>0.08</v>
      </c>
      <c r="D146" s="603" t="s">
        <v>4</v>
      </c>
      <c r="E146" s="605">
        <f>+E134</f>
        <v>2270.68345323741</v>
      </c>
      <c r="F146" s="606">
        <f t="shared" si="19"/>
        <v>181.65467625899279</v>
      </c>
    </row>
    <row r="147" spans="1:13">
      <c r="A147" s="602"/>
      <c r="B147" s="607" t="s">
        <v>4244</v>
      </c>
      <c r="C147" s="604">
        <v>2.5000000000000001E-2</v>
      </c>
      <c r="D147" s="603" t="s">
        <v>825</v>
      </c>
      <c r="E147" s="605">
        <v>3748</v>
      </c>
      <c r="F147" s="606">
        <f t="shared" si="19"/>
        <v>93.7</v>
      </c>
    </row>
    <row r="148" spans="1:13">
      <c r="A148" s="602"/>
      <c r="B148" s="607" t="s">
        <v>4246</v>
      </c>
      <c r="C148" s="604">
        <v>1</v>
      </c>
      <c r="D148" s="603" t="s">
        <v>1333</v>
      </c>
      <c r="E148" s="605">
        <v>55</v>
      </c>
      <c r="F148" s="606">
        <f t="shared" si="19"/>
        <v>55</v>
      </c>
    </row>
    <row r="149" spans="1:13">
      <c r="A149" s="602"/>
      <c r="B149" s="607" t="s">
        <v>4249</v>
      </c>
      <c r="C149" s="604">
        <v>6</v>
      </c>
      <c r="D149" s="603" t="s">
        <v>1017</v>
      </c>
      <c r="E149" s="605">
        <v>0.34</v>
      </c>
      <c r="F149" s="606">
        <f t="shared" si="19"/>
        <v>2.04</v>
      </c>
    </row>
    <row r="150" spans="1:13">
      <c r="A150" s="602"/>
      <c r="B150" s="607" t="s">
        <v>4250</v>
      </c>
      <c r="C150" s="604">
        <v>13</v>
      </c>
      <c r="D150" s="603" t="s">
        <v>1017</v>
      </c>
      <c r="E150" s="605">
        <v>35</v>
      </c>
      <c r="F150" s="606">
        <f t="shared" si="19"/>
        <v>455</v>
      </c>
    </row>
    <row r="151" spans="1:13">
      <c r="A151" s="602"/>
      <c r="B151" s="607"/>
      <c r="C151" s="604"/>
      <c r="D151" s="603"/>
      <c r="E151" s="605"/>
      <c r="F151" s="606"/>
    </row>
    <row r="152" spans="1:13">
      <c r="A152" s="595"/>
      <c r="B152" s="595" t="s">
        <v>4253</v>
      </c>
      <c r="C152" s="596"/>
      <c r="D152" s="596"/>
      <c r="E152" s="596"/>
      <c r="F152" s="594">
        <f>SUM(F144:F151)</f>
        <v>1444.8390262589928</v>
      </c>
    </row>
    <row r="155" spans="1:13">
      <c r="A155" s="596"/>
      <c r="B155" s="595" t="s">
        <v>4289</v>
      </c>
      <c r="C155" s="596"/>
      <c r="D155" s="596"/>
      <c r="E155" s="596"/>
      <c r="F155" s="596"/>
    </row>
    <row r="156" spans="1:13">
      <c r="A156" s="613"/>
      <c r="B156" s="614"/>
      <c r="C156" s="614"/>
      <c r="D156" s="614"/>
      <c r="E156" s="614"/>
      <c r="F156" s="615"/>
    </row>
    <row r="157" spans="1:13">
      <c r="A157" s="602"/>
      <c r="B157" s="607" t="s">
        <v>4290</v>
      </c>
      <c r="C157" s="604">
        <f>9*16</f>
        <v>144</v>
      </c>
      <c r="D157" s="603" t="s">
        <v>4291</v>
      </c>
      <c r="E157" s="605">
        <f>400*6</f>
        <v>2400</v>
      </c>
      <c r="F157" s="606">
        <f t="shared" ref="F157:F159" si="20">+C157*E157</f>
        <v>345600</v>
      </c>
    </row>
    <row r="158" spans="1:13">
      <c r="A158" s="602"/>
      <c r="B158" s="607" t="s">
        <v>4292</v>
      </c>
      <c r="C158" s="604">
        <v>9</v>
      </c>
      <c r="D158" s="603" t="s">
        <v>2114</v>
      </c>
      <c r="E158" s="605">
        <f>7800*26</f>
        <v>202800</v>
      </c>
      <c r="F158" s="606">
        <f t="shared" si="20"/>
        <v>1825200</v>
      </c>
    </row>
    <row r="159" spans="1:13">
      <c r="A159" s="602"/>
      <c r="B159" s="607" t="s">
        <v>4293</v>
      </c>
      <c r="C159" s="604">
        <v>9490</v>
      </c>
      <c r="D159" s="603" t="s">
        <v>213</v>
      </c>
      <c r="E159" s="605">
        <v>95</v>
      </c>
      <c r="F159" s="606">
        <f t="shared" si="20"/>
        <v>901550</v>
      </c>
      <c r="H159" s="596"/>
      <c r="I159" s="1401" t="s">
        <v>5431</v>
      </c>
      <c r="J159" s="596"/>
      <c r="K159" s="596"/>
      <c r="L159" s="596"/>
      <c r="M159" s="596"/>
    </row>
    <row r="160" spans="1:13">
      <c r="A160" s="602"/>
      <c r="B160" s="607"/>
      <c r="C160" s="604"/>
      <c r="D160" s="603"/>
      <c r="E160" s="605"/>
      <c r="F160" s="606"/>
      <c r="H160" s="613"/>
      <c r="I160" s="614"/>
      <c r="J160" s="614"/>
      <c r="K160" s="614"/>
      <c r="L160" s="614"/>
      <c r="M160" s="615"/>
    </row>
    <row r="161" spans="1:13">
      <c r="A161" s="595"/>
      <c r="B161" s="595" t="s">
        <v>4253</v>
      </c>
      <c r="C161" s="596"/>
      <c r="D161" s="596"/>
      <c r="E161" s="596"/>
      <c r="F161" s="594">
        <f>SUM(F157:F160)</f>
        <v>3072350</v>
      </c>
      <c r="H161" s="602"/>
      <c r="I161" s="632" t="s">
        <v>4298</v>
      </c>
      <c r="J161" s="632">
        <v>1.05</v>
      </c>
      <c r="K161" s="598" t="s">
        <v>825</v>
      </c>
      <c r="L161" s="605">
        <f>L193</f>
        <v>6850</v>
      </c>
      <c r="M161" s="606">
        <f t="shared" ref="M161:M164" si="21">+J161*L161</f>
        <v>7192.5</v>
      </c>
    </row>
    <row r="162" spans="1:13">
      <c r="H162" s="602"/>
      <c r="I162" s="632" t="s">
        <v>1683</v>
      </c>
      <c r="J162" s="632">
        <f>CUANTIAS!I165</f>
        <v>2.3173392419825083</v>
      </c>
      <c r="K162" s="598" t="s">
        <v>216</v>
      </c>
      <c r="L162" s="605">
        <f t="shared" ref="L162:L164" si="22">L194</f>
        <v>3200</v>
      </c>
      <c r="M162" s="606">
        <f t="shared" si="21"/>
        <v>7415.4855743440266</v>
      </c>
    </row>
    <row r="163" spans="1:13">
      <c r="H163" s="602"/>
      <c r="I163" s="598" t="s">
        <v>5284</v>
      </c>
      <c r="J163" s="632">
        <f>SUM(J162:J162)*2</f>
        <v>4.6346784839650166</v>
      </c>
      <c r="K163" s="598" t="s">
        <v>218</v>
      </c>
      <c r="L163" s="605">
        <f t="shared" si="22"/>
        <v>60</v>
      </c>
      <c r="M163" s="606">
        <f t="shared" si="21"/>
        <v>278.08070903790099</v>
      </c>
    </row>
    <row r="164" spans="1:13">
      <c r="A164" s="596"/>
      <c r="B164" s="595" t="s">
        <v>4294</v>
      </c>
      <c r="C164" s="596"/>
      <c r="D164" s="596"/>
      <c r="E164" s="596"/>
      <c r="F164" s="596"/>
      <c r="H164" s="602"/>
      <c r="I164" s="598" t="s">
        <v>4299</v>
      </c>
      <c r="J164" s="632">
        <f>SUM(J162:J162)</f>
        <v>2.3173392419825083</v>
      </c>
      <c r="K164" s="598" t="s">
        <v>216</v>
      </c>
      <c r="L164" s="605">
        <f t="shared" si="22"/>
        <v>486.5</v>
      </c>
      <c r="M164" s="606">
        <f t="shared" si="21"/>
        <v>1127.3855412244902</v>
      </c>
    </row>
    <row r="165" spans="1:13">
      <c r="A165" s="613"/>
      <c r="B165" s="614"/>
      <c r="C165" s="614"/>
      <c r="D165" s="614"/>
      <c r="E165" s="614"/>
      <c r="F165" s="615"/>
      <c r="H165" s="602"/>
      <c r="I165" s="535" t="s">
        <v>1682</v>
      </c>
      <c r="J165" s="536">
        <v>1</v>
      </c>
      <c r="K165" s="537" t="s">
        <v>825</v>
      </c>
      <c r="L165" s="532">
        <f>L197</f>
        <v>600.29999999999995</v>
      </c>
      <c r="M165" s="538">
        <f t="shared" ref="M165:M166" si="23">ROUND(J165*L165,2)</f>
        <v>600.29999999999995</v>
      </c>
    </row>
    <row r="166" spans="1:13">
      <c r="A166" s="602"/>
      <c r="B166" s="631" t="s">
        <v>4295</v>
      </c>
      <c r="C166" s="604">
        <v>1.05</v>
      </c>
      <c r="D166" s="603" t="s">
        <v>1806</v>
      </c>
      <c r="E166" s="605">
        <v>4681.6499999999996</v>
      </c>
      <c r="F166" s="606">
        <f t="shared" ref="F166" si="24">+C166*E166</f>
        <v>4915.7325000000001</v>
      </c>
      <c r="H166" s="602"/>
      <c r="I166" s="535" t="s">
        <v>208</v>
      </c>
      <c r="J166" s="540">
        <f>SUM(M161:M163)</f>
        <v>14886.066283381928</v>
      </c>
      <c r="K166" s="537" t="s">
        <v>209</v>
      </c>
      <c r="L166" s="532">
        <v>0.02</v>
      </c>
      <c r="M166" s="538">
        <f t="shared" si="23"/>
        <v>297.72000000000003</v>
      </c>
    </row>
    <row r="167" spans="1:13">
      <c r="A167" s="602"/>
      <c r="B167" s="607" t="s">
        <v>4296</v>
      </c>
      <c r="C167" s="604">
        <v>1</v>
      </c>
      <c r="D167" s="603" t="s">
        <v>1806</v>
      </c>
      <c r="E167" s="605">
        <v>1400</v>
      </c>
      <c r="F167" s="606">
        <f>+E167*C167</f>
        <v>1400</v>
      </c>
      <c r="H167" s="595"/>
      <c r="I167" s="595" t="s">
        <v>4253</v>
      </c>
      <c r="J167" s="596"/>
      <c r="K167" s="596"/>
      <c r="L167" s="596"/>
      <c r="M167" s="594">
        <f>SUM(M161:M166)</f>
        <v>16911.471824606419</v>
      </c>
    </row>
    <row r="168" spans="1:13">
      <c r="A168" s="602"/>
      <c r="B168" s="607"/>
      <c r="C168" s="604"/>
      <c r="D168" s="603"/>
      <c r="E168" s="605"/>
      <c r="F168" s="606"/>
    </row>
    <row r="169" spans="1:13">
      <c r="A169" s="595"/>
      <c r="B169" s="595" t="s">
        <v>4253</v>
      </c>
      <c r="C169" s="596"/>
      <c r="D169" s="596"/>
      <c r="E169" s="596"/>
      <c r="F169" s="594">
        <f>SUM(F166:F168)</f>
        <v>6315.7325000000001</v>
      </c>
    </row>
    <row r="171" spans="1:13">
      <c r="A171" s="596"/>
      <c r="B171" s="643"/>
      <c r="C171" s="596"/>
      <c r="D171" s="596"/>
      <c r="E171" s="596"/>
      <c r="F171" s="596"/>
      <c r="H171" s="596"/>
      <c r="I171" s="1401" t="s">
        <v>5237</v>
      </c>
      <c r="J171" s="596"/>
      <c r="K171" s="596"/>
      <c r="L171" s="596"/>
      <c r="M171" s="596"/>
    </row>
    <row r="172" spans="1:13">
      <c r="A172" s="613"/>
      <c r="B172" s="614"/>
      <c r="C172" s="614"/>
      <c r="D172" s="614"/>
      <c r="E172" s="614"/>
      <c r="F172" s="615"/>
      <c r="H172" s="613"/>
      <c r="I172" s="614"/>
      <c r="J172" s="614"/>
      <c r="K172" s="614"/>
      <c r="L172" s="614"/>
      <c r="M172" s="615"/>
    </row>
    <row r="173" spans="1:13">
      <c r="A173" s="602"/>
      <c r="B173" s="632"/>
      <c r="C173" s="632"/>
      <c r="D173" s="598"/>
      <c r="E173" s="605"/>
      <c r="F173" s="606"/>
      <c r="H173" s="602"/>
      <c r="I173" s="632" t="s">
        <v>4298</v>
      </c>
      <c r="J173" s="632">
        <v>1.05</v>
      </c>
      <c r="K173" s="598" t="s">
        <v>825</v>
      </c>
      <c r="L173" s="605">
        <f>Ana.term!D8266</f>
        <v>6850</v>
      </c>
      <c r="M173" s="606">
        <f t="shared" ref="M173:M176" si="25">+J173*L173</f>
        <v>7192.5</v>
      </c>
    </row>
    <row r="174" spans="1:13">
      <c r="A174" s="602"/>
      <c r="B174" s="632"/>
      <c r="C174" s="632"/>
      <c r="D174" s="598"/>
      <c r="E174" s="618"/>
      <c r="F174" s="606"/>
      <c r="H174" s="602"/>
      <c r="I174" s="632" t="s">
        <v>1683</v>
      </c>
      <c r="J174" s="1402">
        <f>CUANTIAS!H125</f>
        <v>1.6344060966666665</v>
      </c>
      <c r="K174" s="598" t="s">
        <v>216</v>
      </c>
      <c r="L174" s="618">
        <f>Ana.term!D8267</f>
        <v>3200</v>
      </c>
      <c r="M174" s="606">
        <f t="shared" si="25"/>
        <v>5230.0995093333331</v>
      </c>
    </row>
    <row r="175" spans="1:13">
      <c r="A175" s="602"/>
      <c r="B175" s="598"/>
      <c r="C175" s="632"/>
      <c r="D175" s="598"/>
      <c r="E175" s="605"/>
      <c r="F175" s="606"/>
      <c r="H175" s="602"/>
      <c r="I175" s="598" t="s">
        <v>5284</v>
      </c>
      <c r="J175" s="632">
        <f>SUM(J174:J174)*2</f>
        <v>3.2688121933333329</v>
      </c>
      <c r="K175" s="598" t="s">
        <v>218</v>
      </c>
      <c r="L175" s="605">
        <f>Ana.term!D8268</f>
        <v>60</v>
      </c>
      <c r="M175" s="606">
        <f t="shared" si="25"/>
        <v>196.12873159999998</v>
      </c>
    </row>
    <row r="176" spans="1:13">
      <c r="A176" s="602"/>
      <c r="B176" s="598"/>
      <c r="C176" s="632"/>
      <c r="D176" s="598"/>
      <c r="E176" s="605"/>
      <c r="F176" s="606"/>
      <c r="H176" s="602"/>
      <c r="I176" s="598" t="s">
        <v>4299</v>
      </c>
      <c r="J176" s="632">
        <f>SUM(J174:J174)</f>
        <v>1.6344060966666665</v>
      </c>
      <c r="K176" s="598" t="s">
        <v>216</v>
      </c>
      <c r="L176" s="605">
        <f>Ana.term!D8121</f>
        <v>486.5</v>
      </c>
      <c r="M176" s="606">
        <f t="shared" si="25"/>
        <v>795.13856602833323</v>
      </c>
    </row>
    <row r="177" spans="1:13">
      <c r="A177" s="602"/>
      <c r="B177" s="598"/>
      <c r="C177" s="632"/>
      <c r="D177" s="598"/>
      <c r="E177" s="605"/>
      <c r="F177" s="606"/>
      <c r="H177" s="602"/>
      <c r="I177" s="535" t="s">
        <v>1682</v>
      </c>
      <c r="J177" s="536">
        <v>1</v>
      </c>
      <c r="K177" s="537" t="s">
        <v>825</v>
      </c>
      <c r="L177" s="532">
        <f>Ana.term!D8114</f>
        <v>600.29999999999995</v>
      </c>
      <c r="M177" s="538">
        <f t="shared" ref="M177:M178" si="26">ROUND(J177*L177,2)</f>
        <v>600.29999999999995</v>
      </c>
    </row>
    <row r="178" spans="1:13">
      <c r="A178" s="602"/>
      <c r="B178" s="607"/>
      <c r="C178" s="604"/>
      <c r="D178" s="603"/>
      <c r="E178" s="605"/>
      <c r="F178" s="606"/>
      <c r="H178" s="602"/>
      <c r="I178" s="535" t="s">
        <v>208</v>
      </c>
      <c r="J178" s="540">
        <f>SUM(M173:M175)</f>
        <v>12618.728240933333</v>
      </c>
      <c r="K178" s="537" t="s">
        <v>209</v>
      </c>
      <c r="L178" s="532">
        <v>0.02</v>
      </c>
      <c r="M178" s="538">
        <f t="shared" si="26"/>
        <v>252.37</v>
      </c>
    </row>
    <row r="179" spans="1:13">
      <c r="A179" s="595"/>
      <c r="B179" s="595"/>
      <c r="C179" s="596"/>
      <c r="D179" s="596"/>
      <c r="E179" s="596"/>
      <c r="F179" s="594"/>
      <c r="H179" s="595"/>
      <c r="I179" s="595" t="s">
        <v>4253</v>
      </c>
      <c r="J179" s="596"/>
      <c r="K179" s="596"/>
      <c r="L179" s="596"/>
      <c r="M179" s="594">
        <f>SUM(M173:M178)</f>
        <v>14266.536806961667</v>
      </c>
    </row>
    <row r="181" spans="1:13">
      <c r="A181" s="596"/>
      <c r="B181" s="643"/>
      <c r="C181" s="596"/>
      <c r="D181" s="596"/>
      <c r="E181" s="596"/>
      <c r="F181" s="596"/>
      <c r="H181" s="596"/>
      <c r="I181" s="595" t="s">
        <v>4300</v>
      </c>
      <c r="J181" s="596"/>
      <c r="K181" s="596"/>
      <c r="L181" s="596"/>
      <c r="M181" s="596"/>
    </row>
    <row r="182" spans="1:13">
      <c r="A182" s="613"/>
      <c r="B182" s="614"/>
      <c r="C182" s="614"/>
      <c r="D182" s="614"/>
      <c r="E182" s="614"/>
      <c r="F182" s="615"/>
      <c r="H182" s="613"/>
      <c r="I182" s="614"/>
      <c r="J182" s="614"/>
      <c r="K182" s="614"/>
      <c r="L182" s="614"/>
      <c r="M182" s="615"/>
    </row>
    <row r="183" spans="1:13">
      <c r="A183" s="602"/>
      <c r="B183" s="632"/>
      <c r="C183" s="632"/>
      <c r="D183" s="598"/>
      <c r="E183" s="605"/>
      <c r="F183" s="606"/>
      <c r="H183" s="602"/>
      <c r="I183" s="632" t="s">
        <v>4298</v>
      </c>
      <c r="J183" s="632">
        <v>1.05</v>
      </c>
      <c r="K183" s="598" t="s">
        <v>825</v>
      </c>
      <c r="L183" s="605">
        <f>+E183</f>
        <v>0</v>
      </c>
      <c r="M183" s="606">
        <f t="shared" ref="M183:M187" si="27">+J183*L183</f>
        <v>0</v>
      </c>
    </row>
    <row r="184" spans="1:13">
      <c r="A184" s="602"/>
      <c r="B184" s="632"/>
      <c r="C184" s="632"/>
      <c r="D184" s="598"/>
      <c r="E184" s="618"/>
      <c r="F184" s="606"/>
      <c r="H184" s="602"/>
      <c r="I184" s="632" t="s">
        <v>1683</v>
      </c>
      <c r="J184" s="632">
        <v>2.7</v>
      </c>
      <c r="K184" s="598" t="s">
        <v>216</v>
      </c>
      <c r="L184" s="618">
        <f>+L174</f>
        <v>3200</v>
      </c>
      <c r="M184" s="606">
        <f t="shared" si="27"/>
        <v>8640</v>
      </c>
    </row>
    <row r="185" spans="1:13">
      <c r="A185" s="602"/>
      <c r="B185" s="598"/>
      <c r="C185" s="632"/>
      <c r="D185" s="598"/>
      <c r="E185" s="605"/>
      <c r="F185" s="606"/>
      <c r="H185" s="602"/>
      <c r="I185" s="598" t="s">
        <v>217</v>
      </c>
      <c r="J185" s="632">
        <f>SUM(J184:J184)*2</f>
        <v>5.4</v>
      </c>
      <c r="K185" s="598" t="s">
        <v>218</v>
      </c>
      <c r="L185" s="605">
        <f>+'[14]LISTADO DE MATERIALES'!$G$14</f>
        <v>52</v>
      </c>
      <c r="M185" s="606">
        <f t="shared" si="27"/>
        <v>280.8</v>
      </c>
    </row>
    <row r="186" spans="1:13">
      <c r="A186" s="602"/>
      <c r="B186" s="598"/>
      <c r="C186" s="632"/>
      <c r="D186" s="598"/>
      <c r="E186" s="605"/>
      <c r="F186" s="606"/>
      <c r="H186" s="602"/>
      <c r="I186" s="598" t="s">
        <v>4299</v>
      </c>
      <c r="J186" s="632">
        <f>SUM(J184:J184)</f>
        <v>2.7</v>
      </c>
      <c r="K186" s="598" t="s">
        <v>216</v>
      </c>
      <c r="L186" s="605">
        <v>400</v>
      </c>
      <c r="M186" s="606">
        <f t="shared" si="27"/>
        <v>1080</v>
      </c>
    </row>
    <row r="187" spans="1:13">
      <c r="A187" s="602"/>
      <c r="B187" s="598"/>
      <c r="C187" s="632"/>
      <c r="D187" s="598"/>
      <c r="E187" s="605"/>
      <c r="F187" s="606"/>
      <c r="H187" s="602"/>
      <c r="I187" s="598" t="s">
        <v>1000</v>
      </c>
      <c r="J187" s="632">
        <f>+J186</f>
        <v>2.7</v>
      </c>
      <c r="K187" s="598" t="s">
        <v>216</v>
      </c>
      <c r="L187" s="605">
        <v>10</v>
      </c>
      <c r="M187" s="606">
        <f t="shared" si="27"/>
        <v>27</v>
      </c>
    </row>
    <row r="188" spans="1:13">
      <c r="A188" s="602"/>
      <c r="B188" s="607"/>
      <c r="C188" s="604"/>
      <c r="D188" s="603"/>
      <c r="E188" s="605"/>
      <c r="F188" s="606"/>
      <c r="H188" s="602"/>
      <c r="I188" s="607"/>
      <c r="J188" s="604"/>
      <c r="K188" s="603"/>
      <c r="L188" s="605"/>
      <c r="M188" s="606"/>
    </row>
    <row r="189" spans="1:13">
      <c r="A189" s="595"/>
      <c r="B189" s="595"/>
      <c r="C189" s="596"/>
      <c r="D189" s="596"/>
      <c r="E189" s="596"/>
      <c r="F189" s="594"/>
      <c r="H189" s="595"/>
      <c r="I189" s="595" t="s">
        <v>4253</v>
      </c>
      <c r="J189" s="596"/>
      <c r="K189" s="596"/>
      <c r="L189" s="596"/>
      <c r="M189" s="594">
        <f>SUM(M183:M188)</f>
        <v>10027.799999999999</v>
      </c>
    </row>
    <row r="191" spans="1:13">
      <c r="A191" s="596"/>
      <c r="B191" s="1401" t="s">
        <v>4347</v>
      </c>
      <c r="C191" s="596"/>
      <c r="D191" s="596"/>
      <c r="E191" s="596"/>
      <c r="F191" s="596"/>
      <c r="H191" s="596"/>
      <c r="I191" s="1401" t="s">
        <v>5112</v>
      </c>
      <c r="J191" s="596"/>
      <c r="K191" s="596"/>
      <c r="L191" s="596"/>
      <c r="M191" s="596"/>
    </row>
    <row r="192" spans="1:13">
      <c r="A192" s="613"/>
      <c r="B192" s="614"/>
      <c r="C192" s="614"/>
      <c r="D192" s="614"/>
      <c r="E192" s="614"/>
      <c r="F192" s="615"/>
      <c r="H192" s="613"/>
      <c r="I192" s="614"/>
      <c r="J192" s="614"/>
      <c r="K192" s="614"/>
      <c r="L192" s="614"/>
      <c r="M192" s="615"/>
    </row>
    <row r="193" spans="1:13">
      <c r="A193" s="602"/>
      <c r="B193" s="632" t="s">
        <v>4298</v>
      </c>
      <c r="C193" s="632">
        <v>1.05</v>
      </c>
      <c r="D193" s="598" t="s">
        <v>825</v>
      </c>
      <c r="E193" s="605">
        <f>E203</f>
        <v>6850</v>
      </c>
      <c r="F193" s="606">
        <f t="shared" ref="F193:F196" si="28">+C193*E193</f>
        <v>7192.5</v>
      </c>
      <c r="H193" s="602"/>
      <c r="I193" s="632" t="s">
        <v>4298</v>
      </c>
      <c r="J193" s="632">
        <v>1.05</v>
      </c>
      <c r="K193" s="598" t="s">
        <v>825</v>
      </c>
      <c r="L193" s="605">
        <f>L173</f>
        <v>6850</v>
      </c>
      <c r="M193" s="606">
        <f t="shared" ref="M193:M196" si="29">+J193*L193</f>
        <v>7192.5</v>
      </c>
    </row>
    <row r="194" spans="1:13">
      <c r="A194" s="602"/>
      <c r="B194" s="632" t="s">
        <v>1683</v>
      </c>
      <c r="C194" s="632">
        <f>+CUANTIAS!I186</f>
        <v>2.6068796388888891</v>
      </c>
      <c r="D194" s="598" t="s">
        <v>216</v>
      </c>
      <c r="E194" s="618">
        <f>E204</f>
        <v>3200</v>
      </c>
      <c r="F194" s="606">
        <f t="shared" si="28"/>
        <v>8342.0148444444458</v>
      </c>
      <c r="H194" s="602"/>
      <c r="I194" s="632" t="s">
        <v>1683</v>
      </c>
      <c r="J194" s="632">
        <f>+CUANTIAS!H37</f>
        <v>1.5316168587499999</v>
      </c>
      <c r="K194" s="598" t="s">
        <v>216</v>
      </c>
      <c r="L194" s="618">
        <f>+L184</f>
        <v>3200</v>
      </c>
      <c r="M194" s="606">
        <f t="shared" si="29"/>
        <v>4901.1739479999997</v>
      </c>
    </row>
    <row r="195" spans="1:13">
      <c r="A195" s="602"/>
      <c r="B195" s="598" t="s">
        <v>5284</v>
      </c>
      <c r="C195" s="632">
        <f>SUM(C194:C194)*2</f>
        <v>5.2137592777777781</v>
      </c>
      <c r="D195" s="598" t="s">
        <v>218</v>
      </c>
      <c r="E195" s="605">
        <f>E205</f>
        <v>60</v>
      </c>
      <c r="F195" s="606">
        <f t="shared" si="28"/>
        <v>312.82555666666667</v>
      </c>
      <c r="H195" s="602"/>
      <c r="I195" s="598" t="s">
        <v>5284</v>
      </c>
      <c r="J195" s="632">
        <f>SUM(J194:J194)*2</f>
        <v>3.0632337174999997</v>
      </c>
      <c r="K195" s="598" t="s">
        <v>218</v>
      </c>
      <c r="L195" s="605">
        <f>L175</f>
        <v>60</v>
      </c>
      <c r="M195" s="606">
        <f t="shared" si="29"/>
        <v>183.79402304999999</v>
      </c>
    </row>
    <row r="196" spans="1:13">
      <c r="A196" s="602"/>
      <c r="B196" s="598" t="s">
        <v>4299</v>
      </c>
      <c r="C196" s="632">
        <f>SUM(C194:C194)</f>
        <v>2.6068796388888891</v>
      </c>
      <c r="D196" s="598" t="s">
        <v>216</v>
      </c>
      <c r="E196" s="605">
        <f>E206</f>
        <v>486.5</v>
      </c>
      <c r="F196" s="606">
        <f t="shared" si="28"/>
        <v>1268.2469443194445</v>
      </c>
      <c r="H196" s="602"/>
      <c r="I196" s="598" t="s">
        <v>4299</v>
      </c>
      <c r="J196" s="632">
        <f>SUM(J194:J194)</f>
        <v>1.5316168587499999</v>
      </c>
      <c r="K196" s="598" t="s">
        <v>216</v>
      </c>
      <c r="L196" s="605">
        <f>L176</f>
        <v>486.5</v>
      </c>
      <c r="M196" s="606">
        <f t="shared" si="29"/>
        <v>745.13160178187491</v>
      </c>
    </row>
    <row r="197" spans="1:13">
      <c r="A197" s="602"/>
      <c r="B197" s="535" t="s">
        <v>1682</v>
      </c>
      <c r="C197" s="536">
        <v>1</v>
      </c>
      <c r="D197" s="537" t="s">
        <v>825</v>
      </c>
      <c r="E197" s="532">
        <f>L197</f>
        <v>600.29999999999995</v>
      </c>
      <c r="F197" s="538">
        <f t="shared" ref="F197:F198" si="30">ROUND(C197*E197,2)</f>
        <v>600.29999999999995</v>
      </c>
      <c r="H197" s="602"/>
      <c r="I197" s="535" t="s">
        <v>1682</v>
      </c>
      <c r="J197" s="536">
        <v>1</v>
      </c>
      <c r="K197" s="537" t="s">
        <v>825</v>
      </c>
      <c r="L197" s="532">
        <f>L177</f>
        <v>600.29999999999995</v>
      </c>
      <c r="M197" s="538">
        <f t="shared" ref="M197:M198" si="31">ROUND(J197*L197,2)</f>
        <v>600.29999999999995</v>
      </c>
    </row>
    <row r="198" spans="1:13">
      <c r="A198" s="602"/>
      <c r="B198" s="535" t="s">
        <v>208</v>
      </c>
      <c r="C198" s="540">
        <f>SUM(F193:F195)</f>
        <v>15847.340401111112</v>
      </c>
      <c r="D198" s="537" t="s">
        <v>209</v>
      </c>
      <c r="E198" s="532">
        <v>0.02</v>
      </c>
      <c r="F198" s="538">
        <f t="shared" si="30"/>
        <v>316.95</v>
      </c>
      <c r="H198" s="602"/>
      <c r="I198" s="535" t="s">
        <v>208</v>
      </c>
      <c r="J198" s="540">
        <f>SUM(M193:M195)</f>
        <v>12277.46797105</v>
      </c>
      <c r="K198" s="537" t="s">
        <v>209</v>
      </c>
      <c r="L198" s="532">
        <v>0.02</v>
      </c>
      <c r="M198" s="538">
        <f t="shared" si="31"/>
        <v>245.55</v>
      </c>
    </row>
    <row r="199" spans="1:13">
      <c r="A199" s="595"/>
      <c r="B199" s="595" t="s">
        <v>4253</v>
      </c>
      <c r="C199" s="596"/>
      <c r="D199" s="596"/>
      <c r="E199" s="596"/>
      <c r="F199" s="594">
        <f>SUM(F193:F198)</f>
        <v>18032.837345430558</v>
      </c>
      <c r="H199" s="595"/>
      <c r="I199" s="595" t="s">
        <v>4253</v>
      </c>
      <c r="J199" s="596"/>
      <c r="K199" s="596"/>
      <c r="L199" s="596"/>
      <c r="M199" s="594">
        <f>SUM(M193:M198)</f>
        <v>13868.449572831874</v>
      </c>
    </row>
    <row r="201" spans="1:13">
      <c r="A201" s="596"/>
      <c r="B201" s="1401" t="s">
        <v>4348</v>
      </c>
      <c r="C201" s="596"/>
      <c r="D201" s="596"/>
      <c r="E201" s="596"/>
      <c r="F201" s="596"/>
      <c r="H201" s="596"/>
      <c r="I201" s="1401" t="s">
        <v>5113</v>
      </c>
      <c r="J201" s="596"/>
      <c r="K201" s="596"/>
      <c r="L201" s="596"/>
      <c r="M201" s="596"/>
    </row>
    <row r="202" spans="1:13">
      <c r="A202" s="613"/>
      <c r="B202" s="614"/>
      <c r="C202" s="614"/>
      <c r="D202" s="614"/>
      <c r="E202" s="614"/>
      <c r="F202" s="615"/>
      <c r="H202" s="613"/>
      <c r="I202" s="614"/>
      <c r="J202" s="614"/>
      <c r="K202" s="614"/>
      <c r="L202" s="614"/>
      <c r="M202" s="615"/>
    </row>
    <row r="203" spans="1:13">
      <c r="A203" s="602"/>
      <c r="B203" s="632" t="s">
        <v>4298</v>
      </c>
      <c r="C203" s="632">
        <v>1.05</v>
      </c>
      <c r="D203" s="598" t="s">
        <v>825</v>
      </c>
      <c r="E203" s="605">
        <f>L203</f>
        <v>6850</v>
      </c>
      <c r="F203" s="606">
        <f t="shared" ref="F203:F206" si="32">+C203*E203</f>
        <v>7192.5</v>
      </c>
      <c r="H203" s="602"/>
      <c r="I203" s="632" t="s">
        <v>4298</v>
      </c>
      <c r="J203" s="632">
        <v>1.05</v>
      </c>
      <c r="K203" s="598" t="s">
        <v>825</v>
      </c>
      <c r="L203" s="605">
        <f>+L193</f>
        <v>6850</v>
      </c>
      <c r="M203" s="606">
        <f t="shared" ref="M203:M206" si="33">+J203*L203</f>
        <v>7192.5</v>
      </c>
    </row>
    <row r="204" spans="1:13">
      <c r="A204" s="602"/>
      <c r="B204" s="632" t="s">
        <v>1683</v>
      </c>
      <c r="C204" s="632">
        <f>CUANTIAS!I201</f>
        <v>3.625143909774434</v>
      </c>
      <c r="D204" s="598" t="s">
        <v>216</v>
      </c>
      <c r="E204" s="618">
        <f>L204</f>
        <v>3200</v>
      </c>
      <c r="F204" s="606">
        <f t="shared" si="32"/>
        <v>11600.460511278188</v>
      </c>
      <c r="H204" s="602"/>
      <c r="I204" s="632" t="s">
        <v>1683</v>
      </c>
      <c r="J204" s="632">
        <f>CUANTIAS!H46</f>
        <v>1.4662787891366222</v>
      </c>
      <c r="K204" s="598" t="s">
        <v>216</v>
      </c>
      <c r="L204" s="618">
        <f>+L194</f>
        <v>3200</v>
      </c>
      <c r="M204" s="606">
        <f t="shared" si="33"/>
        <v>4692.0921252371909</v>
      </c>
    </row>
    <row r="205" spans="1:13">
      <c r="A205" s="602"/>
      <c r="B205" s="598" t="s">
        <v>5284</v>
      </c>
      <c r="C205" s="632">
        <f>SUM(C204:C204)*2</f>
        <v>7.250287819548868</v>
      </c>
      <c r="D205" s="598" t="s">
        <v>218</v>
      </c>
      <c r="E205" s="605">
        <f>L195</f>
        <v>60</v>
      </c>
      <c r="F205" s="606">
        <f t="shared" si="32"/>
        <v>435.01726917293206</v>
      </c>
      <c r="H205" s="602"/>
      <c r="I205" s="598" t="s">
        <v>5284</v>
      </c>
      <c r="J205" s="632">
        <f>SUM(J204:J204)*2</f>
        <v>2.9325575782732445</v>
      </c>
      <c r="K205" s="598" t="s">
        <v>218</v>
      </c>
      <c r="L205" s="605">
        <f>L195</f>
        <v>60</v>
      </c>
      <c r="M205" s="606">
        <f t="shared" si="33"/>
        <v>175.95345469639466</v>
      </c>
    </row>
    <row r="206" spans="1:13">
      <c r="A206" s="602"/>
      <c r="B206" s="598" t="s">
        <v>4299</v>
      </c>
      <c r="C206" s="632">
        <f>SUM(C204:C204)</f>
        <v>3.625143909774434</v>
      </c>
      <c r="D206" s="598" t="s">
        <v>216</v>
      </c>
      <c r="E206" s="605">
        <f>L206</f>
        <v>486.5</v>
      </c>
      <c r="F206" s="606">
        <f t="shared" si="32"/>
        <v>1763.6325121052621</v>
      </c>
      <c r="H206" s="602"/>
      <c r="I206" s="598" t="s">
        <v>4299</v>
      </c>
      <c r="J206" s="632">
        <f>SUM(J204:J204)</f>
        <v>1.4662787891366222</v>
      </c>
      <c r="K206" s="598" t="s">
        <v>216</v>
      </c>
      <c r="L206" s="605">
        <f>L196</f>
        <v>486.5</v>
      </c>
      <c r="M206" s="606">
        <f t="shared" si="33"/>
        <v>713.34463091496673</v>
      </c>
    </row>
    <row r="207" spans="1:13">
      <c r="A207" s="602"/>
      <c r="B207" s="535" t="s">
        <v>1682</v>
      </c>
      <c r="C207" s="536">
        <v>1</v>
      </c>
      <c r="D207" s="537" t="s">
        <v>825</v>
      </c>
      <c r="E207" s="532">
        <f>L207</f>
        <v>600.29999999999995</v>
      </c>
      <c r="F207" s="538">
        <f t="shared" ref="F207:F208" si="34">ROUND(C207*E207,2)</f>
        <v>600.29999999999995</v>
      </c>
      <c r="H207" s="602"/>
      <c r="I207" s="535" t="s">
        <v>1682</v>
      </c>
      <c r="J207" s="536">
        <v>1</v>
      </c>
      <c r="K207" s="537" t="s">
        <v>825</v>
      </c>
      <c r="L207" s="532">
        <f>L197</f>
        <v>600.29999999999995</v>
      </c>
      <c r="M207" s="538">
        <f t="shared" ref="M207:M208" si="35">ROUND(J207*L207,2)</f>
        <v>600.29999999999995</v>
      </c>
    </row>
    <row r="208" spans="1:13">
      <c r="A208" s="602"/>
      <c r="B208" s="535" t="s">
        <v>208</v>
      </c>
      <c r="C208" s="540">
        <f>SUM(F203:F205)</f>
        <v>19227.977780451118</v>
      </c>
      <c r="D208" s="537" t="s">
        <v>209</v>
      </c>
      <c r="E208" s="532">
        <v>0.02</v>
      </c>
      <c r="F208" s="538">
        <f t="shared" si="34"/>
        <v>384.56</v>
      </c>
      <c r="H208" s="602"/>
      <c r="I208" s="535" t="s">
        <v>208</v>
      </c>
      <c r="J208" s="540">
        <f>SUM(M203:M205)</f>
        <v>12060.545579933587</v>
      </c>
      <c r="K208" s="537" t="s">
        <v>209</v>
      </c>
      <c r="L208" s="532">
        <v>0.02</v>
      </c>
      <c r="M208" s="538">
        <f t="shared" si="35"/>
        <v>241.21</v>
      </c>
    </row>
    <row r="209" spans="1:13">
      <c r="A209" s="595"/>
      <c r="B209" s="595" t="s">
        <v>4253</v>
      </c>
      <c r="C209" s="596"/>
      <c r="D209" s="596"/>
      <c r="E209" s="596"/>
      <c r="F209" s="594">
        <f>SUM(F203:F208)</f>
        <v>21976.47029255638</v>
      </c>
      <c r="H209" s="595"/>
      <c r="I209" s="595" t="s">
        <v>4253</v>
      </c>
      <c r="J209" s="596"/>
      <c r="K209" s="596"/>
      <c r="L209" s="596"/>
      <c r="M209" s="594">
        <f>SUM(M203:M208)</f>
        <v>13615.400210848551</v>
      </c>
    </row>
    <row r="211" spans="1:13">
      <c r="A211" s="596"/>
      <c r="B211" s="1401" t="s">
        <v>5111</v>
      </c>
      <c r="C211" s="596"/>
      <c r="D211" s="596"/>
      <c r="E211" s="596"/>
      <c r="F211" s="596"/>
      <c r="H211" s="596"/>
      <c r="I211" s="1401" t="s">
        <v>4895</v>
      </c>
      <c r="J211" s="596"/>
      <c r="K211" s="596"/>
      <c r="L211" s="596"/>
      <c r="M211" s="596"/>
    </row>
    <row r="212" spans="1:13">
      <c r="A212" s="613"/>
      <c r="B212" s="614"/>
      <c r="C212" s="614"/>
      <c r="D212" s="614"/>
      <c r="E212" s="614"/>
      <c r="F212" s="615"/>
      <c r="H212" s="613"/>
      <c r="I212" s="614"/>
      <c r="J212" s="614"/>
      <c r="K212" s="614"/>
      <c r="L212" s="614"/>
      <c r="M212" s="615"/>
    </row>
    <row r="213" spans="1:13">
      <c r="A213" s="602"/>
      <c r="B213" s="632" t="s">
        <v>4298</v>
      </c>
      <c r="C213" s="632">
        <v>1.05</v>
      </c>
      <c r="D213" s="598" t="s">
        <v>825</v>
      </c>
      <c r="E213" s="605">
        <f>E203</f>
        <v>6850</v>
      </c>
      <c r="F213" s="606">
        <f t="shared" ref="F213:F216" si="36">+C213*E213</f>
        <v>7192.5</v>
      </c>
      <c r="H213" s="602"/>
      <c r="I213" s="632" t="s">
        <v>4298</v>
      </c>
      <c r="J213" s="632">
        <v>1.05</v>
      </c>
      <c r="K213" s="598" t="s">
        <v>825</v>
      </c>
      <c r="L213" s="605">
        <f>+E213</f>
        <v>6850</v>
      </c>
      <c r="M213" s="606">
        <f t="shared" ref="M213:M216" si="37">+J213*L213</f>
        <v>7192.5</v>
      </c>
    </row>
    <row r="214" spans="1:13">
      <c r="A214" s="602"/>
      <c r="B214" s="632" t="s">
        <v>1683</v>
      </c>
      <c r="C214" s="632">
        <f>+CUANTIAS!H29</f>
        <v>2.5647076536734699</v>
      </c>
      <c r="D214" s="598" t="s">
        <v>216</v>
      </c>
      <c r="E214" s="618">
        <f>E204</f>
        <v>3200</v>
      </c>
      <c r="F214" s="606">
        <f t="shared" si="36"/>
        <v>8207.0644917551035</v>
      </c>
      <c r="H214" s="602"/>
      <c r="I214" s="632" t="s">
        <v>1683</v>
      </c>
      <c r="J214" s="632">
        <f>+CUANTIAS!I216</f>
        <v>7.1317180537564768</v>
      </c>
      <c r="K214" s="598" t="s">
        <v>216</v>
      </c>
      <c r="L214" s="618">
        <f>+E214</f>
        <v>3200</v>
      </c>
      <c r="M214" s="606">
        <f t="shared" si="37"/>
        <v>22821.497772020724</v>
      </c>
    </row>
    <row r="215" spans="1:13">
      <c r="A215" s="602"/>
      <c r="B215" s="598" t="s">
        <v>5284</v>
      </c>
      <c r="C215" s="632">
        <f>SUM(C214:C214)*2</f>
        <v>5.1294153073469397</v>
      </c>
      <c r="D215" s="598" t="s">
        <v>218</v>
      </c>
      <c r="E215" s="605">
        <f>E205</f>
        <v>60</v>
      </c>
      <c r="F215" s="606">
        <f t="shared" si="36"/>
        <v>307.76491844081636</v>
      </c>
      <c r="H215" s="602"/>
      <c r="I215" s="598" t="s">
        <v>5284</v>
      </c>
      <c r="J215" s="632">
        <f>SUM(J214:J214)*2</f>
        <v>14.263436107512954</v>
      </c>
      <c r="K215" s="598" t="s">
        <v>218</v>
      </c>
      <c r="L215" s="605">
        <f>L205</f>
        <v>60</v>
      </c>
      <c r="M215" s="606">
        <f t="shared" si="37"/>
        <v>855.80616645077725</v>
      </c>
    </row>
    <row r="216" spans="1:13">
      <c r="A216" s="602"/>
      <c r="B216" s="598" t="s">
        <v>4299</v>
      </c>
      <c r="C216" s="632">
        <f>SUM(C214:C214)</f>
        <v>2.5647076536734699</v>
      </c>
      <c r="D216" s="598" t="s">
        <v>216</v>
      </c>
      <c r="E216" s="605">
        <f>E206</f>
        <v>486.5</v>
      </c>
      <c r="F216" s="606">
        <f t="shared" si="36"/>
        <v>1247.7302735121432</v>
      </c>
      <c r="H216" s="602"/>
      <c r="I216" s="598" t="s">
        <v>4299</v>
      </c>
      <c r="J216" s="632">
        <f>SUM(J214:J214)</f>
        <v>7.1317180537564768</v>
      </c>
      <c r="K216" s="598" t="s">
        <v>216</v>
      </c>
      <c r="L216" s="605">
        <f>L206</f>
        <v>486.5</v>
      </c>
      <c r="M216" s="606">
        <f t="shared" si="37"/>
        <v>3469.5808331525259</v>
      </c>
    </row>
    <row r="217" spans="1:13">
      <c r="A217" s="602"/>
      <c r="B217" s="535" t="s">
        <v>1682</v>
      </c>
      <c r="C217" s="536">
        <v>1</v>
      </c>
      <c r="D217" s="537" t="s">
        <v>825</v>
      </c>
      <c r="E217" s="532">
        <f>E207</f>
        <v>600.29999999999995</v>
      </c>
      <c r="F217" s="538">
        <f t="shared" ref="F217:F218" si="38">ROUND(C217*E217,2)</f>
        <v>600.29999999999995</v>
      </c>
      <c r="H217" s="602"/>
      <c r="I217" s="535" t="s">
        <v>1682</v>
      </c>
      <c r="J217" s="536">
        <v>1</v>
      </c>
      <c r="K217" s="537" t="s">
        <v>825</v>
      </c>
      <c r="L217" s="532">
        <f>L207</f>
        <v>600.29999999999995</v>
      </c>
      <c r="M217" s="538">
        <f t="shared" ref="M217:M218" si="39">ROUND(J217*L217,2)</f>
        <v>600.29999999999995</v>
      </c>
    </row>
    <row r="218" spans="1:13">
      <c r="A218" s="602"/>
      <c r="B218" s="535" t="s">
        <v>208</v>
      </c>
      <c r="C218" s="540">
        <f>SUM(F213:F215)</f>
        <v>15707.32941019592</v>
      </c>
      <c r="D218" s="537" t="s">
        <v>209</v>
      </c>
      <c r="E218" s="532">
        <v>0.02</v>
      </c>
      <c r="F218" s="538">
        <f t="shared" si="38"/>
        <v>314.14999999999998</v>
      </c>
      <c r="H218" s="602"/>
      <c r="I218" s="535" t="s">
        <v>208</v>
      </c>
      <c r="J218" s="540">
        <f>SUM(M213:M215)</f>
        <v>30869.803938471501</v>
      </c>
      <c r="K218" s="537" t="s">
        <v>209</v>
      </c>
      <c r="L218" s="532">
        <v>0.02</v>
      </c>
      <c r="M218" s="538">
        <f t="shared" si="39"/>
        <v>617.4</v>
      </c>
    </row>
    <row r="219" spans="1:13">
      <c r="A219" s="595"/>
      <c r="B219" s="595" t="s">
        <v>4253</v>
      </c>
      <c r="C219" s="596"/>
      <c r="D219" s="596"/>
      <c r="E219" s="596"/>
      <c r="F219" s="594">
        <f>SUM(F213:F218)</f>
        <v>17869.509683708064</v>
      </c>
      <c r="H219" s="595"/>
      <c r="I219" s="595" t="s">
        <v>4253</v>
      </c>
      <c r="J219" s="596"/>
      <c r="K219" s="596"/>
      <c r="L219" s="596"/>
      <c r="M219" s="594">
        <f>SUM(M213:M218)</f>
        <v>35557.084771624031</v>
      </c>
    </row>
    <row r="222" spans="1:13">
      <c r="A222" s="596"/>
      <c r="B222" s="1401" t="s">
        <v>4301</v>
      </c>
      <c r="C222" s="596"/>
      <c r="D222" s="596"/>
      <c r="E222" s="596"/>
      <c r="F222" s="596"/>
      <c r="H222" s="596"/>
      <c r="I222" s="643" t="s">
        <v>4302</v>
      </c>
      <c r="J222" s="596"/>
      <c r="K222" s="596"/>
      <c r="L222" s="596" t="s">
        <v>4297</v>
      </c>
      <c r="M222" s="596"/>
    </row>
    <row r="223" spans="1:13">
      <c r="A223" s="613"/>
      <c r="B223" s="614"/>
      <c r="C223" s="614"/>
      <c r="D223" s="614"/>
      <c r="E223" s="614"/>
      <c r="F223" s="615"/>
      <c r="H223" s="613"/>
      <c r="I223" s="614"/>
      <c r="J223" s="614"/>
      <c r="K223" s="614"/>
      <c r="L223" s="614"/>
      <c r="M223" s="615"/>
    </row>
    <row r="224" spans="1:13">
      <c r="A224" s="602"/>
      <c r="B224" s="632" t="s">
        <v>4298</v>
      </c>
      <c r="C224" s="632">
        <v>1.05</v>
      </c>
      <c r="D224" s="598" t="s">
        <v>825</v>
      </c>
      <c r="E224" s="605">
        <f>E213</f>
        <v>6850</v>
      </c>
      <c r="F224" s="606">
        <f t="shared" ref="F224:F227" si="40">+C224*E224</f>
        <v>7192.5</v>
      </c>
      <c r="H224" s="602"/>
      <c r="I224" s="632" t="s">
        <v>4298</v>
      </c>
      <c r="J224" s="632">
        <v>1.05</v>
      </c>
      <c r="K224" s="598" t="s">
        <v>825</v>
      </c>
      <c r="L224" s="605">
        <f>+E224</f>
        <v>6850</v>
      </c>
      <c r="M224" s="606">
        <f t="shared" ref="M224:M228" si="41">+J224*L224</f>
        <v>7192.5</v>
      </c>
    </row>
    <row r="225" spans="1:20">
      <c r="A225" s="602"/>
      <c r="B225" s="632" t="s">
        <v>1683</v>
      </c>
      <c r="C225" s="1402">
        <f>+CUANTIAS!H1394</f>
        <v>1.2307904285714288</v>
      </c>
      <c r="D225" s="598" t="s">
        <v>216</v>
      </c>
      <c r="E225" s="618">
        <f>E214</f>
        <v>3200</v>
      </c>
      <c r="F225" s="606">
        <f t="shared" si="40"/>
        <v>3938.5293714285722</v>
      </c>
      <c r="H225" s="602"/>
      <c r="I225" s="632" t="s">
        <v>1683</v>
      </c>
      <c r="J225" s="632">
        <v>0.4</v>
      </c>
      <c r="K225" s="598" t="s">
        <v>216</v>
      </c>
      <c r="L225" s="618">
        <f>+E225</f>
        <v>3200</v>
      </c>
      <c r="M225" s="606">
        <f t="shared" si="41"/>
        <v>1280</v>
      </c>
    </row>
    <row r="226" spans="1:20">
      <c r="A226" s="602"/>
      <c r="B226" s="598" t="s">
        <v>5284</v>
      </c>
      <c r="C226" s="632">
        <f>SUM(C225:C225)*2</f>
        <v>2.4615808571428577</v>
      </c>
      <c r="D226" s="598" t="s">
        <v>218</v>
      </c>
      <c r="E226" s="605">
        <f>E215</f>
        <v>60</v>
      </c>
      <c r="F226" s="606">
        <f t="shared" si="40"/>
        <v>147.69485142857147</v>
      </c>
      <c r="H226" s="602"/>
      <c r="I226" s="598" t="s">
        <v>5284</v>
      </c>
      <c r="J226" s="632">
        <f>SUM(J225:J225)*2</f>
        <v>0.8</v>
      </c>
      <c r="K226" s="598" t="s">
        <v>218</v>
      </c>
      <c r="L226" s="605">
        <f>+'[14]LISTADO DE MATERIALES'!$G$14</f>
        <v>52</v>
      </c>
      <c r="M226" s="606">
        <f t="shared" si="41"/>
        <v>41.6</v>
      </c>
    </row>
    <row r="227" spans="1:20">
      <c r="A227" s="602"/>
      <c r="B227" s="598" t="s">
        <v>4299</v>
      </c>
      <c r="C227" s="632">
        <f>SUM(C225:C225)</f>
        <v>1.2307904285714288</v>
      </c>
      <c r="D227" s="598" t="s">
        <v>216</v>
      </c>
      <c r="E227" s="605">
        <f>E216</f>
        <v>486.5</v>
      </c>
      <c r="F227" s="606">
        <f t="shared" si="40"/>
        <v>598.77954350000016</v>
      </c>
      <c r="H227" s="602"/>
      <c r="I227" s="598" t="s">
        <v>4299</v>
      </c>
      <c r="J227" s="632">
        <v>7.14</v>
      </c>
      <c r="K227" s="598" t="s">
        <v>1171</v>
      </c>
      <c r="L227" s="605">
        <v>180</v>
      </c>
      <c r="M227" s="606">
        <f t="shared" si="41"/>
        <v>1285.2</v>
      </c>
    </row>
    <row r="228" spans="1:20">
      <c r="A228" s="602"/>
      <c r="B228" s="535" t="s">
        <v>1682</v>
      </c>
      <c r="C228" s="536">
        <v>1</v>
      </c>
      <c r="D228" s="537" t="s">
        <v>825</v>
      </c>
      <c r="E228" s="532">
        <f>E217</f>
        <v>600.29999999999995</v>
      </c>
      <c r="F228" s="538">
        <f t="shared" ref="F228:F229" si="42">ROUND(C228*E228,2)</f>
        <v>600.29999999999995</v>
      </c>
      <c r="H228" s="602"/>
      <c r="I228" s="598" t="s">
        <v>1000</v>
      </c>
      <c r="J228" s="632">
        <f>+J227</f>
        <v>7.14</v>
      </c>
      <c r="K228" s="598" t="s">
        <v>216</v>
      </c>
      <c r="L228" s="605">
        <v>10</v>
      </c>
      <c r="M228" s="606">
        <f t="shared" si="41"/>
        <v>71.399999999999991</v>
      </c>
    </row>
    <row r="229" spans="1:20">
      <c r="A229" s="602"/>
      <c r="B229" s="535" t="s">
        <v>208</v>
      </c>
      <c r="C229" s="540">
        <f>SUM(F224:F226)</f>
        <v>11278.724222857145</v>
      </c>
      <c r="D229" s="537" t="s">
        <v>209</v>
      </c>
      <c r="E229" s="532">
        <v>0.02</v>
      </c>
      <c r="F229" s="538">
        <f t="shared" si="42"/>
        <v>225.57</v>
      </c>
      <c r="H229" s="602"/>
      <c r="I229" s="607"/>
      <c r="J229" s="604"/>
      <c r="K229" s="603"/>
      <c r="L229" s="605"/>
      <c r="M229" s="606"/>
    </row>
    <row r="230" spans="1:20">
      <c r="A230" s="595"/>
      <c r="B230" s="595" t="s">
        <v>4253</v>
      </c>
      <c r="C230" s="596"/>
      <c r="D230" s="596"/>
      <c r="E230" s="596"/>
      <c r="F230" s="594">
        <f>SUM(F224:F229)</f>
        <v>12703.373766357145</v>
      </c>
      <c r="H230" s="595"/>
      <c r="I230" s="595" t="s">
        <v>4253</v>
      </c>
      <c r="J230" s="596"/>
      <c r="K230" s="596"/>
      <c r="L230" s="596"/>
      <c r="M230" s="594">
        <f>SUM(M224:M229)</f>
        <v>9870.7000000000007</v>
      </c>
    </row>
    <row r="232" spans="1:20">
      <c r="A232" s="596"/>
      <c r="B232" s="1401" t="s">
        <v>5114</v>
      </c>
      <c r="C232" s="596"/>
      <c r="D232" s="596"/>
      <c r="E232" s="596"/>
      <c r="F232" s="596"/>
      <c r="H232" s="596"/>
      <c r="I232" s="1401" t="s">
        <v>5115</v>
      </c>
      <c r="J232" s="596"/>
      <c r="K232" s="596"/>
      <c r="L232" s="596"/>
      <c r="M232" s="596"/>
      <c r="O232" s="596"/>
      <c r="P232" s="1401" t="s">
        <v>5115</v>
      </c>
      <c r="Q232" s="596"/>
      <c r="R232" s="596"/>
      <c r="S232" s="596"/>
      <c r="T232" s="596"/>
    </row>
    <row r="233" spans="1:20">
      <c r="A233" s="613"/>
      <c r="B233" s="614"/>
      <c r="C233" s="614"/>
      <c r="D233" s="614"/>
      <c r="E233" s="614"/>
      <c r="F233" s="615"/>
      <c r="H233" s="613"/>
      <c r="I233" s="614"/>
      <c r="J233" s="614"/>
      <c r="K233" s="614"/>
      <c r="L233" s="614"/>
      <c r="M233" s="615"/>
      <c r="O233" s="613"/>
      <c r="P233" s="614"/>
      <c r="Q233" s="614"/>
      <c r="R233" s="614"/>
      <c r="S233" s="614"/>
      <c r="T233" s="615"/>
    </row>
    <row r="234" spans="1:20">
      <c r="A234" s="602"/>
      <c r="B234" s="632" t="s">
        <v>4298</v>
      </c>
      <c r="C234" s="632">
        <v>1.05</v>
      </c>
      <c r="D234" s="598" t="s">
        <v>825</v>
      </c>
      <c r="E234" s="605">
        <f>Ana.term!D9351</f>
        <v>6850</v>
      </c>
      <c r="F234" s="606">
        <f t="shared" ref="F234:F236" si="43">+C234*E234</f>
        <v>7192.5</v>
      </c>
      <c r="H234" s="602"/>
      <c r="I234" s="632" t="s">
        <v>4298</v>
      </c>
      <c r="J234" s="632">
        <v>1.05</v>
      </c>
      <c r="K234" s="598" t="s">
        <v>825</v>
      </c>
      <c r="L234" s="605">
        <f>E234</f>
        <v>6850</v>
      </c>
      <c r="M234" s="606">
        <f t="shared" ref="M234:M236" si="44">+J234*L234</f>
        <v>7192.5</v>
      </c>
      <c r="O234" s="602"/>
      <c r="P234" s="632" t="s">
        <v>4298</v>
      </c>
      <c r="Q234" s="632">
        <v>1.05</v>
      </c>
      <c r="R234" s="598" t="s">
        <v>825</v>
      </c>
      <c r="S234" s="605">
        <f>L234</f>
        <v>6850</v>
      </c>
      <c r="T234" s="606">
        <f t="shared" ref="T234:T236" si="45">+Q234*S234</f>
        <v>7192.5</v>
      </c>
    </row>
    <row r="235" spans="1:20">
      <c r="A235" s="602"/>
      <c r="B235" s="632" t="s">
        <v>1683</v>
      </c>
      <c r="C235" s="632">
        <f>+CUANTIAS!I287</f>
        <v>6.3667021410579343</v>
      </c>
      <c r="D235" s="598" t="s">
        <v>216</v>
      </c>
      <c r="E235" s="618">
        <f>Ana.term!D9352</f>
        <v>3200</v>
      </c>
      <c r="F235" s="606">
        <f t="shared" si="43"/>
        <v>20373.44685138539</v>
      </c>
      <c r="H235" s="602"/>
      <c r="I235" s="632" t="s">
        <v>1683</v>
      </c>
      <c r="J235" s="632">
        <f>+CUANTIAS!I317</f>
        <v>5.5945569899244312</v>
      </c>
      <c r="K235" s="598" t="s">
        <v>216</v>
      </c>
      <c r="L235" s="618">
        <f>E235</f>
        <v>3200</v>
      </c>
      <c r="M235" s="606">
        <f t="shared" si="44"/>
        <v>17902.582367758179</v>
      </c>
      <c r="O235" s="602"/>
      <c r="P235" s="632" t="s">
        <v>1683</v>
      </c>
      <c r="Q235" s="632">
        <f>CUANTIAS!I413</f>
        <v>5.6467060287610611</v>
      </c>
      <c r="R235" s="598" t="s">
        <v>216</v>
      </c>
      <c r="S235" s="605">
        <f t="shared" ref="S235:S236" si="46">L235</f>
        <v>3200</v>
      </c>
      <c r="T235" s="606">
        <f t="shared" si="45"/>
        <v>18069.459292035397</v>
      </c>
    </row>
    <row r="236" spans="1:20">
      <c r="A236" s="602"/>
      <c r="B236" s="598" t="s">
        <v>5284</v>
      </c>
      <c r="C236" s="632">
        <f>SUM(C234:C234)*2</f>
        <v>2.1</v>
      </c>
      <c r="D236" s="598" t="s">
        <v>218</v>
      </c>
      <c r="E236" s="605">
        <f>Ana.term!D9353</f>
        <v>60</v>
      </c>
      <c r="F236" s="606">
        <f t="shared" si="43"/>
        <v>126</v>
      </c>
      <c r="H236" s="602"/>
      <c r="I236" s="598" t="s">
        <v>217</v>
      </c>
      <c r="J236" s="632">
        <f>SUM(J234:J234)*2</f>
        <v>2.1</v>
      </c>
      <c r="K236" s="598" t="s">
        <v>218</v>
      </c>
      <c r="L236" s="605">
        <f>E236</f>
        <v>60</v>
      </c>
      <c r="M236" s="606">
        <f t="shared" si="44"/>
        <v>126</v>
      </c>
      <c r="O236" s="602"/>
      <c r="P236" s="598" t="s">
        <v>217</v>
      </c>
      <c r="Q236" s="632">
        <f>SUM(Q234:Q234)*2</f>
        <v>2.1</v>
      </c>
      <c r="R236" s="598" t="s">
        <v>218</v>
      </c>
      <c r="S236" s="605">
        <f t="shared" si="46"/>
        <v>60</v>
      </c>
      <c r="T236" s="606">
        <f t="shared" si="45"/>
        <v>126</v>
      </c>
    </row>
    <row r="237" spans="1:20">
      <c r="A237" s="602"/>
      <c r="B237" s="704" t="s">
        <v>1694</v>
      </c>
      <c r="C237" s="699">
        <f>1/(0.2*0.3)</f>
        <v>16.666666666666668</v>
      </c>
      <c r="D237" s="700" t="s">
        <v>1171</v>
      </c>
      <c r="E237" s="701">
        <v>165.66</v>
      </c>
      <c r="F237" s="702">
        <f t="shared" ref="F237:F241" si="47">C237*E237</f>
        <v>2761</v>
      </c>
      <c r="H237" s="602"/>
      <c r="I237" s="704" t="s">
        <v>5286</v>
      </c>
      <c r="J237" s="699">
        <f>1/(0.2*0.2)</f>
        <v>24.999999999999996</v>
      </c>
      <c r="K237" s="700" t="s">
        <v>1171</v>
      </c>
      <c r="L237" s="701">
        <v>165.66</v>
      </c>
      <c r="M237" s="702">
        <f t="shared" ref="M237:M239" si="48">J237*L237</f>
        <v>4141.4999999999991</v>
      </c>
      <c r="O237" s="602"/>
      <c r="P237" s="704" t="s">
        <v>5286</v>
      </c>
      <c r="Q237" s="699">
        <f>1/(0.2*0.2)</f>
        <v>24.999999999999996</v>
      </c>
      <c r="R237" s="700" t="s">
        <v>1171</v>
      </c>
      <c r="S237" s="701">
        <v>165.66</v>
      </c>
      <c r="T237" s="702">
        <f t="shared" ref="T237:T239" si="49">Q237*S237</f>
        <v>4141.4999999999991</v>
      </c>
    </row>
    <row r="238" spans="1:20">
      <c r="A238" s="602"/>
      <c r="B238" s="704" t="s">
        <v>4383</v>
      </c>
      <c r="C238" s="699">
        <f>(0.2+0.3)*2*C237</f>
        <v>16.666666666666668</v>
      </c>
      <c r="D238" s="700" t="s">
        <v>1333</v>
      </c>
      <c r="E238" s="701">
        <v>28.72</v>
      </c>
      <c r="F238" s="702">
        <f t="shared" si="47"/>
        <v>478.66666666666669</v>
      </c>
      <c r="H238" s="602"/>
      <c r="I238" s="704" t="s">
        <v>4383</v>
      </c>
      <c r="J238" s="699">
        <f>(0.2+0.2)*2*J237</f>
        <v>20</v>
      </c>
      <c r="K238" s="700" t="s">
        <v>1333</v>
      </c>
      <c r="L238" s="701">
        <v>28.72</v>
      </c>
      <c r="M238" s="702">
        <f t="shared" si="48"/>
        <v>574.4</v>
      </c>
      <c r="O238" s="602"/>
      <c r="P238" s="704" t="s">
        <v>4383</v>
      </c>
      <c r="Q238" s="699">
        <f>(0.2+0.2)*2*Q237</f>
        <v>20</v>
      </c>
      <c r="R238" s="700" t="s">
        <v>1333</v>
      </c>
      <c r="S238" s="701">
        <v>28.72</v>
      </c>
      <c r="T238" s="702">
        <f t="shared" si="49"/>
        <v>574.4</v>
      </c>
    </row>
    <row r="239" spans="1:20">
      <c r="A239" s="602"/>
      <c r="B239" s="704" t="s">
        <v>1037</v>
      </c>
      <c r="C239" s="699">
        <f>SUM(C235:C235)</f>
        <v>6.3667021410579343</v>
      </c>
      <c r="D239" s="700" t="s">
        <v>4</v>
      </c>
      <c r="E239" s="701">
        <f>Ana.term!D9356</f>
        <v>486.5</v>
      </c>
      <c r="F239" s="702">
        <f t="shared" si="47"/>
        <v>3097.4005916246851</v>
      </c>
      <c r="H239" s="602"/>
      <c r="I239" s="704" t="s">
        <v>1037</v>
      </c>
      <c r="J239" s="699">
        <f>SUM(J235:J235)</f>
        <v>5.5945569899244312</v>
      </c>
      <c r="K239" s="700" t="s">
        <v>4</v>
      </c>
      <c r="L239" s="701">
        <f>E239</f>
        <v>486.5</v>
      </c>
      <c r="M239" s="702">
        <f t="shared" si="48"/>
        <v>2721.7519755982357</v>
      </c>
      <c r="O239" s="602"/>
      <c r="P239" s="704" t="s">
        <v>1037</v>
      </c>
      <c r="Q239" s="699">
        <f>SUM(Q235:Q235)</f>
        <v>5.6467060287610611</v>
      </c>
      <c r="R239" s="700" t="s">
        <v>4</v>
      </c>
      <c r="S239" s="701">
        <f>L239</f>
        <v>486.5</v>
      </c>
      <c r="T239" s="702">
        <f t="shared" si="49"/>
        <v>2747.1224829922562</v>
      </c>
    </row>
    <row r="240" spans="1:20">
      <c r="A240" s="602"/>
      <c r="B240" s="704" t="s">
        <v>1910</v>
      </c>
      <c r="C240" s="699">
        <v>1</v>
      </c>
      <c r="D240" s="700" t="s">
        <v>825</v>
      </c>
      <c r="E240" s="701">
        <f>Ana.term!D9357</f>
        <v>600.29999999999995</v>
      </c>
      <c r="F240" s="702"/>
      <c r="H240" s="602"/>
      <c r="I240" s="704" t="s">
        <v>1910</v>
      </c>
      <c r="J240" s="699">
        <v>1</v>
      </c>
      <c r="K240" s="700" t="s">
        <v>825</v>
      </c>
      <c r="L240" s="701">
        <f t="shared" ref="L240:L241" si="50">E240</f>
        <v>600.29999999999995</v>
      </c>
      <c r="M240" s="702"/>
      <c r="O240" s="602"/>
      <c r="P240" s="704" t="s">
        <v>1910</v>
      </c>
      <c r="Q240" s="699">
        <v>1</v>
      </c>
      <c r="R240" s="700" t="s">
        <v>825</v>
      </c>
      <c r="S240" s="701">
        <f t="shared" ref="S240:S241" si="51">L240</f>
        <v>600.29999999999995</v>
      </c>
      <c r="T240" s="702"/>
    </row>
    <row r="241" spans="1:20">
      <c r="A241" s="602"/>
      <c r="B241" s="704" t="s">
        <v>208</v>
      </c>
      <c r="C241" s="699">
        <f>SUM(F234:F237)</f>
        <v>30452.94685138539</v>
      </c>
      <c r="D241" s="700" t="s">
        <v>209</v>
      </c>
      <c r="E241" s="701">
        <f>Ana.term!D9358</f>
        <v>0.02</v>
      </c>
      <c r="F241" s="702">
        <f t="shared" si="47"/>
        <v>609.05893702770777</v>
      </c>
      <c r="H241" s="602"/>
      <c r="I241" s="704" t="s">
        <v>208</v>
      </c>
      <c r="J241" s="699">
        <f>SUM(M234:M237)</f>
        <v>29362.582367758179</v>
      </c>
      <c r="K241" s="700" t="s">
        <v>209</v>
      </c>
      <c r="L241" s="701">
        <f t="shared" si="50"/>
        <v>0.02</v>
      </c>
      <c r="M241" s="702">
        <f t="shared" ref="M241" si="52">J241*L241</f>
        <v>587.25164735516364</v>
      </c>
      <c r="O241" s="602"/>
      <c r="P241" s="704" t="s">
        <v>208</v>
      </c>
      <c r="Q241" s="699">
        <f>SUM(T234:T237)</f>
        <v>29529.459292035397</v>
      </c>
      <c r="R241" s="700" t="s">
        <v>209</v>
      </c>
      <c r="S241" s="701">
        <f t="shared" si="51"/>
        <v>0.02</v>
      </c>
      <c r="T241" s="702">
        <f t="shared" ref="T241" si="53">Q241*S241</f>
        <v>590.58918584070796</v>
      </c>
    </row>
    <row r="242" spans="1:20">
      <c r="A242" s="602"/>
      <c r="B242" s="607"/>
      <c r="C242" s="604"/>
      <c r="D242" s="603"/>
      <c r="E242" s="605"/>
      <c r="F242" s="606"/>
      <c r="H242" s="602"/>
      <c r="I242" s="607"/>
      <c r="J242" s="604"/>
      <c r="K242" s="603"/>
      <c r="L242" s="605"/>
      <c r="M242" s="606"/>
      <c r="O242" s="602"/>
      <c r="P242" s="607"/>
      <c r="Q242" s="604"/>
      <c r="R242" s="603"/>
      <c r="S242" s="605"/>
      <c r="T242" s="606"/>
    </row>
    <row r="243" spans="1:20">
      <c r="A243" s="595"/>
      <c r="B243" s="595" t="s">
        <v>4253</v>
      </c>
      <c r="C243" s="596"/>
      <c r="D243" s="596"/>
      <c r="E243" s="596"/>
      <c r="F243" s="594">
        <f>SUM(F234:F242)</f>
        <v>34638.073046704449</v>
      </c>
      <c r="H243" s="595"/>
      <c r="I243" s="595" t="s">
        <v>4253</v>
      </c>
      <c r="J243" s="596"/>
      <c r="K243" s="596"/>
      <c r="L243" s="596"/>
      <c r="M243" s="594">
        <f>SUM(M234:M242)</f>
        <v>33245.985990711582</v>
      </c>
      <c r="O243" s="595"/>
      <c r="P243" s="595" t="s">
        <v>4253</v>
      </c>
      <c r="Q243" s="596"/>
      <c r="R243" s="596"/>
      <c r="S243" s="596"/>
      <c r="T243" s="594">
        <f>SUM(T234:T242)</f>
        <v>33441.570960868361</v>
      </c>
    </row>
    <row r="244" spans="1:20">
      <c r="A244" s="1527"/>
      <c r="B244" s="1527"/>
      <c r="C244" s="1528"/>
      <c r="D244" s="1528"/>
      <c r="E244" s="1528"/>
      <c r="F244" s="1529"/>
      <c r="H244" s="1527"/>
      <c r="I244" s="1527"/>
      <c r="J244" s="1528"/>
      <c r="K244" s="1528"/>
      <c r="L244" s="1528"/>
      <c r="M244" s="1529"/>
      <c r="O244" s="1527"/>
      <c r="P244" s="1527"/>
      <c r="Q244" s="1528"/>
      <c r="R244" s="1528"/>
      <c r="S244" s="1528"/>
      <c r="T244" s="1529"/>
    </row>
    <row r="245" spans="1:20">
      <c r="A245" s="1527"/>
      <c r="B245" s="1527"/>
      <c r="C245" s="1528"/>
      <c r="D245" s="1528"/>
      <c r="E245" s="1528"/>
      <c r="F245" s="1529"/>
      <c r="H245" s="596"/>
      <c r="I245" s="1401" t="s">
        <v>5287</v>
      </c>
      <c r="J245" s="596"/>
      <c r="K245" s="596"/>
      <c r="L245" s="596"/>
      <c r="M245" s="596"/>
      <c r="O245" s="596"/>
      <c r="P245" s="1401" t="s">
        <v>5287</v>
      </c>
      <c r="Q245" s="596"/>
      <c r="R245" s="596"/>
      <c r="S245" s="596"/>
      <c r="T245" s="596"/>
    </row>
    <row r="246" spans="1:20">
      <c r="A246" s="596"/>
      <c r="B246" s="1401" t="s">
        <v>5290</v>
      </c>
      <c r="C246" s="596"/>
      <c r="D246" s="596"/>
      <c r="E246" s="596"/>
      <c r="F246" s="596"/>
      <c r="H246" s="613"/>
      <c r="I246" s="614"/>
      <c r="J246" s="614"/>
      <c r="K246" s="614"/>
      <c r="L246" s="614"/>
      <c r="M246" s="615"/>
      <c r="O246" s="613"/>
      <c r="P246" s="614"/>
      <c r="Q246" s="614"/>
      <c r="R246" s="614"/>
      <c r="S246" s="614"/>
      <c r="T246" s="615"/>
    </row>
    <row r="247" spans="1:20">
      <c r="A247" s="613"/>
      <c r="B247" s="614"/>
      <c r="C247" s="614"/>
      <c r="D247" s="614"/>
      <c r="E247" s="614"/>
      <c r="F247" s="615"/>
      <c r="H247" s="602"/>
      <c r="I247" s="632" t="s">
        <v>4298</v>
      </c>
      <c r="J247" s="632">
        <v>1.05</v>
      </c>
      <c r="K247" s="598" t="s">
        <v>825</v>
      </c>
      <c r="L247" s="605">
        <f>L234</f>
        <v>6850</v>
      </c>
      <c r="M247" s="606">
        <f t="shared" ref="M247:M249" si="54">+J247*L247</f>
        <v>7192.5</v>
      </c>
      <c r="O247" s="602"/>
      <c r="P247" s="632" t="s">
        <v>4298</v>
      </c>
      <c r="Q247" s="632">
        <v>1.05</v>
      </c>
      <c r="R247" s="598" t="s">
        <v>825</v>
      </c>
      <c r="S247" s="605">
        <f>S234</f>
        <v>6850</v>
      </c>
      <c r="T247" s="606">
        <f t="shared" ref="T247:T249" si="55">+Q247*S247</f>
        <v>7192.5</v>
      </c>
    </row>
    <row r="248" spans="1:20">
      <c r="A248" s="602"/>
      <c r="B248" s="632" t="s">
        <v>4298</v>
      </c>
      <c r="C248" s="632">
        <v>1.05</v>
      </c>
      <c r="D248" s="598" t="s">
        <v>825</v>
      </c>
      <c r="E248" s="605">
        <f>+E291</f>
        <v>6850</v>
      </c>
      <c r="F248" s="606">
        <f t="shared" ref="F248:F250" si="56">+C248*E248</f>
        <v>7192.5</v>
      </c>
      <c r="H248" s="602"/>
      <c r="I248" s="632" t="s">
        <v>1683</v>
      </c>
      <c r="J248" s="632">
        <f>CUANTIAS!I327</f>
        <v>5.7182376655629126</v>
      </c>
      <c r="K248" s="598" t="s">
        <v>216</v>
      </c>
      <c r="L248" s="605">
        <f t="shared" ref="L248:L249" si="57">L235</f>
        <v>3200</v>
      </c>
      <c r="M248" s="606">
        <f t="shared" si="54"/>
        <v>18298.360529801321</v>
      </c>
      <c r="O248" s="602"/>
      <c r="P248" s="632" t="s">
        <v>1683</v>
      </c>
      <c r="Q248" s="632">
        <f>CUANTIAS!I426</f>
        <v>5.3045249999999999</v>
      </c>
      <c r="R248" s="598" t="s">
        <v>216</v>
      </c>
      <c r="S248" s="605">
        <f t="shared" ref="S248:S249" si="58">S235</f>
        <v>3200</v>
      </c>
      <c r="T248" s="606">
        <f t="shared" si="55"/>
        <v>16974.48</v>
      </c>
    </row>
    <row r="249" spans="1:20">
      <c r="A249" s="602"/>
      <c r="B249" s="632" t="s">
        <v>1683</v>
      </c>
      <c r="C249" s="632">
        <f>CUANTIAS!I302</f>
        <v>6.450009602649005</v>
      </c>
      <c r="D249" s="598" t="s">
        <v>216</v>
      </c>
      <c r="E249" s="618">
        <f>+E292</f>
        <v>3200</v>
      </c>
      <c r="F249" s="606">
        <f t="shared" si="56"/>
        <v>20640.030728476817</v>
      </c>
      <c r="H249" s="602"/>
      <c r="I249" s="598" t="s">
        <v>5284</v>
      </c>
      <c r="J249" s="632">
        <f>SUM(J247:J247)*2</f>
        <v>2.1</v>
      </c>
      <c r="K249" s="598" t="s">
        <v>218</v>
      </c>
      <c r="L249" s="605">
        <f t="shared" si="57"/>
        <v>60</v>
      </c>
      <c r="M249" s="606">
        <f t="shared" si="54"/>
        <v>126</v>
      </c>
      <c r="O249" s="602"/>
      <c r="P249" s="598" t="s">
        <v>5284</v>
      </c>
      <c r="Q249" s="632">
        <f>SUM(Q247:Q247)*2</f>
        <v>2.1</v>
      </c>
      <c r="R249" s="598" t="s">
        <v>218</v>
      </c>
      <c r="S249" s="605">
        <f t="shared" si="58"/>
        <v>60</v>
      </c>
      <c r="T249" s="606">
        <f t="shared" si="55"/>
        <v>126</v>
      </c>
    </row>
    <row r="250" spans="1:20">
      <c r="A250" s="602"/>
      <c r="B250" s="598" t="s">
        <v>217</v>
      </c>
      <c r="C250" s="632">
        <f>SUM(C248:C248)*2</f>
        <v>2.1</v>
      </c>
      <c r="D250" s="598" t="s">
        <v>218</v>
      </c>
      <c r="E250" s="605">
        <f>E293</f>
        <v>60</v>
      </c>
      <c r="F250" s="606">
        <f t="shared" si="56"/>
        <v>126</v>
      </c>
      <c r="H250" s="602"/>
      <c r="I250" s="704" t="s">
        <v>5286</v>
      </c>
      <c r="J250" s="699">
        <f>1/(0.2*0.2)</f>
        <v>24.999999999999996</v>
      </c>
      <c r="K250" s="700" t="s">
        <v>1171</v>
      </c>
      <c r="L250" s="701">
        <v>165.66</v>
      </c>
      <c r="M250" s="702">
        <f t="shared" ref="M250:M252" si="59">J250*L250</f>
        <v>4141.4999999999991</v>
      </c>
      <c r="O250" s="602"/>
      <c r="P250" s="704" t="s">
        <v>5286</v>
      </c>
      <c r="Q250" s="699">
        <f>1/(0.2*0.2)</f>
        <v>24.999999999999996</v>
      </c>
      <c r="R250" s="700" t="s">
        <v>1171</v>
      </c>
      <c r="S250" s="701">
        <v>165.66</v>
      </c>
      <c r="T250" s="702">
        <f t="shared" ref="T250:T252" si="60">Q250*S250</f>
        <v>4141.4999999999991</v>
      </c>
    </row>
    <row r="251" spans="1:20">
      <c r="A251" s="602"/>
      <c r="B251" s="704" t="s">
        <v>1694</v>
      </c>
      <c r="C251" s="699">
        <f>1/(0.2*0.3)</f>
        <v>16.666666666666668</v>
      </c>
      <c r="D251" s="700" t="s">
        <v>1171</v>
      </c>
      <c r="E251" s="701">
        <v>165.66</v>
      </c>
      <c r="F251" s="702">
        <f t="shared" ref="F251:F253" si="61">C251*E251</f>
        <v>2761</v>
      </c>
      <c r="H251" s="602"/>
      <c r="I251" s="704" t="s">
        <v>4383</v>
      </c>
      <c r="J251" s="699">
        <f>(0.2+0.2)*2*J250</f>
        <v>20</v>
      </c>
      <c r="K251" s="700" t="s">
        <v>1333</v>
      </c>
      <c r="L251" s="701">
        <v>28.72</v>
      </c>
      <c r="M251" s="702">
        <f t="shared" si="59"/>
        <v>574.4</v>
      </c>
      <c r="O251" s="602"/>
      <c r="P251" s="704" t="s">
        <v>4383</v>
      </c>
      <c r="Q251" s="699">
        <f>(0.2+0.2)*2*Q250</f>
        <v>20</v>
      </c>
      <c r="R251" s="700" t="s">
        <v>1333</v>
      </c>
      <c r="S251" s="701">
        <v>28.72</v>
      </c>
      <c r="T251" s="702">
        <f t="shared" si="60"/>
        <v>574.4</v>
      </c>
    </row>
    <row r="252" spans="1:20">
      <c r="A252" s="602"/>
      <c r="B252" s="704" t="s">
        <v>4383</v>
      </c>
      <c r="C252" s="699">
        <f>(0.2+0.3)*2*C251</f>
        <v>16.666666666666668</v>
      </c>
      <c r="D252" s="700" t="s">
        <v>1333</v>
      </c>
      <c r="E252" s="701">
        <v>28.72</v>
      </c>
      <c r="F252" s="702">
        <f t="shared" si="61"/>
        <v>478.66666666666669</v>
      </c>
      <c r="H252" s="602"/>
      <c r="I252" s="704" t="s">
        <v>1037</v>
      </c>
      <c r="J252" s="699">
        <f>SUM(J248:J248)</f>
        <v>5.7182376655629126</v>
      </c>
      <c r="K252" s="700" t="s">
        <v>4</v>
      </c>
      <c r="L252" s="701">
        <f>Prec.!C351</f>
        <v>535.15000000000009</v>
      </c>
      <c r="M252" s="702">
        <f t="shared" si="59"/>
        <v>3060.1148867259931</v>
      </c>
      <c r="O252" s="602"/>
      <c r="P252" s="704" t="s">
        <v>1037</v>
      </c>
      <c r="Q252" s="699">
        <f>SUM(Q248:Q248)</f>
        <v>5.3045249999999999</v>
      </c>
      <c r="R252" s="700" t="s">
        <v>4</v>
      </c>
      <c r="S252" s="701">
        <f>L252</f>
        <v>535.15000000000009</v>
      </c>
      <c r="T252" s="702">
        <f t="shared" si="60"/>
        <v>2838.7165537500005</v>
      </c>
    </row>
    <row r="253" spans="1:20">
      <c r="A253" s="602"/>
      <c r="B253" s="704" t="s">
        <v>1037</v>
      </c>
      <c r="C253" s="699">
        <f>SUM(C249:C249)</f>
        <v>6.450009602649005</v>
      </c>
      <c r="D253" s="700" t="s">
        <v>4</v>
      </c>
      <c r="E253" s="701">
        <f>Prec.!C351</f>
        <v>535.15000000000009</v>
      </c>
      <c r="F253" s="702">
        <f t="shared" si="61"/>
        <v>3451.7226388576155</v>
      </c>
      <c r="H253" s="602"/>
      <c r="I253" s="704" t="s">
        <v>1910</v>
      </c>
      <c r="J253" s="699">
        <v>1</v>
      </c>
      <c r="K253" s="700" t="s">
        <v>825</v>
      </c>
      <c r="L253" s="701">
        <f t="shared" ref="L253:L254" si="62">L240</f>
        <v>600.29999999999995</v>
      </c>
      <c r="M253" s="702"/>
      <c r="O253" s="602"/>
      <c r="P253" s="704" t="s">
        <v>1910</v>
      </c>
      <c r="Q253" s="699">
        <v>1</v>
      </c>
      <c r="R253" s="700" t="s">
        <v>825</v>
      </c>
      <c r="S253" s="701">
        <f t="shared" ref="S253:S254" si="63">S240</f>
        <v>600.29999999999995</v>
      </c>
      <c r="T253" s="702"/>
    </row>
    <row r="254" spans="1:20">
      <c r="A254" s="602"/>
      <c r="B254" s="704" t="s">
        <v>1910</v>
      </c>
      <c r="C254" s="699">
        <v>1</v>
      </c>
      <c r="D254" s="700" t="s">
        <v>825</v>
      </c>
      <c r="E254" s="701">
        <f>E297</f>
        <v>600.29999999999995</v>
      </c>
      <c r="F254" s="702"/>
      <c r="H254" s="602"/>
      <c r="I254" s="704" t="s">
        <v>208</v>
      </c>
      <c r="J254" s="699">
        <f>SUM(M247:M250)</f>
        <v>29758.360529801321</v>
      </c>
      <c r="K254" s="700" t="s">
        <v>209</v>
      </c>
      <c r="L254" s="701">
        <f t="shared" si="62"/>
        <v>0.02</v>
      </c>
      <c r="M254" s="702">
        <f t="shared" ref="M254" si="64">J254*L254</f>
        <v>595.16721059602639</v>
      </c>
      <c r="O254" s="602"/>
      <c r="P254" s="704" t="s">
        <v>208</v>
      </c>
      <c r="Q254" s="699">
        <f>SUM(T247:T250)</f>
        <v>28434.48</v>
      </c>
      <c r="R254" s="700" t="s">
        <v>209</v>
      </c>
      <c r="S254" s="701">
        <f t="shared" si="63"/>
        <v>0.02</v>
      </c>
      <c r="T254" s="702">
        <f t="shared" ref="T254" si="65">Q254*S254</f>
        <v>568.68960000000004</v>
      </c>
    </row>
    <row r="255" spans="1:20">
      <c r="A255" s="602"/>
      <c r="B255" s="704" t="s">
        <v>208</v>
      </c>
      <c r="C255" s="699">
        <f>SUM(F248:F251)</f>
        <v>30719.530728476817</v>
      </c>
      <c r="D255" s="700" t="s">
        <v>209</v>
      </c>
      <c r="E255" s="701">
        <f>E298</f>
        <v>0.02</v>
      </c>
      <c r="F255" s="702">
        <f t="shared" ref="F255" si="66">C255*E255</f>
        <v>614.3906145695363</v>
      </c>
      <c r="H255" s="602"/>
      <c r="I255" s="607"/>
      <c r="J255" s="604"/>
      <c r="K255" s="603"/>
      <c r="L255" s="605"/>
      <c r="M255" s="606"/>
      <c r="O255" s="602"/>
      <c r="P255" s="607"/>
      <c r="Q255" s="604"/>
      <c r="R255" s="603"/>
      <c r="S255" s="605"/>
      <c r="T255" s="606"/>
    </row>
    <row r="256" spans="1:20">
      <c r="A256" s="602"/>
      <c r="B256" s="607"/>
      <c r="C256" s="604"/>
      <c r="D256" s="603"/>
      <c r="E256" s="605"/>
      <c r="F256" s="606"/>
      <c r="H256" s="595"/>
      <c r="I256" s="595" t="s">
        <v>4253</v>
      </c>
      <c r="J256" s="596"/>
      <c r="K256" s="596"/>
      <c r="L256" s="596"/>
      <c r="M256" s="594">
        <f>SUM(M247:M255)</f>
        <v>33988.042627123337</v>
      </c>
      <c r="O256" s="595"/>
      <c r="P256" s="595" t="s">
        <v>4253</v>
      </c>
      <c r="Q256" s="596"/>
      <c r="R256" s="596"/>
      <c r="S256" s="596"/>
      <c r="T256" s="594">
        <f>SUM(T247:T255)</f>
        <v>32416.286153750003</v>
      </c>
    </row>
    <row r="257" spans="1:20">
      <c r="A257" s="595"/>
      <c r="B257" s="595" t="s">
        <v>4253</v>
      </c>
      <c r="C257" s="596"/>
      <c r="D257" s="596"/>
      <c r="E257" s="596"/>
      <c r="F257" s="594">
        <f>SUM(F248:F256)</f>
        <v>35264.310648570638</v>
      </c>
      <c r="H257" s="1527"/>
      <c r="I257" s="1527"/>
      <c r="J257" s="1528"/>
      <c r="K257" s="1528"/>
      <c r="L257" s="1528"/>
      <c r="M257" s="1529"/>
      <c r="O257" s="1527"/>
      <c r="P257" s="1527"/>
      <c r="Q257" s="1528"/>
      <c r="R257" s="1528"/>
      <c r="S257" s="1528"/>
      <c r="T257" s="1529"/>
    </row>
    <row r="258" spans="1:20">
      <c r="A258" s="1527"/>
      <c r="B258" s="1527"/>
      <c r="C258" s="1528"/>
      <c r="D258" s="1528"/>
      <c r="E258" s="1528"/>
      <c r="F258" s="1529"/>
      <c r="H258" s="1527"/>
      <c r="I258" s="1527"/>
      <c r="J258" s="1528"/>
      <c r="K258" s="1528"/>
      <c r="L258" s="1528"/>
      <c r="M258" s="1529"/>
      <c r="O258" s="1527"/>
      <c r="P258" s="1527"/>
      <c r="Q258" s="1528"/>
      <c r="R258" s="1528"/>
      <c r="S258" s="1528"/>
      <c r="T258" s="1529"/>
    </row>
    <row r="259" spans="1:20">
      <c r="A259" s="596"/>
      <c r="B259" s="1401" t="s">
        <v>5291</v>
      </c>
      <c r="C259" s="596"/>
      <c r="D259" s="596"/>
      <c r="E259" s="596"/>
      <c r="F259" s="596"/>
      <c r="O259" s="608"/>
      <c r="P259" s="608"/>
      <c r="Q259" s="608"/>
      <c r="R259" s="608"/>
      <c r="S259" s="608"/>
      <c r="T259" s="608"/>
    </row>
    <row r="260" spans="1:20">
      <c r="A260" s="613"/>
      <c r="B260" s="614"/>
      <c r="C260" s="614"/>
      <c r="D260" s="614"/>
      <c r="E260" s="614"/>
      <c r="F260" s="615"/>
      <c r="H260" s="596"/>
      <c r="I260" s="1401" t="s">
        <v>5288</v>
      </c>
      <c r="J260" s="596"/>
      <c r="K260" s="596"/>
      <c r="L260" s="596"/>
      <c r="M260" s="596"/>
      <c r="O260" s="596"/>
      <c r="P260" s="1401" t="s">
        <v>5288</v>
      </c>
      <c r="Q260" s="596"/>
      <c r="R260" s="596"/>
      <c r="S260" s="596"/>
      <c r="T260" s="596"/>
    </row>
    <row r="261" spans="1:20">
      <c r="A261" s="602"/>
      <c r="B261" s="632" t="s">
        <v>4298</v>
      </c>
      <c r="C261" s="632">
        <v>1.05</v>
      </c>
      <c r="D261" s="598" t="s">
        <v>825</v>
      </c>
      <c r="E261" s="605">
        <f>+E344</f>
        <v>6850</v>
      </c>
      <c r="F261" s="606">
        <f t="shared" ref="F261:F263" si="67">+C261*E261</f>
        <v>7192.5</v>
      </c>
      <c r="H261" s="613"/>
      <c r="I261" s="614"/>
      <c r="J261" s="614"/>
      <c r="K261" s="614"/>
      <c r="L261" s="614"/>
      <c r="M261" s="615"/>
      <c r="O261" s="613"/>
      <c r="P261" s="614"/>
      <c r="Q261" s="614"/>
      <c r="R261" s="614"/>
      <c r="S261" s="614"/>
      <c r="T261" s="615"/>
    </row>
    <row r="262" spans="1:20">
      <c r="A262" s="602"/>
      <c r="B262" s="632" t="s">
        <v>1683</v>
      </c>
      <c r="C262" s="632">
        <f>CUANTIAS!I302</f>
        <v>6.450009602649005</v>
      </c>
      <c r="D262" s="598" t="s">
        <v>216</v>
      </c>
      <c r="E262" s="618">
        <f>+E345</f>
        <v>3200</v>
      </c>
      <c r="F262" s="606">
        <f t="shared" si="67"/>
        <v>20640.030728476817</v>
      </c>
      <c r="H262" s="602"/>
      <c r="I262" s="632" t="s">
        <v>4298</v>
      </c>
      <c r="J262" s="632">
        <v>1.05</v>
      </c>
      <c r="K262" s="598" t="s">
        <v>825</v>
      </c>
      <c r="L262" s="605">
        <f>L234</f>
        <v>6850</v>
      </c>
      <c r="M262" s="606">
        <f t="shared" ref="M262:M264" si="68">+J262*L262</f>
        <v>7192.5</v>
      </c>
      <c r="O262" s="602"/>
      <c r="P262" s="632" t="s">
        <v>4298</v>
      </c>
      <c r="Q262" s="632">
        <v>1.05</v>
      </c>
      <c r="R262" s="598" t="s">
        <v>825</v>
      </c>
      <c r="S262" s="605">
        <f>S234</f>
        <v>6850</v>
      </c>
      <c r="T262" s="606">
        <f t="shared" ref="T262:T264" si="69">+Q262*S262</f>
        <v>7192.5</v>
      </c>
    </row>
    <row r="263" spans="1:20">
      <c r="A263" s="602"/>
      <c r="B263" s="598" t="s">
        <v>217</v>
      </c>
      <c r="C263" s="632">
        <f>SUM(C261:C261)*2</f>
        <v>2.1</v>
      </c>
      <c r="D263" s="598" t="s">
        <v>218</v>
      </c>
      <c r="E263" s="605">
        <f>E346</f>
        <v>60</v>
      </c>
      <c r="F263" s="606">
        <f t="shared" si="67"/>
        <v>126</v>
      </c>
      <c r="H263" s="602"/>
      <c r="I263" s="632" t="s">
        <v>1683</v>
      </c>
      <c r="J263" s="632">
        <f>CUANTIAS!I327</f>
        <v>5.7182376655629126</v>
      </c>
      <c r="K263" s="598" t="s">
        <v>216</v>
      </c>
      <c r="L263" s="605">
        <f>L235</f>
        <v>3200</v>
      </c>
      <c r="M263" s="606">
        <f t="shared" si="68"/>
        <v>18298.360529801321</v>
      </c>
      <c r="O263" s="602"/>
      <c r="P263" s="632" t="s">
        <v>1683</v>
      </c>
      <c r="Q263" s="632">
        <f>CUANTIAS!I426</f>
        <v>5.3045249999999999</v>
      </c>
      <c r="R263" s="598" t="s">
        <v>216</v>
      </c>
      <c r="S263" s="605">
        <f>S235</f>
        <v>3200</v>
      </c>
      <c r="T263" s="606">
        <f t="shared" si="69"/>
        <v>16974.48</v>
      </c>
    </row>
    <row r="264" spans="1:20">
      <c r="A264" s="602"/>
      <c r="B264" s="704" t="s">
        <v>1694</v>
      </c>
      <c r="C264" s="699">
        <f>1/(0.2*0.3)</f>
        <v>16.666666666666668</v>
      </c>
      <c r="D264" s="700" t="s">
        <v>1171</v>
      </c>
      <c r="E264" s="701">
        <v>165.66</v>
      </c>
      <c r="F264" s="702">
        <f t="shared" ref="F264:F266" si="70">C264*E264</f>
        <v>2761</v>
      </c>
      <c r="H264" s="602"/>
      <c r="I264" s="598" t="s">
        <v>5284</v>
      </c>
      <c r="J264" s="632">
        <f>SUM(J262:J262)*2</f>
        <v>2.1</v>
      </c>
      <c r="K264" s="598" t="s">
        <v>218</v>
      </c>
      <c r="L264" s="605">
        <f>L236</f>
        <v>60</v>
      </c>
      <c r="M264" s="606">
        <f t="shared" si="68"/>
        <v>126</v>
      </c>
      <c r="O264" s="602"/>
      <c r="P264" s="598" t="s">
        <v>5284</v>
      </c>
      <c r="Q264" s="632">
        <f>SUM(Q262:Q262)*2</f>
        <v>2.1</v>
      </c>
      <c r="R264" s="598" t="s">
        <v>218</v>
      </c>
      <c r="S264" s="605">
        <f>S236</f>
        <v>60</v>
      </c>
      <c r="T264" s="606">
        <f t="shared" si="69"/>
        <v>126</v>
      </c>
    </row>
    <row r="265" spans="1:20">
      <c r="A265" s="602"/>
      <c r="B265" s="704" t="s">
        <v>4383</v>
      </c>
      <c r="C265" s="699">
        <f>(0.2+0.3)*2*C264</f>
        <v>16.666666666666668</v>
      </c>
      <c r="D265" s="700" t="s">
        <v>1333</v>
      </c>
      <c r="E265" s="701">
        <v>28.72</v>
      </c>
      <c r="F265" s="702">
        <f t="shared" si="70"/>
        <v>478.66666666666669</v>
      </c>
      <c r="H265" s="602"/>
      <c r="I265" s="704" t="s">
        <v>5286</v>
      </c>
      <c r="J265" s="699">
        <f>1/(0.2*0.2)</f>
        <v>24.999999999999996</v>
      </c>
      <c r="K265" s="700" t="s">
        <v>1171</v>
      </c>
      <c r="L265" s="701">
        <v>165.66</v>
      </c>
      <c r="M265" s="702">
        <f t="shared" ref="M265:M267" si="71">J265*L265</f>
        <v>4141.4999999999991</v>
      </c>
      <c r="O265" s="602"/>
      <c r="P265" s="704" t="s">
        <v>5286</v>
      </c>
      <c r="Q265" s="699">
        <f>1/(0.2*0.2)</f>
        <v>24.999999999999996</v>
      </c>
      <c r="R265" s="700" t="s">
        <v>1171</v>
      </c>
      <c r="S265" s="701">
        <v>165.66</v>
      </c>
      <c r="T265" s="702">
        <f t="shared" ref="T265:T267" si="72">Q265*S265</f>
        <v>4141.4999999999991</v>
      </c>
    </row>
    <row r="266" spans="1:20">
      <c r="A266" s="602"/>
      <c r="B266" s="704" t="s">
        <v>1037</v>
      </c>
      <c r="C266" s="699">
        <f>SUM(C262:C262)</f>
        <v>6.450009602649005</v>
      </c>
      <c r="D266" s="700" t="s">
        <v>4</v>
      </c>
      <c r="E266" s="701">
        <f>Prec.!C352</f>
        <v>559.47499999999991</v>
      </c>
      <c r="F266" s="702">
        <f t="shared" si="70"/>
        <v>3608.6191224420513</v>
      </c>
      <c r="H266" s="602"/>
      <c r="I266" s="704" t="s">
        <v>4383</v>
      </c>
      <c r="J266" s="699">
        <f>(0.2+0.2)*2*J265</f>
        <v>20</v>
      </c>
      <c r="K266" s="700" t="s">
        <v>1333</v>
      </c>
      <c r="L266" s="701">
        <v>28.72</v>
      </c>
      <c r="M266" s="702">
        <f t="shared" si="71"/>
        <v>574.4</v>
      </c>
      <c r="O266" s="602"/>
      <c r="P266" s="704" t="s">
        <v>4383</v>
      </c>
      <c r="Q266" s="699">
        <f>(0.2+0.2)*2*Q265</f>
        <v>20</v>
      </c>
      <c r="R266" s="700" t="s">
        <v>1333</v>
      </c>
      <c r="S266" s="701">
        <v>28.72</v>
      </c>
      <c r="T266" s="702">
        <f t="shared" si="72"/>
        <v>574.4</v>
      </c>
    </row>
    <row r="267" spans="1:20">
      <c r="A267" s="602"/>
      <c r="B267" s="704" t="s">
        <v>1910</v>
      </c>
      <c r="C267" s="699">
        <v>1</v>
      </c>
      <c r="D267" s="700" t="s">
        <v>825</v>
      </c>
      <c r="E267" s="701">
        <f>E350</f>
        <v>600.29999999999995</v>
      </c>
      <c r="F267" s="702"/>
      <c r="H267" s="602"/>
      <c r="I267" s="704" t="s">
        <v>1037</v>
      </c>
      <c r="J267" s="699">
        <f>SUM(J263:J263)</f>
        <v>5.7182376655629126</v>
      </c>
      <c r="K267" s="700" t="s">
        <v>4</v>
      </c>
      <c r="L267" s="701">
        <f>Prec.!C352</f>
        <v>559.47499999999991</v>
      </c>
      <c r="M267" s="702">
        <f t="shared" si="71"/>
        <v>3199.2110179408101</v>
      </c>
      <c r="O267" s="602"/>
      <c r="P267" s="704" t="s">
        <v>1037</v>
      </c>
      <c r="Q267" s="699">
        <f>SUM(Q263:Q263)</f>
        <v>5.3045249999999999</v>
      </c>
      <c r="R267" s="700" t="s">
        <v>4</v>
      </c>
      <c r="S267" s="701">
        <f>L267</f>
        <v>559.47499999999991</v>
      </c>
      <c r="T267" s="702">
        <f t="shared" si="72"/>
        <v>2967.7491243749996</v>
      </c>
    </row>
    <row r="268" spans="1:20">
      <c r="A268" s="602"/>
      <c r="B268" s="704" t="s">
        <v>208</v>
      </c>
      <c r="C268" s="699">
        <f>SUM(F261:F264)</f>
        <v>30719.530728476817</v>
      </c>
      <c r="D268" s="700" t="s">
        <v>209</v>
      </c>
      <c r="E268" s="701">
        <f>E351</f>
        <v>0.02</v>
      </c>
      <c r="F268" s="702">
        <f t="shared" ref="F268" si="73">C268*E268</f>
        <v>614.3906145695363</v>
      </c>
      <c r="H268" s="602"/>
      <c r="I268" s="704" t="s">
        <v>1910</v>
      </c>
      <c r="J268" s="699">
        <v>1</v>
      </c>
      <c r="K268" s="700" t="s">
        <v>825</v>
      </c>
      <c r="L268" s="701">
        <f>E297</f>
        <v>600.29999999999995</v>
      </c>
      <c r="M268" s="702"/>
      <c r="O268" s="602"/>
      <c r="P268" s="704" t="s">
        <v>1910</v>
      </c>
      <c r="Q268" s="699">
        <v>1</v>
      </c>
      <c r="R268" s="700" t="s">
        <v>825</v>
      </c>
      <c r="S268" s="701">
        <f>S253</f>
        <v>600.29999999999995</v>
      </c>
      <c r="T268" s="702"/>
    </row>
    <row r="269" spans="1:20">
      <c r="A269" s="602"/>
      <c r="B269" s="607"/>
      <c r="C269" s="604"/>
      <c r="D269" s="603"/>
      <c r="E269" s="605"/>
      <c r="F269" s="606"/>
      <c r="H269" s="602"/>
      <c r="I269" s="704" t="s">
        <v>208</v>
      </c>
      <c r="J269" s="699">
        <f>SUM(M262:M265)</f>
        <v>29758.360529801321</v>
      </c>
      <c r="K269" s="700" t="s">
        <v>209</v>
      </c>
      <c r="L269" s="701">
        <f>E298</f>
        <v>0.02</v>
      </c>
      <c r="M269" s="702">
        <f t="shared" ref="M269" si="74">J269*L269</f>
        <v>595.16721059602639</v>
      </c>
      <c r="O269" s="602"/>
      <c r="P269" s="704" t="s">
        <v>208</v>
      </c>
      <c r="Q269" s="699">
        <f>SUM(T262:T265)</f>
        <v>28434.48</v>
      </c>
      <c r="R269" s="700" t="s">
        <v>209</v>
      </c>
      <c r="S269" s="701">
        <f>S254</f>
        <v>0.02</v>
      </c>
      <c r="T269" s="702">
        <f t="shared" ref="T269" si="75">Q269*S269</f>
        <v>568.68960000000004</v>
      </c>
    </row>
    <row r="270" spans="1:20">
      <c r="A270" s="595"/>
      <c r="B270" s="595" t="s">
        <v>4253</v>
      </c>
      <c r="C270" s="596"/>
      <c r="D270" s="596"/>
      <c r="E270" s="596"/>
      <c r="F270" s="594">
        <f>SUM(F261:F269)</f>
        <v>35421.207132155076</v>
      </c>
      <c r="H270" s="602"/>
      <c r="I270" s="607"/>
      <c r="J270" s="604"/>
      <c r="K270" s="603"/>
      <c r="L270" s="605"/>
      <c r="M270" s="606"/>
      <c r="O270" s="602"/>
      <c r="P270" s="607"/>
      <c r="Q270" s="604"/>
      <c r="R270" s="603"/>
      <c r="S270" s="605"/>
      <c r="T270" s="606"/>
    </row>
    <row r="271" spans="1:20">
      <c r="A271" s="612"/>
      <c r="B271" s="612"/>
      <c r="C271" s="612"/>
      <c r="D271" s="612"/>
      <c r="E271" s="612"/>
      <c r="F271" s="612"/>
      <c r="H271" s="595"/>
      <c r="I271" s="595" t="s">
        <v>4253</v>
      </c>
      <c r="J271" s="596"/>
      <c r="K271" s="596"/>
      <c r="L271" s="596"/>
      <c r="M271" s="594">
        <f>SUM(M262:M270)</f>
        <v>34127.138758338158</v>
      </c>
      <c r="O271" s="595"/>
      <c r="P271" s="595" t="s">
        <v>4253</v>
      </c>
      <c r="Q271" s="596"/>
      <c r="R271" s="596"/>
      <c r="S271" s="596"/>
      <c r="T271" s="594">
        <f>SUM(T262:T270)</f>
        <v>32545.318724375004</v>
      </c>
    </row>
    <row r="272" spans="1:20">
      <c r="A272" s="596"/>
      <c r="B272" s="1401" t="s">
        <v>5292</v>
      </c>
      <c r="C272" s="596"/>
      <c r="D272" s="596"/>
      <c r="E272" s="596"/>
      <c r="F272" s="596"/>
    </row>
    <row r="273" spans="1:13">
      <c r="A273" s="613"/>
      <c r="B273" s="614"/>
      <c r="C273" s="614"/>
      <c r="D273" s="614"/>
      <c r="E273" s="614"/>
      <c r="F273" s="615"/>
      <c r="H273" s="596"/>
      <c r="I273" s="1401" t="s">
        <v>5289</v>
      </c>
      <c r="J273" s="596"/>
      <c r="K273" s="596"/>
      <c r="L273" s="596"/>
      <c r="M273" s="596"/>
    </row>
    <row r="274" spans="1:13">
      <c r="A274" s="602"/>
      <c r="B274" s="632" t="s">
        <v>4298</v>
      </c>
      <c r="C274" s="632">
        <v>1.05</v>
      </c>
      <c r="D274" s="598" t="s">
        <v>825</v>
      </c>
      <c r="E274" s="605">
        <f>+E304</f>
        <v>6850</v>
      </c>
      <c r="F274" s="606">
        <f t="shared" ref="F274:F276" si="76">+C274*E274</f>
        <v>7192.5</v>
      </c>
      <c r="H274" s="613"/>
      <c r="I274" s="614"/>
      <c r="J274" s="614"/>
      <c r="K274" s="614"/>
      <c r="L274" s="614"/>
      <c r="M274" s="615"/>
    </row>
    <row r="275" spans="1:13">
      <c r="A275" s="602"/>
      <c r="B275" s="632" t="s">
        <v>1683</v>
      </c>
      <c r="C275" s="632">
        <f>CUANTIAS!I302</f>
        <v>6.450009602649005</v>
      </c>
      <c r="D275" s="598" t="s">
        <v>216</v>
      </c>
      <c r="E275" s="618">
        <f>+E305</f>
        <v>3200</v>
      </c>
      <c r="F275" s="606">
        <f t="shared" si="76"/>
        <v>20640.030728476817</v>
      </c>
      <c r="H275" s="602"/>
      <c r="I275" s="632" t="s">
        <v>4298</v>
      </c>
      <c r="J275" s="632">
        <v>1.05</v>
      </c>
      <c r="K275" s="598" t="s">
        <v>825</v>
      </c>
      <c r="L275" s="605">
        <f>L247</f>
        <v>6850</v>
      </c>
      <c r="M275" s="606">
        <f t="shared" ref="M275:M277" si="77">+J275*L275</f>
        <v>7192.5</v>
      </c>
    </row>
    <row r="276" spans="1:13">
      <c r="A276" s="602"/>
      <c r="B276" s="598" t="s">
        <v>217</v>
      </c>
      <c r="C276" s="632">
        <f>SUM(C274:C274)*2</f>
        <v>2.1</v>
      </c>
      <c r="D276" s="598" t="s">
        <v>218</v>
      </c>
      <c r="E276" s="605">
        <f>E306</f>
        <v>60</v>
      </c>
      <c r="F276" s="606">
        <f t="shared" si="76"/>
        <v>126</v>
      </c>
      <c r="H276" s="602"/>
      <c r="I276" s="632" t="s">
        <v>1683</v>
      </c>
      <c r="J276" s="632">
        <f>J263</f>
        <v>5.7182376655629126</v>
      </c>
      <c r="K276" s="598" t="s">
        <v>216</v>
      </c>
      <c r="L276" s="605">
        <f>L248</f>
        <v>3200</v>
      </c>
      <c r="M276" s="606">
        <f t="shared" si="77"/>
        <v>18298.360529801321</v>
      </c>
    </row>
    <row r="277" spans="1:13">
      <c r="A277" s="602"/>
      <c r="B277" s="704" t="s">
        <v>1694</v>
      </c>
      <c r="C277" s="699">
        <f>1/(0.2*0.3)</f>
        <v>16.666666666666668</v>
      </c>
      <c r="D277" s="700" t="s">
        <v>1171</v>
      </c>
      <c r="E277" s="701">
        <v>165.66</v>
      </c>
      <c r="F277" s="702">
        <f t="shared" ref="F277:F279" si="78">C277*E277</f>
        <v>2761</v>
      </c>
      <c r="H277" s="602"/>
      <c r="I277" s="598" t="s">
        <v>5284</v>
      </c>
      <c r="J277" s="632">
        <f>SUM(J275:J275)*2</f>
        <v>2.1</v>
      </c>
      <c r="K277" s="598" t="s">
        <v>218</v>
      </c>
      <c r="L277" s="605">
        <f>L249</f>
        <v>60</v>
      </c>
      <c r="M277" s="606">
        <f t="shared" si="77"/>
        <v>126</v>
      </c>
    </row>
    <row r="278" spans="1:13">
      <c r="A278" s="602"/>
      <c r="B278" s="704" t="s">
        <v>4383</v>
      </c>
      <c r="C278" s="699">
        <f>(0.2+0.3)*2*C277</f>
        <v>16.666666666666668</v>
      </c>
      <c r="D278" s="700" t="s">
        <v>1333</v>
      </c>
      <c r="E278" s="701">
        <v>28.72</v>
      </c>
      <c r="F278" s="702">
        <f t="shared" si="78"/>
        <v>478.66666666666669</v>
      </c>
      <c r="H278" s="602"/>
      <c r="I278" s="704" t="s">
        <v>5286</v>
      </c>
      <c r="J278" s="699">
        <f>1/(0.2*0.2)</f>
        <v>24.999999999999996</v>
      </c>
      <c r="K278" s="700" t="s">
        <v>1171</v>
      </c>
      <c r="L278" s="701">
        <v>165.66</v>
      </c>
      <c r="M278" s="702">
        <f t="shared" ref="M278:M280" si="79">J278*L278</f>
        <v>4141.4999999999991</v>
      </c>
    </row>
    <row r="279" spans="1:13">
      <c r="A279" s="602"/>
      <c r="B279" s="704" t="s">
        <v>1037</v>
      </c>
      <c r="C279" s="699">
        <f>SUM(C275:C275)</f>
        <v>6.450009602649005</v>
      </c>
      <c r="D279" s="700" t="s">
        <v>4</v>
      </c>
      <c r="E279" s="701">
        <f>Prec.!C353</f>
        <v>583.79999999999995</v>
      </c>
      <c r="F279" s="702">
        <f t="shared" si="78"/>
        <v>3765.515606026489</v>
      </c>
      <c r="H279" s="602"/>
      <c r="I279" s="704" t="s">
        <v>4383</v>
      </c>
      <c r="J279" s="699">
        <f>(0.2+0.2)*2*J278</f>
        <v>20</v>
      </c>
      <c r="K279" s="700" t="s">
        <v>1333</v>
      </c>
      <c r="L279" s="701">
        <v>28.72</v>
      </c>
      <c r="M279" s="702">
        <f t="shared" si="79"/>
        <v>574.4</v>
      </c>
    </row>
    <row r="280" spans="1:13">
      <c r="A280" s="602"/>
      <c r="B280" s="704" t="s">
        <v>1910</v>
      </c>
      <c r="C280" s="699">
        <v>1</v>
      </c>
      <c r="D280" s="700" t="s">
        <v>825</v>
      </c>
      <c r="E280" s="701">
        <f>E310</f>
        <v>600.29999999999995</v>
      </c>
      <c r="F280" s="702"/>
      <c r="H280" s="602"/>
      <c r="I280" s="704" t="s">
        <v>1037</v>
      </c>
      <c r="J280" s="699">
        <f>SUM(J276:J276)</f>
        <v>5.7182376655629126</v>
      </c>
      <c r="K280" s="700" t="s">
        <v>4</v>
      </c>
      <c r="L280" s="701">
        <f>Prec.!C353</f>
        <v>583.79999999999995</v>
      </c>
      <c r="M280" s="702">
        <f t="shared" si="79"/>
        <v>3338.3071491556279</v>
      </c>
    </row>
    <row r="281" spans="1:13">
      <c r="A281" s="602"/>
      <c r="B281" s="704" t="s">
        <v>208</v>
      </c>
      <c r="C281" s="699">
        <f>SUM(F274:F277)</f>
        <v>30719.530728476817</v>
      </c>
      <c r="D281" s="700" t="s">
        <v>209</v>
      </c>
      <c r="E281" s="701">
        <f>E311</f>
        <v>0.02</v>
      </c>
      <c r="F281" s="702">
        <f t="shared" ref="F281" si="80">C281*E281</f>
        <v>614.3906145695363</v>
      </c>
      <c r="H281" s="602"/>
      <c r="I281" s="704" t="s">
        <v>1910</v>
      </c>
      <c r="J281" s="699">
        <v>1</v>
      </c>
      <c r="K281" s="700" t="s">
        <v>825</v>
      </c>
      <c r="L281" s="701">
        <f>E254</f>
        <v>600.29999999999995</v>
      </c>
      <c r="M281" s="702"/>
    </row>
    <row r="282" spans="1:13">
      <c r="A282" s="602"/>
      <c r="B282" s="607"/>
      <c r="C282" s="604"/>
      <c r="D282" s="603"/>
      <c r="E282" s="605"/>
      <c r="F282" s="606"/>
      <c r="H282" s="602"/>
      <c r="I282" s="704" t="s">
        <v>208</v>
      </c>
      <c r="J282" s="699">
        <f>SUM(M275:M278)</f>
        <v>29758.360529801321</v>
      </c>
      <c r="K282" s="700" t="s">
        <v>209</v>
      </c>
      <c r="L282" s="701">
        <f>E255</f>
        <v>0.02</v>
      </c>
      <c r="M282" s="702">
        <f t="shared" ref="M282" si="81">J282*L282</f>
        <v>595.16721059602639</v>
      </c>
    </row>
    <row r="283" spans="1:13">
      <c r="A283" s="595"/>
      <c r="B283" s="595" t="s">
        <v>4253</v>
      </c>
      <c r="C283" s="596"/>
      <c r="D283" s="596"/>
      <c r="E283" s="596"/>
      <c r="F283" s="594">
        <f>SUM(F274:F282)</f>
        <v>35578.103615739514</v>
      </c>
      <c r="H283" s="602"/>
      <c r="I283" s="607"/>
      <c r="J283" s="604"/>
      <c r="K283" s="603"/>
      <c r="L283" s="605"/>
      <c r="M283" s="606"/>
    </row>
    <row r="284" spans="1:13">
      <c r="A284" s="612"/>
      <c r="B284" s="612"/>
      <c r="C284" s="612"/>
      <c r="D284" s="612"/>
      <c r="E284" s="612"/>
      <c r="F284" s="612"/>
      <c r="H284" s="595"/>
      <c r="I284" s="595" t="s">
        <v>4253</v>
      </c>
      <c r="J284" s="596"/>
      <c r="K284" s="596"/>
      <c r="L284" s="596"/>
      <c r="M284" s="594">
        <f>SUM(M275:M283)</f>
        <v>34266.234889552972</v>
      </c>
    </row>
    <row r="285" spans="1:13">
      <c r="A285" s="612"/>
      <c r="B285" s="612"/>
      <c r="C285" s="612"/>
      <c r="D285" s="612"/>
      <c r="E285" s="612"/>
      <c r="F285" s="612"/>
    </row>
    <row r="286" spans="1:13">
      <c r="A286" s="612"/>
      <c r="B286" s="612"/>
      <c r="C286" s="612"/>
      <c r="D286" s="612"/>
      <c r="E286" s="612"/>
      <c r="F286" s="612"/>
    </row>
    <row r="287" spans="1:13">
      <c r="A287" s="612"/>
      <c r="B287" s="612"/>
      <c r="C287" s="612"/>
      <c r="D287" s="612"/>
      <c r="E287" s="612"/>
      <c r="F287" s="612"/>
    </row>
    <row r="288" spans="1:13">
      <c r="A288" s="612"/>
      <c r="B288" s="612"/>
      <c r="C288" s="612"/>
      <c r="D288" s="612"/>
      <c r="E288" s="612"/>
      <c r="F288" s="612"/>
    </row>
    <row r="289" spans="1:13">
      <c r="A289" s="596"/>
      <c r="B289" s="1401" t="s">
        <v>5116</v>
      </c>
      <c r="C289" s="596"/>
      <c r="D289" s="596"/>
      <c r="E289" s="596"/>
      <c r="F289" s="596"/>
      <c r="H289" s="596"/>
      <c r="I289" s="1401" t="s">
        <v>5161</v>
      </c>
      <c r="J289" s="596"/>
      <c r="K289" s="596"/>
      <c r="L289" s="596"/>
      <c r="M289" s="596"/>
    </row>
    <row r="290" spans="1:13">
      <c r="A290" s="613"/>
      <c r="B290" s="614"/>
      <c r="C290" s="614"/>
      <c r="D290" s="614"/>
      <c r="E290" s="614"/>
      <c r="F290" s="615"/>
      <c r="H290" s="613"/>
      <c r="I290" s="614"/>
      <c r="J290" s="614"/>
      <c r="K290" s="614"/>
      <c r="L290" s="614"/>
      <c r="M290" s="615"/>
    </row>
    <row r="291" spans="1:13">
      <c r="A291" s="602"/>
      <c r="B291" s="632" t="s">
        <v>4298</v>
      </c>
      <c r="C291" s="632">
        <v>1.05</v>
      </c>
      <c r="D291" s="598" t="s">
        <v>825</v>
      </c>
      <c r="E291" s="605">
        <f>E234</f>
        <v>6850</v>
      </c>
      <c r="F291" s="606">
        <f t="shared" ref="F291:F293" si="82">+C291*E291</f>
        <v>7192.5</v>
      </c>
      <c r="H291" s="602"/>
      <c r="I291" s="632" t="s">
        <v>4298</v>
      </c>
      <c r="J291" s="632">
        <v>1.05</v>
      </c>
      <c r="K291" s="598" t="s">
        <v>825</v>
      </c>
      <c r="L291" s="605">
        <f>+L262</f>
        <v>6850</v>
      </c>
      <c r="M291" s="606">
        <f t="shared" ref="M291:M293" si="83">+J291*L291</f>
        <v>7192.5</v>
      </c>
    </row>
    <row r="292" spans="1:13">
      <c r="A292" s="602"/>
      <c r="B292" s="632" t="s">
        <v>1683</v>
      </c>
      <c r="C292" s="632">
        <f>+CUANTIAS!I340</f>
        <v>7.8553811922753978</v>
      </c>
      <c r="D292" s="598" t="s">
        <v>216</v>
      </c>
      <c r="E292" s="618">
        <f>E235</f>
        <v>3200</v>
      </c>
      <c r="F292" s="606">
        <f t="shared" si="82"/>
        <v>25137.219815281274</v>
      </c>
      <c r="H292" s="602"/>
      <c r="I292" s="632" t="s">
        <v>1683</v>
      </c>
      <c r="J292" s="632">
        <f>+CUANTIAS!I254</f>
        <v>6.1530370354111801</v>
      </c>
      <c r="K292" s="598" t="s">
        <v>216</v>
      </c>
      <c r="L292" s="618">
        <f>+L263</f>
        <v>3200</v>
      </c>
      <c r="M292" s="606">
        <f t="shared" si="83"/>
        <v>19689.718513315776</v>
      </c>
    </row>
    <row r="293" spans="1:13">
      <c r="A293" s="602"/>
      <c r="B293" s="598" t="s">
        <v>5284</v>
      </c>
      <c r="C293" s="632">
        <f>SUM(C291:C291)*2</f>
        <v>2.1</v>
      </c>
      <c r="D293" s="598" t="s">
        <v>218</v>
      </c>
      <c r="E293" s="605">
        <f>E236</f>
        <v>60</v>
      </c>
      <c r="F293" s="606">
        <f t="shared" si="82"/>
        <v>126</v>
      </c>
      <c r="H293" s="602"/>
      <c r="I293" s="598" t="s">
        <v>5284</v>
      </c>
      <c r="J293" s="632">
        <f>SUM(J291:J291)*2</f>
        <v>2.1</v>
      </c>
      <c r="K293" s="598" t="s">
        <v>218</v>
      </c>
      <c r="L293" s="605">
        <f>E346</f>
        <v>60</v>
      </c>
      <c r="M293" s="606">
        <f t="shared" si="83"/>
        <v>126</v>
      </c>
    </row>
    <row r="294" spans="1:13">
      <c r="A294" s="602"/>
      <c r="B294" s="704" t="s">
        <v>1689</v>
      </c>
      <c r="C294" s="699">
        <f>1/(0.15*0.3)</f>
        <v>22.222222222222221</v>
      </c>
      <c r="D294" s="700" t="s">
        <v>1171</v>
      </c>
      <c r="E294" s="701">
        <v>165.66</v>
      </c>
      <c r="F294" s="702">
        <f t="shared" ref="F294:F296" si="84">C294*E294</f>
        <v>3681.333333333333</v>
      </c>
      <c r="H294" s="602"/>
      <c r="I294" s="704" t="s">
        <v>1961</v>
      </c>
      <c r="J294" s="699">
        <f>1/0.3</f>
        <v>3.3333333333333335</v>
      </c>
      <c r="K294" s="700" t="s">
        <v>213</v>
      </c>
      <c r="L294" s="701">
        <v>425</v>
      </c>
      <c r="M294" s="702">
        <f t="shared" ref="M294:M297" si="85">J294*L294</f>
        <v>1416.6666666666667</v>
      </c>
    </row>
    <row r="295" spans="1:13">
      <c r="A295" s="602"/>
      <c r="B295" s="704" t="s">
        <v>4383</v>
      </c>
      <c r="C295" s="699">
        <f>(0.15+0.3)*2*C294</f>
        <v>19.999999999999996</v>
      </c>
      <c r="D295" s="700" t="s">
        <v>1333</v>
      </c>
      <c r="E295" s="701">
        <v>28.72</v>
      </c>
      <c r="F295" s="702">
        <f t="shared" si="84"/>
        <v>574.39999999999986</v>
      </c>
      <c r="H295" s="602"/>
      <c r="I295" s="704" t="s">
        <v>1037</v>
      </c>
      <c r="J295" s="699">
        <f>SUM(J292:J292)</f>
        <v>6.1530370354111801</v>
      </c>
      <c r="K295" s="700" t="s">
        <v>4</v>
      </c>
      <c r="L295" s="701">
        <f>E349</f>
        <v>486.5</v>
      </c>
      <c r="M295" s="702">
        <f t="shared" si="85"/>
        <v>2993.4525177275391</v>
      </c>
    </row>
    <row r="296" spans="1:13">
      <c r="A296" s="602"/>
      <c r="B296" s="704" t="s">
        <v>1037</v>
      </c>
      <c r="C296" s="699">
        <f>SUM(C292:C292)</f>
        <v>7.8553811922753978</v>
      </c>
      <c r="D296" s="700" t="s">
        <v>4</v>
      </c>
      <c r="E296" s="701">
        <f>Prec.!C350</f>
        <v>486.5</v>
      </c>
      <c r="F296" s="702">
        <f t="shared" si="84"/>
        <v>3821.6429500419808</v>
      </c>
      <c r="H296" s="602"/>
      <c r="I296" s="704" t="s">
        <v>1688</v>
      </c>
      <c r="J296" s="699">
        <v>1</v>
      </c>
      <c r="K296" s="700" t="s">
        <v>825</v>
      </c>
      <c r="L296" s="701">
        <f>Ana.term!D9623</f>
        <v>600.29999999999995</v>
      </c>
      <c r="M296" s="702">
        <f t="shared" si="85"/>
        <v>600.29999999999995</v>
      </c>
    </row>
    <row r="297" spans="1:13">
      <c r="A297" s="602"/>
      <c r="B297" s="704" t="s">
        <v>1910</v>
      </c>
      <c r="C297" s="699">
        <v>1</v>
      </c>
      <c r="D297" s="700" t="s">
        <v>825</v>
      </c>
      <c r="E297" s="701">
        <f>E240</f>
        <v>600.29999999999995</v>
      </c>
      <c r="F297" s="702"/>
      <c r="H297" s="602"/>
      <c r="I297" s="704" t="s">
        <v>208</v>
      </c>
      <c r="J297" s="699">
        <f>SUM(M291:M294)</f>
        <v>28424.885179982444</v>
      </c>
      <c r="K297" s="700" t="s">
        <v>209</v>
      </c>
      <c r="L297" s="701">
        <f>Ana.term!D9624</f>
        <v>0.02</v>
      </c>
      <c r="M297" s="702">
        <f t="shared" si="85"/>
        <v>568.49770359964884</v>
      </c>
    </row>
    <row r="298" spans="1:13">
      <c r="A298" s="602"/>
      <c r="B298" s="704" t="s">
        <v>208</v>
      </c>
      <c r="C298" s="699">
        <f>SUM(F291:F294)</f>
        <v>36137.053148614606</v>
      </c>
      <c r="D298" s="700" t="s">
        <v>209</v>
      </c>
      <c r="E298" s="701">
        <f>E241</f>
        <v>0.02</v>
      </c>
      <c r="F298" s="702">
        <f t="shared" ref="F298" si="86">C298*E298</f>
        <v>722.74106297229218</v>
      </c>
      <c r="H298" s="602"/>
      <c r="I298" s="598"/>
      <c r="J298" s="632"/>
      <c r="K298" s="598"/>
      <c r="L298" s="605"/>
      <c r="M298" s="606"/>
    </row>
    <row r="299" spans="1:13">
      <c r="A299" s="602"/>
      <c r="B299" s="607"/>
      <c r="C299" s="604"/>
      <c r="D299" s="603"/>
      <c r="E299" s="605"/>
      <c r="F299" s="606"/>
      <c r="H299" s="602"/>
      <c r="I299" s="607"/>
      <c r="J299" s="604"/>
      <c r="K299" s="603"/>
      <c r="L299" s="605"/>
      <c r="M299" s="606"/>
    </row>
    <row r="300" spans="1:13">
      <c r="A300" s="595"/>
      <c r="B300" s="595" t="s">
        <v>4253</v>
      </c>
      <c r="C300" s="596"/>
      <c r="D300" s="596"/>
      <c r="E300" s="596"/>
      <c r="F300" s="594">
        <f>SUM(F291:F299)</f>
        <v>41255.837161628886</v>
      </c>
      <c r="H300" s="595"/>
      <c r="I300" s="595" t="s">
        <v>4253</v>
      </c>
      <c r="J300" s="596"/>
      <c r="K300" s="596"/>
      <c r="L300" s="596"/>
      <c r="M300" s="594">
        <f>SUM(M291:M299)</f>
        <v>32587.135401309632</v>
      </c>
    </row>
    <row r="302" spans="1:13">
      <c r="B302" s="1401" t="s">
        <v>5296</v>
      </c>
      <c r="C302" s="596"/>
      <c r="D302" s="596"/>
      <c r="E302" s="596"/>
      <c r="F302" s="596"/>
      <c r="H302" s="596"/>
      <c r="I302" s="1401" t="s">
        <v>5293</v>
      </c>
      <c r="J302" s="596"/>
      <c r="K302" s="596"/>
      <c r="L302" s="596"/>
      <c r="M302" s="596"/>
    </row>
    <row r="303" spans="1:13">
      <c r="B303" s="614"/>
      <c r="C303" s="614"/>
      <c r="D303" s="614"/>
      <c r="E303" s="614"/>
      <c r="F303" s="615"/>
      <c r="H303" s="613"/>
      <c r="I303" s="614"/>
      <c r="J303" s="614"/>
      <c r="K303" s="614"/>
      <c r="L303" s="614"/>
      <c r="M303" s="615"/>
    </row>
    <row r="304" spans="1:13">
      <c r="B304" s="632" t="s">
        <v>4298</v>
      </c>
      <c r="C304" s="632">
        <v>1.05</v>
      </c>
      <c r="D304" s="598" t="s">
        <v>825</v>
      </c>
      <c r="E304" s="605">
        <f>+E261</f>
        <v>6850</v>
      </c>
      <c r="F304" s="606">
        <f t="shared" ref="F304:F306" si="87">+C304*E304</f>
        <v>7192.5</v>
      </c>
      <c r="H304" s="602"/>
      <c r="I304" s="632" t="s">
        <v>4298</v>
      </c>
      <c r="J304" s="632">
        <v>1.05</v>
      </c>
      <c r="K304" s="598" t="s">
        <v>825</v>
      </c>
      <c r="L304" s="605">
        <f>L291</f>
        <v>6850</v>
      </c>
      <c r="M304" s="606">
        <f t="shared" ref="M304:M306" si="88">+J304*L304</f>
        <v>7192.5</v>
      </c>
    </row>
    <row r="305" spans="2:13">
      <c r="B305" s="632" t="s">
        <v>1683</v>
      </c>
      <c r="C305" s="632">
        <f>CUANTIAS!I354</f>
        <v>7.9995845474613692</v>
      </c>
      <c r="D305" s="598" t="s">
        <v>216</v>
      </c>
      <c r="E305" s="618">
        <f>+E262</f>
        <v>3200</v>
      </c>
      <c r="F305" s="606">
        <f t="shared" si="87"/>
        <v>25598.670551876381</v>
      </c>
      <c r="H305" s="602"/>
      <c r="I305" s="632" t="s">
        <v>1683</v>
      </c>
      <c r="J305" s="632">
        <f>CUANTIAS!I270</f>
        <v>6.4841374899274786</v>
      </c>
      <c r="K305" s="598" t="s">
        <v>216</v>
      </c>
      <c r="L305" s="605">
        <f>L292</f>
        <v>3200</v>
      </c>
      <c r="M305" s="606">
        <f t="shared" si="88"/>
        <v>20749.239967767931</v>
      </c>
    </row>
    <row r="306" spans="2:13">
      <c r="B306" s="598" t="s">
        <v>217</v>
      </c>
      <c r="C306" s="632">
        <f>SUM(C304:C304)*2</f>
        <v>2.1</v>
      </c>
      <c r="D306" s="598" t="s">
        <v>218</v>
      </c>
      <c r="E306" s="605">
        <f>E263</f>
        <v>60</v>
      </c>
      <c r="F306" s="606">
        <f t="shared" si="87"/>
        <v>126</v>
      </c>
      <c r="H306" s="602"/>
      <c r="I306" s="598" t="s">
        <v>217</v>
      </c>
      <c r="J306" s="632">
        <f>SUM(J304:J304)*2</f>
        <v>2.1</v>
      </c>
      <c r="K306" s="598" t="s">
        <v>218</v>
      </c>
      <c r="L306" s="605">
        <f>L293</f>
        <v>60</v>
      </c>
      <c r="M306" s="606">
        <f t="shared" si="88"/>
        <v>126</v>
      </c>
    </row>
    <row r="307" spans="2:13">
      <c r="B307" s="704" t="s">
        <v>1689</v>
      </c>
      <c r="C307" s="699">
        <f>1/(0.15*0.3)</f>
        <v>22.222222222222221</v>
      </c>
      <c r="D307" s="700" t="s">
        <v>1171</v>
      </c>
      <c r="E307" s="701">
        <v>165.66</v>
      </c>
      <c r="F307" s="702">
        <f t="shared" ref="F307:F309" si="89">C307*E307</f>
        <v>3681.333333333333</v>
      </c>
      <c r="H307" s="602"/>
      <c r="I307" s="704" t="s">
        <v>1961</v>
      </c>
      <c r="J307" s="699">
        <f>1/0.3</f>
        <v>3.3333333333333335</v>
      </c>
      <c r="K307" s="700" t="s">
        <v>213</v>
      </c>
      <c r="L307" s="701">
        <v>425</v>
      </c>
      <c r="M307" s="702">
        <f t="shared" ref="M307:M310" si="90">J307*L307</f>
        <v>1416.6666666666667</v>
      </c>
    </row>
    <row r="308" spans="2:13">
      <c r="B308" s="704" t="s">
        <v>4383</v>
      </c>
      <c r="C308" s="699">
        <f>(0.15+0.3)*2*C307</f>
        <v>19.999999999999996</v>
      </c>
      <c r="D308" s="700" t="s">
        <v>1333</v>
      </c>
      <c r="E308" s="701">
        <v>28.72</v>
      </c>
      <c r="F308" s="702">
        <f t="shared" si="89"/>
        <v>574.39999999999986</v>
      </c>
      <c r="H308" s="602"/>
      <c r="I308" s="704" t="s">
        <v>1037</v>
      </c>
      <c r="J308" s="699">
        <f>SUM(J305:J305)</f>
        <v>6.4841374899274786</v>
      </c>
      <c r="K308" s="700" t="s">
        <v>4</v>
      </c>
      <c r="L308" s="701">
        <f>Prec.!C351</f>
        <v>535.15000000000009</v>
      </c>
      <c r="M308" s="702">
        <f t="shared" si="90"/>
        <v>3469.986177734691</v>
      </c>
    </row>
    <row r="309" spans="2:13">
      <c r="B309" s="704" t="s">
        <v>1037</v>
      </c>
      <c r="C309" s="699">
        <f>SUM(C305:C305)</f>
        <v>7.9995845474613692</v>
      </c>
      <c r="D309" s="700" t="s">
        <v>4</v>
      </c>
      <c r="E309" s="701">
        <f>Prec.!C351</f>
        <v>535.15000000000009</v>
      </c>
      <c r="F309" s="702">
        <f t="shared" si="89"/>
        <v>4280.9776705739523</v>
      </c>
      <c r="H309" s="602"/>
      <c r="I309" s="704" t="s">
        <v>1688</v>
      </c>
      <c r="J309" s="699">
        <v>1</v>
      </c>
      <c r="K309" s="700" t="s">
        <v>825</v>
      </c>
      <c r="L309" s="701">
        <f>L296</f>
        <v>600.29999999999995</v>
      </c>
      <c r="M309" s="702">
        <f t="shared" si="90"/>
        <v>600.29999999999995</v>
      </c>
    </row>
    <row r="310" spans="2:13">
      <c r="B310" s="704" t="s">
        <v>1910</v>
      </c>
      <c r="C310" s="699">
        <v>1</v>
      </c>
      <c r="D310" s="700" t="s">
        <v>825</v>
      </c>
      <c r="E310" s="701">
        <f>E267</f>
        <v>600.29999999999995</v>
      </c>
      <c r="F310" s="702"/>
      <c r="H310" s="602"/>
      <c r="I310" s="704" t="s">
        <v>208</v>
      </c>
      <c r="J310" s="699">
        <f>SUM(M304:M307)</f>
        <v>29484.406634434599</v>
      </c>
      <c r="K310" s="700" t="s">
        <v>209</v>
      </c>
      <c r="L310" s="701">
        <f>L297</f>
        <v>0.02</v>
      </c>
      <c r="M310" s="702">
        <f t="shared" si="90"/>
        <v>589.68813268869201</v>
      </c>
    </row>
    <row r="311" spans="2:13">
      <c r="B311" s="704" t="s">
        <v>208</v>
      </c>
      <c r="C311" s="699">
        <f>SUM(F304:F307)</f>
        <v>36598.503885209713</v>
      </c>
      <c r="D311" s="700" t="s">
        <v>209</v>
      </c>
      <c r="E311" s="701">
        <f>E268</f>
        <v>0.02</v>
      </c>
      <c r="F311" s="702">
        <f t="shared" ref="F311" si="91">C311*E311</f>
        <v>731.9700777041943</v>
      </c>
      <c r="H311" s="602"/>
      <c r="I311" s="598"/>
      <c r="J311" s="632"/>
      <c r="K311" s="598"/>
      <c r="L311" s="605"/>
      <c r="M311" s="606"/>
    </row>
    <row r="312" spans="2:13">
      <c r="B312" s="607"/>
      <c r="C312" s="604"/>
      <c r="D312" s="603"/>
      <c r="E312" s="605"/>
      <c r="F312" s="606"/>
      <c r="H312" s="602"/>
      <c r="I312" s="607"/>
      <c r="J312" s="604"/>
      <c r="K312" s="603"/>
      <c r="L312" s="605"/>
      <c r="M312" s="606"/>
    </row>
    <row r="313" spans="2:13">
      <c r="B313" s="595" t="s">
        <v>4253</v>
      </c>
      <c r="C313" s="596"/>
      <c r="D313" s="596"/>
      <c r="E313" s="596"/>
      <c r="F313" s="594">
        <f>SUM(F304:F312)</f>
        <v>42185.851633487859</v>
      </c>
      <c r="H313" s="595"/>
      <c r="I313" s="595" t="s">
        <v>4253</v>
      </c>
      <c r="J313" s="596"/>
      <c r="K313" s="596"/>
      <c r="L313" s="596"/>
      <c r="M313" s="594">
        <f>SUM(M304:M312)</f>
        <v>34144.380944857985</v>
      </c>
    </row>
    <row r="315" spans="2:13">
      <c r="B315" s="1401" t="s">
        <v>5297</v>
      </c>
      <c r="C315" s="596"/>
      <c r="D315" s="596"/>
      <c r="E315" s="596"/>
      <c r="F315" s="596"/>
    </row>
    <row r="316" spans="2:13">
      <c r="B316" s="614"/>
      <c r="C316" s="614"/>
      <c r="D316" s="614"/>
      <c r="E316" s="614"/>
      <c r="F316" s="615"/>
      <c r="H316" s="596"/>
      <c r="I316" s="1401" t="s">
        <v>5294</v>
      </c>
      <c r="J316" s="596"/>
      <c r="K316" s="596"/>
      <c r="L316" s="596"/>
      <c r="M316" s="596"/>
    </row>
    <row r="317" spans="2:13">
      <c r="B317" s="632" t="s">
        <v>4298</v>
      </c>
      <c r="C317" s="632">
        <v>1.05</v>
      </c>
      <c r="D317" s="598" t="s">
        <v>825</v>
      </c>
      <c r="E317" s="605">
        <f>+E274</f>
        <v>6850</v>
      </c>
      <c r="F317" s="606">
        <f t="shared" ref="F317:F319" si="92">+C317*E317</f>
        <v>7192.5</v>
      </c>
      <c r="H317" s="613"/>
      <c r="I317" s="614"/>
      <c r="J317" s="614"/>
      <c r="K317" s="614"/>
      <c r="L317" s="614"/>
      <c r="M317" s="615"/>
    </row>
    <row r="318" spans="2:13">
      <c r="B318" s="632" t="s">
        <v>1683</v>
      </c>
      <c r="C318" s="632">
        <f>CUANTIAS!I354</f>
        <v>7.9995845474613692</v>
      </c>
      <c r="D318" s="598" t="s">
        <v>216</v>
      </c>
      <c r="E318" s="618">
        <f>+E275</f>
        <v>3200</v>
      </c>
      <c r="F318" s="606">
        <f t="shared" si="92"/>
        <v>25598.670551876381</v>
      </c>
      <c r="H318" s="602"/>
      <c r="I318" s="632" t="s">
        <v>4298</v>
      </c>
      <c r="J318" s="632">
        <v>1.05</v>
      </c>
      <c r="K318" s="598" t="s">
        <v>825</v>
      </c>
      <c r="L318" s="605">
        <f>L304</f>
        <v>6850</v>
      </c>
      <c r="M318" s="606">
        <f t="shared" ref="M318:M320" si="93">+J318*L318</f>
        <v>7192.5</v>
      </c>
    </row>
    <row r="319" spans="2:13">
      <c r="B319" s="598" t="s">
        <v>217</v>
      </c>
      <c r="C319" s="632">
        <f>SUM(C317:C317)*2</f>
        <v>2.1</v>
      </c>
      <c r="D319" s="598" t="s">
        <v>218</v>
      </c>
      <c r="E319" s="605">
        <f>E276</f>
        <v>60</v>
      </c>
      <c r="F319" s="606">
        <f t="shared" si="92"/>
        <v>126</v>
      </c>
      <c r="H319" s="602"/>
      <c r="I319" s="632" t="s">
        <v>1683</v>
      </c>
      <c r="J319" s="632">
        <f>CUANTIAS!I270</f>
        <v>6.4841374899274786</v>
      </c>
      <c r="K319" s="598" t="s">
        <v>216</v>
      </c>
      <c r="L319" s="605">
        <f t="shared" ref="L319:L320" si="94">L305</f>
        <v>3200</v>
      </c>
      <c r="M319" s="606">
        <f t="shared" si="93"/>
        <v>20749.239967767931</v>
      </c>
    </row>
    <row r="320" spans="2:13">
      <c r="B320" s="704" t="s">
        <v>1689</v>
      </c>
      <c r="C320" s="699">
        <f>1/(0.15*0.3)</f>
        <v>22.222222222222221</v>
      </c>
      <c r="D320" s="700" t="s">
        <v>1171</v>
      </c>
      <c r="E320" s="701">
        <v>165.66</v>
      </c>
      <c r="F320" s="702">
        <f t="shared" ref="F320:F322" si="95">C320*E320</f>
        <v>3681.333333333333</v>
      </c>
      <c r="H320" s="602"/>
      <c r="I320" s="598" t="s">
        <v>217</v>
      </c>
      <c r="J320" s="632">
        <f>SUM(J318:J318)*2</f>
        <v>2.1</v>
      </c>
      <c r="K320" s="598" t="s">
        <v>218</v>
      </c>
      <c r="L320" s="605">
        <f t="shared" si="94"/>
        <v>60</v>
      </c>
      <c r="M320" s="606">
        <f t="shared" si="93"/>
        <v>126</v>
      </c>
    </row>
    <row r="321" spans="2:13">
      <c r="B321" s="704" t="s">
        <v>4383</v>
      </c>
      <c r="C321" s="699">
        <f>(0.15+0.3)*2*C320</f>
        <v>19.999999999999996</v>
      </c>
      <c r="D321" s="700" t="s">
        <v>1333</v>
      </c>
      <c r="E321" s="701">
        <v>28.72</v>
      </c>
      <c r="F321" s="702">
        <f t="shared" si="95"/>
        <v>574.39999999999986</v>
      </c>
      <c r="H321" s="602"/>
      <c r="I321" s="704" t="s">
        <v>1961</v>
      </c>
      <c r="J321" s="699">
        <f>1/0.3</f>
        <v>3.3333333333333335</v>
      </c>
      <c r="K321" s="700" t="s">
        <v>213</v>
      </c>
      <c r="L321" s="701">
        <v>425</v>
      </c>
      <c r="M321" s="702">
        <f t="shared" ref="M321:M324" si="96">J321*L321</f>
        <v>1416.6666666666667</v>
      </c>
    </row>
    <row r="322" spans="2:13">
      <c r="B322" s="704" t="s">
        <v>1037</v>
      </c>
      <c r="C322" s="699">
        <f>SUM(C318:C318)</f>
        <v>7.9995845474613692</v>
      </c>
      <c r="D322" s="700" t="s">
        <v>4</v>
      </c>
      <c r="E322" s="701">
        <f>Prec.!C352</f>
        <v>559.47499999999991</v>
      </c>
      <c r="F322" s="702">
        <f t="shared" si="95"/>
        <v>4475.5675646909485</v>
      </c>
      <c r="H322" s="602"/>
      <c r="I322" s="704" t="s">
        <v>1037</v>
      </c>
      <c r="J322" s="699">
        <f>SUM(J319:J319)</f>
        <v>6.4841374899274786</v>
      </c>
      <c r="K322" s="700" t="s">
        <v>4</v>
      </c>
      <c r="L322" s="701">
        <f>Prec.!C352</f>
        <v>559.47499999999991</v>
      </c>
      <c r="M322" s="702">
        <f t="shared" si="96"/>
        <v>3627.7128221771754</v>
      </c>
    </row>
    <row r="323" spans="2:13">
      <c r="B323" s="704" t="s">
        <v>1910</v>
      </c>
      <c r="C323" s="699">
        <v>1</v>
      </c>
      <c r="D323" s="700" t="s">
        <v>825</v>
      </c>
      <c r="E323" s="701">
        <f>E280</f>
        <v>600.29999999999995</v>
      </c>
      <c r="F323" s="702"/>
      <c r="H323" s="602"/>
      <c r="I323" s="704" t="s">
        <v>1688</v>
      </c>
      <c r="J323" s="699">
        <v>1</v>
      </c>
      <c r="K323" s="700" t="s">
        <v>825</v>
      </c>
      <c r="L323" s="701">
        <f>L310</f>
        <v>0.02</v>
      </c>
      <c r="M323" s="702">
        <f t="shared" si="96"/>
        <v>0.02</v>
      </c>
    </row>
    <row r="324" spans="2:13">
      <c r="B324" s="704" t="s">
        <v>208</v>
      </c>
      <c r="C324" s="699">
        <f>SUM(F317:F320)</f>
        <v>36598.503885209713</v>
      </c>
      <c r="D324" s="700" t="s">
        <v>209</v>
      </c>
      <c r="E324" s="701">
        <f>E281</f>
        <v>0.02</v>
      </c>
      <c r="F324" s="702">
        <f t="shared" ref="F324" si="97">C324*E324</f>
        <v>731.9700777041943</v>
      </c>
      <c r="H324" s="602"/>
      <c r="I324" s="704" t="s">
        <v>208</v>
      </c>
      <c r="J324" s="699">
        <f>SUM(M318:M321)</f>
        <v>29484.406634434599</v>
      </c>
      <c r="K324" s="700" t="s">
        <v>209</v>
      </c>
      <c r="L324" s="701">
        <f>L311</f>
        <v>0</v>
      </c>
      <c r="M324" s="702">
        <f t="shared" si="96"/>
        <v>0</v>
      </c>
    </row>
    <row r="325" spans="2:13">
      <c r="B325" s="607"/>
      <c r="C325" s="604"/>
      <c r="D325" s="603"/>
      <c r="E325" s="605"/>
      <c r="F325" s="606"/>
      <c r="H325" s="602"/>
      <c r="I325" s="598"/>
      <c r="J325" s="632"/>
      <c r="K325" s="598"/>
      <c r="L325" s="605"/>
      <c r="M325" s="606"/>
    </row>
    <row r="326" spans="2:13">
      <c r="B326" s="595" t="s">
        <v>4253</v>
      </c>
      <c r="C326" s="596"/>
      <c r="D326" s="596"/>
      <c r="E326" s="596"/>
      <c r="F326" s="594">
        <f>SUM(F317:F325)</f>
        <v>42380.44152760486</v>
      </c>
      <c r="H326" s="602"/>
      <c r="I326" s="607"/>
      <c r="J326" s="604"/>
      <c r="K326" s="603"/>
      <c r="L326" s="605"/>
      <c r="M326" s="606"/>
    </row>
    <row r="327" spans="2:13">
      <c r="H327" s="595"/>
      <c r="I327" s="595" t="s">
        <v>4253</v>
      </c>
      <c r="J327" s="596"/>
      <c r="K327" s="596"/>
      <c r="L327" s="596"/>
      <c r="M327" s="594">
        <f>SUM(M318:M326)</f>
        <v>33112.139456611774</v>
      </c>
    </row>
    <row r="328" spans="2:13">
      <c r="B328" s="1401" t="s">
        <v>5298</v>
      </c>
      <c r="C328" s="596"/>
      <c r="D328" s="596"/>
      <c r="E328" s="596"/>
      <c r="F328" s="596"/>
    </row>
    <row r="329" spans="2:13">
      <c r="B329" s="614"/>
      <c r="C329" s="614"/>
      <c r="D329" s="614"/>
      <c r="E329" s="614"/>
      <c r="F329" s="615"/>
      <c r="H329" s="596"/>
      <c r="I329" s="1401" t="s">
        <v>5295</v>
      </c>
      <c r="J329" s="596"/>
      <c r="K329" s="596"/>
      <c r="L329" s="596"/>
      <c r="M329" s="596"/>
    </row>
    <row r="330" spans="2:13">
      <c r="B330" s="632" t="s">
        <v>4298</v>
      </c>
      <c r="C330" s="632">
        <v>1.05</v>
      </c>
      <c r="D330" s="598" t="s">
        <v>825</v>
      </c>
      <c r="E330" s="605">
        <f>E317</f>
        <v>6850</v>
      </c>
      <c r="F330" s="606">
        <f t="shared" ref="F330:F332" si="98">+C330*E330</f>
        <v>7192.5</v>
      </c>
      <c r="H330" s="613"/>
      <c r="I330" s="614"/>
      <c r="J330" s="614"/>
      <c r="K330" s="614"/>
      <c r="L330" s="614"/>
      <c r="M330" s="615"/>
    </row>
    <row r="331" spans="2:13">
      <c r="B331" s="632" t="s">
        <v>1683</v>
      </c>
      <c r="C331" s="632">
        <f>CUANTIAS!I354</f>
        <v>7.9995845474613692</v>
      </c>
      <c r="D331" s="598" t="s">
        <v>216</v>
      </c>
      <c r="E331" s="605">
        <f t="shared" ref="E331:E332" si="99">E318</f>
        <v>3200</v>
      </c>
      <c r="F331" s="606">
        <f t="shared" si="98"/>
        <v>25598.670551876381</v>
      </c>
      <c r="H331" s="602"/>
      <c r="I331" s="632" t="s">
        <v>4298</v>
      </c>
      <c r="J331" s="632">
        <v>1.05</v>
      </c>
      <c r="K331" s="598" t="s">
        <v>825</v>
      </c>
      <c r="L331" s="605">
        <f>L318</f>
        <v>6850</v>
      </c>
      <c r="M331" s="606">
        <f t="shared" ref="M331:M333" si="100">+J331*L331</f>
        <v>7192.5</v>
      </c>
    </row>
    <row r="332" spans="2:13">
      <c r="B332" s="598" t="s">
        <v>217</v>
      </c>
      <c r="C332" s="632">
        <f>SUM(C330:C330)*2</f>
        <v>2.1</v>
      </c>
      <c r="D332" s="598" t="s">
        <v>218</v>
      </c>
      <c r="E332" s="605">
        <f t="shared" si="99"/>
        <v>60</v>
      </c>
      <c r="F332" s="606">
        <f t="shared" si="98"/>
        <v>126</v>
      </c>
      <c r="H332" s="602"/>
      <c r="I332" s="632" t="s">
        <v>1683</v>
      </c>
      <c r="J332" s="632">
        <f>CUANTIAS!I270</f>
        <v>6.4841374899274786</v>
      </c>
      <c r="K332" s="598" t="s">
        <v>216</v>
      </c>
      <c r="L332" s="605">
        <f>L319</f>
        <v>3200</v>
      </c>
      <c r="M332" s="606">
        <f t="shared" si="100"/>
        <v>20749.239967767931</v>
      </c>
    </row>
    <row r="333" spans="2:13">
      <c r="B333" s="704" t="s">
        <v>1689</v>
      </c>
      <c r="C333" s="699">
        <f>1/(0.15*0.3)</f>
        <v>22.222222222222221</v>
      </c>
      <c r="D333" s="700" t="s">
        <v>1171</v>
      </c>
      <c r="E333" s="701">
        <v>165.66</v>
      </c>
      <c r="F333" s="702">
        <f t="shared" ref="F333:F335" si="101">C333*E333</f>
        <v>3681.333333333333</v>
      </c>
      <c r="H333" s="602"/>
      <c r="I333" s="598" t="s">
        <v>217</v>
      </c>
      <c r="J333" s="632">
        <f>SUM(J331:J331)*2</f>
        <v>2.1</v>
      </c>
      <c r="K333" s="598" t="s">
        <v>218</v>
      </c>
      <c r="L333" s="605">
        <f>L320</f>
        <v>60</v>
      </c>
      <c r="M333" s="606">
        <f t="shared" si="100"/>
        <v>126</v>
      </c>
    </row>
    <row r="334" spans="2:13">
      <c r="B334" s="704" t="s">
        <v>4383</v>
      </c>
      <c r="C334" s="699">
        <f>(0.15+0.3)*2*C333</f>
        <v>19.999999999999996</v>
      </c>
      <c r="D334" s="700" t="s">
        <v>1333</v>
      </c>
      <c r="E334" s="701">
        <v>28.72</v>
      </c>
      <c r="F334" s="702">
        <f t="shared" si="101"/>
        <v>574.39999999999986</v>
      </c>
      <c r="H334" s="602"/>
      <c r="I334" s="704" t="s">
        <v>1961</v>
      </c>
      <c r="J334" s="699">
        <f>1/0.3</f>
        <v>3.3333333333333335</v>
      </c>
      <c r="K334" s="700" t="s">
        <v>213</v>
      </c>
      <c r="L334" s="701">
        <v>425</v>
      </c>
      <c r="M334" s="702">
        <f t="shared" ref="M334:M337" si="102">J334*L334</f>
        <v>1416.6666666666667</v>
      </c>
    </row>
    <row r="335" spans="2:13">
      <c r="B335" s="704" t="s">
        <v>1037</v>
      </c>
      <c r="C335" s="699">
        <f>SUM(C331:C331)</f>
        <v>7.9995845474613692</v>
      </c>
      <c r="D335" s="700" t="s">
        <v>4</v>
      </c>
      <c r="E335" s="701">
        <f>Prec.!C353</f>
        <v>583.79999999999995</v>
      </c>
      <c r="F335" s="702">
        <f t="shared" si="101"/>
        <v>4670.1574588079466</v>
      </c>
      <c r="H335" s="602"/>
      <c r="I335" s="704" t="s">
        <v>1037</v>
      </c>
      <c r="J335" s="699">
        <f>SUM(J332:J332)</f>
        <v>6.4841374899274786</v>
      </c>
      <c r="K335" s="700" t="s">
        <v>4</v>
      </c>
      <c r="L335" s="701">
        <f>Prec.!C353</f>
        <v>583.79999999999995</v>
      </c>
      <c r="M335" s="702">
        <f t="shared" si="102"/>
        <v>3785.4394666196617</v>
      </c>
    </row>
    <row r="336" spans="2:13">
      <c r="B336" s="704" t="s">
        <v>1910</v>
      </c>
      <c r="C336" s="699">
        <v>1</v>
      </c>
      <c r="D336" s="700" t="s">
        <v>825</v>
      </c>
      <c r="E336" s="701">
        <f t="shared" ref="E336:E337" si="103">E323</f>
        <v>600.29999999999995</v>
      </c>
      <c r="F336" s="702"/>
      <c r="H336" s="602"/>
      <c r="I336" s="704" t="s">
        <v>1688</v>
      </c>
      <c r="J336" s="699">
        <v>1</v>
      </c>
      <c r="K336" s="700" t="s">
        <v>825</v>
      </c>
      <c r="L336" s="701">
        <f>L323</f>
        <v>0.02</v>
      </c>
      <c r="M336" s="702">
        <f t="shared" si="102"/>
        <v>0.02</v>
      </c>
    </row>
    <row r="337" spans="1:13">
      <c r="B337" s="704" t="s">
        <v>208</v>
      </c>
      <c r="C337" s="699">
        <f>SUM(F330:F333)</f>
        <v>36598.503885209713</v>
      </c>
      <c r="D337" s="700" t="s">
        <v>209</v>
      </c>
      <c r="E337" s="701">
        <f t="shared" si="103"/>
        <v>0.02</v>
      </c>
      <c r="F337" s="702">
        <f t="shared" ref="F337" si="104">C337*E337</f>
        <v>731.9700777041943</v>
      </c>
      <c r="H337" s="602"/>
      <c r="I337" s="704" t="s">
        <v>208</v>
      </c>
      <c r="J337" s="699">
        <f>SUM(M331:M334)</f>
        <v>29484.406634434599</v>
      </c>
      <c r="K337" s="700" t="s">
        <v>209</v>
      </c>
      <c r="L337" s="701">
        <f>L324</f>
        <v>0</v>
      </c>
      <c r="M337" s="702">
        <f t="shared" si="102"/>
        <v>0</v>
      </c>
    </row>
    <row r="338" spans="1:13">
      <c r="B338" s="607"/>
      <c r="C338" s="604"/>
      <c r="D338" s="603"/>
      <c r="E338" s="605"/>
      <c r="F338" s="606"/>
      <c r="H338" s="602"/>
      <c r="I338" s="598"/>
      <c r="J338" s="632"/>
      <c r="K338" s="598"/>
      <c r="L338" s="605"/>
      <c r="M338" s="606"/>
    </row>
    <row r="339" spans="1:13">
      <c r="B339" s="595" t="s">
        <v>4253</v>
      </c>
      <c r="C339" s="596"/>
      <c r="D339" s="596"/>
      <c r="E339" s="596"/>
      <c r="F339" s="594">
        <f>SUM(F330:F338)</f>
        <v>42575.031421721855</v>
      </c>
      <c r="H339" s="602"/>
      <c r="I339" s="607"/>
      <c r="J339" s="604"/>
      <c r="K339" s="603"/>
      <c r="L339" s="605"/>
      <c r="M339" s="606"/>
    </row>
    <row r="340" spans="1:13">
      <c r="A340" s="612"/>
      <c r="B340" s="612"/>
      <c r="C340" s="612"/>
      <c r="D340" s="612"/>
      <c r="E340" s="612"/>
      <c r="F340" s="612"/>
      <c r="H340" s="595"/>
      <c r="I340" s="595" t="s">
        <v>4253</v>
      </c>
      <c r="J340" s="596"/>
      <c r="K340" s="596"/>
      <c r="L340" s="596"/>
      <c r="M340" s="594">
        <f>SUM(M331:M339)</f>
        <v>33269.866101054256</v>
      </c>
    </row>
    <row r="341" spans="1:13">
      <c r="A341" s="612"/>
      <c r="B341" s="612"/>
      <c r="C341" s="612"/>
      <c r="D341" s="612"/>
      <c r="E341" s="612"/>
      <c r="F341" s="612"/>
      <c r="H341" s="612"/>
      <c r="I341" s="612"/>
      <c r="J341" s="612"/>
      <c r="K341" s="612"/>
      <c r="L341" s="612"/>
      <c r="M341" s="612"/>
    </row>
    <row r="342" spans="1:13">
      <c r="A342" s="596"/>
      <c r="B342" s="1401" t="s">
        <v>5160</v>
      </c>
      <c r="C342" s="596"/>
      <c r="D342" s="596"/>
      <c r="E342" s="596"/>
      <c r="F342" s="596"/>
    </row>
    <row r="343" spans="1:13">
      <c r="A343" s="613"/>
      <c r="B343" s="614"/>
      <c r="C343" s="614"/>
      <c r="D343" s="614"/>
      <c r="E343" s="614"/>
      <c r="F343" s="615"/>
      <c r="H343" s="596"/>
      <c r="I343" s="1401" t="s">
        <v>5300</v>
      </c>
      <c r="J343" s="596"/>
      <c r="K343" s="596"/>
      <c r="L343" s="596"/>
      <c r="M343" s="596"/>
    </row>
    <row r="344" spans="1:13">
      <c r="A344" s="602"/>
      <c r="B344" s="632" t="s">
        <v>4298</v>
      </c>
      <c r="C344" s="632">
        <v>1.05</v>
      </c>
      <c r="D344" s="598" t="s">
        <v>825</v>
      </c>
      <c r="E344" s="605">
        <f>+E291</f>
        <v>6850</v>
      </c>
      <c r="F344" s="606">
        <f t="shared" ref="F344:F346" si="105">+C344*E344</f>
        <v>7192.5</v>
      </c>
      <c r="H344" s="613"/>
      <c r="I344" s="614"/>
      <c r="J344" s="614"/>
      <c r="K344" s="614"/>
      <c r="L344" s="614"/>
      <c r="M344" s="615"/>
    </row>
    <row r="345" spans="1:13">
      <c r="A345" s="602"/>
      <c r="B345" s="632" t="s">
        <v>1683</v>
      </c>
      <c r="C345" s="632">
        <f>+CUANTIAS!I367</f>
        <v>10.654147372512435</v>
      </c>
      <c r="D345" s="598" t="s">
        <v>216</v>
      </c>
      <c r="E345" s="618">
        <f>+E292</f>
        <v>3200</v>
      </c>
      <c r="F345" s="606">
        <f t="shared" si="105"/>
        <v>34093.27159203979</v>
      </c>
      <c r="H345" s="602"/>
      <c r="I345" s="632" t="s">
        <v>4298</v>
      </c>
      <c r="J345" s="632">
        <v>1.05</v>
      </c>
      <c r="K345" s="598" t="s">
        <v>825</v>
      </c>
      <c r="L345" s="605">
        <f>+L304</f>
        <v>6850</v>
      </c>
      <c r="M345" s="606">
        <f t="shared" ref="M345:M347" si="106">+J345*L345</f>
        <v>7192.5</v>
      </c>
    </row>
    <row r="346" spans="1:13">
      <c r="A346" s="602"/>
      <c r="B346" s="598" t="s">
        <v>5284</v>
      </c>
      <c r="C346" s="632">
        <f>SUM(C344:C344)*2</f>
        <v>2.1</v>
      </c>
      <c r="D346" s="598" t="s">
        <v>218</v>
      </c>
      <c r="E346" s="605">
        <f>E293</f>
        <v>60</v>
      </c>
      <c r="F346" s="606">
        <f t="shared" si="105"/>
        <v>126</v>
      </c>
      <c r="H346" s="602"/>
      <c r="I346" s="632" t="s">
        <v>1683</v>
      </c>
      <c r="J346" s="632">
        <f>CUANTIAS!I383</f>
        <v>11.248550041946306</v>
      </c>
      <c r="K346" s="598" t="s">
        <v>216</v>
      </c>
      <c r="L346" s="618">
        <f>+L305</f>
        <v>3200</v>
      </c>
      <c r="M346" s="606">
        <f t="shared" si="106"/>
        <v>35995.360134228176</v>
      </c>
    </row>
    <row r="347" spans="1:13">
      <c r="A347" s="602"/>
      <c r="B347" s="704" t="s">
        <v>5285</v>
      </c>
      <c r="C347" s="699">
        <f>1/(0.4*0.4)</f>
        <v>6.2499999999999991</v>
      </c>
      <c r="D347" s="700" t="s">
        <v>1171</v>
      </c>
      <c r="E347" s="701">
        <v>165.66</v>
      </c>
      <c r="F347" s="702">
        <f t="shared" ref="F347:F349" si="107">C347*E347</f>
        <v>1035.3749999999998</v>
      </c>
      <c r="H347" s="602"/>
      <c r="I347" s="598" t="s">
        <v>217</v>
      </c>
      <c r="J347" s="632">
        <f>SUM(J345:J345)*2</f>
        <v>2.1</v>
      </c>
      <c r="K347" s="598" t="s">
        <v>218</v>
      </c>
      <c r="L347" s="605">
        <f>L306</f>
        <v>60</v>
      </c>
      <c r="M347" s="606">
        <f t="shared" si="106"/>
        <v>126</v>
      </c>
    </row>
    <row r="348" spans="1:13">
      <c r="A348" s="602"/>
      <c r="B348" s="704" t="s">
        <v>4383</v>
      </c>
      <c r="C348" s="699">
        <f>(0.4+0.4)*2*C347</f>
        <v>10</v>
      </c>
      <c r="D348" s="700" t="s">
        <v>1333</v>
      </c>
      <c r="E348" s="701">
        <v>28.72</v>
      </c>
      <c r="F348" s="702">
        <f t="shared" si="107"/>
        <v>287.2</v>
      </c>
      <c r="H348" s="602"/>
      <c r="I348" s="704" t="s">
        <v>5285</v>
      </c>
      <c r="J348" s="699">
        <f>1/(0.4*0.4)</f>
        <v>6.2499999999999991</v>
      </c>
      <c r="K348" s="700" t="s">
        <v>1171</v>
      </c>
      <c r="L348" s="701">
        <v>165.66</v>
      </c>
      <c r="M348" s="702">
        <f t="shared" ref="M348:M350" si="108">J348*L348</f>
        <v>1035.3749999999998</v>
      </c>
    </row>
    <row r="349" spans="1:13">
      <c r="A349" s="602"/>
      <c r="B349" s="704" t="s">
        <v>1037</v>
      </c>
      <c r="C349" s="699">
        <f>SUM(C345:C345)</f>
        <v>10.654147372512435</v>
      </c>
      <c r="D349" s="700" t="s">
        <v>4</v>
      </c>
      <c r="E349" s="701">
        <f>E296</f>
        <v>486.5</v>
      </c>
      <c r="F349" s="702">
        <f t="shared" si="107"/>
        <v>5183.2426967272995</v>
      </c>
      <c r="H349" s="602"/>
      <c r="I349" s="704" t="s">
        <v>4383</v>
      </c>
      <c r="J349" s="699">
        <f>(0.4+0.4)*2*J348</f>
        <v>10</v>
      </c>
      <c r="K349" s="700" t="s">
        <v>1333</v>
      </c>
      <c r="L349" s="701">
        <v>28.72</v>
      </c>
      <c r="M349" s="702">
        <f t="shared" si="108"/>
        <v>287.2</v>
      </c>
    </row>
    <row r="350" spans="1:13">
      <c r="A350" s="602"/>
      <c r="B350" s="704" t="s">
        <v>1910</v>
      </c>
      <c r="C350" s="699">
        <v>1</v>
      </c>
      <c r="D350" s="700" t="s">
        <v>825</v>
      </c>
      <c r="E350" s="701">
        <f>E297</f>
        <v>600.29999999999995</v>
      </c>
      <c r="F350" s="702"/>
      <c r="H350" s="602"/>
      <c r="I350" s="704" t="s">
        <v>1037</v>
      </c>
      <c r="J350" s="699">
        <f>SUM(J346:J346)</f>
        <v>11.248550041946306</v>
      </c>
      <c r="K350" s="700" t="s">
        <v>4</v>
      </c>
      <c r="L350" s="701">
        <f>Prec.!C352</f>
        <v>559.47499999999991</v>
      </c>
      <c r="M350" s="702">
        <f t="shared" si="108"/>
        <v>6293.2825347179087</v>
      </c>
    </row>
    <row r="351" spans="1:13">
      <c r="A351" s="602"/>
      <c r="B351" s="704" t="s">
        <v>208</v>
      </c>
      <c r="C351" s="699">
        <f>SUM(F344:F347)</f>
        <v>42447.14659203979</v>
      </c>
      <c r="D351" s="700" t="s">
        <v>209</v>
      </c>
      <c r="E351" s="701">
        <f>E298</f>
        <v>0.02</v>
      </c>
      <c r="F351" s="702">
        <f t="shared" ref="F351" si="109">C351*E351</f>
        <v>848.94293184079584</v>
      </c>
      <c r="H351" s="602"/>
      <c r="I351" s="704" t="s">
        <v>1910</v>
      </c>
      <c r="J351" s="699">
        <v>1</v>
      </c>
      <c r="K351" s="700" t="s">
        <v>825</v>
      </c>
      <c r="L351" s="701">
        <f>L309</f>
        <v>600.29999999999995</v>
      </c>
      <c r="M351" s="702"/>
    </row>
    <row r="352" spans="1:13">
      <c r="A352" s="602"/>
      <c r="B352" s="607"/>
      <c r="C352" s="604"/>
      <c r="D352" s="603"/>
      <c r="E352" s="605"/>
      <c r="F352" s="606"/>
      <c r="H352" s="602"/>
      <c r="I352" s="704" t="s">
        <v>208</v>
      </c>
      <c r="J352" s="699">
        <f>SUM(M345:M348)</f>
        <v>44349.235134228176</v>
      </c>
      <c r="K352" s="700" t="s">
        <v>209</v>
      </c>
      <c r="L352" s="701">
        <f>L310</f>
        <v>0.02</v>
      </c>
      <c r="M352" s="702">
        <f t="shared" ref="M352" si="110">J352*L352</f>
        <v>886.98470268456356</v>
      </c>
    </row>
    <row r="353" spans="1:13">
      <c r="A353" s="595"/>
      <c r="B353" s="595" t="s">
        <v>4253</v>
      </c>
      <c r="C353" s="596"/>
      <c r="D353" s="596"/>
      <c r="E353" s="596"/>
      <c r="F353" s="594">
        <f>SUM(F344:F352)</f>
        <v>48766.532220607878</v>
      </c>
      <c r="H353" s="602"/>
      <c r="I353" s="607"/>
      <c r="J353" s="604"/>
      <c r="K353" s="603"/>
      <c r="L353" s="605"/>
      <c r="M353" s="606"/>
    </row>
    <row r="354" spans="1:13">
      <c r="A354" s="612"/>
      <c r="B354" s="612"/>
      <c r="C354" s="612"/>
      <c r="D354" s="612"/>
      <c r="E354" s="612"/>
      <c r="F354" s="612"/>
      <c r="H354" s="595"/>
      <c r="I354" s="595" t="s">
        <v>4253</v>
      </c>
      <c r="J354" s="596"/>
      <c r="K354" s="596"/>
      <c r="L354" s="596"/>
      <c r="M354" s="594">
        <f>SUM(M345:M353)</f>
        <v>51816.702371630643</v>
      </c>
    </row>
    <row r="355" spans="1:13">
      <c r="A355" s="596"/>
      <c r="B355" s="1401" t="s">
        <v>5299</v>
      </c>
      <c r="C355" s="596"/>
      <c r="D355" s="596"/>
      <c r="E355" s="596"/>
      <c r="F355" s="596"/>
    </row>
    <row r="356" spans="1:13">
      <c r="A356" s="613"/>
      <c r="B356" s="614"/>
      <c r="C356" s="614"/>
      <c r="D356" s="614"/>
      <c r="E356" s="614"/>
      <c r="F356" s="615"/>
    </row>
    <row r="357" spans="1:13">
      <c r="A357" s="602"/>
      <c r="B357" s="632" t="s">
        <v>4298</v>
      </c>
      <c r="C357" s="632">
        <v>1.05</v>
      </c>
      <c r="D357" s="598" t="s">
        <v>825</v>
      </c>
      <c r="E357" s="605">
        <f>E344</f>
        <v>6850</v>
      </c>
      <c r="F357" s="606">
        <f t="shared" ref="F357:F359" si="111">+C357*E357</f>
        <v>7192.5</v>
      </c>
      <c r="H357" s="596"/>
      <c r="I357" s="1401" t="s">
        <v>5302</v>
      </c>
      <c r="J357" s="596"/>
      <c r="K357" s="596"/>
      <c r="L357" s="596"/>
      <c r="M357" s="596"/>
    </row>
    <row r="358" spans="1:13">
      <c r="A358" s="602"/>
      <c r="B358" s="632" t="s">
        <v>1683</v>
      </c>
      <c r="C358" s="632">
        <f>CUANTIAS!I383</f>
        <v>11.248550041946306</v>
      </c>
      <c r="D358" s="598" t="s">
        <v>216</v>
      </c>
      <c r="E358" s="605">
        <f t="shared" ref="E358:E359" si="112">E345</f>
        <v>3200</v>
      </c>
      <c r="F358" s="606">
        <f t="shared" si="111"/>
        <v>35995.360134228176</v>
      </c>
      <c r="H358" s="613"/>
      <c r="I358" s="614"/>
      <c r="J358" s="614"/>
      <c r="K358" s="614"/>
      <c r="L358" s="614"/>
      <c r="M358" s="615"/>
    </row>
    <row r="359" spans="1:13">
      <c r="A359" s="602"/>
      <c r="B359" s="598" t="s">
        <v>217</v>
      </c>
      <c r="C359" s="632">
        <f>SUM(C357:C357)*2</f>
        <v>2.1</v>
      </c>
      <c r="D359" s="598" t="s">
        <v>218</v>
      </c>
      <c r="E359" s="605">
        <f t="shared" si="112"/>
        <v>60</v>
      </c>
      <c r="F359" s="606">
        <f t="shared" si="111"/>
        <v>126</v>
      </c>
      <c r="H359" s="602"/>
      <c r="I359" s="632" t="s">
        <v>4298</v>
      </c>
      <c r="J359" s="632">
        <v>1.05</v>
      </c>
      <c r="K359" s="598" t="s">
        <v>825</v>
      </c>
      <c r="L359" s="605">
        <f>L345</f>
        <v>6850</v>
      </c>
      <c r="M359" s="606">
        <f t="shared" ref="M359:M361" si="113">+J359*L359</f>
        <v>7192.5</v>
      </c>
    </row>
    <row r="360" spans="1:13">
      <c r="A360" s="602"/>
      <c r="B360" s="704" t="s">
        <v>5285</v>
      </c>
      <c r="C360" s="699">
        <f>1/(0.4*0.4)</f>
        <v>6.2499999999999991</v>
      </c>
      <c r="D360" s="700" t="s">
        <v>1171</v>
      </c>
      <c r="E360" s="701">
        <v>165.66</v>
      </c>
      <c r="F360" s="702">
        <f t="shared" ref="F360:F362" si="114">C360*E360</f>
        <v>1035.3749999999998</v>
      </c>
      <c r="H360" s="602"/>
      <c r="I360" s="632" t="s">
        <v>1683</v>
      </c>
      <c r="J360" s="632">
        <f>CUANTIAS!I400</f>
        <v>6.2494777265100643</v>
      </c>
      <c r="K360" s="598" t="s">
        <v>216</v>
      </c>
      <c r="L360" s="618">
        <f>L346</f>
        <v>3200</v>
      </c>
      <c r="M360" s="606">
        <f t="shared" si="113"/>
        <v>19998.328724832205</v>
      </c>
    </row>
    <row r="361" spans="1:13">
      <c r="A361" s="602"/>
      <c r="B361" s="704" t="s">
        <v>4383</v>
      </c>
      <c r="C361" s="699">
        <f>(0.4+0.4)*2*C360</f>
        <v>10</v>
      </c>
      <c r="D361" s="700" t="s">
        <v>1333</v>
      </c>
      <c r="E361" s="701">
        <v>28.72</v>
      </c>
      <c r="F361" s="702">
        <f t="shared" si="114"/>
        <v>287.2</v>
      </c>
      <c r="H361" s="602"/>
      <c r="I361" s="598" t="s">
        <v>217</v>
      </c>
      <c r="J361" s="632">
        <f>SUM(J359:J359)*2</f>
        <v>2.1</v>
      </c>
      <c r="K361" s="598" t="s">
        <v>218</v>
      </c>
      <c r="L361" s="605">
        <f>L347</f>
        <v>60</v>
      </c>
      <c r="M361" s="606">
        <f t="shared" si="113"/>
        <v>126</v>
      </c>
    </row>
    <row r="362" spans="1:13">
      <c r="A362" s="602"/>
      <c r="B362" s="704" t="s">
        <v>1037</v>
      </c>
      <c r="C362" s="699">
        <f>SUM(C358:C358)</f>
        <v>11.248550041946306</v>
      </c>
      <c r="D362" s="700" t="s">
        <v>4</v>
      </c>
      <c r="E362" s="701">
        <f>Prec.!C351</f>
        <v>535.15000000000009</v>
      </c>
      <c r="F362" s="702">
        <f t="shared" si="114"/>
        <v>6019.6615549475664</v>
      </c>
      <c r="H362" s="602"/>
      <c r="I362" s="704" t="s">
        <v>5285</v>
      </c>
      <c r="J362" s="699">
        <f>1/(0.4*0.4)</f>
        <v>6.2499999999999991</v>
      </c>
      <c r="K362" s="700" t="s">
        <v>1171</v>
      </c>
      <c r="L362" s="701">
        <v>165.66</v>
      </c>
      <c r="M362" s="702">
        <f t="shared" ref="M362:M364" si="115">J362*L362</f>
        <v>1035.3749999999998</v>
      </c>
    </row>
    <row r="363" spans="1:13">
      <c r="A363" s="602"/>
      <c r="B363" s="704" t="s">
        <v>1910</v>
      </c>
      <c r="C363" s="699">
        <v>1</v>
      </c>
      <c r="D363" s="700" t="s">
        <v>825</v>
      </c>
      <c r="E363" s="701">
        <f>E350</f>
        <v>600.29999999999995</v>
      </c>
      <c r="F363" s="702"/>
      <c r="H363" s="602"/>
      <c r="I363" s="704" t="s">
        <v>4383</v>
      </c>
      <c r="J363" s="699">
        <f>(0.4+0.4)*2*J362</f>
        <v>10</v>
      </c>
      <c r="K363" s="700" t="s">
        <v>1333</v>
      </c>
      <c r="L363" s="701">
        <v>28.72</v>
      </c>
      <c r="M363" s="702">
        <f t="shared" si="115"/>
        <v>287.2</v>
      </c>
    </row>
    <row r="364" spans="1:13">
      <c r="A364" s="602"/>
      <c r="B364" s="704" t="s">
        <v>208</v>
      </c>
      <c r="C364" s="699">
        <f>SUM(F357:F360)</f>
        <v>44349.235134228176</v>
      </c>
      <c r="D364" s="700" t="s">
        <v>209</v>
      </c>
      <c r="E364" s="701">
        <f>E351</f>
        <v>0.02</v>
      </c>
      <c r="F364" s="702">
        <f t="shared" ref="F364" si="116">C364*E364</f>
        <v>886.98470268456356</v>
      </c>
      <c r="H364" s="602"/>
      <c r="I364" s="704" t="s">
        <v>1037</v>
      </c>
      <c r="J364" s="699">
        <f>SUM(J360:J360)</f>
        <v>6.2494777265100643</v>
      </c>
      <c r="K364" s="700" t="s">
        <v>4</v>
      </c>
      <c r="L364" s="701">
        <f>Prec.!C351</f>
        <v>535.15000000000009</v>
      </c>
      <c r="M364" s="702">
        <f t="shared" si="115"/>
        <v>3344.4080053418616</v>
      </c>
    </row>
    <row r="365" spans="1:13">
      <c r="A365" s="602"/>
      <c r="B365" s="607"/>
      <c r="C365" s="604"/>
      <c r="D365" s="603"/>
      <c r="E365" s="605"/>
      <c r="F365" s="606"/>
      <c r="H365" s="602"/>
      <c r="I365" s="704" t="s">
        <v>1910</v>
      </c>
      <c r="J365" s="699">
        <v>1</v>
      </c>
      <c r="K365" s="700" t="s">
        <v>825</v>
      </c>
      <c r="L365" s="701">
        <f>L351</f>
        <v>600.29999999999995</v>
      </c>
      <c r="M365" s="702"/>
    </row>
    <row r="366" spans="1:13">
      <c r="A366" s="595"/>
      <c r="B366" s="595" t="s">
        <v>4253</v>
      </c>
      <c r="C366" s="596"/>
      <c r="D366" s="596"/>
      <c r="E366" s="596"/>
      <c r="F366" s="594">
        <f>SUM(F357:F365)</f>
        <v>51543.081391860302</v>
      </c>
      <c r="H366" s="602"/>
      <c r="I366" s="704" t="s">
        <v>208</v>
      </c>
      <c r="J366" s="699">
        <f>SUM(M359:M362)</f>
        <v>28352.203724832205</v>
      </c>
      <c r="K366" s="700" t="s">
        <v>209</v>
      </c>
      <c r="L366" s="701">
        <f>L352</f>
        <v>0.02</v>
      </c>
      <c r="M366" s="702">
        <f t="shared" ref="M366" si="117">J366*L366</f>
        <v>567.04407449664416</v>
      </c>
    </row>
    <row r="367" spans="1:13">
      <c r="H367" s="602"/>
      <c r="I367" s="607"/>
      <c r="J367" s="604"/>
      <c r="K367" s="603"/>
      <c r="L367" s="605"/>
      <c r="M367" s="606"/>
    </row>
    <row r="368" spans="1:13">
      <c r="H368" s="595"/>
      <c r="I368" s="595" t="s">
        <v>4253</v>
      </c>
      <c r="J368" s="596"/>
      <c r="K368" s="596"/>
      <c r="L368" s="596"/>
      <c r="M368" s="594">
        <f>SUM(M359:M367)</f>
        <v>32550.855804670711</v>
      </c>
    </row>
    <row r="371" spans="1:13">
      <c r="H371" s="596"/>
      <c r="I371" s="1401" t="s">
        <v>5301</v>
      </c>
      <c r="J371" s="596"/>
      <c r="K371" s="596"/>
      <c r="L371" s="596"/>
      <c r="M371" s="596"/>
    </row>
    <row r="372" spans="1:13">
      <c r="H372" s="613"/>
      <c r="I372" s="614"/>
      <c r="J372" s="614"/>
      <c r="K372" s="614"/>
      <c r="L372" s="614"/>
      <c r="M372" s="615"/>
    </row>
    <row r="373" spans="1:13">
      <c r="H373" s="602"/>
      <c r="I373" s="632" t="s">
        <v>4298</v>
      </c>
      <c r="J373" s="632">
        <v>1.05</v>
      </c>
      <c r="K373" s="598" t="s">
        <v>825</v>
      </c>
      <c r="L373" s="605">
        <f>L359</f>
        <v>6850</v>
      </c>
      <c r="M373" s="606">
        <f t="shared" ref="M373:M375" si="118">+J373*L373</f>
        <v>7192.5</v>
      </c>
    </row>
    <row r="374" spans="1:13">
      <c r="H374" s="602"/>
      <c r="I374" s="632" t="s">
        <v>1683</v>
      </c>
      <c r="J374" s="632">
        <f>CUANTIAS!I400</f>
        <v>6.2494777265100643</v>
      </c>
      <c r="K374" s="598" t="s">
        <v>216</v>
      </c>
      <c r="L374" s="618">
        <f>L360</f>
        <v>3200</v>
      </c>
      <c r="M374" s="606">
        <f t="shared" si="118"/>
        <v>19998.328724832205</v>
      </c>
    </row>
    <row r="375" spans="1:13">
      <c r="H375" s="602"/>
      <c r="I375" s="598" t="s">
        <v>217</v>
      </c>
      <c r="J375" s="632">
        <f>SUM(J373:J373)*2</f>
        <v>2.1</v>
      </c>
      <c r="K375" s="598" t="s">
        <v>218</v>
      </c>
      <c r="L375" s="605">
        <f>L361</f>
        <v>60</v>
      </c>
      <c r="M375" s="606">
        <f t="shared" si="118"/>
        <v>126</v>
      </c>
    </row>
    <row r="376" spans="1:13">
      <c r="H376" s="602"/>
      <c r="I376" s="704" t="s">
        <v>5285</v>
      </c>
      <c r="J376" s="699">
        <f>1/(0.4*0.4)</f>
        <v>6.2499999999999991</v>
      </c>
      <c r="K376" s="700" t="s">
        <v>1171</v>
      </c>
      <c r="L376" s="701">
        <v>165.66</v>
      </c>
      <c r="M376" s="702">
        <f t="shared" ref="M376:M378" si="119">J376*L376</f>
        <v>1035.3749999999998</v>
      </c>
    </row>
    <row r="377" spans="1:13">
      <c r="H377" s="602"/>
      <c r="I377" s="704" t="s">
        <v>4383</v>
      </c>
      <c r="J377" s="699">
        <f>(0.4+0.4)*2*J376</f>
        <v>10</v>
      </c>
      <c r="K377" s="700" t="s">
        <v>1333</v>
      </c>
      <c r="L377" s="701">
        <v>28.72</v>
      </c>
      <c r="M377" s="702">
        <f t="shared" si="119"/>
        <v>287.2</v>
      </c>
    </row>
    <row r="378" spans="1:13">
      <c r="H378" s="602"/>
      <c r="I378" s="704" t="s">
        <v>1037</v>
      </c>
      <c r="J378" s="699">
        <f>SUM(J374:J374)</f>
        <v>6.2494777265100643</v>
      </c>
      <c r="K378" s="700" t="s">
        <v>4</v>
      </c>
      <c r="L378" s="701">
        <f>Prec.!C352</f>
        <v>559.47499999999991</v>
      </c>
      <c r="M378" s="702">
        <f t="shared" si="119"/>
        <v>3496.4265510392174</v>
      </c>
    </row>
    <row r="379" spans="1:13">
      <c r="H379" s="602"/>
      <c r="I379" s="704" t="s">
        <v>1910</v>
      </c>
      <c r="J379" s="699">
        <v>1</v>
      </c>
      <c r="K379" s="700" t="s">
        <v>825</v>
      </c>
      <c r="L379" s="701">
        <f>L365</f>
        <v>600.29999999999995</v>
      </c>
      <c r="M379" s="702"/>
    </row>
    <row r="380" spans="1:13">
      <c r="H380" s="602"/>
      <c r="I380" s="704" t="s">
        <v>208</v>
      </c>
      <c r="J380" s="699">
        <f>SUM(M373:M376)</f>
        <v>28352.203724832205</v>
      </c>
      <c r="K380" s="700" t="s">
        <v>209</v>
      </c>
      <c r="L380" s="701">
        <f>L366</f>
        <v>0.02</v>
      </c>
      <c r="M380" s="702">
        <f t="shared" ref="M380" si="120">J380*L380</f>
        <v>567.04407449664416</v>
      </c>
    </row>
    <row r="381" spans="1:13">
      <c r="H381" s="602"/>
      <c r="I381" s="607"/>
      <c r="J381" s="604"/>
      <c r="K381" s="603"/>
      <c r="L381" s="605"/>
      <c r="M381" s="606"/>
    </row>
    <row r="382" spans="1:13">
      <c r="H382" s="595"/>
      <c r="I382" s="595" t="s">
        <v>4253</v>
      </c>
      <c r="J382" s="596"/>
      <c r="K382" s="596"/>
      <c r="L382" s="596"/>
      <c r="M382" s="594">
        <f>SUM(M373:M381)</f>
        <v>32702.874350368067</v>
      </c>
    </row>
    <row r="384" spans="1:13">
      <c r="A384" s="596"/>
      <c r="B384" s="1401" t="s">
        <v>5157</v>
      </c>
      <c r="C384" s="596"/>
      <c r="D384" s="596"/>
      <c r="E384" s="596"/>
      <c r="F384" s="596"/>
      <c r="H384" s="596"/>
      <c r="I384" s="1401" t="s">
        <v>5363</v>
      </c>
      <c r="J384" s="596"/>
      <c r="K384" s="596"/>
      <c r="L384" s="596"/>
      <c r="M384" s="596"/>
    </row>
    <row r="385" spans="1:13">
      <c r="A385" s="613"/>
      <c r="B385" s="614"/>
      <c r="C385" s="614"/>
      <c r="D385" s="614"/>
      <c r="E385" s="614"/>
      <c r="F385" s="615"/>
      <c r="H385" s="613"/>
      <c r="I385" s="614"/>
      <c r="J385" s="614"/>
      <c r="K385" s="614"/>
      <c r="L385" s="614"/>
      <c r="M385" s="615"/>
    </row>
    <row r="386" spans="1:13">
      <c r="A386" s="602"/>
      <c r="B386" s="632" t="s">
        <v>4298</v>
      </c>
      <c r="C386" s="632">
        <v>1.05</v>
      </c>
      <c r="D386" s="598" t="s">
        <v>825</v>
      </c>
      <c r="E386" s="605">
        <f>Ana.term!D8612</f>
        <v>6850</v>
      </c>
      <c r="F386" s="606">
        <f t="shared" ref="F386:F388" si="121">+C386*E386</f>
        <v>7192.5</v>
      </c>
      <c r="H386" s="602"/>
      <c r="I386" s="632" t="s">
        <v>4298</v>
      </c>
      <c r="J386" s="632">
        <v>1.05</v>
      </c>
      <c r="K386" s="598" t="s">
        <v>825</v>
      </c>
      <c r="L386" s="605">
        <f>E386</f>
        <v>6850</v>
      </c>
      <c r="M386" s="606">
        <f t="shared" ref="M386:M388" si="122">+J386*L386</f>
        <v>7192.5</v>
      </c>
    </row>
    <row r="387" spans="1:13">
      <c r="A387" s="602"/>
      <c r="B387" s="632" t="s">
        <v>1683</v>
      </c>
      <c r="C387" s="632">
        <f>+CUANTIAS!I445</f>
        <v>3.8486220596026492</v>
      </c>
      <c r="D387" s="598" t="s">
        <v>216</v>
      </c>
      <c r="E387" s="605">
        <f>Ana.term!D8613</f>
        <v>3200</v>
      </c>
      <c r="F387" s="606">
        <f t="shared" si="121"/>
        <v>12315.590590728478</v>
      </c>
      <c r="H387" s="602"/>
      <c r="I387" s="632" t="s">
        <v>1683</v>
      </c>
      <c r="J387" s="632">
        <f>+CUANTIAS!I459</f>
        <v>8.5697373147058844</v>
      </c>
      <c r="K387" s="598" t="s">
        <v>216</v>
      </c>
      <c r="L387" s="605">
        <f t="shared" ref="L387:L388" si="123">E387</f>
        <v>3200</v>
      </c>
      <c r="M387" s="606">
        <f t="shared" si="122"/>
        <v>27423.159407058829</v>
      </c>
    </row>
    <row r="388" spans="1:13">
      <c r="A388" s="602"/>
      <c r="B388" s="598" t="s">
        <v>217</v>
      </c>
      <c r="C388" s="632">
        <f>SUM(C386:C386)*2</f>
        <v>2.1</v>
      </c>
      <c r="D388" s="598" t="s">
        <v>218</v>
      </c>
      <c r="E388" s="605">
        <f>Ana.term!D8614</f>
        <v>60</v>
      </c>
      <c r="F388" s="606">
        <f t="shared" si="121"/>
        <v>126</v>
      </c>
      <c r="H388" s="602"/>
      <c r="I388" s="598" t="s">
        <v>217</v>
      </c>
      <c r="J388" s="632">
        <f>SUM(J386:J386)*2</f>
        <v>2.1</v>
      </c>
      <c r="K388" s="598" t="s">
        <v>218</v>
      </c>
      <c r="L388" s="605">
        <f t="shared" si="123"/>
        <v>60</v>
      </c>
      <c r="M388" s="606">
        <f t="shared" si="122"/>
        <v>126</v>
      </c>
    </row>
    <row r="389" spans="1:13">
      <c r="A389" s="602"/>
      <c r="B389" s="512" t="s">
        <v>1037</v>
      </c>
      <c r="C389" s="543">
        <f>SUM(C387:C387)</f>
        <v>3.8486220596026492</v>
      </c>
      <c r="D389" s="511" t="s">
        <v>216</v>
      </c>
      <c r="E389" s="521">
        <f>Prec.!C350</f>
        <v>486.5</v>
      </c>
      <c r="F389" s="508">
        <f t="shared" ref="F389:F392" si="124">C389*E389</f>
        <v>1872.3546319966888</v>
      </c>
      <c r="H389" s="602"/>
      <c r="I389" s="512" t="s">
        <v>1037</v>
      </c>
      <c r="J389" s="543">
        <f>SUM(J387:J387)</f>
        <v>8.5697373147058844</v>
      </c>
      <c r="K389" s="511" t="s">
        <v>216</v>
      </c>
      <c r="L389" s="521">
        <f>Prec.!C350</f>
        <v>486.5</v>
      </c>
      <c r="M389" s="508">
        <f t="shared" ref="M389:M392" si="125">J389*L389</f>
        <v>4169.1772036044131</v>
      </c>
    </row>
    <row r="390" spans="1:13">
      <c r="A390" s="602"/>
      <c r="B390" s="512" t="s">
        <v>5359</v>
      </c>
      <c r="C390" s="543">
        <f>1/(0.35*0.2)</f>
        <v>14.285714285714286</v>
      </c>
      <c r="D390" s="511" t="s">
        <v>1171</v>
      </c>
      <c r="E390" s="521">
        <f>Ana.term!D8616</f>
        <v>406.4</v>
      </c>
      <c r="F390" s="508">
        <f t="shared" si="124"/>
        <v>5805.7142857142853</v>
      </c>
      <c r="H390" s="602"/>
      <c r="I390" s="512" t="s">
        <v>5362</v>
      </c>
      <c r="J390" s="543">
        <f>1/(0.3*0.2)</f>
        <v>16.666666666666668</v>
      </c>
      <c r="K390" s="511" t="s">
        <v>1171</v>
      </c>
      <c r="L390" s="521">
        <f>E390</f>
        <v>406.4</v>
      </c>
      <c r="M390" s="508">
        <f t="shared" si="125"/>
        <v>6773.333333333333</v>
      </c>
    </row>
    <row r="391" spans="1:13">
      <c r="A391" s="602"/>
      <c r="B391" s="512" t="s">
        <v>1688</v>
      </c>
      <c r="C391" s="543">
        <v>1</v>
      </c>
      <c r="D391" s="511" t="s">
        <v>825</v>
      </c>
      <c r="E391" s="521">
        <f>Ana.term!D8617</f>
        <v>600.29999999999995</v>
      </c>
      <c r="F391" s="508">
        <f t="shared" si="124"/>
        <v>600.29999999999995</v>
      </c>
      <c r="H391" s="602"/>
      <c r="I391" s="512" t="s">
        <v>1688</v>
      </c>
      <c r="J391" s="543">
        <v>1</v>
      </c>
      <c r="K391" s="511" t="s">
        <v>825</v>
      </c>
      <c r="L391" s="521">
        <f t="shared" ref="L391:L392" si="126">E391</f>
        <v>600.29999999999995</v>
      </c>
      <c r="M391" s="508">
        <f t="shared" si="125"/>
        <v>600.29999999999995</v>
      </c>
    </row>
    <row r="392" spans="1:13">
      <c r="A392" s="602"/>
      <c r="B392" s="512" t="s">
        <v>208</v>
      </c>
      <c r="C392" s="543">
        <f>SUM(F386:F388)</f>
        <v>19634.090590728476</v>
      </c>
      <c r="D392" s="511" t="s">
        <v>209</v>
      </c>
      <c r="E392" s="521">
        <f>Ana.term!D8618</f>
        <v>0.02</v>
      </c>
      <c r="F392" s="508">
        <f t="shared" si="124"/>
        <v>392.68181181456953</v>
      </c>
      <c r="H392" s="602"/>
      <c r="I392" s="512" t="s">
        <v>208</v>
      </c>
      <c r="J392" s="543">
        <f>SUM(M386:M388)</f>
        <v>34741.659407058833</v>
      </c>
      <c r="K392" s="511" t="s">
        <v>209</v>
      </c>
      <c r="L392" s="521">
        <f t="shared" si="126"/>
        <v>0.02</v>
      </c>
      <c r="M392" s="508">
        <f t="shared" si="125"/>
        <v>694.83318814117672</v>
      </c>
    </row>
    <row r="393" spans="1:13">
      <c r="A393" s="602"/>
      <c r="B393" s="598"/>
      <c r="C393" s="632"/>
      <c r="D393" s="598"/>
      <c r="E393" s="605"/>
      <c r="F393" s="606"/>
      <c r="H393" s="602"/>
      <c r="I393" s="598"/>
      <c r="J393" s="632"/>
      <c r="K393" s="598"/>
      <c r="L393" s="605"/>
      <c r="M393" s="606"/>
    </row>
    <row r="394" spans="1:13">
      <c r="A394" s="602"/>
      <c r="B394" s="607"/>
      <c r="C394" s="604"/>
      <c r="D394" s="603"/>
      <c r="E394" s="605"/>
      <c r="F394" s="606"/>
      <c r="H394" s="602"/>
      <c r="I394" s="607"/>
      <c r="J394" s="604"/>
      <c r="K394" s="603"/>
      <c r="L394" s="605"/>
      <c r="M394" s="606"/>
    </row>
    <row r="395" spans="1:13">
      <c r="A395" s="595"/>
      <c r="B395" s="595" t="s">
        <v>4253</v>
      </c>
      <c r="C395" s="596"/>
      <c r="D395" s="596"/>
      <c r="E395" s="596"/>
      <c r="F395" s="594">
        <f>SUM(F386:F394)</f>
        <v>28305.141320254021</v>
      </c>
      <c r="H395" s="595"/>
      <c r="I395" s="595" t="s">
        <v>4253</v>
      </c>
      <c r="J395" s="596"/>
      <c r="K395" s="596"/>
      <c r="L395" s="596"/>
      <c r="M395" s="594">
        <f>SUM(M386:M394)</f>
        <v>46979.303132137764</v>
      </c>
    </row>
    <row r="397" spans="1:13">
      <c r="A397" s="596"/>
      <c r="B397" s="1401" t="s">
        <v>5305</v>
      </c>
      <c r="C397" s="596" t="s">
        <v>4297</v>
      </c>
      <c r="D397" s="596"/>
      <c r="E397" s="596"/>
      <c r="F397" s="596"/>
      <c r="H397" s="596"/>
      <c r="I397" s="1401" t="s">
        <v>5303</v>
      </c>
      <c r="J397" s="596"/>
      <c r="K397" s="596"/>
      <c r="L397" s="596"/>
      <c r="M397" s="596"/>
    </row>
    <row r="398" spans="1:13">
      <c r="A398" s="613"/>
      <c r="B398" s="614"/>
      <c r="C398" s="614"/>
      <c r="D398" s="614"/>
      <c r="E398" s="614"/>
      <c r="F398" s="615"/>
      <c r="H398" s="613"/>
      <c r="I398" s="614"/>
      <c r="J398" s="614"/>
      <c r="K398" s="614"/>
      <c r="L398" s="614"/>
      <c r="M398" s="615"/>
    </row>
    <row r="399" spans="1:13">
      <c r="A399" s="602"/>
      <c r="B399" s="632" t="s">
        <v>4298</v>
      </c>
      <c r="C399" s="632">
        <v>1.05</v>
      </c>
      <c r="D399" s="598" t="s">
        <v>825</v>
      </c>
      <c r="E399" s="605">
        <f>E386</f>
        <v>6850</v>
      </c>
      <c r="F399" s="606">
        <f t="shared" ref="F399:F401" si="127">+C399*E399</f>
        <v>7192.5</v>
      </c>
      <c r="H399" s="602"/>
      <c r="I399" s="632" t="s">
        <v>4298</v>
      </c>
      <c r="J399" s="632">
        <v>1.05</v>
      </c>
      <c r="K399" s="598" t="s">
        <v>825</v>
      </c>
      <c r="L399" s="605">
        <f>L386</f>
        <v>6850</v>
      </c>
      <c r="M399" s="606">
        <f t="shared" ref="M399:M401" si="128">+J399*L399</f>
        <v>7192.5</v>
      </c>
    </row>
    <row r="400" spans="1:13">
      <c r="A400" s="602"/>
      <c r="B400" s="632" t="s">
        <v>1683</v>
      </c>
      <c r="C400" s="632">
        <f>+CUANTIAS!I475</f>
        <v>5.7816248734520137</v>
      </c>
      <c r="D400" s="598" t="s">
        <v>216</v>
      </c>
      <c r="E400" s="605">
        <f t="shared" ref="E400:E401" si="129">E387</f>
        <v>3200</v>
      </c>
      <c r="F400" s="606">
        <f t="shared" si="127"/>
        <v>18501.199595046444</v>
      </c>
      <c r="H400" s="602"/>
      <c r="I400" s="632" t="s">
        <v>1683</v>
      </c>
      <c r="J400" s="632">
        <f>CUANTIAS!I459</f>
        <v>8.5697373147058844</v>
      </c>
      <c r="K400" s="598" t="s">
        <v>216</v>
      </c>
      <c r="L400" s="605">
        <f t="shared" ref="L400:L401" si="130">L387</f>
        <v>3200</v>
      </c>
      <c r="M400" s="606">
        <f t="shared" si="128"/>
        <v>27423.159407058829</v>
      </c>
    </row>
    <row r="401" spans="1:13">
      <c r="A401" s="602"/>
      <c r="B401" s="598" t="s">
        <v>217</v>
      </c>
      <c r="C401" s="632">
        <f>SUM(C399:C399)*2</f>
        <v>2.1</v>
      </c>
      <c r="D401" s="598" t="s">
        <v>218</v>
      </c>
      <c r="E401" s="605">
        <f t="shared" si="129"/>
        <v>60</v>
      </c>
      <c r="F401" s="606">
        <f t="shared" si="127"/>
        <v>126</v>
      </c>
      <c r="H401" s="602"/>
      <c r="I401" s="598" t="s">
        <v>217</v>
      </c>
      <c r="J401" s="632">
        <f>SUM(J399:J399)*2</f>
        <v>2.1</v>
      </c>
      <c r="K401" s="598" t="s">
        <v>218</v>
      </c>
      <c r="L401" s="605">
        <f t="shared" si="130"/>
        <v>60</v>
      </c>
      <c r="M401" s="606">
        <f t="shared" si="128"/>
        <v>126</v>
      </c>
    </row>
    <row r="402" spans="1:13">
      <c r="A402" s="602"/>
      <c r="B402" s="512" t="s">
        <v>1037</v>
      </c>
      <c r="C402" s="543">
        <f>SUM(C400:C400)</f>
        <v>5.7816248734520137</v>
      </c>
      <c r="D402" s="511" t="s">
        <v>216</v>
      </c>
      <c r="E402" s="521">
        <f>E389</f>
        <v>486.5</v>
      </c>
      <c r="F402" s="508">
        <f t="shared" ref="F402:F405" si="131">C402*E402</f>
        <v>2812.7605009344047</v>
      </c>
      <c r="H402" s="602"/>
      <c r="I402" s="512" t="s">
        <v>1037</v>
      </c>
      <c r="J402" s="543">
        <f>SUM(J400:J400)</f>
        <v>8.5697373147058844</v>
      </c>
      <c r="K402" s="511" t="s">
        <v>216</v>
      </c>
      <c r="L402" s="521">
        <f>Prec.!C351</f>
        <v>535.15000000000009</v>
      </c>
      <c r="M402" s="508">
        <f t="shared" ref="M402:M405" si="132">J402*L402</f>
        <v>4586.0949239648544</v>
      </c>
    </row>
    <row r="403" spans="1:13">
      <c r="A403" s="602"/>
      <c r="B403" s="512" t="s">
        <v>5360</v>
      </c>
      <c r="C403" s="543">
        <f>1/(0.38*0.2)</f>
        <v>13.157894736842103</v>
      </c>
      <c r="D403" s="511" t="s">
        <v>1171</v>
      </c>
      <c r="E403" s="521">
        <f>E390</f>
        <v>406.4</v>
      </c>
      <c r="F403" s="508">
        <f t="shared" si="131"/>
        <v>5347.3684210526299</v>
      </c>
      <c r="H403" s="602"/>
      <c r="I403" s="512" t="s">
        <v>5362</v>
      </c>
      <c r="J403" s="543">
        <f>1/(0.3*0.2)</f>
        <v>16.666666666666668</v>
      </c>
      <c r="K403" s="511" t="s">
        <v>1171</v>
      </c>
      <c r="L403" s="521">
        <f>E416</f>
        <v>426.71999999999997</v>
      </c>
      <c r="M403" s="508">
        <f t="shared" si="132"/>
        <v>7112</v>
      </c>
    </row>
    <row r="404" spans="1:13">
      <c r="A404" s="602"/>
      <c r="B404" s="512" t="s">
        <v>1688</v>
      </c>
      <c r="C404" s="543">
        <v>1</v>
      </c>
      <c r="D404" s="511" t="s">
        <v>825</v>
      </c>
      <c r="E404" s="521">
        <f t="shared" ref="E404:E405" si="133">E391</f>
        <v>600.29999999999995</v>
      </c>
      <c r="F404" s="508">
        <f t="shared" si="131"/>
        <v>600.29999999999995</v>
      </c>
      <c r="H404" s="602"/>
      <c r="I404" s="512" t="s">
        <v>1688</v>
      </c>
      <c r="J404" s="543">
        <v>1</v>
      </c>
      <c r="K404" s="511" t="s">
        <v>825</v>
      </c>
      <c r="L404" s="521">
        <f t="shared" ref="L404:L405" si="134">E404</f>
        <v>600.29999999999995</v>
      </c>
      <c r="M404" s="508">
        <f t="shared" si="132"/>
        <v>600.29999999999995</v>
      </c>
    </row>
    <row r="405" spans="1:13">
      <c r="A405" s="602"/>
      <c r="B405" s="512" t="s">
        <v>208</v>
      </c>
      <c r="C405" s="543">
        <f>SUM(F399:F401)</f>
        <v>25819.699595046444</v>
      </c>
      <c r="D405" s="511" t="s">
        <v>209</v>
      </c>
      <c r="E405" s="521">
        <f t="shared" si="133"/>
        <v>0.02</v>
      </c>
      <c r="F405" s="508">
        <f t="shared" si="131"/>
        <v>516.39399190092888</v>
      </c>
      <c r="H405" s="602"/>
      <c r="I405" s="512" t="s">
        <v>208</v>
      </c>
      <c r="J405" s="543">
        <f>SUM(M399:M401)</f>
        <v>34741.659407058833</v>
      </c>
      <c r="K405" s="511" t="s">
        <v>209</v>
      </c>
      <c r="L405" s="521">
        <f t="shared" si="134"/>
        <v>0.02</v>
      </c>
      <c r="M405" s="508">
        <f t="shared" si="132"/>
        <v>694.83318814117672</v>
      </c>
    </row>
    <row r="406" spans="1:13">
      <c r="A406" s="602"/>
      <c r="B406" s="598"/>
      <c r="C406" s="632"/>
      <c r="D406" s="598"/>
      <c r="E406" s="605"/>
      <c r="F406" s="606"/>
      <c r="H406" s="602"/>
      <c r="I406" s="598"/>
      <c r="J406" s="632"/>
      <c r="K406" s="598"/>
      <c r="L406" s="605"/>
      <c r="M406" s="606"/>
    </row>
    <row r="407" spans="1:13">
      <c r="A407" s="602"/>
      <c r="B407" s="607"/>
      <c r="C407" s="604"/>
      <c r="D407" s="603"/>
      <c r="E407" s="605"/>
      <c r="F407" s="606"/>
      <c r="H407" s="602"/>
      <c r="I407" s="607"/>
      <c r="J407" s="604"/>
      <c r="K407" s="603"/>
      <c r="L407" s="605"/>
      <c r="M407" s="606"/>
    </row>
    <row r="408" spans="1:13">
      <c r="A408" s="595"/>
      <c r="B408" s="595" t="s">
        <v>4253</v>
      </c>
      <c r="C408" s="596"/>
      <c r="D408" s="596"/>
      <c r="E408" s="596"/>
      <c r="F408" s="594">
        <f>SUM(F399:F407)</f>
        <v>35096.522508934409</v>
      </c>
      <c r="H408" s="595"/>
      <c r="I408" s="595" t="s">
        <v>4253</v>
      </c>
      <c r="J408" s="596"/>
      <c r="K408" s="596"/>
      <c r="L408" s="596"/>
      <c r="M408" s="594">
        <f>SUM(M399:M407)</f>
        <v>47734.887519164869</v>
      </c>
    </row>
    <row r="410" spans="1:13">
      <c r="A410" s="596"/>
      <c r="B410" s="1401" t="s">
        <v>5361</v>
      </c>
      <c r="C410" s="596"/>
      <c r="D410" s="596"/>
      <c r="E410" s="596"/>
      <c r="F410" s="596"/>
      <c r="H410" s="596"/>
      <c r="I410" s="1401" t="s">
        <v>5304</v>
      </c>
      <c r="J410" s="596"/>
      <c r="K410" s="596"/>
      <c r="L410" s="596"/>
      <c r="M410" s="596"/>
    </row>
    <row r="411" spans="1:13">
      <c r="A411" s="613"/>
      <c r="B411" s="614"/>
      <c r="C411" s="614"/>
      <c r="D411" s="614"/>
      <c r="E411" s="614"/>
      <c r="F411" s="615"/>
      <c r="H411" s="613"/>
      <c r="I411" s="614"/>
      <c r="J411" s="614"/>
      <c r="K411" s="614"/>
      <c r="L411" s="614"/>
      <c r="M411" s="615"/>
    </row>
    <row r="412" spans="1:13">
      <c r="A412" s="602"/>
      <c r="B412" s="632" t="s">
        <v>4298</v>
      </c>
      <c r="C412" s="632">
        <v>1.05</v>
      </c>
      <c r="D412" s="598" t="s">
        <v>825</v>
      </c>
      <c r="E412" s="605">
        <f>E399</f>
        <v>6850</v>
      </c>
      <c r="F412" s="606">
        <f t="shared" ref="F412:F414" si="135">+C412*E412</f>
        <v>7192.5</v>
      </c>
      <c r="H412" s="602"/>
      <c r="I412" s="632" t="s">
        <v>4298</v>
      </c>
      <c r="J412" s="632">
        <v>1.05</v>
      </c>
      <c r="K412" s="598" t="s">
        <v>825</v>
      </c>
      <c r="L412" s="605">
        <f>L399</f>
        <v>6850</v>
      </c>
      <c r="M412" s="606">
        <f t="shared" ref="M412:M414" si="136">+J412*L412</f>
        <v>7192.5</v>
      </c>
    </row>
    <row r="413" spans="1:13">
      <c r="A413" s="602"/>
      <c r="B413" s="632" t="s">
        <v>1683</v>
      </c>
      <c r="C413" s="632">
        <f>CUANTIAS!I475</f>
        <v>5.7816248734520137</v>
      </c>
      <c r="D413" s="598" t="s">
        <v>216</v>
      </c>
      <c r="E413" s="605">
        <f t="shared" ref="E413:E414" si="137">E400</f>
        <v>3200</v>
      </c>
      <c r="F413" s="606">
        <f t="shared" si="135"/>
        <v>18501.199595046444</v>
      </c>
      <c r="H413" s="602"/>
      <c r="I413" s="632" t="s">
        <v>1683</v>
      </c>
      <c r="J413" s="632">
        <f>CUANTIAS!I459</f>
        <v>8.5697373147058844</v>
      </c>
      <c r="K413" s="598" t="s">
        <v>216</v>
      </c>
      <c r="L413" s="605">
        <f t="shared" ref="L413:L414" si="138">L400</f>
        <v>3200</v>
      </c>
      <c r="M413" s="606">
        <f t="shared" si="136"/>
        <v>27423.159407058829</v>
      </c>
    </row>
    <row r="414" spans="1:13">
      <c r="A414" s="602"/>
      <c r="B414" s="598" t="s">
        <v>217</v>
      </c>
      <c r="C414" s="632">
        <f>SUM(C412:C412)*2</f>
        <v>2.1</v>
      </c>
      <c r="D414" s="598" t="s">
        <v>218</v>
      </c>
      <c r="E414" s="605">
        <f t="shared" si="137"/>
        <v>60</v>
      </c>
      <c r="F414" s="606">
        <f t="shared" si="135"/>
        <v>126</v>
      </c>
      <c r="H414" s="602"/>
      <c r="I414" s="598" t="s">
        <v>217</v>
      </c>
      <c r="J414" s="632">
        <f>SUM(J412:J412)*2</f>
        <v>2.1</v>
      </c>
      <c r="K414" s="598" t="s">
        <v>218</v>
      </c>
      <c r="L414" s="605">
        <f t="shared" si="138"/>
        <v>60</v>
      </c>
      <c r="M414" s="606">
        <f t="shared" si="136"/>
        <v>126</v>
      </c>
    </row>
    <row r="415" spans="1:13">
      <c r="A415" s="602"/>
      <c r="B415" s="512" t="s">
        <v>1037</v>
      </c>
      <c r="C415" s="543">
        <f>SUM(C413:C413)</f>
        <v>5.7816248734520137</v>
      </c>
      <c r="D415" s="511" t="s">
        <v>216</v>
      </c>
      <c r="E415" s="521">
        <f>Prec.!C351</f>
        <v>535.15000000000009</v>
      </c>
      <c r="F415" s="508">
        <f t="shared" ref="F415:F418" si="139">C415*E415</f>
        <v>3094.0365510278457</v>
      </c>
      <c r="H415" s="602"/>
      <c r="I415" s="512" t="s">
        <v>1037</v>
      </c>
      <c r="J415" s="543">
        <f>SUM(J413:J413)</f>
        <v>8.5697373147058844</v>
      </c>
      <c r="K415" s="511" t="s">
        <v>216</v>
      </c>
      <c r="L415" s="521">
        <f>Prec.!C352</f>
        <v>559.47499999999991</v>
      </c>
      <c r="M415" s="508">
        <f t="shared" ref="M415:M418" si="140">J415*L415</f>
        <v>4794.5537841450741</v>
      </c>
    </row>
    <row r="416" spans="1:13">
      <c r="A416" s="602"/>
      <c r="B416" s="512" t="s">
        <v>5360</v>
      </c>
      <c r="C416" s="543">
        <f>1/(0.38*0.2)</f>
        <v>13.157894736842103</v>
      </c>
      <c r="D416" s="511" t="s">
        <v>1171</v>
      </c>
      <c r="E416" s="521">
        <f>Ana.term!D8625</f>
        <v>426.71999999999997</v>
      </c>
      <c r="F416" s="508">
        <f t="shared" si="139"/>
        <v>5614.7368421052615</v>
      </c>
      <c r="H416" s="602"/>
      <c r="I416" s="512" t="s">
        <v>5362</v>
      </c>
      <c r="J416" s="543">
        <f>1/(0.3*0.2)</f>
        <v>16.666666666666668</v>
      </c>
      <c r="K416" s="511" t="s">
        <v>1171</v>
      </c>
      <c r="L416" s="521">
        <f>E416</f>
        <v>426.71999999999997</v>
      </c>
      <c r="M416" s="508">
        <f t="shared" si="140"/>
        <v>7112</v>
      </c>
    </row>
    <row r="417" spans="1:13">
      <c r="A417" s="602"/>
      <c r="B417" s="512" t="s">
        <v>1688</v>
      </c>
      <c r="C417" s="543">
        <v>1</v>
      </c>
      <c r="D417" s="511" t="s">
        <v>825</v>
      </c>
      <c r="E417" s="521">
        <f t="shared" ref="E417:E418" si="141">E404</f>
        <v>600.29999999999995</v>
      </c>
      <c r="F417" s="508">
        <f t="shared" si="139"/>
        <v>600.29999999999995</v>
      </c>
      <c r="H417" s="602"/>
      <c r="I417" s="512" t="s">
        <v>1688</v>
      </c>
      <c r="J417" s="543">
        <v>1</v>
      </c>
      <c r="K417" s="511" t="s">
        <v>825</v>
      </c>
      <c r="L417" s="521">
        <f t="shared" ref="L417:L418" si="142">E417</f>
        <v>600.29999999999995</v>
      </c>
      <c r="M417" s="508">
        <f t="shared" si="140"/>
        <v>600.29999999999995</v>
      </c>
    </row>
    <row r="418" spans="1:13">
      <c r="A418" s="602"/>
      <c r="B418" s="512" t="s">
        <v>208</v>
      </c>
      <c r="C418" s="543">
        <f>SUM(F412:F414)</f>
        <v>25819.699595046444</v>
      </c>
      <c r="D418" s="511" t="s">
        <v>209</v>
      </c>
      <c r="E418" s="521">
        <f t="shared" si="141"/>
        <v>0.02</v>
      </c>
      <c r="F418" s="508">
        <f t="shared" si="139"/>
        <v>516.39399190092888</v>
      </c>
      <c r="H418" s="602"/>
      <c r="I418" s="512" t="s">
        <v>208</v>
      </c>
      <c r="J418" s="543">
        <f>SUM(M412:M414)</f>
        <v>34741.659407058833</v>
      </c>
      <c r="K418" s="511" t="s">
        <v>209</v>
      </c>
      <c r="L418" s="521">
        <f t="shared" si="142"/>
        <v>0.02</v>
      </c>
      <c r="M418" s="508">
        <f t="shared" si="140"/>
        <v>694.83318814117672</v>
      </c>
    </row>
    <row r="419" spans="1:13">
      <c r="A419" s="602"/>
      <c r="B419" s="598"/>
      <c r="C419" s="632"/>
      <c r="D419" s="598"/>
      <c r="E419" s="605"/>
      <c r="F419" s="606"/>
      <c r="H419" s="602"/>
      <c r="I419" s="598"/>
      <c r="J419" s="632"/>
      <c r="K419" s="598"/>
      <c r="L419" s="605"/>
      <c r="M419" s="606"/>
    </row>
    <row r="420" spans="1:13">
      <c r="A420" s="602"/>
      <c r="B420" s="607"/>
      <c r="C420" s="604"/>
      <c r="D420" s="603"/>
      <c r="E420" s="605"/>
      <c r="F420" s="606"/>
      <c r="H420" s="602"/>
      <c r="I420" s="607"/>
      <c r="J420" s="604"/>
      <c r="K420" s="603"/>
      <c r="L420" s="605"/>
      <c r="M420" s="606"/>
    </row>
    <row r="421" spans="1:13">
      <c r="A421" s="595"/>
      <c r="B421" s="595" t="s">
        <v>4253</v>
      </c>
      <c r="C421" s="596"/>
      <c r="D421" s="596"/>
      <c r="E421" s="596"/>
      <c r="F421" s="594">
        <f>SUM(F412:F420)</f>
        <v>35645.166980080481</v>
      </c>
      <c r="H421" s="595"/>
      <c r="I421" s="595" t="s">
        <v>4253</v>
      </c>
      <c r="J421" s="596"/>
      <c r="K421" s="596"/>
      <c r="L421" s="596"/>
      <c r="M421" s="594">
        <f>SUM(M412:M420)</f>
        <v>47943.346379345086</v>
      </c>
    </row>
    <row r="424" spans="1:13">
      <c r="A424" s="596"/>
      <c r="B424" s="1401" t="s">
        <v>5306</v>
      </c>
      <c r="C424" s="596" t="s">
        <v>4297</v>
      </c>
      <c r="D424" s="596"/>
      <c r="E424" s="596"/>
      <c r="F424" s="596"/>
      <c r="H424" s="596"/>
      <c r="I424" s="1401" t="s">
        <v>5158</v>
      </c>
      <c r="J424" s="596"/>
      <c r="K424" s="596"/>
      <c r="L424" s="596"/>
      <c r="M424" s="596"/>
    </row>
    <row r="425" spans="1:13">
      <c r="A425" s="613"/>
      <c r="B425" s="614"/>
      <c r="C425" s="614"/>
      <c r="D425" s="614"/>
      <c r="E425" s="614"/>
      <c r="F425" s="615"/>
      <c r="H425" s="613"/>
      <c r="I425" s="614"/>
      <c r="J425" s="614"/>
      <c r="K425" s="614"/>
      <c r="L425" s="614"/>
      <c r="M425" s="615"/>
    </row>
    <row r="426" spans="1:13">
      <c r="A426" s="602"/>
      <c r="B426" s="632" t="s">
        <v>4298</v>
      </c>
      <c r="C426" s="632">
        <v>1.05</v>
      </c>
      <c r="D426" s="598" t="s">
        <v>825</v>
      </c>
      <c r="E426" s="605">
        <f>E412</f>
        <v>6850</v>
      </c>
      <c r="F426" s="606">
        <f t="shared" ref="F426:F428" si="143">+C426*E426</f>
        <v>7192.5</v>
      </c>
      <c r="H426" s="602"/>
      <c r="I426" s="632" t="s">
        <v>4298</v>
      </c>
      <c r="J426" s="632">
        <v>1.05</v>
      </c>
      <c r="K426" s="598" t="s">
        <v>825</v>
      </c>
      <c r="L426" s="605">
        <f>L412</f>
        <v>6850</v>
      </c>
      <c r="M426" s="606">
        <f t="shared" ref="M426:M428" si="144">+J426*L426</f>
        <v>7192.5</v>
      </c>
    </row>
    <row r="427" spans="1:13">
      <c r="A427" s="602"/>
      <c r="B427" s="632" t="s">
        <v>1683</v>
      </c>
      <c r="C427" s="632">
        <f>CUANTIAS!I475</f>
        <v>5.7816248734520137</v>
      </c>
      <c r="D427" s="598" t="s">
        <v>216</v>
      </c>
      <c r="E427" s="605">
        <f t="shared" ref="E427:E428" si="145">E413</f>
        <v>3200</v>
      </c>
      <c r="F427" s="606">
        <f t="shared" si="143"/>
        <v>18501.199595046444</v>
      </c>
      <c r="H427" s="602"/>
      <c r="I427" s="632" t="s">
        <v>1683</v>
      </c>
      <c r="J427" s="632">
        <f>CUANTIAS!I491</f>
        <v>4.5720073627915792</v>
      </c>
      <c r="K427" s="598" t="s">
        <v>216</v>
      </c>
      <c r="L427" s="605">
        <f t="shared" ref="L427:L428" si="146">L413</f>
        <v>3200</v>
      </c>
      <c r="M427" s="606">
        <f t="shared" si="144"/>
        <v>14630.423560933054</v>
      </c>
    </row>
    <row r="428" spans="1:13">
      <c r="A428" s="602"/>
      <c r="B428" s="598" t="s">
        <v>217</v>
      </c>
      <c r="C428" s="632">
        <f>SUM(C426:C426)*2</f>
        <v>2.1</v>
      </c>
      <c r="D428" s="598" t="s">
        <v>218</v>
      </c>
      <c r="E428" s="605">
        <f t="shared" si="145"/>
        <v>60</v>
      </c>
      <c r="F428" s="606">
        <f t="shared" si="143"/>
        <v>126</v>
      </c>
      <c r="H428" s="602"/>
      <c r="I428" s="598" t="s">
        <v>217</v>
      </c>
      <c r="J428" s="632">
        <f>SUM(J426:J426)*2</f>
        <v>2.1</v>
      </c>
      <c r="K428" s="598" t="s">
        <v>218</v>
      </c>
      <c r="L428" s="605">
        <f t="shared" si="146"/>
        <v>60</v>
      </c>
      <c r="M428" s="606">
        <f t="shared" si="144"/>
        <v>126</v>
      </c>
    </row>
    <row r="429" spans="1:13">
      <c r="A429" s="602"/>
      <c r="B429" s="512" t="s">
        <v>1037</v>
      </c>
      <c r="C429" s="543">
        <f>SUM(C427:C427)</f>
        <v>5.7816248734520137</v>
      </c>
      <c r="D429" s="511" t="s">
        <v>216</v>
      </c>
      <c r="E429" s="521">
        <f>Prec.!C352</f>
        <v>559.47499999999991</v>
      </c>
      <c r="F429" s="508">
        <f t="shared" ref="F429:F432" si="147">C429*E429</f>
        <v>3234.6745760745648</v>
      </c>
      <c r="H429" s="602"/>
      <c r="I429" s="512" t="s">
        <v>1037</v>
      </c>
      <c r="J429" s="543">
        <f>SUM(J427:J427)</f>
        <v>4.5720073627915792</v>
      </c>
      <c r="K429" s="511" t="s">
        <v>216</v>
      </c>
      <c r="L429" s="521">
        <f>Prec.!C350</f>
        <v>486.5</v>
      </c>
      <c r="M429" s="508">
        <f t="shared" ref="M429:M432" si="148">J429*L429</f>
        <v>2224.2815819981033</v>
      </c>
    </row>
    <row r="430" spans="1:13">
      <c r="A430" s="602"/>
      <c r="B430" s="512" t="s">
        <v>5360</v>
      </c>
      <c r="C430" s="543">
        <f>1/(0.38*0.2)</f>
        <v>13.157894736842103</v>
      </c>
      <c r="D430" s="511" t="s">
        <v>1171</v>
      </c>
      <c r="E430" s="521">
        <f>E416</f>
        <v>426.71999999999997</v>
      </c>
      <c r="F430" s="508">
        <f t="shared" si="147"/>
        <v>5614.7368421052615</v>
      </c>
      <c r="H430" s="602"/>
      <c r="I430" s="512" t="s">
        <v>5364</v>
      </c>
      <c r="J430" s="543">
        <f>1/(0.3*0.4)</f>
        <v>8.3333333333333339</v>
      </c>
      <c r="K430" s="511" t="s">
        <v>1171</v>
      </c>
      <c r="L430" s="521">
        <f>L416</f>
        <v>426.71999999999997</v>
      </c>
      <c r="M430" s="508">
        <f t="shared" si="148"/>
        <v>3556</v>
      </c>
    </row>
    <row r="431" spans="1:13">
      <c r="A431" s="602"/>
      <c r="B431" s="512" t="s">
        <v>1688</v>
      </c>
      <c r="C431" s="543">
        <v>1</v>
      </c>
      <c r="D431" s="511" t="s">
        <v>825</v>
      </c>
      <c r="E431" s="521">
        <f t="shared" ref="E431:E432" si="149">E417</f>
        <v>600.29999999999995</v>
      </c>
      <c r="F431" s="508">
        <f t="shared" si="147"/>
        <v>600.29999999999995</v>
      </c>
      <c r="H431" s="602"/>
      <c r="I431" s="512" t="s">
        <v>1688</v>
      </c>
      <c r="J431" s="543">
        <v>1</v>
      </c>
      <c r="K431" s="511" t="s">
        <v>825</v>
      </c>
      <c r="L431" s="521">
        <f t="shared" ref="L431:L432" si="150">L417</f>
        <v>600.29999999999995</v>
      </c>
      <c r="M431" s="508">
        <f t="shared" si="148"/>
        <v>600.29999999999995</v>
      </c>
    </row>
    <row r="432" spans="1:13">
      <c r="A432" s="602"/>
      <c r="B432" s="512" t="s">
        <v>208</v>
      </c>
      <c r="C432" s="543">
        <f>SUM(F426:F428)</f>
        <v>25819.699595046444</v>
      </c>
      <c r="D432" s="511" t="s">
        <v>209</v>
      </c>
      <c r="E432" s="521">
        <f t="shared" si="149"/>
        <v>0.02</v>
      </c>
      <c r="F432" s="508">
        <f t="shared" si="147"/>
        <v>516.39399190092888</v>
      </c>
      <c r="H432" s="602"/>
      <c r="I432" s="512" t="s">
        <v>208</v>
      </c>
      <c r="J432" s="543">
        <f>SUM(M426:M428)</f>
        <v>21948.923560933054</v>
      </c>
      <c r="K432" s="511" t="s">
        <v>209</v>
      </c>
      <c r="L432" s="521">
        <f t="shared" si="150"/>
        <v>0.02</v>
      </c>
      <c r="M432" s="508">
        <f t="shared" si="148"/>
        <v>438.97847121866107</v>
      </c>
    </row>
    <row r="433" spans="1:13">
      <c r="A433" s="602"/>
      <c r="B433" s="598"/>
      <c r="C433" s="632"/>
      <c r="D433" s="598"/>
      <c r="E433" s="605"/>
      <c r="F433" s="606"/>
      <c r="H433" s="602"/>
      <c r="I433" s="598"/>
      <c r="J433" s="632"/>
      <c r="K433" s="598"/>
      <c r="L433" s="605"/>
      <c r="M433" s="606"/>
    </row>
    <row r="434" spans="1:13">
      <c r="A434" s="602"/>
      <c r="B434" s="607"/>
      <c r="C434" s="604"/>
      <c r="D434" s="603"/>
      <c r="E434" s="605"/>
      <c r="F434" s="606"/>
      <c r="H434" s="602"/>
      <c r="I434" s="607"/>
      <c r="J434" s="604"/>
      <c r="K434" s="603"/>
      <c r="L434" s="605"/>
      <c r="M434" s="606"/>
    </row>
    <row r="435" spans="1:13">
      <c r="A435" s="595"/>
      <c r="B435" s="595" t="s">
        <v>4253</v>
      </c>
      <c r="C435" s="596"/>
      <c r="D435" s="596"/>
      <c r="E435" s="596"/>
      <c r="F435" s="594">
        <f>SUM(F426:F434)</f>
        <v>35785.8050051272</v>
      </c>
      <c r="H435" s="595"/>
      <c r="I435" s="595" t="s">
        <v>4253</v>
      </c>
      <c r="J435" s="596"/>
      <c r="K435" s="596"/>
      <c r="L435" s="596"/>
      <c r="M435" s="594">
        <f>SUM(M426:M434)</f>
        <v>28768.483614149816</v>
      </c>
    </row>
    <row r="436" spans="1:13">
      <c r="A436" s="612"/>
      <c r="B436" s="612"/>
      <c r="C436" s="612"/>
      <c r="D436" s="612"/>
      <c r="E436" s="612"/>
      <c r="F436" s="612"/>
    </row>
    <row r="437" spans="1:13">
      <c r="A437" s="596"/>
      <c r="B437" s="1401" t="s">
        <v>5159</v>
      </c>
      <c r="C437" s="596"/>
      <c r="D437" s="596"/>
      <c r="E437" s="596"/>
      <c r="F437" s="596"/>
      <c r="H437" s="596"/>
      <c r="I437" s="1401" t="s">
        <v>5365</v>
      </c>
      <c r="J437" s="596" t="s">
        <v>4297</v>
      </c>
      <c r="K437" s="596"/>
      <c r="L437" s="596"/>
      <c r="M437" s="596"/>
    </row>
    <row r="438" spans="1:13">
      <c r="A438" s="613"/>
      <c r="B438" s="614"/>
      <c r="C438" s="614"/>
      <c r="D438" s="614"/>
      <c r="E438" s="614"/>
      <c r="F438" s="615"/>
      <c r="H438" s="613"/>
      <c r="I438" s="614"/>
      <c r="J438" s="614"/>
      <c r="K438" s="614"/>
      <c r="L438" s="614"/>
      <c r="M438" s="615"/>
    </row>
    <row r="439" spans="1:13">
      <c r="A439" s="602"/>
      <c r="B439" s="632" t="s">
        <v>4298</v>
      </c>
      <c r="C439" s="632">
        <v>1.05</v>
      </c>
      <c r="D439" s="598" t="s">
        <v>825</v>
      </c>
      <c r="E439" s="605">
        <f>E426</f>
        <v>6850</v>
      </c>
      <c r="F439" s="606">
        <f t="shared" ref="F439:F441" si="151">+C439*E439</f>
        <v>7192.5</v>
      </c>
      <c r="H439" s="602"/>
      <c r="I439" s="632" t="s">
        <v>4298</v>
      </c>
      <c r="J439" s="632">
        <v>1.05</v>
      </c>
      <c r="K439" s="598" t="s">
        <v>825</v>
      </c>
      <c r="L439" s="605">
        <f>E439</f>
        <v>6850</v>
      </c>
      <c r="M439" s="606">
        <f t="shared" ref="M439:M441" si="152">+J439*L439</f>
        <v>7192.5</v>
      </c>
    </row>
    <row r="440" spans="1:13" ht="14.45" customHeight="1">
      <c r="A440" s="602"/>
      <c r="B440" s="632" t="s">
        <v>1683</v>
      </c>
      <c r="C440" s="632">
        <f>CUANTIAS!I508</f>
        <v>5.9022105544841326</v>
      </c>
      <c r="D440" s="598" t="s">
        <v>216</v>
      </c>
      <c r="E440" s="605">
        <f t="shared" ref="E440:E441" si="153">E427</f>
        <v>3200</v>
      </c>
      <c r="F440" s="606">
        <f t="shared" si="151"/>
        <v>18887.073774349225</v>
      </c>
      <c r="H440" s="602"/>
      <c r="I440" s="632" t="s">
        <v>1683</v>
      </c>
      <c r="J440" s="632">
        <f>CUANTIAS!I525</f>
        <v>5.5848055555555547</v>
      </c>
      <c r="K440" s="598" t="s">
        <v>216</v>
      </c>
      <c r="L440" s="605">
        <f t="shared" ref="L440:L441" si="154">E440</f>
        <v>3200</v>
      </c>
      <c r="M440" s="606">
        <f t="shared" si="152"/>
        <v>17871.377777777776</v>
      </c>
    </row>
    <row r="441" spans="1:13" ht="14.45" customHeight="1">
      <c r="A441" s="602"/>
      <c r="B441" s="598" t="s">
        <v>217</v>
      </c>
      <c r="C441" s="632">
        <f>SUM(C439:C439)*2</f>
        <v>2.1</v>
      </c>
      <c r="D441" s="598" t="s">
        <v>218</v>
      </c>
      <c r="E441" s="605">
        <f t="shared" si="153"/>
        <v>60</v>
      </c>
      <c r="F441" s="606">
        <f t="shared" si="151"/>
        <v>126</v>
      </c>
      <c r="H441" s="602"/>
      <c r="I441" s="598" t="s">
        <v>217</v>
      </c>
      <c r="J441" s="632">
        <f>SUM(J439:J439)*2</f>
        <v>2.1</v>
      </c>
      <c r="K441" s="598" t="s">
        <v>218</v>
      </c>
      <c r="L441" s="605">
        <f t="shared" si="154"/>
        <v>60</v>
      </c>
      <c r="M441" s="606">
        <f t="shared" si="152"/>
        <v>126</v>
      </c>
    </row>
    <row r="442" spans="1:13" ht="14.45" customHeight="1">
      <c r="A442" s="602"/>
      <c r="B442" s="512" t="s">
        <v>1037</v>
      </c>
      <c r="C442" s="543">
        <f>SUM(C440:C440)</f>
        <v>5.9022105544841326</v>
      </c>
      <c r="D442" s="511" t="s">
        <v>216</v>
      </c>
      <c r="E442" s="521">
        <f>Prec.!C350</f>
        <v>486.5</v>
      </c>
      <c r="F442" s="508">
        <f t="shared" ref="F442:F445" si="155">C442*E442</f>
        <v>2871.4254347565306</v>
      </c>
      <c r="H442" s="602"/>
      <c r="I442" s="512" t="s">
        <v>1037</v>
      </c>
      <c r="J442" s="543">
        <f>SUM(J440:J440)</f>
        <v>5.5848055555555547</v>
      </c>
      <c r="K442" s="511" t="s">
        <v>216</v>
      </c>
      <c r="L442" s="521">
        <f>Prec.!C350</f>
        <v>486.5</v>
      </c>
      <c r="M442" s="508">
        <f t="shared" ref="M442:M445" si="156">J442*L442</f>
        <v>2717.0079027777774</v>
      </c>
    </row>
    <row r="443" spans="1:13" ht="14.45" customHeight="1">
      <c r="A443" s="602"/>
      <c r="B443" s="512" t="s">
        <v>5364</v>
      </c>
      <c r="C443" s="543">
        <f>1/(0.3*0.4)</f>
        <v>8.3333333333333339</v>
      </c>
      <c r="D443" s="511" t="s">
        <v>1171</v>
      </c>
      <c r="E443" s="521">
        <f>E430</f>
        <v>426.71999999999997</v>
      </c>
      <c r="F443" s="508">
        <f t="shared" si="155"/>
        <v>3556</v>
      </c>
      <c r="H443" s="602"/>
      <c r="I443" s="512" t="s">
        <v>5364</v>
      </c>
      <c r="J443" s="543">
        <f>1/(0.3*0.4)</f>
        <v>8.3333333333333339</v>
      </c>
      <c r="K443" s="511" t="s">
        <v>1171</v>
      </c>
      <c r="L443" s="521">
        <f>L430</f>
        <v>426.71999999999997</v>
      </c>
      <c r="M443" s="508">
        <f t="shared" si="156"/>
        <v>3556</v>
      </c>
    </row>
    <row r="444" spans="1:13" ht="14.45" customHeight="1">
      <c r="A444" s="602"/>
      <c r="B444" s="512" t="s">
        <v>1688</v>
      </c>
      <c r="C444" s="543">
        <v>1</v>
      </c>
      <c r="D444" s="511" t="s">
        <v>825</v>
      </c>
      <c r="E444" s="521">
        <f t="shared" ref="E444:E445" si="157">E431</f>
        <v>600.29999999999995</v>
      </c>
      <c r="F444" s="508">
        <f t="shared" si="155"/>
        <v>600.29999999999995</v>
      </c>
      <c r="H444" s="602"/>
      <c r="I444" s="512" t="s">
        <v>1688</v>
      </c>
      <c r="J444" s="543">
        <v>1</v>
      </c>
      <c r="K444" s="511" t="s">
        <v>825</v>
      </c>
      <c r="L444" s="521">
        <f t="shared" ref="L444:L445" si="158">L431</f>
        <v>600.29999999999995</v>
      </c>
      <c r="M444" s="508">
        <f t="shared" si="156"/>
        <v>600.29999999999995</v>
      </c>
    </row>
    <row r="445" spans="1:13" ht="14.45" customHeight="1">
      <c r="A445" s="602"/>
      <c r="B445" s="512" t="s">
        <v>208</v>
      </c>
      <c r="C445" s="543">
        <f>SUM(F439:F441)</f>
        <v>26205.573774349225</v>
      </c>
      <c r="D445" s="511" t="s">
        <v>209</v>
      </c>
      <c r="E445" s="521">
        <f t="shared" si="157"/>
        <v>0.02</v>
      </c>
      <c r="F445" s="508">
        <f t="shared" si="155"/>
        <v>524.11147548698455</v>
      </c>
      <c r="H445" s="602"/>
      <c r="I445" s="512" t="s">
        <v>208</v>
      </c>
      <c r="J445" s="543">
        <f>SUM(M439:M441)</f>
        <v>25189.877777777776</v>
      </c>
      <c r="K445" s="511" t="s">
        <v>209</v>
      </c>
      <c r="L445" s="521">
        <f t="shared" si="158"/>
        <v>0.02</v>
      </c>
      <c r="M445" s="508">
        <f t="shared" si="156"/>
        <v>503.7975555555555</v>
      </c>
    </row>
    <row r="446" spans="1:13" ht="14.45" customHeight="1">
      <c r="A446" s="602"/>
      <c r="B446" s="598"/>
      <c r="C446" s="632"/>
      <c r="D446" s="598"/>
      <c r="E446" s="605"/>
      <c r="F446" s="606"/>
      <c r="H446" s="602"/>
      <c r="I446" s="598"/>
      <c r="J446" s="632"/>
      <c r="K446" s="598"/>
      <c r="L446" s="605"/>
      <c r="M446" s="606"/>
    </row>
    <row r="447" spans="1:13" ht="14.45" customHeight="1">
      <c r="A447" s="602"/>
      <c r="B447" s="607"/>
      <c r="C447" s="604"/>
      <c r="D447" s="603"/>
      <c r="E447" s="605"/>
      <c r="F447" s="606"/>
      <c r="H447" s="602"/>
      <c r="I447" s="607"/>
      <c r="J447" s="604"/>
      <c r="K447" s="603"/>
      <c r="L447" s="605"/>
      <c r="M447" s="606"/>
    </row>
    <row r="448" spans="1:13" ht="14.45" customHeight="1">
      <c r="A448" s="595"/>
      <c r="B448" s="595" t="s">
        <v>4253</v>
      </c>
      <c r="C448" s="596"/>
      <c r="D448" s="596"/>
      <c r="E448" s="596"/>
      <c r="F448" s="594">
        <f>SUM(F439:F447)</f>
        <v>33757.410684592738</v>
      </c>
      <c r="H448" s="595"/>
      <c r="I448" s="595" t="s">
        <v>4253</v>
      </c>
      <c r="J448" s="596"/>
      <c r="K448" s="596"/>
      <c r="L448" s="596"/>
      <c r="M448" s="594">
        <f>SUM(M439:M447)</f>
        <v>32566.983236111111</v>
      </c>
    </row>
    <row r="449" spans="1:13" ht="14.45" customHeight="1"/>
    <row r="450" spans="1:13" ht="14.45" customHeight="1">
      <c r="A450" s="596"/>
      <c r="B450" s="1401" t="s">
        <v>5310</v>
      </c>
      <c r="C450" s="596" t="s">
        <v>4297</v>
      </c>
      <c r="D450" s="596"/>
      <c r="E450" s="596"/>
      <c r="F450" s="596"/>
      <c r="H450" s="596"/>
      <c r="I450" s="1401" t="s">
        <v>5307</v>
      </c>
      <c r="J450" s="596" t="s">
        <v>4297</v>
      </c>
      <c r="K450" s="596"/>
      <c r="L450" s="596"/>
      <c r="M450" s="596"/>
    </row>
    <row r="451" spans="1:13" ht="14.45" customHeight="1">
      <c r="A451" s="613"/>
      <c r="B451" s="614"/>
      <c r="C451" s="614"/>
      <c r="D451" s="614"/>
      <c r="E451" s="614"/>
      <c r="F451" s="615"/>
      <c r="H451" s="613"/>
      <c r="I451" s="614"/>
      <c r="J451" s="614"/>
      <c r="K451" s="614"/>
      <c r="L451" s="614"/>
      <c r="M451" s="615"/>
    </row>
    <row r="452" spans="1:13" ht="14.45" customHeight="1">
      <c r="A452" s="602"/>
      <c r="B452" s="632" t="s">
        <v>4298</v>
      </c>
      <c r="C452" s="632">
        <v>1.05</v>
      </c>
      <c r="D452" s="598" t="s">
        <v>825</v>
      </c>
      <c r="E452" s="605">
        <f>E439</f>
        <v>6850</v>
      </c>
      <c r="F452" s="606">
        <f t="shared" ref="F452:F454" si="159">+C452*E452</f>
        <v>7192.5</v>
      </c>
      <c r="H452" s="602"/>
      <c r="I452" s="632" t="s">
        <v>4298</v>
      </c>
      <c r="J452" s="632">
        <v>1.05</v>
      </c>
      <c r="K452" s="598" t="s">
        <v>825</v>
      </c>
      <c r="L452" s="605">
        <f>+L439</f>
        <v>6850</v>
      </c>
      <c r="M452" s="606">
        <f t="shared" ref="M452:M454" si="160">+J452*L452</f>
        <v>7192.5</v>
      </c>
    </row>
    <row r="453" spans="1:13" ht="14.45" customHeight="1">
      <c r="A453" s="602"/>
      <c r="B453" s="632" t="s">
        <v>1683</v>
      </c>
      <c r="C453" s="632">
        <f>+CUANTIAS!I541</f>
        <v>6.6853391227011487</v>
      </c>
      <c r="D453" s="598" t="s">
        <v>216</v>
      </c>
      <c r="E453" s="605">
        <f t="shared" ref="E453:E454" si="161">E440</f>
        <v>3200</v>
      </c>
      <c r="F453" s="606">
        <f t="shared" si="159"/>
        <v>21393.085192643677</v>
      </c>
      <c r="H453" s="602"/>
      <c r="I453" s="632" t="s">
        <v>1683</v>
      </c>
      <c r="J453" s="632">
        <f>CUANTIAS!I525</f>
        <v>5.5848055555555547</v>
      </c>
      <c r="K453" s="598" t="s">
        <v>216</v>
      </c>
      <c r="L453" s="618">
        <f>+L440</f>
        <v>3200</v>
      </c>
      <c r="M453" s="606">
        <f t="shared" si="160"/>
        <v>17871.377777777776</v>
      </c>
    </row>
    <row r="454" spans="1:13" ht="14.45" customHeight="1">
      <c r="A454" s="602"/>
      <c r="B454" s="598" t="s">
        <v>217</v>
      </c>
      <c r="C454" s="632">
        <f>SUM(C452:C452)*2</f>
        <v>2.1</v>
      </c>
      <c r="D454" s="598" t="s">
        <v>218</v>
      </c>
      <c r="E454" s="605">
        <f t="shared" si="161"/>
        <v>60</v>
      </c>
      <c r="F454" s="606">
        <f t="shared" si="159"/>
        <v>126</v>
      </c>
      <c r="H454" s="602"/>
      <c r="I454" s="598" t="s">
        <v>217</v>
      </c>
      <c r="J454" s="632">
        <f>SUM(J452:J452)*2</f>
        <v>2.1</v>
      </c>
      <c r="K454" s="598" t="s">
        <v>218</v>
      </c>
      <c r="L454" s="605">
        <f>+'[14]LISTADO DE MATERIALES'!$G$14</f>
        <v>52</v>
      </c>
      <c r="M454" s="606">
        <f t="shared" si="160"/>
        <v>109.2</v>
      </c>
    </row>
    <row r="455" spans="1:13" ht="14.45" customHeight="1">
      <c r="A455" s="602"/>
      <c r="B455" s="512" t="s">
        <v>1037</v>
      </c>
      <c r="C455" s="543">
        <f>SUM(C453:C453)</f>
        <v>6.6853391227011487</v>
      </c>
      <c r="D455" s="511" t="s">
        <v>216</v>
      </c>
      <c r="E455" s="521">
        <f>Prec.!C350</f>
        <v>486.5</v>
      </c>
      <c r="F455" s="508">
        <f t="shared" ref="F455:F458" si="162">C455*E455</f>
        <v>3252.4174831941086</v>
      </c>
      <c r="H455" s="602"/>
      <c r="I455" s="512" t="s">
        <v>1037</v>
      </c>
      <c r="J455" s="543">
        <f>SUM(J453:J453)</f>
        <v>5.5848055555555547</v>
      </c>
      <c r="K455" s="511" t="s">
        <v>216</v>
      </c>
      <c r="L455" s="521">
        <f>Prec.!C351</f>
        <v>535.15000000000009</v>
      </c>
      <c r="M455" s="508">
        <f t="shared" ref="M455:M458" si="163">J455*L455</f>
        <v>2988.7086930555556</v>
      </c>
    </row>
    <row r="456" spans="1:13" ht="14.45" customHeight="1">
      <c r="A456" s="602"/>
      <c r="B456" s="512" t="s">
        <v>5364</v>
      </c>
      <c r="C456" s="543">
        <f>1/(0.3*0.4)</f>
        <v>8.3333333333333339</v>
      </c>
      <c r="D456" s="511" t="s">
        <v>1171</v>
      </c>
      <c r="E456" s="521">
        <f>E443</f>
        <v>426.71999999999997</v>
      </c>
      <c r="F456" s="508">
        <f t="shared" si="162"/>
        <v>3556</v>
      </c>
      <c r="H456" s="602"/>
      <c r="I456" s="512" t="s">
        <v>5364</v>
      </c>
      <c r="J456" s="543">
        <f>1/(0.3*0.4)</f>
        <v>8.3333333333333339</v>
      </c>
      <c r="K456" s="511" t="s">
        <v>1171</v>
      </c>
      <c r="L456" s="521">
        <f>L443</f>
        <v>426.71999999999997</v>
      </c>
      <c r="M456" s="508">
        <f t="shared" si="163"/>
        <v>3556</v>
      </c>
    </row>
    <row r="457" spans="1:13">
      <c r="A457" s="602"/>
      <c r="B457" s="512" t="s">
        <v>1688</v>
      </c>
      <c r="C457" s="543">
        <v>1</v>
      </c>
      <c r="D457" s="511" t="s">
        <v>825</v>
      </c>
      <c r="E457" s="521">
        <f t="shared" ref="E457:E458" si="164">E444</f>
        <v>600.29999999999995</v>
      </c>
      <c r="F457" s="508">
        <f t="shared" si="162"/>
        <v>600.29999999999995</v>
      </c>
      <c r="H457" s="602"/>
      <c r="I457" s="512" t="s">
        <v>1688</v>
      </c>
      <c r="J457" s="543">
        <v>1</v>
      </c>
      <c r="K457" s="511" t="s">
        <v>825</v>
      </c>
      <c r="L457" s="521">
        <f t="shared" ref="L457:L458" si="165">L444</f>
        <v>600.29999999999995</v>
      </c>
      <c r="M457" s="508">
        <f t="shared" si="163"/>
        <v>600.29999999999995</v>
      </c>
    </row>
    <row r="458" spans="1:13">
      <c r="A458" s="602"/>
      <c r="B458" s="512" t="s">
        <v>208</v>
      </c>
      <c r="C458" s="543">
        <f>SUM(F452:F454)</f>
        <v>28711.585192643677</v>
      </c>
      <c r="D458" s="511" t="s">
        <v>209</v>
      </c>
      <c r="E458" s="521">
        <f t="shared" si="164"/>
        <v>0.02</v>
      </c>
      <c r="F458" s="508">
        <f t="shared" si="162"/>
        <v>574.23170385287358</v>
      </c>
      <c r="H458" s="602"/>
      <c r="I458" s="512" t="s">
        <v>208</v>
      </c>
      <c r="J458" s="543">
        <f>SUM(M452:M454)</f>
        <v>25173.077777777777</v>
      </c>
      <c r="K458" s="511" t="s">
        <v>209</v>
      </c>
      <c r="L458" s="521">
        <f t="shared" si="165"/>
        <v>0.02</v>
      </c>
      <c r="M458" s="508">
        <f t="shared" si="163"/>
        <v>503.46155555555555</v>
      </c>
    </row>
    <row r="459" spans="1:13">
      <c r="A459" s="602"/>
      <c r="B459" s="598"/>
      <c r="C459" s="632"/>
      <c r="D459" s="598"/>
      <c r="E459" s="605"/>
      <c r="F459" s="606"/>
      <c r="H459" s="602"/>
      <c r="I459" s="598"/>
      <c r="J459" s="632"/>
      <c r="K459" s="598"/>
      <c r="L459" s="605"/>
      <c r="M459" s="606"/>
    </row>
    <row r="460" spans="1:13">
      <c r="A460" s="602"/>
      <c r="B460" s="607"/>
      <c r="C460" s="604"/>
      <c r="D460" s="603"/>
      <c r="E460" s="605"/>
      <c r="F460" s="606"/>
      <c r="H460" s="602"/>
      <c r="I460" s="607"/>
      <c r="J460" s="604"/>
      <c r="K460" s="603"/>
      <c r="L460" s="605"/>
      <c r="M460" s="606"/>
    </row>
    <row r="461" spans="1:13">
      <c r="A461" s="595"/>
      <c r="B461" s="595" t="s">
        <v>4253</v>
      </c>
      <c r="C461" s="596"/>
      <c r="D461" s="596"/>
      <c r="E461" s="596"/>
      <c r="F461" s="594">
        <f>SUM(F452:F460)</f>
        <v>36694.53437969066</v>
      </c>
      <c r="H461" s="595"/>
      <c r="I461" s="595" t="s">
        <v>4253</v>
      </c>
      <c r="J461" s="596"/>
      <c r="K461" s="596"/>
      <c r="L461" s="596"/>
      <c r="M461" s="594">
        <f>SUM(M452:M460)</f>
        <v>32821.548026388889</v>
      </c>
    </row>
    <row r="462" spans="1:13">
      <c r="A462" s="612"/>
      <c r="B462" s="612"/>
      <c r="C462" s="612"/>
      <c r="D462" s="612"/>
      <c r="E462" s="612"/>
      <c r="F462" s="612"/>
      <c r="H462" s="612"/>
      <c r="I462" s="612"/>
      <c r="J462" s="612"/>
      <c r="K462" s="612"/>
      <c r="L462" s="612"/>
      <c r="M462" s="612"/>
    </row>
    <row r="463" spans="1:13">
      <c r="A463" s="596"/>
      <c r="B463" s="1401" t="s">
        <v>5311</v>
      </c>
      <c r="C463" s="596" t="s">
        <v>4297</v>
      </c>
      <c r="D463" s="596"/>
      <c r="E463" s="596"/>
      <c r="F463" s="596"/>
      <c r="H463" s="596"/>
      <c r="I463" s="1401" t="s">
        <v>5308</v>
      </c>
      <c r="J463" s="596" t="s">
        <v>4297</v>
      </c>
      <c r="K463" s="596"/>
      <c r="L463" s="596"/>
      <c r="M463" s="596"/>
    </row>
    <row r="464" spans="1:13">
      <c r="A464" s="613"/>
      <c r="B464" s="614"/>
      <c r="C464" s="614"/>
      <c r="D464" s="614"/>
      <c r="E464" s="614"/>
      <c r="F464" s="615"/>
      <c r="H464" s="613"/>
      <c r="I464" s="614"/>
      <c r="J464" s="614"/>
      <c r="K464" s="614"/>
      <c r="L464" s="614"/>
      <c r="M464" s="615"/>
    </row>
    <row r="465" spans="1:13">
      <c r="A465" s="602"/>
      <c r="B465" s="632" t="s">
        <v>4298</v>
      </c>
      <c r="C465" s="632">
        <v>1.05</v>
      </c>
      <c r="D465" s="598" t="s">
        <v>825</v>
      </c>
      <c r="E465" s="605">
        <f>E452</f>
        <v>6850</v>
      </c>
      <c r="F465" s="606">
        <f t="shared" ref="F465:F467" si="166">+C465*E465</f>
        <v>7192.5</v>
      </c>
      <c r="H465" s="602"/>
      <c r="I465" s="632" t="s">
        <v>4298</v>
      </c>
      <c r="J465" s="632">
        <v>1.05</v>
      </c>
      <c r="K465" s="598" t="s">
        <v>825</v>
      </c>
      <c r="L465" s="605">
        <f>+L452</f>
        <v>6850</v>
      </c>
      <c r="M465" s="606">
        <f t="shared" ref="M465:M467" si="167">+J465*L465</f>
        <v>7192.5</v>
      </c>
    </row>
    <row r="466" spans="1:13">
      <c r="A466" s="602"/>
      <c r="B466" s="632" t="s">
        <v>1683</v>
      </c>
      <c r="C466" s="632">
        <f>C453</f>
        <v>6.6853391227011487</v>
      </c>
      <c r="D466" s="598" t="s">
        <v>216</v>
      </c>
      <c r="E466" s="605">
        <f t="shared" ref="E466:E467" si="168">E453</f>
        <v>3200</v>
      </c>
      <c r="F466" s="606">
        <f t="shared" si="166"/>
        <v>21393.085192643677</v>
      </c>
      <c r="H466" s="602"/>
      <c r="I466" s="632" t="s">
        <v>1683</v>
      </c>
      <c r="J466" s="632">
        <f>J453</f>
        <v>5.5848055555555547</v>
      </c>
      <c r="K466" s="598" t="s">
        <v>216</v>
      </c>
      <c r="L466" s="618">
        <f>+L453</f>
        <v>3200</v>
      </c>
      <c r="M466" s="606">
        <f t="shared" si="167"/>
        <v>17871.377777777776</v>
      </c>
    </row>
    <row r="467" spans="1:13">
      <c r="A467" s="602"/>
      <c r="B467" s="598" t="s">
        <v>217</v>
      </c>
      <c r="C467" s="632">
        <f>SUM(C465:C465)*2</f>
        <v>2.1</v>
      </c>
      <c r="D467" s="598" t="s">
        <v>218</v>
      </c>
      <c r="E467" s="605">
        <f t="shared" si="168"/>
        <v>60</v>
      </c>
      <c r="F467" s="606">
        <f t="shared" si="166"/>
        <v>126</v>
      </c>
      <c r="H467" s="602"/>
      <c r="I467" s="598" t="s">
        <v>217</v>
      </c>
      <c r="J467" s="632">
        <f>SUM(J465:J465)*2</f>
        <v>2.1</v>
      </c>
      <c r="K467" s="598" t="s">
        <v>218</v>
      </c>
      <c r="L467" s="605">
        <f>+'[14]LISTADO DE MATERIALES'!$G$14</f>
        <v>52</v>
      </c>
      <c r="M467" s="606">
        <f t="shared" si="167"/>
        <v>109.2</v>
      </c>
    </row>
    <row r="468" spans="1:13">
      <c r="A468" s="602"/>
      <c r="B468" s="512" t="s">
        <v>1037</v>
      </c>
      <c r="C468" s="543">
        <f>SUM(C466:C466)</f>
        <v>6.6853391227011487</v>
      </c>
      <c r="D468" s="511" t="s">
        <v>216</v>
      </c>
      <c r="E468" s="521">
        <f>Prec.!C351</f>
        <v>535.15000000000009</v>
      </c>
      <c r="F468" s="508">
        <f t="shared" ref="F468:F471" si="169">C468*E468</f>
        <v>3577.6592315135204</v>
      </c>
      <c r="H468" s="602"/>
      <c r="I468" s="512" t="s">
        <v>1037</v>
      </c>
      <c r="J468" s="543">
        <f>SUM(J466:J466)</f>
        <v>5.5848055555555547</v>
      </c>
      <c r="K468" s="511" t="s">
        <v>216</v>
      </c>
      <c r="L468" s="521">
        <f>Prec.!C352</f>
        <v>559.47499999999991</v>
      </c>
      <c r="M468" s="508">
        <f t="shared" ref="M468:M471" si="170">J468*L468</f>
        <v>3124.5590881944436</v>
      </c>
    </row>
    <row r="469" spans="1:13">
      <c r="A469" s="602"/>
      <c r="B469" s="512" t="s">
        <v>5364</v>
      </c>
      <c r="C469" s="543">
        <f>1/(0.3*0.4)</f>
        <v>8.3333333333333339</v>
      </c>
      <c r="D469" s="511" t="s">
        <v>1171</v>
      </c>
      <c r="E469" s="521">
        <f>E456</f>
        <v>426.71999999999997</v>
      </c>
      <c r="F469" s="508">
        <f t="shared" si="169"/>
        <v>3556</v>
      </c>
      <c r="H469" s="602"/>
      <c r="I469" s="512" t="s">
        <v>5364</v>
      </c>
      <c r="J469" s="543">
        <f>1/(0.3*0.4)</f>
        <v>8.3333333333333339</v>
      </c>
      <c r="K469" s="511" t="s">
        <v>1171</v>
      </c>
      <c r="L469" s="521">
        <f>L456</f>
        <v>426.71999999999997</v>
      </c>
      <c r="M469" s="508">
        <f t="shared" si="170"/>
        <v>3556</v>
      </c>
    </row>
    <row r="470" spans="1:13">
      <c r="A470" s="602"/>
      <c r="B470" s="512" t="s">
        <v>1688</v>
      </c>
      <c r="C470" s="543">
        <v>1</v>
      </c>
      <c r="D470" s="511" t="s">
        <v>825</v>
      </c>
      <c r="E470" s="521">
        <f t="shared" ref="E470:E471" si="171">E457</f>
        <v>600.29999999999995</v>
      </c>
      <c r="F470" s="508">
        <f t="shared" si="169"/>
        <v>600.29999999999995</v>
      </c>
      <c r="H470" s="602"/>
      <c r="I470" s="512" t="s">
        <v>1688</v>
      </c>
      <c r="J470" s="543">
        <v>1</v>
      </c>
      <c r="K470" s="511" t="s">
        <v>825</v>
      </c>
      <c r="L470" s="521">
        <f t="shared" ref="L470:L471" si="172">L457</f>
        <v>600.29999999999995</v>
      </c>
      <c r="M470" s="508">
        <f t="shared" si="170"/>
        <v>600.29999999999995</v>
      </c>
    </row>
    <row r="471" spans="1:13">
      <c r="A471" s="602"/>
      <c r="B471" s="512" t="s">
        <v>208</v>
      </c>
      <c r="C471" s="543">
        <f>SUM(F465:F467)</f>
        <v>28711.585192643677</v>
      </c>
      <c r="D471" s="511" t="s">
        <v>209</v>
      </c>
      <c r="E471" s="521">
        <f t="shared" si="171"/>
        <v>0.02</v>
      </c>
      <c r="F471" s="508">
        <f t="shared" si="169"/>
        <v>574.23170385287358</v>
      </c>
      <c r="H471" s="602"/>
      <c r="I471" s="512" t="s">
        <v>208</v>
      </c>
      <c r="J471" s="543">
        <f>SUM(M465:M467)</f>
        <v>25173.077777777777</v>
      </c>
      <c r="K471" s="511" t="s">
        <v>209</v>
      </c>
      <c r="L471" s="521">
        <f t="shared" si="172"/>
        <v>0.02</v>
      </c>
      <c r="M471" s="508">
        <f t="shared" si="170"/>
        <v>503.46155555555555</v>
      </c>
    </row>
    <row r="472" spans="1:13">
      <c r="A472" s="602"/>
      <c r="B472" s="598"/>
      <c r="C472" s="632"/>
      <c r="D472" s="598"/>
      <c r="E472" s="605"/>
      <c r="F472" s="606"/>
      <c r="H472" s="602"/>
      <c r="I472" s="598"/>
      <c r="J472" s="632"/>
      <c r="K472" s="598"/>
      <c r="L472" s="605"/>
      <c r="M472" s="606"/>
    </row>
    <row r="473" spans="1:13">
      <c r="A473" s="602"/>
      <c r="B473" s="607"/>
      <c r="C473" s="604"/>
      <c r="D473" s="603"/>
      <c r="E473" s="605"/>
      <c r="F473" s="606"/>
      <c r="H473" s="602"/>
      <c r="I473" s="607"/>
      <c r="J473" s="604"/>
      <c r="K473" s="603"/>
      <c r="L473" s="605"/>
      <c r="M473" s="606"/>
    </row>
    <row r="474" spans="1:13">
      <c r="A474" s="595"/>
      <c r="B474" s="595" t="s">
        <v>4253</v>
      </c>
      <c r="C474" s="596"/>
      <c r="D474" s="596"/>
      <c r="E474" s="596"/>
      <c r="F474" s="594">
        <f>SUM(F465:F473)</f>
        <v>37019.776128010068</v>
      </c>
      <c r="H474" s="595"/>
      <c r="I474" s="595" t="s">
        <v>4253</v>
      </c>
      <c r="J474" s="596"/>
      <c r="K474" s="596"/>
      <c r="L474" s="596"/>
      <c r="M474" s="594">
        <f>SUM(M465:M473)</f>
        <v>32957.398421527774</v>
      </c>
    </row>
    <row r="475" spans="1:13">
      <c r="A475" s="612"/>
      <c r="B475" s="612"/>
      <c r="C475" s="612"/>
      <c r="D475" s="612"/>
      <c r="E475" s="612"/>
      <c r="F475" s="612"/>
      <c r="H475" s="612"/>
      <c r="I475" s="612"/>
      <c r="J475" s="612"/>
      <c r="K475" s="612"/>
      <c r="L475" s="612"/>
      <c r="M475" s="612"/>
    </row>
    <row r="476" spans="1:13">
      <c r="A476" s="596"/>
      <c r="B476" s="1401" t="s">
        <v>5312</v>
      </c>
      <c r="C476" s="596" t="s">
        <v>4297</v>
      </c>
      <c r="D476" s="596"/>
      <c r="E476" s="596"/>
      <c r="F476" s="596"/>
      <c r="H476" s="596"/>
      <c r="I476" s="1401" t="s">
        <v>5309</v>
      </c>
      <c r="J476" s="596" t="s">
        <v>4297</v>
      </c>
      <c r="K476" s="596"/>
      <c r="L476" s="596"/>
      <c r="M476" s="596"/>
    </row>
    <row r="477" spans="1:13">
      <c r="A477" s="613"/>
      <c r="B477" s="614"/>
      <c r="C477" s="614"/>
      <c r="D477" s="614"/>
      <c r="E477" s="614"/>
      <c r="F477" s="615"/>
      <c r="H477" s="613"/>
      <c r="I477" s="614"/>
      <c r="J477" s="614"/>
      <c r="K477" s="614"/>
      <c r="L477" s="614"/>
      <c r="M477" s="615"/>
    </row>
    <row r="478" spans="1:13">
      <c r="A478" s="602"/>
      <c r="B478" s="632" t="s">
        <v>4298</v>
      </c>
      <c r="C478" s="632">
        <v>1.05</v>
      </c>
      <c r="D478" s="598" t="s">
        <v>825</v>
      </c>
      <c r="E478" s="605">
        <f>E465</f>
        <v>6850</v>
      </c>
      <c r="F478" s="606">
        <f t="shared" ref="F478:F480" si="173">+C478*E478</f>
        <v>7192.5</v>
      </c>
      <c r="H478" s="602"/>
      <c r="I478" s="632" t="s">
        <v>4298</v>
      </c>
      <c r="J478" s="632">
        <v>1.05</v>
      </c>
      <c r="K478" s="598" t="s">
        <v>825</v>
      </c>
      <c r="L478" s="605">
        <f>+L465</f>
        <v>6850</v>
      </c>
      <c r="M478" s="606">
        <f t="shared" ref="M478:M480" si="174">+J478*L478</f>
        <v>7192.5</v>
      </c>
    </row>
    <row r="479" spans="1:13">
      <c r="A479" s="602"/>
      <c r="B479" s="632" t="s">
        <v>1683</v>
      </c>
      <c r="C479" s="632">
        <f>+CUANTIAS!I567</f>
        <v>5.1255536972899716</v>
      </c>
      <c r="D479" s="598" t="s">
        <v>216</v>
      </c>
      <c r="E479" s="605">
        <f t="shared" ref="E479:E480" si="175">E466</f>
        <v>3200</v>
      </c>
      <c r="F479" s="606">
        <f t="shared" si="173"/>
        <v>16401.771831327907</v>
      </c>
      <c r="H479" s="602"/>
      <c r="I479" s="632" t="s">
        <v>1683</v>
      </c>
      <c r="J479" s="632">
        <f>J466</f>
        <v>5.5848055555555547</v>
      </c>
      <c r="K479" s="598" t="s">
        <v>216</v>
      </c>
      <c r="L479" s="618">
        <f>+L466</f>
        <v>3200</v>
      </c>
      <c r="M479" s="606">
        <f t="shared" si="174"/>
        <v>17871.377777777776</v>
      </c>
    </row>
    <row r="480" spans="1:13">
      <c r="A480" s="602"/>
      <c r="B480" s="598" t="s">
        <v>217</v>
      </c>
      <c r="C480" s="632">
        <f>SUM(C478:C478)*2</f>
        <v>2.1</v>
      </c>
      <c r="D480" s="598" t="s">
        <v>218</v>
      </c>
      <c r="E480" s="605">
        <f t="shared" si="175"/>
        <v>60</v>
      </c>
      <c r="F480" s="606">
        <f t="shared" si="173"/>
        <v>126</v>
      </c>
      <c r="H480" s="602"/>
      <c r="I480" s="598" t="s">
        <v>217</v>
      </c>
      <c r="J480" s="632">
        <f>SUM(J478:J478)*2</f>
        <v>2.1</v>
      </c>
      <c r="K480" s="598" t="s">
        <v>218</v>
      </c>
      <c r="L480" s="605">
        <f>+'[14]LISTADO DE MATERIALES'!$G$14</f>
        <v>52</v>
      </c>
      <c r="M480" s="606">
        <f t="shared" si="174"/>
        <v>109.2</v>
      </c>
    </row>
    <row r="481" spans="1:13">
      <c r="A481" s="602"/>
      <c r="B481" s="512" t="s">
        <v>1037</v>
      </c>
      <c r="C481" s="543">
        <f>SUM(C479:C479)</f>
        <v>5.1255536972899716</v>
      </c>
      <c r="D481" s="511" t="s">
        <v>216</v>
      </c>
      <c r="E481" s="521">
        <f>Prec.!C352</f>
        <v>559.47499999999991</v>
      </c>
      <c r="F481" s="508">
        <f t="shared" ref="F481:F484" si="176">C481*E481</f>
        <v>2867.6191547913063</v>
      </c>
      <c r="H481" s="602"/>
      <c r="I481" s="512" t="s">
        <v>1037</v>
      </c>
      <c r="J481" s="543">
        <f>SUM(J479:J479)</f>
        <v>5.5848055555555547</v>
      </c>
      <c r="K481" s="511" t="s">
        <v>216</v>
      </c>
      <c r="L481" s="521">
        <f>Prec.!C353</f>
        <v>583.79999999999995</v>
      </c>
      <c r="M481" s="508">
        <f t="shared" ref="M481:M484" si="177">J481*L481</f>
        <v>3260.4094833333324</v>
      </c>
    </row>
    <row r="482" spans="1:13">
      <c r="A482" s="602"/>
      <c r="B482" s="512" t="s">
        <v>5364</v>
      </c>
      <c r="C482" s="543">
        <f>1/(0.3*0.4)</f>
        <v>8.3333333333333339</v>
      </c>
      <c r="D482" s="511" t="s">
        <v>1171</v>
      </c>
      <c r="E482" s="521">
        <f>E469</f>
        <v>426.71999999999997</v>
      </c>
      <c r="F482" s="508">
        <f t="shared" si="176"/>
        <v>3556</v>
      </c>
      <c r="H482" s="602"/>
      <c r="I482" s="512" t="s">
        <v>5364</v>
      </c>
      <c r="J482" s="543">
        <f>1/(0.3*0.4)</f>
        <v>8.3333333333333339</v>
      </c>
      <c r="K482" s="511" t="s">
        <v>1171</v>
      </c>
      <c r="L482" s="521">
        <f>L469</f>
        <v>426.71999999999997</v>
      </c>
      <c r="M482" s="508">
        <f t="shared" si="177"/>
        <v>3556</v>
      </c>
    </row>
    <row r="483" spans="1:13">
      <c r="A483" s="602"/>
      <c r="B483" s="512" t="s">
        <v>1688</v>
      </c>
      <c r="C483" s="543">
        <v>1</v>
      </c>
      <c r="D483" s="511" t="s">
        <v>825</v>
      </c>
      <c r="E483" s="521">
        <f t="shared" ref="E483:E484" si="178">E470</f>
        <v>600.29999999999995</v>
      </c>
      <c r="F483" s="508">
        <f t="shared" si="176"/>
        <v>600.29999999999995</v>
      </c>
      <c r="H483" s="602"/>
      <c r="I483" s="512" t="s">
        <v>1688</v>
      </c>
      <c r="J483" s="543">
        <v>1</v>
      </c>
      <c r="K483" s="511" t="s">
        <v>825</v>
      </c>
      <c r="L483" s="521">
        <f t="shared" ref="L483:L484" si="179">L470</f>
        <v>600.29999999999995</v>
      </c>
      <c r="M483" s="508">
        <f t="shared" si="177"/>
        <v>600.29999999999995</v>
      </c>
    </row>
    <row r="484" spans="1:13">
      <c r="A484" s="602"/>
      <c r="B484" s="512" t="s">
        <v>208</v>
      </c>
      <c r="C484" s="543">
        <f>SUM(F478:F480)</f>
        <v>23720.271831327907</v>
      </c>
      <c r="D484" s="511" t="s">
        <v>209</v>
      </c>
      <c r="E484" s="521">
        <f t="shared" si="178"/>
        <v>0.02</v>
      </c>
      <c r="F484" s="508">
        <f t="shared" si="176"/>
        <v>474.40543662655818</v>
      </c>
      <c r="H484" s="602"/>
      <c r="I484" s="512" t="s">
        <v>208</v>
      </c>
      <c r="J484" s="543">
        <f>SUM(M478:M480)</f>
        <v>25173.077777777777</v>
      </c>
      <c r="K484" s="511" t="s">
        <v>209</v>
      </c>
      <c r="L484" s="521">
        <f t="shared" si="179"/>
        <v>0.02</v>
      </c>
      <c r="M484" s="508">
        <f t="shared" si="177"/>
        <v>503.46155555555555</v>
      </c>
    </row>
    <row r="485" spans="1:13">
      <c r="A485" s="602"/>
      <c r="B485" s="598"/>
      <c r="C485" s="632"/>
      <c r="D485" s="598"/>
      <c r="E485" s="605"/>
      <c r="F485" s="606"/>
      <c r="H485" s="602"/>
      <c r="I485" s="598"/>
      <c r="J485" s="632"/>
      <c r="K485" s="598"/>
      <c r="L485" s="605"/>
      <c r="M485" s="606"/>
    </row>
    <row r="486" spans="1:13">
      <c r="A486" s="602"/>
      <c r="B486" s="607"/>
      <c r="C486" s="604"/>
      <c r="D486" s="603"/>
      <c r="E486" s="605"/>
      <c r="F486" s="606"/>
      <c r="H486" s="602"/>
      <c r="I486" s="607"/>
      <c r="J486" s="604"/>
      <c r="K486" s="603"/>
      <c r="L486" s="605"/>
      <c r="M486" s="606"/>
    </row>
    <row r="487" spans="1:13">
      <c r="A487" s="595"/>
      <c r="B487" s="595" t="s">
        <v>4253</v>
      </c>
      <c r="C487" s="596"/>
      <c r="D487" s="596"/>
      <c r="E487" s="596"/>
      <c r="F487" s="594">
        <f>SUM(F478:F486)</f>
        <v>31218.596422745773</v>
      </c>
      <c r="H487" s="595"/>
      <c r="I487" s="595" t="s">
        <v>4253</v>
      </c>
      <c r="J487" s="596"/>
      <c r="K487" s="596"/>
      <c r="L487" s="596"/>
      <c r="M487" s="594">
        <f>SUM(M478:M486)</f>
        <v>33093.248816666666</v>
      </c>
    </row>
    <row r="488" spans="1:13">
      <c r="A488" s="612"/>
      <c r="B488" s="612"/>
      <c r="C488" s="612"/>
      <c r="D488" s="612"/>
      <c r="E488" s="612"/>
      <c r="F488" s="612"/>
      <c r="H488" s="612"/>
      <c r="I488" s="612"/>
      <c r="J488" s="612"/>
      <c r="K488" s="612"/>
      <c r="L488" s="612"/>
      <c r="M488" s="612"/>
    </row>
    <row r="489" spans="1:13">
      <c r="A489" s="596"/>
      <c r="B489" s="1401" t="s">
        <v>5313</v>
      </c>
      <c r="C489" s="596" t="s">
        <v>4297</v>
      </c>
      <c r="D489" s="596"/>
      <c r="E489" s="596"/>
      <c r="F489" s="596"/>
      <c r="H489" s="596"/>
      <c r="I489" s="1401" t="s">
        <v>5314</v>
      </c>
      <c r="J489" s="596" t="s">
        <v>4297</v>
      </c>
      <c r="K489" s="596"/>
      <c r="L489" s="596"/>
      <c r="M489" s="596"/>
    </row>
    <row r="490" spans="1:13">
      <c r="A490" s="613"/>
      <c r="B490" s="614"/>
      <c r="C490" s="614"/>
      <c r="D490" s="614"/>
      <c r="E490" s="614"/>
      <c r="F490" s="615"/>
      <c r="H490" s="613"/>
      <c r="I490" s="614"/>
      <c r="J490" s="614"/>
      <c r="K490" s="614"/>
      <c r="L490" s="614"/>
      <c r="M490" s="615"/>
    </row>
    <row r="491" spans="1:13">
      <c r="A491" s="602"/>
      <c r="B491" s="632" t="s">
        <v>4298</v>
      </c>
      <c r="C491" s="632">
        <v>1.05</v>
      </c>
      <c r="D491" s="598" t="s">
        <v>825</v>
      </c>
      <c r="E491" s="605">
        <f>E478</f>
        <v>6850</v>
      </c>
      <c r="F491" s="606">
        <f t="shared" ref="F491:F493" si="180">+C491*E491</f>
        <v>7192.5</v>
      </c>
      <c r="H491" s="602"/>
      <c r="I491" s="632" t="s">
        <v>4298</v>
      </c>
      <c r="J491" s="632">
        <v>1.05</v>
      </c>
      <c r="K491" s="598" t="s">
        <v>825</v>
      </c>
      <c r="L491" s="605">
        <f>L478</f>
        <v>6850</v>
      </c>
      <c r="M491" s="606">
        <f t="shared" ref="M491:M493" si="181">+J491*L491</f>
        <v>7192.5</v>
      </c>
    </row>
    <row r="492" spans="1:13">
      <c r="A492" s="602"/>
      <c r="B492" s="632" t="s">
        <v>1683</v>
      </c>
      <c r="C492" s="632">
        <f>C479</f>
        <v>5.1255536972899716</v>
      </c>
      <c r="D492" s="598" t="s">
        <v>216</v>
      </c>
      <c r="E492" s="605">
        <f t="shared" ref="E492:E493" si="182">E479</f>
        <v>3200</v>
      </c>
      <c r="F492" s="606">
        <f t="shared" si="180"/>
        <v>16401.771831327907</v>
      </c>
      <c r="H492" s="602"/>
      <c r="I492" s="632" t="s">
        <v>1683</v>
      </c>
      <c r="J492" s="632">
        <f>CUANTIAS!I558</f>
        <v>5.1255536972899716</v>
      </c>
      <c r="K492" s="598" t="s">
        <v>216</v>
      </c>
      <c r="L492" s="605">
        <f t="shared" ref="L492:L493" si="183">L479</f>
        <v>3200</v>
      </c>
      <c r="M492" s="606">
        <f t="shared" si="181"/>
        <v>16401.771831327907</v>
      </c>
    </row>
    <row r="493" spans="1:13">
      <c r="A493" s="602"/>
      <c r="B493" s="598" t="s">
        <v>217</v>
      </c>
      <c r="C493" s="632">
        <f>SUM(C491:C491)*2</f>
        <v>2.1</v>
      </c>
      <c r="D493" s="598" t="s">
        <v>218</v>
      </c>
      <c r="E493" s="605">
        <f t="shared" si="182"/>
        <v>60</v>
      </c>
      <c r="F493" s="606">
        <f t="shared" si="180"/>
        <v>126</v>
      </c>
      <c r="H493" s="602"/>
      <c r="I493" s="598" t="s">
        <v>217</v>
      </c>
      <c r="J493" s="632">
        <f>SUM(J491:J491)*2</f>
        <v>2.1</v>
      </c>
      <c r="K493" s="598" t="s">
        <v>218</v>
      </c>
      <c r="L493" s="605">
        <f t="shared" si="183"/>
        <v>52</v>
      </c>
      <c r="M493" s="606">
        <f t="shared" si="181"/>
        <v>109.2</v>
      </c>
    </row>
    <row r="494" spans="1:13">
      <c r="A494" s="602"/>
      <c r="B494" s="512" t="s">
        <v>1037</v>
      </c>
      <c r="C494" s="543">
        <f>SUM(C492:C492)</f>
        <v>5.1255536972899716</v>
      </c>
      <c r="D494" s="511" t="s">
        <v>216</v>
      </c>
      <c r="E494" s="521">
        <f>Prec.!C353</f>
        <v>583.79999999999995</v>
      </c>
      <c r="F494" s="508">
        <f t="shared" ref="F494:F497" si="184">C494*E494</f>
        <v>2992.298248477885</v>
      </c>
      <c r="H494" s="602"/>
      <c r="I494" s="512" t="s">
        <v>1037</v>
      </c>
      <c r="J494" s="543">
        <f>SUM(J492:J492)</f>
        <v>5.1255536972899716</v>
      </c>
      <c r="K494" s="511" t="s">
        <v>216</v>
      </c>
      <c r="L494" s="521">
        <f>Prec.!C351</f>
        <v>535.15000000000009</v>
      </c>
      <c r="M494" s="508">
        <f t="shared" ref="M494:M497" si="185">J494*L494</f>
        <v>2742.9400611047286</v>
      </c>
    </row>
    <row r="495" spans="1:13">
      <c r="A495" s="602"/>
      <c r="B495" s="512" t="s">
        <v>5364</v>
      </c>
      <c r="C495" s="543">
        <f>1/(0.3*0.4)</f>
        <v>8.3333333333333339</v>
      </c>
      <c r="D495" s="511" t="s">
        <v>1171</v>
      </c>
      <c r="E495" s="521">
        <f>E482</f>
        <v>426.71999999999997</v>
      </c>
      <c r="F495" s="508">
        <f t="shared" si="184"/>
        <v>3556</v>
      </c>
      <c r="H495" s="602"/>
      <c r="I495" s="512" t="s">
        <v>5359</v>
      </c>
      <c r="J495" s="543">
        <f>1/(0.2*0.35)</f>
        <v>14.285714285714286</v>
      </c>
      <c r="K495" s="511" t="s">
        <v>1171</v>
      </c>
      <c r="L495" s="521">
        <f>L482</f>
        <v>426.71999999999997</v>
      </c>
      <c r="M495" s="508">
        <f t="shared" si="185"/>
        <v>6096</v>
      </c>
    </row>
    <row r="496" spans="1:13">
      <c r="A496" s="602"/>
      <c r="B496" s="512" t="s">
        <v>1688</v>
      </c>
      <c r="C496" s="543">
        <v>1</v>
      </c>
      <c r="D496" s="511" t="s">
        <v>825</v>
      </c>
      <c r="E496" s="521">
        <f t="shared" ref="E496:E497" si="186">E483</f>
        <v>600.29999999999995</v>
      </c>
      <c r="F496" s="508">
        <f t="shared" si="184"/>
        <v>600.29999999999995</v>
      </c>
      <c r="H496" s="602"/>
      <c r="I496" s="512" t="s">
        <v>1688</v>
      </c>
      <c r="J496" s="543">
        <v>1</v>
      </c>
      <c r="K496" s="511" t="s">
        <v>825</v>
      </c>
      <c r="L496" s="521">
        <f t="shared" ref="L496:L497" si="187">L483</f>
        <v>600.29999999999995</v>
      </c>
      <c r="M496" s="508">
        <f t="shared" si="185"/>
        <v>600.29999999999995</v>
      </c>
    </row>
    <row r="497" spans="1:13">
      <c r="A497" s="602"/>
      <c r="B497" s="512" t="s">
        <v>208</v>
      </c>
      <c r="C497" s="543">
        <f>SUM(F491:F493)</f>
        <v>23720.271831327907</v>
      </c>
      <c r="D497" s="511" t="s">
        <v>209</v>
      </c>
      <c r="E497" s="521">
        <f t="shared" si="186"/>
        <v>0.02</v>
      </c>
      <c r="F497" s="508">
        <f t="shared" si="184"/>
        <v>474.40543662655818</v>
      </c>
      <c r="H497" s="602"/>
      <c r="I497" s="512" t="s">
        <v>208</v>
      </c>
      <c r="J497" s="543">
        <f>SUM(M491:M493)</f>
        <v>23703.471831327908</v>
      </c>
      <c r="K497" s="511" t="s">
        <v>209</v>
      </c>
      <c r="L497" s="521">
        <f t="shared" si="187"/>
        <v>0.02</v>
      </c>
      <c r="M497" s="508">
        <f t="shared" si="185"/>
        <v>474.06943662655817</v>
      </c>
    </row>
    <row r="498" spans="1:13">
      <c r="A498" s="602"/>
      <c r="B498" s="598"/>
      <c r="C498" s="632"/>
      <c r="D498" s="598"/>
      <c r="E498" s="605"/>
      <c r="F498" s="606"/>
      <c r="H498" s="602"/>
      <c r="I498" s="598"/>
      <c r="J498" s="632"/>
      <c r="K498" s="598"/>
      <c r="L498" s="605"/>
      <c r="M498" s="606"/>
    </row>
    <row r="499" spans="1:13">
      <c r="A499" s="602"/>
      <c r="B499" s="607"/>
      <c r="C499" s="604"/>
      <c r="D499" s="603"/>
      <c r="E499" s="605"/>
      <c r="F499" s="606"/>
      <c r="H499" s="602"/>
      <c r="I499" s="607"/>
      <c r="J499" s="604"/>
      <c r="K499" s="603"/>
      <c r="L499" s="605"/>
      <c r="M499" s="606"/>
    </row>
    <row r="500" spans="1:13">
      <c r="A500" s="595"/>
      <c r="B500" s="595" t="s">
        <v>4253</v>
      </c>
      <c r="C500" s="596"/>
      <c r="D500" s="596"/>
      <c r="E500" s="596"/>
      <c r="F500" s="594">
        <f>SUM(F491:F499)</f>
        <v>31343.27551643235</v>
      </c>
      <c r="H500" s="595"/>
      <c r="I500" s="595" t="s">
        <v>4253</v>
      </c>
      <c r="J500" s="596"/>
      <c r="K500" s="596"/>
      <c r="L500" s="596"/>
      <c r="M500" s="594">
        <f>SUM(M491:M499)</f>
        <v>33616.781329059195</v>
      </c>
    </row>
    <row r="501" spans="1:13">
      <c r="A501" s="612"/>
      <c r="B501" s="612"/>
      <c r="C501" s="612"/>
      <c r="D501" s="612"/>
      <c r="E501" s="612"/>
      <c r="F501" s="612"/>
      <c r="H501" s="612"/>
      <c r="I501" s="612"/>
      <c r="J501" s="612"/>
      <c r="K501" s="612"/>
      <c r="L501" s="612"/>
      <c r="M501" s="612"/>
    </row>
    <row r="502" spans="1:13">
      <c r="A502" s="596"/>
      <c r="B502" s="1401" t="s">
        <v>5316</v>
      </c>
      <c r="C502" s="596" t="s">
        <v>4297</v>
      </c>
      <c r="D502" s="596"/>
      <c r="E502" s="596"/>
      <c r="F502" s="596"/>
      <c r="H502" s="596"/>
      <c r="I502" s="1401" t="s">
        <v>5315</v>
      </c>
      <c r="J502" s="596" t="s">
        <v>4297</v>
      </c>
      <c r="K502" s="596"/>
      <c r="L502" s="596"/>
      <c r="M502" s="596"/>
    </row>
    <row r="503" spans="1:13">
      <c r="A503" s="613"/>
      <c r="B503" s="614"/>
      <c r="C503" s="614"/>
      <c r="D503" s="614"/>
      <c r="E503" s="614"/>
      <c r="F503" s="615"/>
      <c r="H503" s="613"/>
      <c r="I503" s="614"/>
      <c r="J503" s="614"/>
      <c r="K503" s="614"/>
      <c r="L503" s="614"/>
      <c r="M503" s="615"/>
    </row>
    <row r="504" spans="1:13">
      <c r="A504" s="602"/>
      <c r="B504" s="632" t="s">
        <v>4298</v>
      </c>
      <c r="C504" s="632">
        <v>1.05</v>
      </c>
      <c r="D504" s="598" t="s">
        <v>825</v>
      </c>
      <c r="E504" s="605">
        <f>Ana.term!D9293</f>
        <v>6850</v>
      </c>
      <c r="F504" s="606">
        <f t="shared" ref="F504:F506" si="188">+C504*E504</f>
        <v>7192.5</v>
      </c>
      <c r="H504" s="602"/>
      <c r="I504" s="632" t="s">
        <v>4298</v>
      </c>
      <c r="J504" s="632">
        <v>1.05</v>
      </c>
      <c r="K504" s="598" t="s">
        <v>825</v>
      </c>
      <c r="L504" s="605">
        <f>+L452</f>
        <v>6850</v>
      </c>
      <c r="M504" s="606">
        <f t="shared" ref="M504:M506" si="189">+J504*L504</f>
        <v>7192.5</v>
      </c>
    </row>
    <row r="505" spans="1:13">
      <c r="A505" s="602"/>
      <c r="B505" s="632" t="s">
        <v>1683</v>
      </c>
      <c r="C505" s="632">
        <f>+CUANTIAS!H69</f>
        <v>3.1371280779999999</v>
      </c>
      <c r="D505" s="598" t="s">
        <v>216</v>
      </c>
      <c r="E505" s="605">
        <f>Ana.term!D9294</f>
        <v>3200</v>
      </c>
      <c r="F505" s="606">
        <f t="shared" si="188"/>
        <v>10038.8098496</v>
      </c>
      <c r="H505" s="602"/>
      <c r="I505" s="632" t="s">
        <v>1683</v>
      </c>
      <c r="J505" s="632">
        <f>J492</f>
        <v>5.1255536972899716</v>
      </c>
      <c r="K505" s="598" t="s">
        <v>216</v>
      </c>
      <c r="L505" s="618">
        <f>+L453</f>
        <v>3200</v>
      </c>
      <c r="M505" s="606">
        <f t="shared" si="189"/>
        <v>16401.771831327907</v>
      </c>
    </row>
    <row r="506" spans="1:13">
      <c r="A506" s="602"/>
      <c r="B506" s="598" t="s">
        <v>217</v>
      </c>
      <c r="C506" s="632">
        <f>SUM(C504:C504)*2</f>
        <v>2.1</v>
      </c>
      <c r="D506" s="598" t="s">
        <v>218</v>
      </c>
      <c r="E506" s="605">
        <f>Ana.term!D9295</f>
        <v>60</v>
      </c>
      <c r="F506" s="606">
        <f t="shared" si="188"/>
        <v>126</v>
      </c>
      <c r="H506" s="602"/>
      <c r="I506" s="598" t="s">
        <v>217</v>
      </c>
      <c r="J506" s="632">
        <f>SUM(J504:J504)*2</f>
        <v>2.1</v>
      </c>
      <c r="K506" s="598" t="s">
        <v>218</v>
      </c>
      <c r="L506" s="605">
        <f>+'[14]LISTADO DE MATERIALES'!$G$14</f>
        <v>52</v>
      </c>
      <c r="M506" s="606">
        <f t="shared" si="189"/>
        <v>109.2</v>
      </c>
    </row>
    <row r="507" spans="1:13">
      <c r="A507" s="602"/>
      <c r="B507" s="12" t="s">
        <v>1037</v>
      </c>
      <c r="C507" s="434">
        <f>C505</f>
        <v>3.1371280779999999</v>
      </c>
      <c r="D507" s="24" t="s">
        <v>1171</v>
      </c>
      <c r="E507" s="41">
        <f>Prec.!C350</f>
        <v>486.5</v>
      </c>
      <c r="F507" s="31">
        <f t="shared" ref="F507:F510" si="190">C507*E507</f>
        <v>1526.2128099469999</v>
      </c>
      <c r="H507" s="602"/>
      <c r="I507" s="512" t="s">
        <v>1037</v>
      </c>
      <c r="J507" s="543">
        <f>SUM(J505:J505)</f>
        <v>5.1255536972899716</v>
      </c>
      <c r="K507" s="511" t="s">
        <v>216</v>
      </c>
      <c r="L507" s="521">
        <f>Prec.!C352</f>
        <v>559.47499999999991</v>
      </c>
      <c r="M507" s="508">
        <f t="shared" ref="M507:M510" si="191">J507*L507</f>
        <v>2867.6191547913063</v>
      </c>
    </row>
    <row r="508" spans="1:13">
      <c r="A508" s="602"/>
      <c r="B508" s="12" t="s">
        <v>5357</v>
      </c>
      <c r="C508" s="434">
        <f>1/(0.3*0.2)</f>
        <v>16.666666666666668</v>
      </c>
      <c r="D508" s="24" t="s">
        <v>1171</v>
      </c>
      <c r="E508" s="41">
        <v>300</v>
      </c>
      <c r="F508" s="31">
        <f t="shared" si="190"/>
        <v>5000</v>
      </c>
      <c r="H508" s="602"/>
      <c r="I508" s="512" t="s">
        <v>5359</v>
      </c>
      <c r="J508" s="543">
        <f>1/(0.2*0.35)</f>
        <v>14.285714285714286</v>
      </c>
      <c r="K508" s="511" t="s">
        <v>1171</v>
      </c>
      <c r="L508" s="521">
        <f>L495</f>
        <v>426.71999999999997</v>
      </c>
      <c r="M508" s="508">
        <f t="shared" si="191"/>
        <v>6096</v>
      </c>
    </row>
    <row r="509" spans="1:13">
      <c r="A509" s="602"/>
      <c r="B509" s="12" t="s">
        <v>1684</v>
      </c>
      <c r="C509" s="434">
        <v>1</v>
      </c>
      <c r="D509" s="24" t="s">
        <v>825</v>
      </c>
      <c r="E509" s="41">
        <f>Ana.term!D9298</f>
        <v>600.29999999999995</v>
      </c>
      <c r="F509" s="31">
        <f t="shared" si="190"/>
        <v>600.29999999999995</v>
      </c>
      <c r="H509" s="602"/>
      <c r="I509" s="512" t="s">
        <v>1688</v>
      </c>
      <c r="J509" s="543">
        <v>1</v>
      </c>
      <c r="K509" s="511" t="s">
        <v>825</v>
      </c>
      <c r="L509" s="521">
        <f t="shared" ref="L509:L510" si="192">L496</f>
        <v>600.29999999999995</v>
      </c>
      <c r="M509" s="508">
        <f t="shared" si="191"/>
        <v>600.29999999999995</v>
      </c>
    </row>
    <row r="510" spans="1:13">
      <c r="A510" s="602"/>
      <c r="B510" s="12" t="s">
        <v>208</v>
      </c>
      <c r="C510" s="434">
        <f>SUM(F504:F506)</f>
        <v>17357.309849600002</v>
      </c>
      <c r="D510" s="24" t="s">
        <v>209</v>
      </c>
      <c r="E510" s="41">
        <f>Ana.term!D9299</f>
        <v>0.02</v>
      </c>
      <c r="F510" s="31">
        <f t="shared" si="190"/>
        <v>347.14619699200006</v>
      </c>
      <c r="H510" s="602"/>
      <c r="I510" s="512" t="s">
        <v>208</v>
      </c>
      <c r="J510" s="543">
        <f>SUM(M504:M506)</f>
        <v>23703.471831327908</v>
      </c>
      <c r="K510" s="511" t="s">
        <v>209</v>
      </c>
      <c r="L510" s="521">
        <f t="shared" si="192"/>
        <v>0.02</v>
      </c>
      <c r="M510" s="508">
        <f t="shared" si="191"/>
        <v>474.06943662655817</v>
      </c>
    </row>
    <row r="511" spans="1:13">
      <c r="A511" s="602"/>
      <c r="B511" s="704"/>
      <c r="C511" s="699"/>
      <c r="D511" s="700"/>
      <c r="E511" s="701"/>
      <c r="F511" s="702"/>
      <c r="H511" s="602"/>
      <c r="I511" s="598"/>
      <c r="J511" s="632"/>
      <c r="K511" s="598"/>
      <c r="L511" s="605"/>
      <c r="M511" s="606"/>
    </row>
    <row r="512" spans="1:13">
      <c r="A512" s="602"/>
      <c r="B512" s="607"/>
      <c r="C512" s="604"/>
      <c r="D512" s="603"/>
      <c r="E512" s="605"/>
      <c r="F512" s="606"/>
      <c r="H512" s="602"/>
      <c r="I512" s="607"/>
      <c r="J512" s="604"/>
      <c r="K512" s="603"/>
      <c r="L512" s="605"/>
      <c r="M512" s="606"/>
    </row>
    <row r="513" spans="1:13">
      <c r="A513" s="595"/>
      <c r="B513" s="595" t="s">
        <v>4253</v>
      </c>
      <c r="C513" s="596"/>
      <c r="D513" s="596"/>
      <c r="E513" s="596"/>
      <c r="F513" s="594">
        <f>SUM(F504:F512)</f>
        <v>24830.968856538999</v>
      </c>
      <c r="H513" s="595"/>
      <c r="I513" s="595" t="s">
        <v>4253</v>
      </c>
      <c r="J513" s="596"/>
      <c r="K513" s="596"/>
      <c r="L513" s="596"/>
      <c r="M513" s="594">
        <f>SUM(M504:M512)</f>
        <v>33741.460422745775</v>
      </c>
    </row>
    <row r="515" spans="1:13">
      <c r="A515" s="596"/>
      <c r="B515" s="1401" t="s">
        <v>5317</v>
      </c>
      <c r="C515" s="596" t="s">
        <v>4297</v>
      </c>
      <c r="D515" s="596"/>
      <c r="E515" s="596"/>
      <c r="F515" s="596"/>
      <c r="H515" s="596"/>
      <c r="I515" s="1401" t="s">
        <v>5321</v>
      </c>
      <c r="J515" s="596"/>
      <c r="K515" s="596"/>
      <c r="L515" s="596"/>
      <c r="M515" s="596"/>
    </row>
    <row r="516" spans="1:13">
      <c r="A516" s="613"/>
      <c r="B516" s="614"/>
      <c r="C516" s="614"/>
      <c r="D516" s="614"/>
      <c r="E516" s="614"/>
      <c r="F516" s="615"/>
      <c r="H516" s="613"/>
      <c r="I516" s="614"/>
      <c r="J516" s="614"/>
      <c r="K516" s="614"/>
      <c r="L516" s="614"/>
      <c r="M516" s="615"/>
    </row>
    <row r="517" spans="1:13">
      <c r="A517" s="602"/>
      <c r="B517" s="632" t="s">
        <v>4298</v>
      </c>
      <c r="C517" s="632">
        <v>1.05</v>
      </c>
      <c r="D517" s="598" t="s">
        <v>825</v>
      </c>
      <c r="E517" s="605">
        <f>E504</f>
        <v>6850</v>
      </c>
      <c r="F517" s="606">
        <f t="shared" ref="F517:F519" si="193">+C517*E517</f>
        <v>7192.5</v>
      </c>
      <c r="H517" s="602"/>
      <c r="I517" s="632" t="s">
        <v>4298</v>
      </c>
      <c r="J517" s="632">
        <v>1.05</v>
      </c>
      <c r="K517" s="598" t="s">
        <v>825</v>
      </c>
      <c r="L517" s="605">
        <f>E517</f>
        <v>6850</v>
      </c>
      <c r="M517" s="606">
        <f t="shared" ref="M517:M519" si="194">+J517*L517</f>
        <v>7192.5</v>
      </c>
    </row>
    <row r="518" spans="1:13">
      <c r="A518" s="602"/>
      <c r="B518" s="632" t="s">
        <v>1683</v>
      </c>
      <c r="C518" s="632">
        <f>C505</f>
        <v>3.1371280779999999</v>
      </c>
      <c r="D518" s="598" t="s">
        <v>216</v>
      </c>
      <c r="E518" s="605">
        <f t="shared" ref="E518:E519" si="195">E505</f>
        <v>3200</v>
      </c>
      <c r="F518" s="606">
        <f t="shared" si="193"/>
        <v>10038.8098496</v>
      </c>
      <c r="H518" s="602"/>
      <c r="I518" s="632" t="s">
        <v>1683</v>
      </c>
      <c r="J518" s="632">
        <f>CUANTIAS!H60</f>
        <v>3.9992577513333329</v>
      </c>
      <c r="K518" s="598" t="s">
        <v>216</v>
      </c>
      <c r="L518" s="605">
        <f t="shared" ref="L518:L519" si="196">E518</f>
        <v>3200</v>
      </c>
      <c r="M518" s="606">
        <f t="shared" si="194"/>
        <v>12797.624804266665</v>
      </c>
    </row>
    <row r="519" spans="1:13">
      <c r="A519" s="602"/>
      <c r="B519" s="598" t="s">
        <v>217</v>
      </c>
      <c r="C519" s="632">
        <f>SUM(C517:C517)*2</f>
        <v>2.1</v>
      </c>
      <c r="D519" s="598" t="s">
        <v>218</v>
      </c>
      <c r="E519" s="605">
        <f t="shared" si="195"/>
        <v>60</v>
      </c>
      <c r="F519" s="606">
        <f t="shared" si="193"/>
        <v>126</v>
      </c>
      <c r="H519" s="602"/>
      <c r="I519" s="598" t="s">
        <v>217</v>
      </c>
      <c r="J519" s="632">
        <f>SUM(J517:J517)*2</f>
        <v>2.1</v>
      </c>
      <c r="K519" s="598" t="s">
        <v>218</v>
      </c>
      <c r="L519" s="605">
        <f t="shared" si="196"/>
        <v>60</v>
      </c>
      <c r="M519" s="606">
        <f t="shared" si="194"/>
        <v>126</v>
      </c>
    </row>
    <row r="520" spans="1:13">
      <c r="A520" s="602"/>
      <c r="B520" s="12" t="s">
        <v>1037</v>
      </c>
      <c r="C520" s="434">
        <f>C518</f>
        <v>3.1371280779999999</v>
      </c>
      <c r="D520" s="24" t="s">
        <v>1171</v>
      </c>
      <c r="E520" s="41">
        <f>Prec.!C351</f>
        <v>535.15000000000009</v>
      </c>
      <c r="F520" s="31">
        <f t="shared" ref="F520:F523" si="197">C520*E520</f>
        <v>1678.8340909417002</v>
      </c>
      <c r="H520" s="602"/>
      <c r="I520" s="12" t="s">
        <v>1037</v>
      </c>
      <c r="J520" s="434">
        <f>J518</f>
        <v>3.9992577513333329</v>
      </c>
      <c r="K520" s="24" t="s">
        <v>1171</v>
      </c>
      <c r="L520" s="41">
        <f>Prec.!C350</f>
        <v>486.5</v>
      </c>
      <c r="M520" s="31">
        <f t="shared" ref="M520:M523" si="198">J520*L520</f>
        <v>1945.6388960236666</v>
      </c>
    </row>
    <row r="521" spans="1:13">
      <c r="A521" s="602"/>
      <c r="B521" s="12" t="s">
        <v>5357</v>
      </c>
      <c r="C521" s="434">
        <f>1/(0.3*0.2)</f>
        <v>16.666666666666668</v>
      </c>
      <c r="D521" s="24" t="s">
        <v>1171</v>
      </c>
      <c r="E521" s="41">
        <f>E508</f>
        <v>300</v>
      </c>
      <c r="F521" s="31">
        <f t="shared" si="197"/>
        <v>5000</v>
      </c>
      <c r="H521" s="602"/>
      <c r="I521" s="12" t="s">
        <v>5358</v>
      </c>
      <c r="J521" s="434">
        <f>1/(0.3*0.15)</f>
        <v>22.222222222222221</v>
      </c>
      <c r="K521" s="24" t="s">
        <v>1171</v>
      </c>
      <c r="L521" s="41">
        <v>300</v>
      </c>
      <c r="M521" s="31">
        <f t="shared" si="198"/>
        <v>6666.6666666666661</v>
      </c>
    </row>
    <row r="522" spans="1:13">
      <c r="A522" s="602"/>
      <c r="B522" s="12" t="s">
        <v>1684</v>
      </c>
      <c r="C522" s="434">
        <v>1</v>
      </c>
      <c r="D522" s="24" t="s">
        <v>825</v>
      </c>
      <c r="E522" s="41">
        <f t="shared" ref="E522:E523" si="199">E509</f>
        <v>600.29999999999995</v>
      </c>
      <c r="F522" s="31">
        <f t="shared" si="197"/>
        <v>600.29999999999995</v>
      </c>
      <c r="H522" s="602"/>
      <c r="I522" s="12" t="s">
        <v>1684</v>
      </c>
      <c r="J522" s="434">
        <v>1</v>
      </c>
      <c r="K522" s="24" t="s">
        <v>825</v>
      </c>
      <c r="L522" s="41">
        <f>E522</f>
        <v>600.29999999999995</v>
      </c>
      <c r="M522" s="31">
        <f t="shared" si="198"/>
        <v>600.29999999999995</v>
      </c>
    </row>
    <row r="523" spans="1:13">
      <c r="A523" s="602"/>
      <c r="B523" s="12" t="s">
        <v>208</v>
      </c>
      <c r="C523" s="434">
        <f>SUM(F517:F519)</f>
        <v>17357.309849600002</v>
      </c>
      <c r="D523" s="24" t="s">
        <v>209</v>
      </c>
      <c r="E523" s="41">
        <f t="shared" si="199"/>
        <v>0.02</v>
      </c>
      <c r="F523" s="31">
        <f t="shared" si="197"/>
        <v>347.14619699200006</v>
      </c>
      <c r="H523" s="602"/>
      <c r="I523" s="12" t="s">
        <v>208</v>
      </c>
      <c r="J523" s="434">
        <f>SUM(M517:M519)</f>
        <v>20116.124804266663</v>
      </c>
      <c r="K523" s="24" t="s">
        <v>209</v>
      </c>
      <c r="L523" s="41">
        <f>E523</f>
        <v>0.02</v>
      </c>
      <c r="M523" s="31">
        <f t="shared" si="198"/>
        <v>402.32249608533328</v>
      </c>
    </row>
    <row r="524" spans="1:13">
      <c r="A524" s="602"/>
      <c r="B524" s="704"/>
      <c r="C524" s="699"/>
      <c r="D524" s="700"/>
      <c r="E524" s="701"/>
      <c r="F524" s="702"/>
      <c r="H524" s="602"/>
      <c r="I524" s="704"/>
      <c r="J524" s="699"/>
      <c r="K524" s="700"/>
      <c r="L524" s="701"/>
      <c r="M524" s="702"/>
    </row>
    <row r="525" spans="1:13">
      <c r="A525" s="602"/>
      <c r="B525" s="607"/>
      <c r="C525" s="604"/>
      <c r="D525" s="603"/>
      <c r="E525" s="605"/>
      <c r="F525" s="606"/>
      <c r="H525" s="602"/>
      <c r="I525" s="607"/>
      <c r="J525" s="604"/>
      <c r="K525" s="603"/>
      <c r="L525" s="605"/>
      <c r="M525" s="606"/>
    </row>
    <row r="526" spans="1:13">
      <c r="A526" s="595"/>
      <c r="B526" s="595" t="s">
        <v>4253</v>
      </c>
      <c r="C526" s="596"/>
      <c r="D526" s="596"/>
      <c r="E526" s="596"/>
      <c r="F526" s="594">
        <f>SUM(F517:F525)</f>
        <v>24983.590137533702</v>
      </c>
      <c r="H526" s="595"/>
      <c r="I526" s="595" t="s">
        <v>4253</v>
      </c>
      <c r="J526" s="596"/>
      <c r="K526" s="596"/>
      <c r="L526" s="596"/>
      <c r="M526" s="594">
        <f>SUM(M517:M525)</f>
        <v>29731.052863042325</v>
      </c>
    </row>
    <row r="528" spans="1:13">
      <c r="A528" s="596"/>
      <c r="B528" s="1401" t="s">
        <v>5318</v>
      </c>
      <c r="C528" s="596" t="s">
        <v>4297</v>
      </c>
      <c r="D528" s="596"/>
      <c r="E528" s="596"/>
      <c r="F528" s="596"/>
      <c r="H528" s="596"/>
      <c r="I528" s="1401" t="s">
        <v>5322</v>
      </c>
      <c r="J528" s="596"/>
      <c r="K528" s="596"/>
      <c r="L528" s="596"/>
      <c r="M528" s="596"/>
    </row>
    <row r="529" spans="1:13">
      <c r="A529" s="613"/>
      <c r="B529" s="614"/>
      <c r="C529" s="614"/>
      <c r="D529" s="614"/>
      <c r="E529" s="614"/>
      <c r="F529" s="615"/>
      <c r="H529" s="613"/>
      <c r="I529" s="614"/>
      <c r="J529" s="614"/>
      <c r="K529" s="614"/>
      <c r="L529" s="614"/>
      <c r="M529" s="615"/>
    </row>
    <row r="530" spans="1:13">
      <c r="A530" s="602"/>
      <c r="B530" s="632" t="s">
        <v>4298</v>
      </c>
      <c r="C530" s="632">
        <v>1.05</v>
      </c>
      <c r="D530" s="598" t="s">
        <v>825</v>
      </c>
      <c r="E530" s="605">
        <f>E517</f>
        <v>6850</v>
      </c>
      <c r="F530" s="606">
        <f t="shared" ref="F530:F532" si="200">+C530*E530</f>
        <v>7192.5</v>
      </c>
      <c r="H530" s="602"/>
      <c r="I530" s="632" t="s">
        <v>4298</v>
      </c>
      <c r="J530" s="632">
        <v>1.05</v>
      </c>
      <c r="K530" s="598" t="s">
        <v>825</v>
      </c>
      <c r="L530" s="605">
        <f>E530</f>
        <v>6850</v>
      </c>
      <c r="M530" s="606">
        <f t="shared" ref="M530:M532" si="201">+J530*L530</f>
        <v>7192.5</v>
      </c>
    </row>
    <row r="531" spans="1:13">
      <c r="A531" s="602"/>
      <c r="B531" s="632" t="s">
        <v>1683</v>
      </c>
      <c r="C531" s="632">
        <f>C518</f>
        <v>3.1371280779999999</v>
      </c>
      <c r="D531" s="598" t="s">
        <v>216</v>
      </c>
      <c r="E531" s="605">
        <f t="shared" ref="E531:E532" si="202">E518</f>
        <v>3200</v>
      </c>
      <c r="F531" s="606">
        <f t="shared" si="200"/>
        <v>10038.8098496</v>
      </c>
      <c r="H531" s="602"/>
      <c r="I531" s="632" t="s">
        <v>1683</v>
      </c>
      <c r="J531" s="632">
        <f>J518</f>
        <v>3.9992577513333329</v>
      </c>
      <c r="K531" s="598" t="s">
        <v>216</v>
      </c>
      <c r="L531" s="605">
        <f t="shared" ref="L531:L532" si="203">E531</f>
        <v>3200</v>
      </c>
      <c r="M531" s="606">
        <f t="shared" si="201"/>
        <v>12797.624804266665</v>
      </c>
    </row>
    <row r="532" spans="1:13">
      <c r="A532" s="602"/>
      <c r="B532" s="598" t="s">
        <v>217</v>
      </c>
      <c r="C532" s="632">
        <f>SUM(C530:C530)*2</f>
        <v>2.1</v>
      </c>
      <c r="D532" s="598" t="s">
        <v>218</v>
      </c>
      <c r="E532" s="605">
        <f t="shared" si="202"/>
        <v>60</v>
      </c>
      <c r="F532" s="606">
        <f t="shared" si="200"/>
        <v>126</v>
      </c>
      <c r="H532" s="602"/>
      <c r="I532" s="598" t="s">
        <v>217</v>
      </c>
      <c r="J532" s="632">
        <f>SUM(J530:J530)*2</f>
        <v>2.1</v>
      </c>
      <c r="K532" s="598" t="s">
        <v>218</v>
      </c>
      <c r="L532" s="605">
        <f t="shared" si="203"/>
        <v>60</v>
      </c>
      <c r="M532" s="606">
        <f t="shared" si="201"/>
        <v>126</v>
      </c>
    </row>
    <row r="533" spans="1:13">
      <c r="A533" s="602"/>
      <c r="B533" s="12" t="s">
        <v>1037</v>
      </c>
      <c r="C533" s="434">
        <f>C531</f>
        <v>3.1371280779999999</v>
      </c>
      <c r="D533" s="24" t="s">
        <v>1171</v>
      </c>
      <c r="E533" s="41">
        <f>Prec.!C352</f>
        <v>559.47499999999991</v>
      </c>
      <c r="F533" s="31">
        <f t="shared" ref="F533:F536" si="204">C533*E533</f>
        <v>1755.1447314390496</v>
      </c>
      <c r="H533" s="602"/>
      <c r="I533" s="12" t="s">
        <v>1037</v>
      </c>
      <c r="J533" s="434">
        <f>J531</f>
        <v>3.9992577513333329</v>
      </c>
      <c r="K533" s="24" t="s">
        <v>1171</v>
      </c>
      <c r="L533" s="41">
        <f>Prec.!C351</f>
        <v>535.15000000000009</v>
      </c>
      <c r="M533" s="31">
        <f t="shared" ref="M533:M536" si="205">J533*L533</f>
        <v>2140.2027856260333</v>
      </c>
    </row>
    <row r="534" spans="1:13">
      <c r="A534" s="602"/>
      <c r="B534" s="12" t="s">
        <v>5357</v>
      </c>
      <c r="C534" s="434">
        <f>1/(0.3*0.2)</f>
        <v>16.666666666666668</v>
      </c>
      <c r="D534" s="24" t="s">
        <v>1171</v>
      </c>
      <c r="E534" s="41">
        <f>E521</f>
        <v>300</v>
      </c>
      <c r="F534" s="31">
        <f t="shared" si="204"/>
        <v>5000</v>
      </c>
      <c r="H534" s="602"/>
      <c r="I534" s="12" t="s">
        <v>5358</v>
      </c>
      <c r="J534" s="434">
        <f>1/(0.3*0.15)</f>
        <v>22.222222222222221</v>
      </c>
      <c r="K534" s="24" t="s">
        <v>1171</v>
      </c>
      <c r="L534" s="41">
        <v>300</v>
      </c>
      <c r="M534" s="31">
        <f t="shared" si="205"/>
        <v>6666.6666666666661</v>
      </c>
    </row>
    <row r="535" spans="1:13">
      <c r="A535" s="602"/>
      <c r="B535" s="12" t="s">
        <v>1684</v>
      </c>
      <c r="C535" s="434">
        <v>1</v>
      </c>
      <c r="D535" s="24" t="s">
        <v>825</v>
      </c>
      <c r="E535" s="41">
        <f t="shared" ref="E535:E536" si="206">E522</f>
        <v>600.29999999999995</v>
      </c>
      <c r="F535" s="31">
        <f t="shared" si="204"/>
        <v>600.29999999999995</v>
      </c>
      <c r="H535" s="602"/>
      <c r="I535" s="12" t="s">
        <v>1684</v>
      </c>
      <c r="J535" s="434">
        <v>1</v>
      </c>
      <c r="K535" s="24" t="s">
        <v>825</v>
      </c>
      <c r="L535" s="41">
        <f>E535</f>
        <v>600.29999999999995</v>
      </c>
      <c r="M535" s="31">
        <f t="shared" si="205"/>
        <v>600.29999999999995</v>
      </c>
    </row>
    <row r="536" spans="1:13">
      <c r="A536" s="602"/>
      <c r="B536" s="12" t="s">
        <v>208</v>
      </c>
      <c r="C536" s="434">
        <f>SUM(F530:F532)</f>
        <v>17357.309849600002</v>
      </c>
      <c r="D536" s="24" t="s">
        <v>209</v>
      </c>
      <c r="E536" s="41">
        <f t="shared" si="206"/>
        <v>0.02</v>
      </c>
      <c r="F536" s="31">
        <f t="shared" si="204"/>
        <v>347.14619699200006</v>
      </c>
      <c r="H536" s="602"/>
      <c r="I536" s="12" t="s">
        <v>208</v>
      </c>
      <c r="J536" s="434">
        <f>SUM(M530:M532)</f>
        <v>20116.124804266663</v>
      </c>
      <c r="K536" s="24" t="s">
        <v>209</v>
      </c>
      <c r="L536" s="41">
        <f>E536</f>
        <v>0.02</v>
      </c>
      <c r="M536" s="31">
        <f t="shared" si="205"/>
        <v>402.32249608533328</v>
      </c>
    </row>
    <row r="537" spans="1:13">
      <c r="A537" s="602"/>
      <c r="B537" s="704"/>
      <c r="C537" s="699"/>
      <c r="D537" s="700"/>
      <c r="E537" s="701"/>
      <c r="F537" s="702"/>
      <c r="H537" s="602"/>
      <c r="I537" s="704"/>
      <c r="J537" s="699"/>
      <c r="K537" s="700"/>
      <c r="L537" s="701"/>
      <c r="M537" s="702"/>
    </row>
    <row r="538" spans="1:13">
      <c r="A538" s="602"/>
      <c r="B538" s="607"/>
      <c r="C538" s="604"/>
      <c r="D538" s="603"/>
      <c r="E538" s="605"/>
      <c r="F538" s="606"/>
      <c r="H538" s="602"/>
      <c r="I538" s="607"/>
      <c r="J538" s="604"/>
      <c r="K538" s="603"/>
      <c r="L538" s="605"/>
      <c r="M538" s="606"/>
    </row>
    <row r="539" spans="1:13">
      <c r="A539" s="595"/>
      <c r="B539" s="595" t="s">
        <v>4253</v>
      </c>
      <c r="C539" s="596"/>
      <c r="D539" s="596"/>
      <c r="E539" s="596"/>
      <c r="F539" s="594">
        <f>SUM(F530:F538)</f>
        <v>25059.900778031049</v>
      </c>
      <c r="H539" s="595"/>
      <c r="I539" s="595" t="s">
        <v>4253</v>
      </c>
      <c r="J539" s="596"/>
      <c r="K539" s="596"/>
      <c r="L539" s="596"/>
      <c r="M539" s="594">
        <f>SUM(M530:M538)</f>
        <v>29925.616752644692</v>
      </c>
    </row>
    <row r="541" spans="1:13">
      <c r="A541" s="596"/>
      <c r="B541" s="1401" t="s">
        <v>5319</v>
      </c>
      <c r="C541" s="596" t="s">
        <v>4297</v>
      </c>
      <c r="D541" s="596"/>
      <c r="E541" s="596"/>
      <c r="F541" s="596"/>
      <c r="H541" s="596"/>
      <c r="I541" s="1401" t="s">
        <v>5320</v>
      </c>
      <c r="J541" s="596"/>
      <c r="K541" s="596"/>
      <c r="L541" s="596"/>
      <c r="M541" s="596"/>
    </row>
    <row r="542" spans="1:13">
      <c r="A542" s="613"/>
      <c r="B542" s="614"/>
      <c r="C542" s="614"/>
      <c r="D542" s="614"/>
      <c r="E542" s="614"/>
      <c r="F542" s="615"/>
      <c r="H542" s="613"/>
      <c r="I542" s="614"/>
      <c r="J542" s="614"/>
      <c r="K542" s="614"/>
      <c r="L542" s="614"/>
      <c r="M542" s="615"/>
    </row>
    <row r="543" spans="1:13">
      <c r="A543" s="602"/>
      <c r="B543" s="632" t="s">
        <v>4298</v>
      </c>
      <c r="C543" s="632">
        <v>1.05</v>
      </c>
      <c r="D543" s="598" t="s">
        <v>825</v>
      </c>
      <c r="E543" s="605">
        <f>E530</f>
        <v>6850</v>
      </c>
      <c r="F543" s="606">
        <f t="shared" ref="F543:F545" si="207">+C543*E543</f>
        <v>7192.5</v>
      </c>
      <c r="H543" s="602"/>
      <c r="I543" s="632" t="s">
        <v>4298</v>
      </c>
      <c r="J543" s="632">
        <v>1.05</v>
      </c>
      <c r="K543" s="598" t="s">
        <v>825</v>
      </c>
      <c r="L543" s="605">
        <f>E543</f>
        <v>6850</v>
      </c>
      <c r="M543" s="606">
        <f t="shared" ref="M543:M545" si="208">+J543*L543</f>
        <v>7192.5</v>
      </c>
    </row>
    <row r="544" spans="1:13">
      <c r="A544" s="602"/>
      <c r="B544" s="632" t="s">
        <v>1683</v>
      </c>
      <c r="C544" s="632">
        <f>C531</f>
        <v>3.1371280779999999</v>
      </c>
      <c r="D544" s="598" t="s">
        <v>216</v>
      </c>
      <c r="E544" s="605">
        <f t="shared" ref="E544:E545" si="209">E531</f>
        <v>3200</v>
      </c>
      <c r="F544" s="606">
        <f t="shared" si="207"/>
        <v>10038.8098496</v>
      </c>
      <c r="H544" s="602"/>
      <c r="I544" s="632" t="s">
        <v>1683</v>
      </c>
      <c r="J544" s="632">
        <f>J531</f>
        <v>3.9992577513333329</v>
      </c>
      <c r="K544" s="598" t="s">
        <v>216</v>
      </c>
      <c r="L544" s="605">
        <f t="shared" ref="L544:L545" si="210">E544</f>
        <v>3200</v>
      </c>
      <c r="M544" s="606">
        <f t="shared" si="208"/>
        <v>12797.624804266665</v>
      </c>
    </row>
    <row r="545" spans="1:13">
      <c r="A545" s="602"/>
      <c r="B545" s="598" t="s">
        <v>217</v>
      </c>
      <c r="C545" s="632">
        <f>SUM(C543:C543)*2</f>
        <v>2.1</v>
      </c>
      <c r="D545" s="598" t="s">
        <v>218</v>
      </c>
      <c r="E545" s="605">
        <f t="shared" si="209"/>
        <v>60</v>
      </c>
      <c r="F545" s="606">
        <f t="shared" si="207"/>
        <v>126</v>
      </c>
      <c r="H545" s="602"/>
      <c r="I545" s="598" t="s">
        <v>217</v>
      </c>
      <c r="J545" s="632">
        <f>SUM(J543:J543)*2</f>
        <v>2.1</v>
      </c>
      <c r="K545" s="598" t="s">
        <v>218</v>
      </c>
      <c r="L545" s="605">
        <f t="shared" si="210"/>
        <v>60</v>
      </c>
      <c r="M545" s="606">
        <f t="shared" si="208"/>
        <v>126</v>
      </c>
    </row>
    <row r="546" spans="1:13">
      <c r="A546" s="602"/>
      <c r="B546" s="12" t="s">
        <v>1037</v>
      </c>
      <c r="C546" s="434">
        <f>C544</f>
        <v>3.1371280779999999</v>
      </c>
      <c r="D546" s="24" t="s">
        <v>1171</v>
      </c>
      <c r="E546" s="41">
        <f>Prec.!C353</f>
        <v>583.79999999999995</v>
      </c>
      <c r="F546" s="31">
        <f t="shared" ref="F546:F549" si="211">C546*E546</f>
        <v>1831.4553719363998</v>
      </c>
      <c r="H546" s="602"/>
      <c r="I546" s="12" t="s">
        <v>1037</v>
      </c>
      <c r="J546" s="434">
        <f>J544</f>
        <v>3.9992577513333329</v>
      </c>
      <c r="K546" s="24" t="s">
        <v>1171</v>
      </c>
      <c r="L546" s="41">
        <f>Prec.!C352</f>
        <v>559.47499999999991</v>
      </c>
      <c r="M546" s="31">
        <f t="shared" ref="M546:M549" si="212">J546*L546</f>
        <v>2237.4847304272162</v>
      </c>
    </row>
    <row r="547" spans="1:13">
      <c r="A547" s="602"/>
      <c r="B547" s="12" t="s">
        <v>5357</v>
      </c>
      <c r="C547" s="434">
        <f>1/(0.3*0.2)</f>
        <v>16.666666666666668</v>
      </c>
      <c r="D547" s="24" t="s">
        <v>1171</v>
      </c>
      <c r="E547" s="41">
        <f>E534</f>
        <v>300</v>
      </c>
      <c r="F547" s="31">
        <f t="shared" si="211"/>
        <v>5000</v>
      </c>
      <c r="H547" s="602"/>
      <c r="I547" s="12" t="s">
        <v>5358</v>
      </c>
      <c r="J547" s="434">
        <f>1/(0.3*0.15)</f>
        <v>22.222222222222221</v>
      </c>
      <c r="K547" s="24" t="s">
        <v>1171</v>
      </c>
      <c r="L547" s="41">
        <v>300</v>
      </c>
      <c r="M547" s="31">
        <f t="shared" si="212"/>
        <v>6666.6666666666661</v>
      </c>
    </row>
    <row r="548" spans="1:13">
      <c r="A548" s="602"/>
      <c r="B548" s="12" t="s">
        <v>1684</v>
      </c>
      <c r="C548" s="434">
        <v>1</v>
      </c>
      <c r="D548" s="24" t="s">
        <v>825</v>
      </c>
      <c r="E548" s="41">
        <f t="shared" ref="E548:E549" si="213">E535</f>
        <v>600.29999999999995</v>
      </c>
      <c r="F548" s="31">
        <f t="shared" si="211"/>
        <v>600.29999999999995</v>
      </c>
      <c r="H548" s="602"/>
      <c r="I548" s="12" t="s">
        <v>1684</v>
      </c>
      <c r="J548" s="434">
        <v>1</v>
      </c>
      <c r="K548" s="24" t="s">
        <v>825</v>
      </c>
      <c r="L548" s="41">
        <f>E548</f>
        <v>600.29999999999995</v>
      </c>
      <c r="M548" s="31">
        <f t="shared" si="212"/>
        <v>600.29999999999995</v>
      </c>
    </row>
    <row r="549" spans="1:13" ht="15" customHeight="1">
      <c r="A549" s="602"/>
      <c r="B549" s="12" t="s">
        <v>208</v>
      </c>
      <c r="C549" s="434">
        <f>SUM(F543:F545)</f>
        <v>17357.309849600002</v>
      </c>
      <c r="D549" s="24" t="s">
        <v>209</v>
      </c>
      <c r="E549" s="41">
        <f t="shared" si="213"/>
        <v>0.02</v>
      </c>
      <c r="F549" s="31">
        <f t="shared" si="211"/>
        <v>347.14619699200006</v>
      </c>
      <c r="H549" s="602"/>
      <c r="I549" s="12" t="s">
        <v>208</v>
      </c>
      <c r="J549" s="434">
        <f>SUM(M543:M545)</f>
        <v>20116.124804266663</v>
      </c>
      <c r="K549" s="24" t="s">
        <v>209</v>
      </c>
      <c r="L549" s="41">
        <f>E549</f>
        <v>0.02</v>
      </c>
      <c r="M549" s="31">
        <f t="shared" si="212"/>
        <v>402.32249608533328</v>
      </c>
    </row>
    <row r="550" spans="1:13">
      <c r="A550" s="602"/>
      <c r="B550" s="704"/>
      <c r="C550" s="699"/>
      <c r="D550" s="700"/>
      <c r="E550" s="701"/>
      <c r="F550" s="702"/>
      <c r="H550" s="602"/>
      <c r="I550" s="704"/>
      <c r="J550" s="699"/>
      <c r="K550" s="700"/>
      <c r="L550" s="701"/>
      <c r="M550" s="702"/>
    </row>
    <row r="551" spans="1:13">
      <c r="A551" s="602"/>
      <c r="B551" s="607"/>
      <c r="C551" s="604"/>
      <c r="D551" s="603"/>
      <c r="E551" s="605"/>
      <c r="F551" s="606"/>
      <c r="H551" s="602"/>
      <c r="I551" s="607"/>
      <c r="J551" s="604"/>
      <c r="K551" s="603"/>
      <c r="L551" s="605"/>
      <c r="M551" s="606"/>
    </row>
    <row r="552" spans="1:13">
      <c r="A552" s="595"/>
      <c r="B552" s="595" t="s">
        <v>4253</v>
      </c>
      <c r="C552" s="596"/>
      <c r="D552" s="596"/>
      <c r="E552" s="596"/>
      <c r="F552" s="594">
        <f>SUM(F543:F551)</f>
        <v>25136.211418528401</v>
      </c>
      <c r="H552" s="595"/>
      <c r="I552" s="595" t="s">
        <v>4253</v>
      </c>
      <c r="J552" s="596"/>
      <c r="K552" s="596"/>
      <c r="L552" s="596"/>
      <c r="M552" s="594">
        <f>SUM(M543:M551)</f>
        <v>30022.898697445878</v>
      </c>
    </row>
    <row r="553" spans="1:13">
      <c r="H553" s="612"/>
      <c r="I553" s="612"/>
      <c r="J553" s="612"/>
      <c r="K553" s="612"/>
      <c r="L553" s="612"/>
      <c r="M553" s="612"/>
    </row>
    <row r="554" spans="1:13">
      <c r="A554" s="596"/>
      <c r="B554" s="1401" t="s">
        <v>5324</v>
      </c>
      <c r="C554" s="596"/>
      <c r="D554" s="596"/>
      <c r="E554" s="596"/>
      <c r="F554" s="596"/>
      <c r="H554" s="596"/>
      <c r="I554" s="1401" t="s">
        <v>5323</v>
      </c>
      <c r="J554" s="596"/>
      <c r="K554" s="596"/>
      <c r="L554" s="596"/>
      <c r="M554" s="596"/>
    </row>
    <row r="555" spans="1:13">
      <c r="A555" s="613"/>
      <c r="B555" s="614"/>
      <c r="C555" s="614"/>
      <c r="D555" s="614"/>
      <c r="E555" s="614"/>
      <c r="F555" s="615"/>
      <c r="H555" s="613"/>
      <c r="I555" s="614"/>
      <c r="J555" s="614"/>
      <c r="K555" s="614"/>
      <c r="L555" s="614"/>
      <c r="M555" s="615"/>
    </row>
    <row r="556" spans="1:13">
      <c r="A556" s="602"/>
      <c r="B556" s="632" t="s">
        <v>4298</v>
      </c>
      <c r="C556" s="632">
        <v>1.05</v>
      </c>
      <c r="D556" s="598" t="s">
        <v>825</v>
      </c>
      <c r="E556" s="605">
        <f>+E504</f>
        <v>6850</v>
      </c>
      <c r="F556" s="606">
        <f t="shared" ref="F556:F558" si="214">+C556*E556</f>
        <v>7192.5</v>
      </c>
      <c r="H556" s="602"/>
      <c r="I556" s="632" t="s">
        <v>4298</v>
      </c>
      <c r="J556" s="632">
        <v>1.05</v>
      </c>
      <c r="K556" s="598" t="s">
        <v>825</v>
      </c>
      <c r="L556" s="605">
        <f>E556</f>
        <v>6850</v>
      </c>
      <c r="M556" s="606">
        <f t="shared" ref="M556:M558" si="215">+J556*L556</f>
        <v>7192.5</v>
      </c>
    </row>
    <row r="557" spans="1:13">
      <c r="A557" s="602"/>
      <c r="B557" s="632" t="s">
        <v>1683</v>
      </c>
      <c r="C557" s="632">
        <f>+CUANTIAS!H88</f>
        <v>2.4260659979999999</v>
      </c>
      <c r="D557" s="598" t="s">
        <v>216</v>
      </c>
      <c r="E557" s="618">
        <f>+E505</f>
        <v>3200</v>
      </c>
      <c r="F557" s="606">
        <f t="shared" si="214"/>
        <v>7763.4111935999999</v>
      </c>
      <c r="H557" s="602"/>
      <c r="I557" s="632" t="s">
        <v>1683</v>
      </c>
      <c r="J557" s="632">
        <f>J544</f>
        <v>3.9992577513333329</v>
      </c>
      <c r="K557" s="598" t="s">
        <v>216</v>
      </c>
      <c r="L557" s="605">
        <f t="shared" ref="L557:L558" si="216">E557</f>
        <v>3200</v>
      </c>
      <c r="M557" s="606">
        <f t="shared" si="215"/>
        <v>12797.624804266665</v>
      </c>
    </row>
    <row r="558" spans="1:13">
      <c r="A558" s="602"/>
      <c r="B558" s="598" t="s">
        <v>217</v>
      </c>
      <c r="C558" s="632">
        <f>SUM(C556:C556)*2</f>
        <v>2.1</v>
      </c>
      <c r="D558" s="598" t="s">
        <v>218</v>
      </c>
      <c r="E558" s="605">
        <f>E780</f>
        <v>60</v>
      </c>
      <c r="F558" s="606">
        <f t="shared" si="214"/>
        <v>126</v>
      </c>
      <c r="H558" s="602"/>
      <c r="I558" s="598" t="s">
        <v>217</v>
      </c>
      <c r="J558" s="632">
        <f>SUM(J556:J556)*2</f>
        <v>2.1</v>
      </c>
      <c r="K558" s="598" t="s">
        <v>218</v>
      </c>
      <c r="L558" s="605">
        <f t="shared" si="216"/>
        <v>60</v>
      </c>
      <c r="M558" s="606">
        <f t="shared" si="215"/>
        <v>126</v>
      </c>
    </row>
    <row r="559" spans="1:13">
      <c r="A559" s="602"/>
      <c r="B559" s="704" t="s">
        <v>1037</v>
      </c>
      <c r="C559" s="699">
        <f>C557</f>
        <v>2.4260659979999999</v>
      </c>
      <c r="D559" s="700" t="s">
        <v>1171</v>
      </c>
      <c r="E559" s="701">
        <f>E549</f>
        <v>0.02</v>
      </c>
      <c r="F559" s="702">
        <f t="shared" ref="F559:F563" si="217">C559*E559</f>
        <v>4.8521319959999996E-2</v>
      </c>
      <c r="H559" s="602"/>
      <c r="I559" s="12" t="s">
        <v>1037</v>
      </c>
      <c r="J559" s="434">
        <f>J557</f>
        <v>3.9992577513333329</v>
      </c>
      <c r="K559" s="24" t="s">
        <v>1171</v>
      </c>
      <c r="L559" s="41">
        <f>Prec.!C353</f>
        <v>583.79999999999995</v>
      </c>
      <c r="M559" s="31">
        <f t="shared" ref="M559:M562" si="218">J559*L559</f>
        <v>2334.7666752283994</v>
      </c>
    </row>
    <row r="560" spans="1:13">
      <c r="A560" s="602"/>
      <c r="B560" s="704" t="s">
        <v>5352</v>
      </c>
      <c r="C560" s="699">
        <f>1/(0.2*0.4)</f>
        <v>12.499999999999998</v>
      </c>
      <c r="D560" s="700" t="s">
        <v>1171</v>
      </c>
      <c r="E560" s="701">
        <f>Ana.term!D8734</f>
        <v>250</v>
      </c>
      <c r="F560" s="702">
        <f t="shared" si="217"/>
        <v>3124.9999999999995</v>
      </c>
      <c r="H560" s="602"/>
      <c r="I560" s="12" t="s">
        <v>5358</v>
      </c>
      <c r="J560" s="434">
        <f>1/(0.3*0.15)</f>
        <v>22.222222222222221</v>
      </c>
      <c r="K560" s="24" t="s">
        <v>1171</v>
      </c>
      <c r="L560" s="41">
        <f>L547</f>
        <v>300</v>
      </c>
      <c r="M560" s="31">
        <f t="shared" si="218"/>
        <v>6666.6666666666661</v>
      </c>
    </row>
    <row r="561" spans="1:13">
      <c r="A561" s="602"/>
      <c r="B561" s="704" t="s">
        <v>4383</v>
      </c>
      <c r="C561" s="699">
        <f>(0.2+0.4)*C560</f>
        <v>7.5</v>
      </c>
      <c r="D561" s="700" t="s">
        <v>213</v>
      </c>
      <c r="E561" s="701">
        <v>33.14</v>
      </c>
      <c r="F561" s="702">
        <f t="shared" si="217"/>
        <v>248.55</v>
      </c>
      <c r="H561" s="602"/>
      <c r="I561" s="12" t="s">
        <v>1684</v>
      </c>
      <c r="J561" s="434">
        <v>1</v>
      </c>
      <c r="K561" s="24" t="s">
        <v>825</v>
      </c>
      <c r="L561" s="41">
        <f t="shared" ref="L561:L562" si="219">L548</f>
        <v>600.29999999999995</v>
      </c>
      <c r="M561" s="31">
        <f t="shared" si="218"/>
        <v>600.29999999999995</v>
      </c>
    </row>
    <row r="562" spans="1:13">
      <c r="A562" s="602"/>
      <c r="B562" s="704" t="s">
        <v>783</v>
      </c>
      <c r="C562" s="699">
        <v>1</v>
      </c>
      <c r="D562" s="700" t="s">
        <v>825</v>
      </c>
      <c r="E562" s="701">
        <f>Ana.term!D8736</f>
        <v>600.29999999999995</v>
      </c>
      <c r="F562" s="702">
        <f t="shared" si="217"/>
        <v>600.29999999999995</v>
      </c>
      <c r="H562" s="602"/>
      <c r="I562" s="12" t="s">
        <v>208</v>
      </c>
      <c r="J562" s="434">
        <f>SUM(M556:M558)</f>
        <v>20116.124804266663</v>
      </c>
      <c r="K562" s="24" t="s">
        <v>209</v>
      </c>
      <c r="L562" s="41">
        <f t="shared" si="219"/>
        <v>0.02</v>
      </c>
      <c r="M562" s="31">
        <f t="shared" si="218"/>
        <v>402.32249608533328</v>
      </c>
    </row>
    <row r="563" spans="1:13">
      <c r="A563" s="602"/>
      <c r="B563" s="704" t="s">
        <v>208</v>
      </c>
      <c r="C563" s="699">
        <f>SUM(F556:F558)</f>
        <v>15081.911193600001</v>
      </c>
      <c r="D563" s="700" t="s">
        <v>209</v>
      </c>
      <c r="E563" s="701">
        <f>Ana.term!D8737</f>
        <v>0.02</v>
      </c>
      <c r="F563" s="702">
        <f t="shared" si="217"/>
        <v>301.63822387200003</v>
      </c>
      <c r="H563" s="602"/>
      <c r="I563" s="704"/>
      <c r="J563" s="699"/>
      <c r="K563" s="700"/>
      <c r="L563" s="701"/>
      <c r="M563" s="702"/>
    </row>
    <row r="564" spans="1:13">
      <c r="A564" s="602"/>
      <c r="B564" s="607"/>
      <c r="C564" s="604"/>
      <c r="D564" s="603"/>
      <c r="E564" s="605"/>
      <c r="F564" s="606"/>
      <c r="H564" s="602"/>
      <c r="I564" s="607"/>
      <c r="J564" s="604"/>
      <c r="K564" s="603"/>
      <c r="L564" s="605"/>
      <c r="M564" s="606"/>
    </row>
    <row r="565" spans="1:13">
      <c r="A565" s="595"/>
      <c r="B565" s="595" t="s">
        <v>4253</v>
      </c>
      <c r="C565" s="596"/>
      <c r="D565" s="596"/>
      <c r="E565" s="596"/>
      <c r="F565" s="594">
        <f>SUM(F556:F564)</f>
        <v>19357.44793879196</v>
      </c>
      <c r="H565" s="595"/>
      <c r="I565" s="595" t="s">
        <v>4253</v>
      </c>
      <c r="J565" s="596"/>
      <c r="K565" s="596"/>
      <c r="L565" s="596"/>
      <c r="M565" s="594">
        <f>SUM(M556:M564)</f>
        <v>30120.180642247058</v>
      </c>
    </row>
    <row r="566" spans="1:13">
      <c r="H566" s="612"/>
      <c r="I566" s="612"/>
      <c r="J566" s="612"/>
      <c r="K566" s="612"/>
      <c r="L566" s="612"/>
      <c r="M566" s="612"/>
    </row>
    <row r="567" spans="1:13">
      <c r="A567" s="596"/>
      <c r="B567" s="1401" t="s">
        <v>5325</v>
      </c>
      <c r="C567" s="596"/>
      <c r="D567" s="596"/>
      <c r="E567" s="596"/>
      <c r="F567" s="596"/>
      <c r="H567" s="612"/>
      <c r="I567" s="612"/>
      <c r="J567" s="612"/>
      <c r="K567" s="612"/>
      <c r="L567" s="612"/>
      <c r="M567" s="612"/>
    </row>
    <row r="568" spans="1:13">
      <c r="A568" s="613"/>
      <c r="B568" s="614"/>
      <c r="C568" s="614"/>
      <c r="D568" s="614"/>
      <c r="E568" s="614"/>
      <c r="F568" s="615"/>
      <c r="H568" s="596"/>
      <c r="I568" s="1401" t="s">
        <v>5327</v>
      </c>
      <c r="J568" s="596"/>
      <c r="K568" s="596"/>
      <c r="L568" s="596"/>
      <c r="M568" s="596"/>
    </row>
    <row r="569" spans="1:13">
      <c r="A569" s="602"/>
      <c r="B569" s="632" t="s">
        <v>4298</v>
      </c>
      <c r="C569" s="632">
        <v>1.05</v>
      </c>
      <c r="D569" s="598" t="s">
        <v>825</v>
      </c>
      <c r="E569" s="605">
        <f>E556</f>
        <v>6850</v>
      </c>
      <c r="F569" s="606">
        <f t="shared" ref="F569:F571" si="220">+C569*E569</f>
        <v>7192.5</v>
      </c>
      <c r="H569" s="613"/>
      <c r="I569" s="614"/>
      <c r="J569" s="614"/>
      <c r="K569" s="614"/>
      <c r="L569" s="614"/>
      <c r="M569" s="615"/>
    </row>
    <row r="570" spans="1:13" ht="15" customHeight="1">
      <c r="A570" s="602"/>
      <c r="B570" s="632" t="s">
        <v>1683</v>
      </c>
      <c r="C570" s="632">
        <f>C557</f>
        <v>2.4260659979999999</v>
      </c>
      <c r="D570" s="598" t="s">
        <v>216</v>
      </c>
      <c r="E570" s="605">
        <f t="shared" ref="E570:E571" si="221">E557</f>
        <v>3200</v>
      </c>
      <c r="F570" s="606">
        <f t="shared" si="220"/>
        <v>7763.4111935999999</v>
      </c>
      <c r="H570" s="602"/>
      <c r="I570" s="632" t="s">
        <v>4298</v>
      </c>
      <c r="J570" s="632">
        <v>1.05</v>
      </c>
      <c r="K570" s="598" t="s">
        <v>825</v>
      </c>
      <c r="L570" s="605">
        <f>E569</f>
        <v>6850</v>
      </c>
      <c r="M570" s="606">
        <f t="shared" ref="M570:M572" si="222">+J570*L570</f>
        <v>7192.5</v>
      </c>
    </row>
    <row r="571" spans="1:13">
      <c r="A571" s="602"/>
      <c r="B571" s="598" t="s">
        <v>217</v>
      </c>
      <c r="C571" s="632">
        <f>SUM(C569:C569)*2</f>
        <v>2.1</v>
      </c>
      <c r="D571" s="598" t="s">
        <v>218</v>
      </c>
      <c r="E571" s="605">
        <f t="shared" si="221"/>
        <v>60</v>
      </c>
      <c r="F571" s="606">
        <f t="shared" si="220"/>
        <v>126</v>
      </c>
      <c r="H571" s="602"/>
      <c r="I571" s="632" t="s">
        <v>1683</v>
      </c>
      <c r="J571" s="632">
        <f>+CUANTIAS!H79</f>
        <v>3.1958015279999996</v>
      </c>
      <c r="K571" s="598" t="s">
        <v>216</v>
      </c>
      <c r="L571" s="605">
        <f t="shared" ref="L571:L572" si="223">E570</f>
        <v>3200</v>
      </c>
      <c r="M571" s="606">
        <f t="shared" si="222"/>
        <v>10226.564889599998</v>
      </c>
    </row>
    <row r="572" spans="1:13">
      <c r="A572" s="602"/>
      <c r="B572" s="704" t="s">
        <v>1037</v>
      </c>
      <c r="C572" s="699">
        <f>C570</f>
        <v>2.4260659979999999</v>
      </c>
      <c r="D572" s="700" t="s">
        <v>1171</v>
      </c>
      <c r="E572" s="701">
        <f>Prec.!C351</f>
        <v>535.15000000000009</v>
      </c>
      <c r="F572" s="702">
        <f t="shared" ref="F572:F576" si="224">C572*E572</f>
        <v>1298.3092188297001</v>
      </c>
      <c r="H572" s="602"/>
      <c r="I572" s="598" t="s">
        <v>217</v>
      </c>
      <c r="J572" s="632">
        <f>SUM(J570:J570)*2</f>
        <v>2.1</v>
      </c>
      <c r="K572" s="598" t="s">
        <v>218</v>
      </c>
      <c r="L572" s="605">
        <f t="shared" si="223"/>
        <v>60</v>
      </c>
      <c r="M572" s="606">
        <f t="shared" si="222"/>
        <v>126</v>
      </c>
    </row>
    <row r="573" spans="1:13">
      <c r="A573" s="602"/>
      <c r="B573" s="704" t="s">
        <v>5352</v>
      </c>
      <c r="C573" s="699">
        <f>1/(0.2*0.4)</f>
        <v>12.499999999999998</v>
      </c>
      <c r="D573" s="700" t="s">
        <v>1171</v>
      </c>
      <c r="E573" s="701">
        <f t="shared" ref="E573:E575" si="225">E560</f>
        <v>250</v>
      </c>
      <c r="F573" s="702">
        <f t="shared" si="224"/>
        <v>3124.9999999999995</v>
      </c>
      <c r="H573" s="602"/>
      <c r="I573" s="704" t="s">
        <v>1037</v>
      </c>
      <c r="J573" s="699">
        <f>J571</f>
        <v>3.1958015279999996</v>
      </c>
      <c r="K573" s="700" t="s">
        <v>1171</v>
      </c>
      <c r="L573" s="701">
        <f>Prec.!C350</f>
        <v>486.5</v>
      </c>
      <c r="M573" s="702">
        <f t="shared" ref="M573:M577" si="226">J573*L573</f>
        <v>1554.7574433719999</v>
      </c>
    </row>
    <row r="574" spans="1:13">
      <c r="A574" s="602"/>
      <c r="B574" s="704" t="s">
        <v>4383</v>
      </c>
      <c r="C574" s="699">
        <f>(0.2+0.4)*C573</f>
        <v>7.5</v>
      </c>
      <c r="D574" s="700" t="s">
        <v>213</v>
      </c>
      <c r="E574" s="701">
        <f t="shared" si="225"/>
        <v>33.14</v>
      </c>
      <c r="F574" s="702">
        <f t="shared" si="224"/>
        <v>248.55</v>
      </c>
      <c r="H574" s="602"/>
      <c r="I574" s="704" t="s">
        <v>5354</v>
      </c>
      <c r="J574" s="699">
        <f>1/(0.15*0.4)</f>
        <v>16.666666666666668</v>
      </c>
      <c r="K574" s="700" t="s">
        <v>1171</v>
      </c>
      <c r="L574" s="701">
        <f t="shared" ref="L574:L577" si="227">E573</f>
        <v>250</v>
      </c>
      <c r="M574" s="702">
        <f t="shared" si="226"/>
        <v>4166.666666666667</v>
      </c>
    </row>
    <row r="575" spans="1:13">
      <c r="A575" s="602"/>
      <c r="B575" s="704" t="s">
        <v>783</v>
      </c>
      <c r="C575" s="699">
        <v>1</v>
      </c>
      <c r="D575" s="700" t="s">
        <v>825</v>
      </c>
      <c r="E575" s="701">
        <f t="shared" si="225"/>
        <v>600.29999999999995</v>
      </c>
      <c r="F575" s="702">
        <f t="shared" si="224"/>
        <v>600.29999999999995</v>
      </c>
      <c r="H575" s="602"/>
      <c r="I575" s="704" t="s">
        <v>4383</v>
      </c>
      <c r="J575" s="699">
        <f>(0.15+0.4)*J574</f>
        <v>9.1666666666666679</v>
      </c>
      <c r="K575" s="700" t="s">
        <v>213</v>
      </c>
      <c r="L575" s="701">
        <f t="shared" si="227"/>
        <v>33.14</v>
      </c>
      <c r="M575" s="702">
        <f t="shared" si="226"/>
        <v>303.78333333333336</v>
      </c>
    </row>
    <row r="576" spans="1:13">
      <c r="A576" s="602"/>
      <c r="B576" s="704" t="s">
        <v>208</v>
      </c>
      <c r="C576" s="699">
        <f>SUM(F569:F571)</f>
        <v>15081.911193600001</v>
      </c>
      <c r="D576" s="700" t="s">
        <v>209</v>
      </c>
      <c r="E576" s="701">
        <f>E563</f>
        <v>0.02</v>
      </c>
      <c r="F576" s="702">
        <f t="shared" si="224"/>
        <v>301.63822387200003</v>
      </c>
      <c r="H576" s="602"/>
      <c r="I576" s="704" t="s">
        <v>783</v>
      </c>
      <c r="J576" s="699">
        <v>1</v>
      </c>
      <c r="K576" s="700" t="s">
        <v>825</v>
      </c>
      <c r="L576" s="701">
        <f t="shared" si="227"/>
        <v>600.29999999999995</v>
      </c>
      <c r="M576" s="702">
        <f t="shared" si="226"/>
        <v>600.29999999999995</v>
      </c>
    </row>
    <row r="577" spans="1:13">
      <c r="A577" s="602"/>
      <c r="B577" s="607"/>
      <c r="C577" s="604"/>
      <c r="D577" s="603"/>
      <c r="E577" s="605"/>
      <c r="F577" s="606"/>
      <c r="H577" s="602"/>
      <c r="I577" s="704" t="s">
        <v>208</v>
      </c>
      <c r="J577" s="699">
        <f>SUM(M570:M572)</f>
        <v>17545.064889599998</v>
      </c>
      <c r="K577" s="700" t="s">
        <v>209</v>
      </c>
      <c r="L577" s="701">
        <f t="shared" si="227"/>
        <v>0.02</v>
      </c>
      <c r="M577" s="702">
        <f t="shared" si="226"/>
        <v>350.90129779199998</v>
      </c>
    </row>
    <row r="578" spans="1:13">
      <c r="A578" s="595"/>
      <c r="B578" s="595" t="s">
        <v>4253</v>
      </c>
      <c r="C578" s="596"/>
      <c r="D578" s="596"/>
      <c r="E578" s="596"/>
      <c r="F578" s="594">
        <f>SUM(F569:F577)</f>
        <v>20655.708636301697</v>
      </c>
      <c r="H578" s="602"/>
      <c r="I578" s="607"/>
      <c r="J578" s="604"/>
      <c r="K578" s="603"/>
      <c r="L578" s="605"/>
      <c r="M578" s="606"/>
    </row>
    <row r="579" spans="1:13">
      <c r="H579" s="595"/>
      <c r="I579" s="595" t="s">
        <v>4253</v>
      </c>
      <c r="J579" s="596"/>
      <c r="K579" s="596"/>
      <c r="L579" s="596"/>
      <c r="M579" s="594">
        <f>SUM(M570:M578)</f>
        <v>24521.473630763998</v>
      </c>
    </row>
    <row r="581" spans="1:13">
      <c r="A581" s="596"/>
      <c r="B581" s="1401" t="s">
        <v>5326</v>
      </c>
      <c r="C581" s="596"/>
      <c r="D581" s="596"/>
      <c r="E581" s="596"/>
      <c r="F581" s="596"/>
      <c r="H581" s="596"/>
      <c r="I581" s="1401" t="s">
        <v>5328</v>
      </c>
      <c r="J581" s="596"/>
      <c r="K581" s="596"/>
      <c r="L581" s="596"/>
      <c r="M581" s="596"/>
    </row>
    <row r="582" spans="1:13">
      <c r="A582" s="613"/>
      <c r="B582" s="614"/>
      <c r="C582" s="614"/>
      <c r="D582" s="614"/>
      <c r="E582" s="614"/>
      <c r="F582" s="615"/>
      <c r="H582" s="613"/>
      <c r="I582" s="614"/>
      <c r="J582" s="614"/>
      <c r="K582" s="614"/>
      <c r="L582" s="614"/>
      <c r="M582" s="615"/>
    </row>
    <row r="583" spans="1:13">
      <c r="A583" s="602"/>
      <c r="B583" s="632" t="s">
        <v>4298</v>
      </c>
      <c r="C583" s="632">
        <v>1.05</v>
      </c>
      <c r="D583" s="598" t="s">
        <v>825</v>
      </c>
      <c r="E583" s="605">
        <f>E569</f>
        <v>6850</v>
      </c>
      <c r="F583" s="606">
        <f t="shared" ref="F583:F585" si="228">+C583*E583</f>
        <v>7192.5</v>
      </c>
      <c r="H583" s="602"/>
      <c r="I583" s="632" t="s">
        <v>4298</v>
      </c>
      <c r="J583" s="632">
        <v>1.05</v>
      </c>
      <c r="K583" s="598" t="s">
        <v>825</v>
      </c>
      <c r="L583" s="605">
        <f>L570</f>
        <v>6850</v>
      </c>
      <c r="M583" s="606">
        <f t="shared" ref="M583:M585" si="229">+J583*L583</f>
        <v>7192.5</v>
      </c>
    </row>
    <row r="584" spans="1:13">
      <c r="A584" s="602"/>
      <c r="B584" s="632" t="s">
        <v>1683</v>
      </c>
      <c r="C584" s="632">
        <f>C570</f>
        <v>2.4260659979999999</v>
      </c>
      <c r="D584" s="598" t="s">
        <v>216</v>
      </c>
      <c r="E584" s="605">
        <f t="shared" ref="E584:E585" si="230">E570</f>
        <v>3200</v>
      </c>
      <c r="F584" s="606">
        <f t="shared" si="228"/>
        <v>7763.4111935999999</v>
      </c>
      <c r="H584" s="602"/>
      <c r="I584" s="632" t="s">
        <v>1683</v>
      </c>
      <c r="J584" s="632">
        <f>J571</f>
        <v>3.1958015279999996</v>
      </c>
      <c r="K584" s="598" t="s">
        <v>216</v>
      </c>
      <c r="L584" s="605">
        <f t="shared" ref="L584:L585" si="231">L571</f>
        <v>3200</v>
      </c>
      <c r="M584" s="606">
        <f t="shared" si="229"/>
        <v>10226.564889599998</v>
      </c>
    </row>
    <row r="585" spans="1:13">
      <c r="A585" s="602"/>
      <c r="B585" s="598" t="s">
        <v>217</v>
      </c>
      <c r="C585" s="632">
        <f>SUM(C583:C583)*2</f>
        <v>2.1</v>
      </c>
      <c r="D585" s="598" t="s">
        <v>218</v>
      </c>
      <c r="E585" s="605">
        <f t="shared" si="230"/>
        <v>60</v>
      </c>
      <c r="F585" s="606">
        <f t="shared" si="228"/>
        <v>126</v>
      </c>
      <c r="H585" s="602"/>
      <c r="I585" s="598" t="s">
        <v>217</v>
      </c>
      <c r="J585" s="632">
        <f>SUM(J583:J583)*2</f>
        <v>2.1</v>
      </c>
      <c r="K585" s="598" t="s">
        <v>218</v>
      </c>
      <c r="L585" s="605">
        <f t="shared" si="231"/>
        <v>60</v>
      </c>
      <c r="M585" s="606">
        <f t="shared" si="229"/>
        <v>126</v>
      </c>
    </row>
    <row r="586" spans="1:13">
      <c r="A586" s="602"/>
      <c r="B586" s="704" t="s">
        <v>1037</v>
      </c>
      <c r="C586" s="699">
        <f>C584</f>
        <v>2.4260659979999999</v>
      </c>
      <c r="D586" s="700" t="s">
        <v>1171</v>
      </c>
      <c r="E586" s="701">
        <f>Prec.!C352</f>
        <v>559.47499999999991</v>
      </c>
      <c r="F586" s="702">
        <f t="shared" ref="F586:F590" si="232">C586*E586</f>
        <v>1357.3232742310497</v>
      </c>
      <c r="H586" s="602"/>
      <c r="I586" s="704" t="s">
        <v>1037</v>
      </c>
      <c r="J586" s="699">
        <f>J584</f>
        <v>3.1958015279999996</v>
      </c>
      <c r="K586" s="700" t="s">
        <v>1171</v>
      </c>
      <c r="L586" s="701">
        <f>Prec.!C351</f>
        <v>535.15000000000009</v>
      </c>
      <c r="M586" s="702">
        <f t="shared" ref="M586:M590" si="233">J586*L586</f>
        <v>1710.2331877092001</v>
      </c>
    </row>
    <row r="587" spans="1:13">
      <c r="A587" s="602"/>
      <c r="B587" s="704" t="s">
        <v>5352</v>
      </c>
      <c r="C587" s="699">
        <f>1/(0.2*0.4)</f>
        <v>12.499999999999998</v>
      </c>
      <c r="D587" s="700" t="s">
        <v>1171</v>
      </c>
      <c r="E587" s="701">
        <f t="shared" ref="E587:E590" si="234">E573</f>
        <v>250</v>
      </c>
      <c r="F587" s="702">
        <f t="shared" si="232"/>
        <v>3124.9999999999995</v>
      </c>
      <c r="H587" s="602"/>
      <c r="I587" s="704" t="s">
        <v>5354</v>
      </c>
      <c r="J587" s="699">
        <f>1/(0.15*0.4)</f>
        <v>16.666666666666668</v>
      </c>
      <c r="K587" s="700" t="s">
        <v>1171</v>
      </c>
      <c r="L587" s="701">
        <f>L574</f>
        <v>250</v>
      </c>
      <c r="M587" s="702">
        <f t="shared" si="233"/>
        <v>4166.666666666667</v>
      </c>
    </row>
    <row r="588" spans="1:13">
      <c r="A588" s="602"/>
      <c r="B588" s="704" t="s">
        <v>4383</v>
      </c>
      <c r="C588" s="699">
        <f>(0.2+0.4)*C587</f>
        <v>7.5</v>
      </c>
      <c r="D588" s="700" t="s">
        <v>213</v>
      </c>
      <c r="E588" s="701">
        <f t="shared" si="234"/>
        <v>33.14</v>
      </c>
      <c r="F588" s="702">
        <f t="shared" si="232"/>
        <v>248.55</v>
      </c>
      <c r="H588" s="602"/>
      <c r="I588" s="704" t="s">
        <v>4383</v>
      </c>
      <c r="J588" s="699">
        <f>(0.15+0.4)*J587</f>
        <v>9.1666666666666679</v>
      </c>
      <c r="K588" s="700" t="s">
        <v>213</v>
      </c>
      <c r="L588" s="701">
        <f t="shared" ref="L588:L590" si="235">L575</f>
        <v>33.14</v>
      </c>
      <c r="M588" s="702">
        <f t="shared" si="233"/>
        <v>303.78333333333336</v>
      </c>
    </row>
    <row r="589" spans="1:13">
      <c r="A589" s="602"/>
      <c r="B589" s="704" t="s">
        <v>783</v>
      </c>
      <c r="C589" s="699">
        <v>1</v>
      </c>
      <c r="D589" s="700" t="s">
        <v>825</v>
      </c>
      <c r="E589" s="701">
        <f t="shared" si="234"/>
        <v>600.29999999999995</v>
      </c>
      <c r="F589" s="702">
        <f t="shared" si="232"/>
        <v>600.29999999999995</v>
      </c>
      <c r="H589" s="602"/>
      <c r="I589" s="704" t="s">
        <v>783</v>
      </c>
      <c r="J589" s="699">
        <v>1</v>
      </c>
      <c r="K589" s="700" t="s">
        <v>825</v>
      </c>
      <c r="L589" s="701">
        <f t="shared" si="235"/>
        <v>600.29999999999995</v>
      </c>
      <c r="M589" s="702">
        <f t="shared" si="233"/>
        <v>600.29999999999995</v>
      </c>
    </row>
    <row r="590" spans="1:13">
      <c r="A590" s="602"/>
      <c r="B590" s="704" t="s">
        <v>208</v>
      </c>
      <c r="C590" s="699">
        <f>SUM(F583:F585)</f>
        <v>15081.911193600001</v>
      </c>
      <c r="D590" s="700" t="s">
        <v>209</v>
      </c>
      <c r="E590" s="701">
        <f t="shared" si="234"/>
        <v>0.02</v>
      </c>
      <c r="F590" s="702">
        <f t="shared" si="232"/>
        <v>301.63822387200003</v>
      </c>
      <c r="H590" s="602"/>
      <c r="I590" s="704" t="s">
        <v>208</v>
      </c>
      <c r="J590" s="699">
        <f>SUM(M583:M585)</f>
        <v>17545.064889599998</v>
      </c>
      <c r="K590" s="700" t="s">
        <v>209</v>
      </c>
      <c r="L590" s="701">
        <f t="shared" si="235"/>
        <v>0.02</v>
      </c>
      <c r="M590" s="702">
        <f t="shared" si="233"/>
        <v>350.90129779199998</v>
      </c>
    </row>
    <row r="591" spans="1:13">
      <c r="A591" s="602"/>
      <c r="B591" s="607"/>
      <c r="C591" s="604"/>
      <c r="D591" s="603"/>
      <c r="E591" s="605"/>
      <c r="F591" s="606"/>
      <c r="H591" s="602"/>
      <c r="I591" s="607"/>
      <c r="J591" s="604"/>
      <c r="K591" s="603"/>
      <c r="L591" s="605"/>
      <c r="M591" s="606"/>
    </row>
    <row r="592" spans="1:13">
      <c r="A592" s="595"/>
      <c r="B592" s="595" t="s">
        <v>4253</v>
      </c>
      <c r="C592" s="596"/>
      <c r="D592" s="596"/>
      <c r="E592" s="596"/>
      <c r="F592" s="594">
        <f>SUM(F583:F591)</f>
        <v>20714.722691703049</v>
      </c>
      <c r="H592" s="595"/>
      <c r="I592" s="595" t="s">
        <v>4253</v>
      </c>
      <c r="J592" s="596"/>
      <c r="K592" s="596"/>
      <c r="L592" s="596"/>
      <c r="M592" s="594">
        <f>SUM(M583:M591)</f>
        <v>24676.949375101198</v>
      </c>
    </row>
    <row r="593" spans="1:13">
      <c r="H593" s="1527"/>
      <c r="I593" s="1527"/>
      <c r="J593" s="1528"/>
      <c r="K593" s="1528"/>
      <c r="L593" s="1528"/>
      <c r="M593" s="1529"/>
    </row>
    <row r="594" spans="1:13">
      <c r="A594" s="596"/>
      <c r="B594" s="1401" t="s">
        <v>5353</v>
      </c>
      <c r="C594" s="596"/>
      <c r="D594" s="596"/>
      <c r="E594" s="596"/>
      <c r="F594" s="596"/>
      <c r="H594" s="596"/>
      <c r="I594" s="1401" t="s">
        <v>5329</v>
      </c>
      <c r="J594" s="596"/>
      <c r="K594" s="596"/>
      <c r="L594" s="596"/>
      <c r="M594" s="596"/>
    </row>
    <row r="595" spans="1:13">
      <c r="A595" s="613"/>
      <c r="B595" s="614"/>
      <c r="C595" s="614"/>
      <c r="D595" s="614"/>
      <c r="E595" s="614"/>
      <c r="F595" s="615"/>
      <c r="H595" s="613"/>
      <c r="I595" s="614"/>
      <c r="J595" s="614"/>
      <c r="K595" s="614"/>
      <c r="L595" s="614"/>
      <c r="M595" s="615"/>
    </row>
    <row r="596" spans="1:13">
      <c r="A596" s="602"/>
      <c r="B596" s="632" t="s">
        <v>4298</v>
      </c>
      <c r="C596" s="632">
        <v>1.05</v>
      </c>
      <c r="D596" s="598" t="s">
        <v>825</v>
      </c>
      <c r="E596" s="605">
        <f>E583</f>
        <v>6850</v>
      </c>
      <c r="F596" s="606">
        <f t="shared" ref="F596:F598" si="236">+C596*E596</f>
        <v>7192.5</v>
      </c>
      <c r="H596" s="602"/>
      <c r="I596" s="632" t="s">
        <v>4298</v>
      </c>
      <c r="J596" s="632">
        <v>1.05</v>
      </c>
      <c r="K596" s="598" t="s">
        <v>825</v>
      </c>
      <c r="L596" s="605">
        <f>L583</f>
        <v>6850</v>
      </c>
      <c r="M596" s="606">
        <f t="shared" ref="M596:M598" si="237">+J596*L596</f>
        <v>7192.5</v>
      </c>
    </row>
    <row r="597" spans="1:13">
      <c r="A597" s="602"/>
      <c r="B597" s="632" t="s">
        <v>1683</v>
      </c>
      <c r="C597" s="632">
        <f>C584</f>
        <v>2.4260659979999999</v>
      </c>
      <c r="D597" s="598" t="s">
        <v>216</v>
      </c>
      <c r="E597" s="605">
        <f t="shared" ref="E597:E598" si="238">E584</f>
        <v>3200</v>
      </c>
      <c r="F597" s="606">
        <f t="shared" si="236"/>
        <v>7763.4111935999999</v>
      </c>
      <c r="H597" s="602"/>
      <c r="I597" s="632" t="s">
        <v>1683</v>
      </c>
      <c r="J597" s="632">
        <f>J584</f>
        <v>3.1958015279999996</v>
      </c>
      <c r="K597" s="598" t="s">
        <v>216</v>
      </c>
      <c r="L597" s="605">
        <f t="shared" ref="L597:L598" si="239">L584</f>
        <v>3200</v>
      </c>
      <c r="M597" s="606">
        <f t="shared" si="237"/>
        <v>10226.564889599998</v>
      </c>
    </row>
    <row r="598" spans="1:13">
      <c r="A598" s="602"/>
      <c r="B598" s="598" t="s">
        <v>217</v>
      </c>
      <c r="C598" s="632">
        <f>SUM(C596:C596)*2</f>
        <v>2.1</v>
      </c>
      <c r="D598" s="598" t="s">
        <v>218</v>
      </c>
      <c r="E598" s="605">
        <f t="shared" si="238"/>
        <v>60</v>
      </c>
      <c r="F598" s="606">
        <f t="shared" si="236"/>
        <v>126</v>
      </c>
      <c r="H598" s="602"/>
      <c r="I598" s="598" t="s">
        <v>217</v>
      </c>
      <c r="J598" s="632">
        <f>SUM(J596:J596)*2</f>
        <v>2.1</v>
      </c>
      <c r="K598" s="598" t="s">
        <v>218</v>
      </c>
      <c r="L598" s="605">
        <f t="shared" si="239"/>
        <v>60</v>
      </c>
      <c r="M598" s="606">
        <f t="shared" si="237"/>
        <v>126</v>
      </c>
    </row>
    <row r="599" spans="1:13">
      <c r="A599" s="602"/>
      <c r="B599" s="704" t="s">
        <v>1037</v>
      </c>
      <c r="C599" s="699">
        <f>C597</f>
        <v>2.4260659979999999</v>
      </c>
      <c r="D599" s="700" t="s">
        <v>1171</v>
      </c>
      <c r="E599" s="701">
        <f>Prec.!C353</f>
        <v>583.79999999999995</v>
      </c>
      <c r="F599" s="702">
        <f t="shared" ref="F599:F603" si="240">C599*E599</f>
        <v>1416.3373296323998</v>
      </c>
      <c r="H599" s="602"/>
      <c r="I599" s="704" t="s">
        <v>1037</v>
      </c>
      <c r="J599" s="699">
        <f>J597</f>
        <v>3.1958015279999996</v>
      </c>
      <c r="K599" s="700" t="s">
        <v>1171</v>
      </c>
      <c r="L599" s="701">
        <f>Prec.!C352</f>
        <v>559.47499999999991</v>
      </c>
      <c r="M599" s="702">
        <f t="shared" ref="M599:M603" si="241">J599*L599</f>
        <v>1787.9710598777995</v>
      </c>
    </row>
    <row r="600" spans="1:13">
      <c r="A600" s="602"/>
      <c r="B600" s="704" t="s">
        <v>5352</v>
      </c>
      <c r="C600" s="699">
        <f>1/(0.2*0.4)</f>
        <v>12.499999999999998</v>
      </c>
      <c r="D600" s="700" t="s">
        <v>1171</v>
      </c>
      <c r="E600" s="701">
        <f t="shared" ref="E600:E603" si="242">E587</f>
        <v>250</v>
      </c>
      <c r="F600" s="702">
        <f t="shared" si="240"/>
        <v>3124.9999999999995</v>
      </c>
      <c r="H600" s="602"/>
      <c r="I600" s="704" t="s">
        <v>5354</v>
      </c>
      <c r="J600" s="699">
        <f>1/(0.15*0.4)</f>
        <v>16.666666666666668</v>
      </c>
      <c r="K600" s="700" t="s">
        <v>1171</v>
      </c>
      <c r="L600" s="701">
        <f>L587</f>
        <v>250</v>
      </c>
      <c r="M600" s="702">
        <f t="shared" si="241"/>
        <v>4166.666666666667</v>
      </c>
    </row>
    <row r="601" spans="1:13">
      <c r="A601" s="602"/>
      <c r="B601" s="704" t="s">
        <v>4383</v>
      </c>
      <c r="C601" s="699">
        <f>(0.2+0.4)*C600</f>
        <v>7.5</v>
      </c>
      <c r="D601" s="700" t="s">
        <v>213</v>
      </c>
      <c r="E601" s="701">
        <f t="shared" si="242"/>
        <v>33.14</v>
      </c>
      <c r="F601" s="702">
        <f t="shared" si="240"/>
        <v>248.55</v>
      </c>
      <c r="H601" s="602"/>
      <c r="I601" s="704" t="s">
        <v>4383</v>
      </c>
      <c r="J601" s="699">
        <f>(0.15+0.4)*J600</f>
        <v>9.1666666666666679</v>
      </c>
      <c r="K601" s="700" t="s">
        <v>213</v>
      </c>
      <c r="L601" s="701">
        <f t="shared" ref="L601:L603" si="243">L588</f>
        <v>33.14</v>
      </c>
      <c r="M601" s="702">
        <f t="shared" si="241"/>
        <v>303.78333333333336</v>
      </c>
    </row>
    <row r="602" spans="1:13">
      <c r="A602" s="602"/>
      <c r="B602" s="704" t="s">
        <v>783</v>
      </c>
      <c r="C602" s="699">
        <v>1</v>
      </c>
      <c r="D602" s="700" t="s">
        <v>825</v>
      </c>
      <c r="E602" s="701">
        <f t="shared" si="242"/>
        <v>600.29999999999995</v>
      </c>
      <c r="F602" s="702">
        <f t="shared" si="240"/>
        <v>600.29999999999995</v>
      </c>
      <c r="H602" s="602"/>
      <c r="I602" s="704" t="s">
        <v>783</v>
      </c>
      <c r="J602" s="699">
        <v>1</v>
      </c>
      <c r="K602" s="700" t="s">
        <v>825</v>
      </c>
      <c r="L602" s="701">
        <f t="shared" si="243"/>
        <v>600.29999999999995</v>
      </c>
      <c r="M602" s="702">
        <f t="shared" si="241"/>
        <v>600.29999999999995</v>
      </c>
    </row>
    <row r="603" spans="1:13">
      <c r="A603" s="602"/>
      <c r="B603" s="704" t="s">
        <v>208</v>
      </c>
      <c r="C603" s="699">
        <f>SUM(F596:F598)</f>
        <v>15081.911193600001</v>
      </c>
      <c r="D603" s="700" t="s">
        <v>209</v>
      </c>
      <c r="E603" s="701">
        <f t="shared" si="242"/>
        <v>0.02</v>
      </c>
      <c r="F603" s="702">
        <f t="shared" si="240"/>
        <v>301.63822387200003</v>
      </c>
      <c r="H603" s="602"/>
      <c r="I603" s="704" t="s">
        <v>208</v>
      </c>
      <c r="J603" s="699">
        <f>SUM(M596:M598)</f>
        <v>17545.064889599998</v>
      </c>
      <c r="K603" s="700" t="s">
        <v>209</v>
      </c>
      <c r="L603" s="701">
        <f t="shared" si="243"/>
        <v>0.02</v>
      </c>
      <c r="M603" s="702">
        <f t="shared" si="241"/>
        <v>350.90129779199998</v>
      </c>
    </row>
    <row r="604" spans="1:13">
      <c r="A604" s="602"/>
      <c r="B604" s="607"/>
      <c r="C604" s="604"/>
      <c r="D604" s="603"/>
      <c r="E604" s="605"/>
      <c r="F604" s="606"/>
      <c r="H604" s="602"/>
      <c r="I604" s="607"/>
      <c r="J604" s="604"/>
      <c r="K604" s="603"/>
      <c r="L604" s="605"/>
      <c r="M604" s="606"/>
    </row>
    <row r="605" spans="1:13">
      <c r="A605" s="595"/>
      <c r="B605" s="595" t="s">
        <v>4253</v>
      </c>
      <c r="C605" s="596"/>
      <c r="D605" s="596"/>
      <c r="E605" s="596"/>
      <c r="F605" s="594">
        <f>SUM(F596:F604)</f>
        <v>20773.736747104398</v>
      </c>
      <c r="H605" s="595"/>
      <c r="I605" s="595" t="s">
        <v>4253</v>
      </c>
      <c r="J605" s="596"/>
      <c r="K605" s="596"/>
      <c r="L605" s="596"/>
      <c r="M605" s="594">
        <f>SUM(M596:M604)</f>
        <v>24754.687247269798</v>
      </c>
    </row>
    <row r="606" spans="1:13">
      <c r="H606" s="1527"/>
      <c r="I606" s="1527"/>
      <c r="J606" s="1528"/>
      <c r="K606" s="1528"/>
      <c r="L606" s="1528"/>
      <c r="M606" s="1529"/>
    </row>
    <row r="607" spans="1:13">
      <c r="H607" s="1527"/>
      <c r="I607" s="1527"/>
      <c r="J607" s="1528"/>
      <c r="K607" s="1528"/>
      <c r="L607" s="1528"/>
      <c r="M607" s="1529"/>
    </row>
    <row r="609" spans="1:13">
      <c r="A609" s="596"/>
      <c r="B609" s="1401" t="s">
        <v>5330</v>
      </c>
      <c r="C609" s="596"/>
      <c r="D609" s="596"/>
      <c r="E609" s="596"/>
      <c r="F609" s="596"/>
      <c r="H609" s="596"/>
      <c r="I609" s="1401" t="s">
        <v>5355</v>
      </c>
      <c r="J609" s="596"/>
      <c r="K609" s="596"/>
      <c r="L609" s="596"/>
      <c r="M609" s="596"/>
    </row>
    <row r="610" spans="1:13">
      <c r="A610" s="613"/>
      <c r="B610" s="614"/>
      <c r="C610" s="614"/>
      <c r="D610" s="614"/>
      <c r="E610" s="614"/>
      <c r="F610" s="615"/>
      <c r="H610" s="613"/>
      <c r="I610" s="614"/>
      <c r="J610" s="614"/>
      <c r="K610" s="614"/>
      <c r="L610" s="614"/>
      <c r="M610" s="615"/>
    </row>
    <row r="611" spans="1:13">
      <c r="A611" s="602"/>
      <c r="B611" s="632" t="s">
        <v>4298</v>
      </c>
      <c r="C611" s="632">
        <v>1.05</v>
      </c>
      <c r="D611" s="598" t="s">
        <v>825</v>
      </c>
      <c r="E611" s="605">
        <f>L611</f>
        <v>6850</v>
      </c>
      <c r="F611" s="606">
        <f t="shared" ref="F611:F613" si="244">+C611*E611</f>
        <v>7192.5</v>
      </c>
      <c r="H611" s="602"/>
      <c r="I611" s="632" t="s">
        <v>4298</v>
      </c>
      <c r="J611" s="632">
        <v>1.05</v>
      </c>
      <c r="K611" s="598" t="s">
        <v>825</v>
      </c>
      <c r="L611" s="605">
        <f>L596</f>
        <v>6850</v>
      </c>
      <c r="M611" s="606">
        <f t="shared" ref="M611:M613" si="245">+J611*L611</f>
        <v>7192.5</v>
      </c>
    </row>
    <row r="612" spans="1:13">
      <c r="A612" s="602"/>
      <c r="B612" s="632" t="s">
        <v>1683</v>
      </c>
      <c r="C612" s="632">
        <f>+CUANTIAS!H107</f>
        <v>3.1522045919999995</v>
      </c>
      <c r="D612" s="598" t="s">
        <v>216</v>
      </c>
      <c r="E612" s="605">
        <f>L612</f>
        <v>3200</v>
      </c>
      <c r="F612" s="606">
        <f t="shared" si="244"/>
        <v>10087.054694399998</v>
      </c>
      <c r="H612" s="602"/>
      <c r="I612" s="632" t="s">
        <v>1683</v>
      </c>
      <c r="J612" s="632">
        <f>J597</f>
        <v>3.1958015279999996</v>
      </c>
      <c r="K612" s="598" t="s">
        <v>216</v>
      </c>
      <c r="L612" s="605">
        <f t="shared" ref="L612:L613" si="246">L597</f>
        <v>3200</v>
      </c>
      <c r="M612" s="606">
        <f t="shared" si="245"/>
        <v>10226.564889599998</v>
      </c>
    </row>
    <row r="613" spans="1:13">
      <c r="A613" s="602"/>
      <c r="B613" s="598" t="s">
        <v>217</v>
      </c>
      <c r="C613" s="632">
        <f>SUM(C611:C611)*2</f>
        <v>2.1</v>
      </c>
      <c r="D613" s="598" t="s">
        <v>218</v>
      </c>
      <c r="E613" s="605">
        <f>L613</f>
        <v>60</v>
      </c>
      <c r="F613" s="606">
        <f t="shared" si="244"/>
        <v>126</v>
      </c>
      <c r="H613" s="602"/>
      <c r="I613" s="598" t="s">
        <v>217</v>
      </c>
      <c r="J613" s="632">
        <f>SUM(J611:J611)*2</f>
        <v>2.1</v>
      </c>
      <c r="K613" s="598" t="s">
        <v>218</v>
      </c>
      <c r="L613" s="605">
        <f t="shared" si="246"/>
        <v>60</v>
      </c>
      <c r="M613" s="606">
        <f t="shared" si="245"/>
        <v>126</v>
      </c>
    </row>
    <row r="614" spans="1:13">
      <c r="A614" s="602"/>
      <c r="B614" s="704" t="s">
        <v>1037</v>
      </c>
      <c r="C614" s="699">
        <f>C612</f>
        <v>3.1522045919999995</v>
      </c>
      <c r="D614" s="700" t="s">
        <v>1171</v>
      </c>
      <c r="E614" s="701">
        <f>Prec.!C350</f>
        <v>486.5</v>
      </c>
      <c r="F614" s="702">
        <f t="shared" ref="F614:F618" si="247">C614*E614</f>
        <v>1533.5475340079997</v>
      </c>
      <c r="H614" s="602"/>
      <c r="I614" s="704" t="s">
        <v>1037</v>
      </c>
      <c r="J614" s="699">
        <f>J612</f>
        <v>3.1958015279999996</v>
      </c>
      <c r="K614" s="700" t="s">
        <v>1171</v>
      </c>
      <c r="L614" s="701">
        <f>Prec.!C353</f>
        <v>583.79999999999995</v>
      </c>
      <c r="M614" s="702">
        <f t="shared" ref="M614:M618" si="248">J614*L614</f>
        <v>1865.7089320463997</v>
      </c>
    </row>
    <row r="615" spans="1:13">
      <c r="A615" s="602"/>
      <c r="B615" s="704" t="s">
        <v>5352</v>
      </c>
      <c r="C615" s="699">
        <f>1/(0.2*0.4)</f>
        <v>12.499999999999998</v>
      </c>
      <c r="D615" s="700" t="s">
        <v>1171</v>
      </c>
      <c r="E615" s="701">
        <f>L615</f>
        <v>250</v>
      </c>
      <c r="F615" s="702">
        <f t="shared" si="247"/>
        <v>3124.9999999999995</v>
      </c>
      <c r="H615" s="602"/>
      <c r="I615" s="704" t="s">
        <v>5354</v>
      </c>
      <c r="J615" s="699">
        <f>1/(0.15*0.4)</f>
        <v>16.666666666666668</v>
      </c>
      <c r="K615" s="700" t="s">
        <v>1171</v>
      </c>
      <c r="L615" s="701">
        <f>L600</f>
        <v>250</v>
      </c>
      <c r="M615" s="702">
        <f t="shared" si="248"/>
        <v>4166.666666666667</v>
      </c>
    </row>
    <row r="616" spans="1:13">
      <c r="A616" s="602"/>
      <c r="B616" s="704" t="s">
        <v>4383</v>
      </c>
      <c r="C616" s="699">
        <f>(0.2+0.4)*C615</f>
        <v>7.5</v>
      </c>
      <c r="D616" s="700" t="s">
        <v>213</v>
      </c>
      <c r="E616" s="701">
        <f t="shared" ref="E616:E618" si="249">L616</f>
        <v>33.14</v>
      </c>
      <c r="F616" s="702">
        <f t="shared" si="247"/>
        <v>248.55</v>
      </c>
      <c r="H616" s="602"/>
      <c r="I616" s="704" t="s">
        <v>4383</v>
      </c>
      <c r="J616" s="699">
        <f>(0.15+0.4)*J615</f>
        <v>9.1666666666666679</v>
      </c>
      <c r="K616" s="700" t="s">
        <v>213</v>
      </c>
      <c r="L616" s="701">
        <f t="shared" ref="L616:L618" si="250">L601</f>
        <v>33.14</v>
      </c>
      <c r="M616" s="702">
        <f t="shared" si="248"/>
        <v>303.78333333333336</v>
      </c>
    </row>
    <row r="617" spans="1:13">
      <c r="A617" s="602"/>
      <c r="B617" s="704" t="s">
        <v>783</v>
      </c>
      <c r="C617" s="699">
        <v>1</v>
      </c>
      <c r="D617" s="700" t="s">
        <v>825</v>
      </c>
      <c r="E617" s="701">
        <f t="shared" si="249"/>
        <v>600.29999999999995</v>
      </c>
      <c r="F617" s="702">
        <f t="shared" si="247"/>
        <v>600.29999999999995</v>
      </c>
      <c r="H617" s="602"/>
      <c r="I617" s="704" t="s">
        <v>783</v>
      </c>
      <c r="J617" s="699">
        <v>1</v>
      </c>
      <c r="K617" s="700" t="s">
        <v>825</v>
      </c>
      <c r="L617" s="701">
        <f t="shared" si="250"/>
        <v>600.29999999999995</v>
      </c>
      <c r="M617" s="702">
        <f t="shared" si="248"/>
        <v>600.29999999999995</v>
      </c>
    </row>
    <row r="618" spans="1:13">
      <c r="A618" s="602"/>
      <c r="B618" s="704" t="s">
        <v>208</v>
      </c>
      <c r="C618" s="699">
        <f>SUM(F611:F613)</f>
        <v>17405.554694399998</v>
      </c>
      <c r="D618" s="700" t="s">
        <v>209</v>
      </c>
      <c r="E618" s="701">
        <f t="shared" si="249"/>
        <v>0.02</v>
      </c>
      <c r="F618" s="702">
        <f t="shared" si="247"/>
        <v>348.11109388799997</v>
      </c>
      <c r="H618" s="602"/>
      <c r="I618" s="704" t="s">
        <v>208</v>
      </c>
      <c r="J618" s="699">
        <f>SUM(M611:M613)</f>
        <v>17545.064889599998</v>
      </c>
      <c r="K618" s="700" t="s">
        <v>209</v>
      </c>
      <c r="L618" s="701">
        <f t="shared" si="250"/>
        <v>0.02</v>
      </c>
      <c r="M618" s="702">
        <f t="shared" si="248"/>
        <v>350.90129779199998</v>
      </c>
    </row>
    <row r="619" spans="1:13">
      <c r="A619" s="602"/>
      <c r="B619" s="607"/>
      <c r="C619" s="604"/>
      <c r="D619" s="603"/>
      <c r="E619" s="605"/>
      <c r="F619" s="606"/>
      <c r="H619" s="602"/>
      <c r="I619" s="607"/>
      <c r="J619" s="604"/>
      <c r="K619" s="603"/>
      <c r="L619" s="605"/>
      <c r="M619" s="606"/>
    </row>
    <row r="620" spans="1:13">
      <c r="A620" s="595"/>
      <c r="B620" s="595" t="s">
        <v>4253</v>
      </c>
      <c r="C620" s="596"/>
      <c r="D620" s="596"/>
      <c r="E620" s="596"/>
      <c r="F620" s="594">
        <f>SUM(F611:F619)</f>
        <v>23261.063322295999</v>
      </c>
      <c r="H620" s="595"/>
      <c r="I620" s="595" t="s">
        <v>4253</v>
      </c>
      <c r="J620" s="596"/>
      <c r="K620" s="596"/>
      <c r="L620" s="596"/>
      <c r="M620" s="594">
        <f>SUM(M611:M619)</f>
        <v>24832.425119438398</v>
      </c>
    </row>
    <row r="622" spans="1:13">
      <c r="A622" s="596"/>
      <c r="B622" s="1401" t="s">
        <v>5331</v>
      </c>
      <c r="C622" s="596" t="s">
        <v>4297</v>
      </c>
      <c r="D622" s="596"/>
      <c r="E622" s="596"/>
      <c r="F622" s="596"/>
      <c r="H622" s="596"/>
      <c r="I622" s="1401" t="s">
        <v>5333</v>
      </c>
      <c r="J622" s="596"/>
      <c r="K622" s="596"/>
      <c r="L622" s="596"/>
      <c r="M622" s="596"/>
    </row>
    <row r="623" spans="1:13">
      <c r="A623" s="613"/>
      <c r="B623" s="614"/>
      <c r="C623" s="614"/>
      <c r="D623" s="614"/>
      <c r="E623" s="614"/>
      <c r="F623" s="615"/>
      <c r="H623" s="613"/>
      <c r="I623" s="614"/>
      <c r="J623" s="614"/>
      <c r="K623" s="614"/>
      <c r="L623" s="614"/>
      <c r="M623" s="615"/>
    </row>
    <row r="624" spans="1:13">
      <c r="A624" s="602"/>
      <c r="B624" s="632" t="s">
        <v>4298</v>
      </c>
      <c r="C624" s="632">
        <v>1.05</v>
      </c>
      <c r="D624" s="598" t="s">
        <v>825</v>
      </c>
      <c r="E624" s="605">
        <f>E611</f>
        <v>6850</v>
      </c>
      <c r="F624" s="606">
        <f t="shared" ref="F624:F626" si="251">+C624*E624</f>
        <v>7192.5</v>
      </c>
      <c r="H624" s="602"/>
      <c r="I624" s="632" t="s">
        <v>4298</v>
      </c>
      <c r="J624" s="632">
        <v>1.05</v>
      </c>
      <c r="K624" s="598" t="s">
        <v>825</v>
      </c>
      <c r="L624" s="605">
        <f>L611</f>
        <v>6850</v>
      </c>
      <c r="M624" s="606">
        <f t="shared" ref="M624:M626" si="252">+J624*L624</f>
        <v>7192.5</v>
      </c>
    </row>
    <row r="625" spans="1:13">
      <c r="A625" s="602"/>
      <c r="B625" s="632" t="s">
        <v>1683</v>
      </c>
      <c r="C625" s="632">
        <f>C612</f>
        <v>3.1522045919999995</v>
      </c>
      <c r="D625" s="598" t="s">
        <v>216</v>
      </c>
      <c r="E625" s="605">
        <f t="shared" ref="E625:E626" si="253">E612</f>
        <v>3200</v>
      </c>
      <c r="F625" s="606">
        <f t="shared" si="251"/>
        <v>10087.054694399998</v>
      </c>
      <c r="H625" s="602"/>
      <c r="I625" s="632" t="s">
        <v>1683</v>
      </c>
      <c r="J625" s="632">
        <f>+CUANTIAS!H97</f>
        <v>4.1544436319999996</v>
      </c>
      <c r="K625" s="598" t="s">
        <v>216</v>
      </c>
      <c r="L625" s="605">
        <f t="shared" ref="L625:L626" si="254">L612</f>
        <v>3200</v>
      </c>
      <c r="M625" s="606">
        <f t="shared" si="252"/>
        <v>13294.219622399998</v>
      </c>
    </row>
    <row r="626" spans="1:13">
      <c r="A626" s="602"/>
      <c r="B626" s="598" t="s">
        <v>217</v>
      </c>
      <c r="C626" s="632">
        <f>SUM(C624:C624)*2</f>
        <v>2.1</v>
      </c>
      <c r="D626" s="598" t="s">
        <v>218</v>
      </c>
      <c r="E626" s="605">
        <f t="shared" si="253"/>
        <v>60</v>
      </c>
      <c r="F626" s="606">
        <f t="shared" si="251"/>
        <v>126</v>
      </c>
      <c r="H626" s="602"/>
      <c r="I626" s="598" t="s">
        <v>217</v>
      </c>
      <c r="J626" s="632">
        <f>SUM(J624:J624)*2</f>
        <v>2.1</v>
      </c>
      <c r="K626" s="598" t="s">
        <v>218</v>
      </c>
      <c r="L626" s="605">
        <f t="shared" si="254"/>
        <v>60</v>
      </c>
      <c r="M626" s="606">
        <f t="shared" si="252"/>
        <v>126</v>
      </c>
    </row>
    <row r="627" spans="1:13">
      <c r="A627" s="602"/>
      <c r="B627" s="704" t="s">
        <v>1037</v>
      </c>
      <c r="C627" s="699">
        <f>C625</f>
        <v>3.1522045919999995</v>
      </c>
      <c r="D627" s="700" t="s">
        <v>1171</v>
      </c>
      <c r="E627" s="701">
        <f>Prec.!C351</f>
        <v>535.15000000000009</v>
      </c>
      <c r="F627" s="702">
        <f t="shared" ref="F627:F631" si="255">C627*E627</f>
        <v>1686.9022874088</v>
      </c>
      <c r="H627" s="602"/>
      <c r="I627" s="704" t="s">
        <v>1037</v>
      </c>
      <c r="J627" s="699">
        <f>J625</f>
        <v>4.1544436319999996</v>
      </c>
      <c r="K627" s="700" t="s">
        <v>216</v>
      </c>
      <c r="L627" s="701">
        <f>Prec.!C350</f>
        <v>486.5</v>
      </c>
      <c r="M627" s="702">
        <f t="shared" ref="M627:M631" si="256">J627*L627</f>
        <v>2021.1368269679997</v>
      </c>
    </row>
    <row r="628" spans="1:13">
      <c r="A628" s="602"/>
      <c r="B628" s="704" t="s">
        <v>5352</v>
      </c>
      <c r="C628" s="699">
        <f>1/(0.2*0.4)</f>
        <v>12.499999999999998</v>
      </c>
      <c r="D628" s="700" t="s">
        <v>1171</v>
      </c>
      <c r="E628" s="701">
        <f>L628</f>
        <v>250</v>
      </c>
      <c r="F628" s="702">
        <f t="shared" si="255"/>
        <v>3124.9999999999995</v>
      </c>
      <c r="H628" s="602"/>
      <c r="I628" s="704" t="s">
        <v>5354</v>
      </c>
      <c r="J628" s="699">
        <f>1/(0.15*0.4)</f>
        <v>16.666666666666668</v>
      </c>
      <c r="K628" s="700" t="s">
        <v>1171</v>
      </c>
      <c r="L628" s="701">
        <f>L615</f>
        <v>250</v>
      </c>
      <c r="M628" s="702">
        <f t="shared" si="256"/>
        <v>4166.666666666667</v>
      </c>
    </row>
    <row r="629" spans="1:13">
      <c r="A629" s="602"/>
      <c r="B629" s="704" t="s">
        <v>4383</v>
      </c>
      <c r="C629" s="699">
        <f>(0.2+0.4)*C628</f>
        <v>7.5</v>
      </c>
      <c r="D629" s="700" t="s">
        <v>213</v>
      </c>
      <c r="E629" s="701">
        <f t="shared" ref="E629:E631" si="257">L629</f>
        <v>33.14</v>
      </c>
      <c r="F629" s="702">
        <f t="shared" si="255"/>
        <v>248.55</v>
      </c>
      <c r="H629" s="602"/>
      <c r="I629" s="704" t="s">
        <v>4383</v>
      </c>
      <c r="J629" s="699">
        <f>(0.15+0.4)*J628</f>
        <v>9.1666666666666679</v>
      </c>
      <c r="K629" s="700" t="s">
        <v>213</v>
      </c>
      <c r="L629" s="701">
        <f t="shared" ref="L629:L631" si="258">L616</f>
        <v>33.14</v>
      </c>
      <c r="M629" s="702">
        <f t="shared" si="256"/>
        <v>303.78333333333336</v>
      </c>
    </row>
    <row r="630" spans="1:13">
      <c r="A630" s="602"/>
      <c r="B630" s="704" t="s">
        <v>783</v>
      </c>
      <c r="C630" s="699">
        <v>1</v>
      </c>
      <c r="D630" s="700" t="s">
        <v>825</v>
      </c>
      <c r="E630" s="701">
        <f t="shared" si="257"/>
        <v>600.29999999999995</v>
      </c>
      <c r="F630" s="702">
        <f t="shared" si="255"/>
        <v>600.29999999999995</v>
      </c>
      <c r="H630" s="602"/>
      <c r="I630" s="704" t="s">
        <v>783</v>
      </c>
      <c r="J630" s="699">
        <v>1</v>
      </c>
      <c r="K630" s="700" t="s">
        <v>825</v>
      </c>
      <c r="L630" s="701">
        <f t="shared" si="258"/>
        <v>600.29999999999995</v>
      </c>
      <c r="M630" s="702">
        <f t="shared" si="256"/>
        <v>600.29999999999995</v>
      </c>
    </row>
    <row r="631" spans="1:13">
      <c r="A631" s="602"/>
      <c r="B631" s="704" t="s">
        <v>208</v>
      </c>
      <c r="C631" s="699">
        <f>SUM(F624:F626)</f>
        <v>17405.554694399998</v>
      </c>
      <c r="D631" s="700" t="s">
        <v>209</v>
      </c>
      <c r="E631" s="701">
        <f t="shared" si="257"/>
        <v>0.02</v>
      </c>
      <c r="F631" s="702">
        <f t="shared" si="255"/>
        <v>348.11109388799997</v>
      </c>
      <c r="H631" s="602"/>
      <c r="I631" s="704" t="s">
        <v>208</v>
      </c>
      <c r="J631" s="699">
        <f>SUM(M624:M626)</f>
        <v>20612.7196224</v>
      </c>
      <c r="K631" s="700" t="s">
        <v>209</v>
      </c>
      <c r="L631" s="701">
        <f t="shared" si="258"/>
        <v>0.02</v>
      </c>
      <c r="M631" s="702">
        <f t="shared" si="256"/>
        <v>412.25439244800003</v>
      </c>
    </row>
    <row r="632" spans="1:13">
      <c r="A632" s="602"/>
      <c r="B632" s="607"/>
      <c r="C632" s="604"/>
      <c r="D632" s="603"/>
      <c r="E632" s="605"/>
      <c r="F632" s="606"/>
      <c r="H632" s="602"/>
      <c r="I632" s="607"/>
      <c r="J632" s="604"/>
      <c r="K632" s="603"/>
      <c r="L632" s="605"/>
      <c r="M632" s="606"/>
    </row>
    <row r="633" spans="1:13">
      <c r="A633" s="595"/>
      <c r="B633" s="595" t="s">
        <v>4253</v>
      </c>
      <c r="C633" s="596"/>
      <c r="D633" s="596"/>
      <c r="E633" s="596"/>
      <c r="F633" s="594">
        <f>SUM(F624:F632)</f>
        <v>23414.418075696798</v>
      </c>
      <c r="H633" s="595"/>
      <c r="I633" s="595" t="s">
        <v>4253</v>
      </c>
      <c r="J633" s="596"/>
      <c r="K633" s="596"/>
      <c r="L633" s="596"/>
      <c r="M633" s="594">
        <f>SUM(M624:M632)</f>
        <v>28116.860841816</v>
      </c>
    </row>
    <row r="635" spans="1:13">
      <c r="A635" s="596"/>
      <c r="B635" s="1401" t="s">
        <v>5332</v>
      </c>
      <c r="C635" s="596" t="s">
        <v>4297</v>
      </c>
      <c r="D635" s="596"/>
      <c r="E635" s="596"/>
      <c r="F635" s="596"/>
      <c r="H635" s="596"/>
      <c r="I635" s="1401" t="s">
        <v>5334</v>
      </c>
      <c r="J635" s="596"/>
      <c r="K635" s="596"/>
      <c r="L635" s="596"/>
      <c r="M635" s="596"/>
    </row>
    <row r="636" spans="1:13">
      <c r="A636" s="613"/>
      <c r="B636" s="614"/>
      <c r="C636" s="614"/>
      <c r="D636" s="614"/>
      <c r="E636" s="614"/>
      <c r="F636" s="615"/>
      <c r="H636" s="613"/>
      <c r="I636" s="614"/>
      <c r="J636" s="614"/>
      <c r="K636" s="614"/>
      <c r="L636" s="614"/>
      <c r="M636" s="615"/>
    </row>
    <row r="637" spans="1:13">
      <c r="A637" s="602"/>
      <c r="B637" s="632" t="s">
        <v>4298</v>
      </c>
      <c r="C637" s="632">
        <v>1.05</v>
      </c>
      <c r="D637" s="598" t="s">
        <v>825</v>
      </c>
      <c r="E637" s="605">
        <f>E624</f>
        <v>6850</v>
      </c>
      <c r="F637" s="606">
        <f t="shared" ref="F637:F639" si="259">+C637*E637</f>
        <v>7192.5</v>
      </c>
      <c r="H637" s="602"/>
      <c r="I637" s="632" t="s">
        <v>4298</v>
      </c>
      <c r="J637" s="632">
        <v>1.05</v>
      </c>
      <c r="K637" s="598" t="s">
        <v>825</v>
      </c>
      <c r="L637" s="605">
        <f>L624</f>
        <v>6850</v>
      </c>
      <c r="M637" s="606">
        <f t="shared" ref="M637:M639" si="260">+J637*L637</f>
        <v>7192.5</v>
      </c>
    </row>
    <row r="638" spans="1:13">
      <c r="A638" s="602"/>
      <c r="B638" s="632" t="s">
        <v>1683</v>
      </c>
      <c r="C638" s="632">
        <f>C625</f>
        <v>3.1522045919999995</v>
      </c>
      <c r="D638" s="598" t="s">
        <v>216</v>
      </c>
      <c r="E638" s="605">
        <f t="shared" ref="E638:E639" si="261">E625</f>
        <v>3200</v>
      </c>
      <c r="F638" s="606">
        <f t="shared" si="259"/>
        <v>10087.054694399998</v>
      </c>
      <c r="H638" s="602"/>
      <c r="I638" s="632" t="s">
        <v>1683</v>
      </c>
      <c r="J638" s="632">
        <f>J625</f>
        <v>4.1544436319999996</v>
      </c>
      <c r="K638" s="598" t="s">
        <v>216</v>
      </c>
      <c r="L638" s="605">
        <f t="shared" ref="L638:L639" si="262">L625</f>
        <v>3200</v>
      </c>
      <c r="M638" s="606">
        <f t="shared" si="260"/>
        <v>13294.219622399998</v>
      </c>
    </row>
    <row r="639" spans="1:13">
      <c r="A639" s="602"/>
      <c r="B639" s="598" t="s">
        <v>217</v>
      </c>
      <c r="C639" s="632">
        <f>SUM(C637:C637)*2</f>
        <v>2.1</v>
      </c>
      <c r="D639" s="598" t="s">
        <v>218</v>
      </c>
      <c r="E639" s="605">
        <f t="shared" si="261"/>
        <v>60</v>
      </c>
      <c r="F639" s="606">
        <f t="shared" si="259"/>
        <v>126</v>
      </c>
      <c r="H639" s="602"/>
      <c r="I639" s="598" t="s">
        <v>217</v>
      </c>
      <c r="J639" s="632">
        <f>SUM(J637:J637)*2</f>
        <v>2.1</v>
      </c>
      <c r="K639" s="598" t="s">
        <v>218</v>
      </c>
      <c r="L639" s="605">
        <f t="shared" si="262"/>
        <v>60</v>
      </c>
      <c r="M639" s="606">
        <f t="shared" si="260"/>
        <v>126</v>
      </c>
    </row>
    <row r="640" spans="1:13">
      <c r="A640" s="602"/>
      <c r="B640" s="704" t="s">
        <v>1037</v>
      </c>
      <c r="C640" s="699">
        <f>C638</f>
        <v>3.1522045919999995</v>
      </c>
      <c r="D640" s="700" t="s">
        <v>1171</v>
      </c>
      <c r="E640" s="701">
        <f>Prec.!C352</f>
        <v>559.47499999999991</v>
      </c>
      <c r="F640" s="702">
        <f t="shared" ref="F640:F644" si="263">C640*E640</f>
        <v>1763.5796641091995</v>
      </c>
      <c r="H640" s="602"/>
      <c r="I640" s="704" t="s">
        <v>1037</v>
      </c>
      <c r="J640" s="699">
        <f>J638</f>
        <v>4.1544436319999996</v>
      </c>
      <c r="K640" s="700" t="s">
        <v>216</v>
      </c>
      <c r="L640" s="701">
        <f>Prec.!C351</f>
        <v>535.15000000000009</v>
      </c>
      <c r="M640" s="702">
        <f t="shared" ref="M640:M644" si="264">J640*L640</f>
        <v>2223.2505096648001</v>
      </c>
    </row>
    <row r="641" spans="1:13">
      <c r="A641" s="602"/>
      <c r="B641" s="704" t="s">
        <v>5352</v>
      </c>
      <c r="C641" s="699">
        <f>1/(0.2*0.4)</f>
        <v>12.499999999999998</v>
      </c>
      <c r="D641" s="700" t="s">
        <v>1171</v>
      </c>
      <c r="E641" s="701">
        <f>L641</f>
        <v>250</v>
      </c>
      <c r="F641" s="702">
        <f t="shared" si="263"/>
        <v>3124.9999999999995</v>
      </c>
      <c r="H641" s="602"/>
      <c r="I641" s="704" t="s">
        <v>5354</v>
      </c>
      <c r="J641" s="699">
        <f>1/(0.15*0.4)</f>
        <v>16.666666666666668</v>
      </c>
      <c r="K641" s="700" t="s">
        <v>1171</v>
      </c>
      <c r="L641" s="701">
        <f>L628</f>
        <v>250</v>
      </c>
      <c r="M641" s="702">
        <f t="shared" si="264"/>
        <v>4166.666666666667</v>
      </c>
    </row>
    <row r="642" spans="1:13">
      <c r="A642" s="602"/>
      <c r="B642" s="704" t="s">
        <v>4383</v>
      </c>
      <c r="C642" s="699">
        <f>(0.2+0.4)*C641</f>
        <v>7.5</v>
      </c>
      <c r="D642" s="700" t="s">
        <v>213</v>
      </c>
      <c r="E642" s="701">
        <f t="shared" ref="E642:E644" si="265">L642</f>
        <v>33.14</v>
      </c>
      <c r="F642" s="702">
        <f t="shared" si="263"/>
        <v>248.55</v>
      </c>
      <c r="H642" s="602"/>
      <c r="I642" s="704" t="s">
        <v>4383</v>
      </c>
      <c r="J642" s="699">
        <f>(0.15+0.4)*J641</f>
        <v>9.1666666666666679</v>
      </c>
      <c r="K642" s="700" t="s">
        <v>213</v>
      </c>
      <c r="L642" s="701">
        <f t="shared" ref="L642:L644" si="266">L629</f>
        <v>33.14</v>
      </c>
      <c r="M642" s="702">
        <f t="shared" si="264"/>
        <v>303.78333333333336</v>
      </c>
    </row>
    <row r="643" spans="1:13">
      <c r="A643" s="602"/>
      <c r="B643" s="704" t="s">
        <v>783</v>
      </c>
      <c r="C643" s="699">
        <v>1</v>
      </c>
      <c r="D643" s="700" t="s">
        <v>825</v>
      </c>
      <c r="E643" s="701">
        <f t="shared" si="265"/>
        <v>600.29999999999995</v>
      </c>
      <c r="F643" s="702">
        <f t="shared" si="263"/>
        <v>600.29999999999995</v>
      </c>
      <c r="H643" s="602"/>
      <c r="I643" s="704" t="s">
        <v>783</v>
      </c>
      <c r="J643" s="699">
        <v>1</v>
      </c>
      <c r="K643" s="700" t="s">
        <v>825</v>
      </c>
      <c r="L643" s="701">
        <f t="shared" si="266"/>
        <v>600.29999999999995</v>
      </c>
      <c r="M643" s="702">
        <f t="shared" si="264"/>
        <v>600.29999999999995</v>
      </c>
    </row>
    <row r="644" spans="1:13">
      <c r="A644" s="602"/>
      <c r="B644" s="704" t="s">
        <v>208</v>
      </c>
      <c r="C644" s="699">
        <f>SUM(F637:F639)</f>
        <v>17405.554694399998</v>
      </c>
      <c r="D644" s="700" t="s">
        <v>209</v>
      </c>
      <c r="E644" s="701">
        <f t="shared" si="265"/>
        <v>0.02</v>
      </c>
      <c r="F644" s="702">
        <f t="shared" si="263"/>
        <v>348.11109388799997</v>
      </c>
      <c r="H644" s="602"/>
      <c r="I644" s="704" t="s">
        <v>208</v>
      </c>
      <c r="J644" s="699">
        <f>SUM(M637:M639)</f>
        <v>20612.7196224</v>
      </c>
      <c r="K644" s="700" t="s">
        <v>209</v>
      </c>
      <c r="L644" s="701">
        <f t="shared" si="266"/>
        <v>0.02</v>
      </c>
      <c r="M644" s="702">
        <f t="shared" si="264"/>
        <v>412.25439244800003</v>
      </c>
    </row>
    <row r="645" spans="1:13">
      <c r="A645" s="602"/>
      <c r="B645" s="607"/>
      <c r="C645" s="604"/>
      <c r="D645" s="603"/>
      <c r="E645" s="605"/>
      <c r="F645" s="606"/>
      <c r="H645" s="602"/>
      <c r="I645" s="607"/>
      <c r="J645" s="604"/>
      <c r="K645" s="603"/>
      <c r="L645" s="605"/>
      <c r="M645" s="606"/>
    </row>
    <row r="646" spans="1:13">
      <c r="A646" s="595"/>
      <c r="B646" s="595" t="s">
        <v>4253</v>
      </c>
      <c r="C646" s="596"/>
      <c r="D646" s="596"/>
      <c r="E646" s="596"/>
      <c r="F646" s="594">
        <f>SUM(F637:F645)</f>
        <v>23491.095452397196</v>
      </c>
      <c r="H646" s="595"/>
      <c r="I646" s="595" t="s">
        <v>4253</v>
      </c>
      <c r="J646" s="596"/>
      <c r="K646" s="596"/>
      <c r="L646" s="596"/>
      <c r="M646" s="594">
        <f>SUM(M637:M645)</f>
        <v>28318.974524512803</v>
      </c>
    </row>
    <row r="648" spans="1:13">
      <c r="A648" s="596"/>
      <c r="B648" s="1401" t="s">
        <v>5356</v>
      </c>
      <c r="C648" s="596" t="s">
        <v>4297</v>
      </c>
      <c r="D648" s="596"/>
      <c r="E648" s="596"/>
      <c r="F648" s="596"/>
      <c r="H648" s="596"/>
      <c r="I648" s="1401" t="s">
        <v>5335</v>
      </c>
      <c r="J648" s="596"/>
      <c r="K648" s="596"/>
      <c r="L648" s="596"/>
      <c r="M648" s="596"/>
    </row>
    <row r="649" spans="1:13">
      <c r="A649" s="613"/>
      <c r="B649" s="614"/>
      <c r="C649" s="614"/>
      <c r="D649" s="614"/>
      <c r="E649" s="614"/>
      <c r="F649" s="615"/>
      <c r="H649" s="613"/>
      <c r="I649" s="614"/>
      <c r="J649" s="614"/>
      <c r="K649" s="614"/>
      <c r="L649" s="614"/>
      <c r="M649" s="615"/>
    </row>
    <row r="650" spans="1:13">
      <c r="A650" s="602"/>
      <c r="B650" s="632" t="s">
        <v>4298</v>
      </c>
      <c r="C650" s="632">
        <v>1.05</v>
      </c>
      <c r="D650" s="598" t="s">
        <v>825</v>
      </c>
      <c r="E650" s="605">
        <f>E637</f>
        <v>6850</v>
      </c>
      <c r="F650" s="606">
        <f t="shared" ref="F650:F652" si="267">+C650*E650</f>
        <v>7192.5</v>
      </c>
      <c r="H650" s="602"/>
      <c r="I650" s="632" t="s">
        <v>4298</v>
      </c>
      <c r="J650" s="632">
        <v>1.05</v>
      </c>
      <c r="K650" s="598" t="s">
        <v>825</v>
      </c>
      <c r="L650" s="605">
        <f>L637</f>
        <v>6850</v>
      </c>
      <c r="M650" s="606">
        <f t="shared" ref="M650:M652" si="268">+J650*L650</f>
        <v>7192.5</v>
      </c>
    </row>
    <row r="651" spans="1:13">
      <c r="A651" s="602"/>
      <c r="B651" s="632" t="s">
        <v>1683</v>
      </c>
      <c r="C651" s="632">
        <f>C638</f>
        <v>3.1522045919999995</v>
      </c>
      <c r="D651" s="598" t="s">
        <v>216</v>
      </c>
      <c r="E651" s="605">
        <f t="shared" ref="E651:E652" si="269">E638</f>
        <v>3200</v>
      </c>
      <c r="F651" s="606">
        <f t="shared" si="267"/>
        <v>10087.054694399998</v>
      </c>
      <c r="H651" s="602"/>
      <c r="I651" s="632" t="s">
        <v>1683</v>
      </c>
      <c r="J651" s="632">
        <f>J638</f>
        <v>4.1544436319999996</v>
      </c>
      <c r="K651" s="598" t="s">
        <v>216</v>
      </c>
      <c r="L651" s="605">
        <f t="shared" ref="L651:L652" si="270">L638</f>
        <v>3200</v>
      </c>
      <c r="M651" s="606">
        <f t="shared" si="268"/>
        <v>13294.219622399998</v>
      </c>
    </row>
    <row r="652" spans="1:13">
      <c r="A652" s="602"/>
      <c r="B652" s="598" t="s">
        <v>217</v>
      </c>
      <c r="C652" s="632">
        <f>SUM(C650:C650)*2</f>
        <v>2.1</v>
      </c>
      <c r="D652" s="598" t="s">
        <v>218</v>
      </c>
      <c r="E652" s="605">
        <f t="shared" si="269"/>
        <v>60</v>
      </c>
      <c r="F652" s="606">
        <f t="shared" si="267"/>
        <v>126</v>
      </c>
      <c r="H652" s="602"/>
      <c r="I652" s="598" t="s">
        <v>217</v>
      </c>
      <c r="J652" s="632">
        <f>SUM(J650:J650)*2</f>
        <v>2.1</v>
      </c>
      <c r="K652" s="598" t="s">
        <v>218</v>
      </c>
      <c r="L652" s="605">
        <f t="shared" si="270"/>
        <v>60</v>
      </c>
      <c r="M652" s="606">
        <f t="shared" si="268"/>
        <v>126</v>
      </c>
    </row>
    <row r="653" spans="1:13">
      <c r="A653" s="602"/>
      <c r="B653" s="704" t="s">
        <v>1037</v>
      </c>
      <c r="C653" s="699">
        <f>C651</f>
        <v>3.1522045919999995</v>
      </c>
      <c r="D653" s="700" t="s">
        <v>1171</v>
      </c>
      <c r="E653" s="701">
        <f>Prec.!C353</f>
        <v>583.79999999999995</v>
      </c>
      <c r="F653" s="702">
        <f t="shared" ref="F653:F657" si="271">C653*E653</f>
        <v>1840.2570408095996</v>
      </c>
      <c r="H653" s="602"/>
      <c r="I653" s="704" t="s">
        <v>1037</v>
      </c>
      <c r="J653" s="699">
        <f>J651</f>
        <v>4.1544436319999996</v>
      </c>
      <c r="K653" s="700" t="s">
        <v>216</v>
      </c>
      <c r="L653" s="701">
        <f>Prec.!C352</f>
        <v>559.47499999999991</v>
      </c>
      <c r="M653" s="702">
        <f t="shared" ref="M653:M657" si="272">J653*L653</f>
        <v>2324.3073510131994</v>
      </c>
    </row>
    <row r="654" spans="1:13">
      <c r="A654" s="602"/>
      <c r="B654" s="704" t="s">
        <v>5352</v>
      </c>
      <c r="C654" s="699">
        <f>1/(0.2*0.4)</f>
        <v>12.499999999999998</v>
      </c>
      <c r="D654" s="700" t="s">
        <v>1171</v>
      </c>
      <c r="E654" s="701">
        <f>E641</f>
        <v>250</v>
      </c>
      <c r="F654" s="702">
        <f t="shared" si="271"/>
        <v>3124.9999999999995</v>
      </c>
      <c r="H654" s="602"/>
      <c r="I654" s="704" t="s">
        <v>5354</v>
      </c>
      <c r="J654" s="699">
        <f>1/(0.15*0.4)</f>
        <v>16.666666666666668</v>
      </c>
      <c r="K654" s="700" t="s">
        <v>1171</v>
      </c>
      <c r="L654" s="701">
        <f>L641</f>
        <v>250</v>
      </c>
      <c r="M654" s="702">
        <f t="shared" si="272"/>
        <v>4166.666666666667</v>
      </c>
    </row>
    <row r="655" spans="1:13">
      <c r="A655" s="602"/>
      <c r="B655" s="704" t="s">
        <v>4383</v>
      </c>
      <c r="C655" s="699">
        <f>(0.2+0.4)*C654</f>
        <v>7.5</v>
      </c>
      <c r="D655" s="700" t="s">
        <v>213</v>
      </c>
      <c r="E655" s="701">
        <f t="shared" ref="E655:E657" si="273">E642</f>
        <v>33.14</v>
      </c>
      <c r="F655" s="702">
        <f t="shared" si="271"/>
        <v>248.55</v>
      </c>
      <c r="H655" s="602"/>
      <c r="I655" s="704" t="s">
        <v>4383</v>
      </c>
      <c r="J655" s="699">
        <f>(0.15+0.4)*J654</f>
        <v>9.1666666666666679</v>
      </c>
      <c r="K655" s="700" t="s">
        <v>213</v>
      </c>
      <c r="L655" s="701">
        <f t="shared" ref="L655:L657" si="274">L642</f>
        <v>33.14</v>
      </c>
      <c r="M655" s="702">
        <f t="shared" si="272"/>
        <v>303.78333333333336</v>
      </c>
    </row>
    <row r="656" spans="1:13">
      <c r="A656" s="602"/>
      <c r="B656" s="704" t="s">
        <v>783</v>
      </c>
      <c r="C656" s="699">
        <v>1</v>
      </c>
      <c r="D656" s="700" t="s">
        <v>825</v>
      </c>
      <c r="E656" s="701">
        <f t="shared" si="273"/>
        <v>600.29999999999995</v>
      </c>
      <c r="F656" s="702">
        <f t="shared" si="271"/>
        <v>600.29999999999995</v>
      </c>
      <c r="H656" s="602"/>
      <c r="I656" s="704" t="s">
        <v>783</v>
      </c>
      <c r="J656" s="699">
        <v>1</v>
      </c>
      <c r="K656" s="700" t="s">
        <v>825</v>
      </c>
      <c r="L656" s="701">
        <f t="shared" si="274"/>
        <v>600.29999999999995</v>
      </c>
      <c r="M656" s="702">
        <f t="shared" si="272"/>
        <v>600.29999999999995</v>
      </c>
    </row>
    <row r="657" spans="1:13">
      <c r="A657" s="602"/>
      <c r="B657" s="704" t="s">
        <v>208</v>
      </c>
      <c r="C657" s="699">
        <f>SUM(F650:F652)</f>
        <v>17405.554694399998</v>
      </c>
      <c r="D657" s="700" t="s">
        <v>209</v>
      </c>
      <c r="E657" s="701">
        <f t="shared" si="273"/>
        <v>0.02</v>
      </c>
      <c r="F657" s="702">
        <f t="shared" si="271"/>
        <v>348.11109388799997</v>
      </c>
      <c r="H657" s="602"/>
      <c r="I657" s="704" t="s">
        <v>208</v>
      </c>
      <c r="J657" s="699">
        <f>SUM(M650:M652)</f>
        <v>20612.7196224</v>
      </c>
      <c r="K657" s="700" t="s">
        <v>209</v>
      </c>
      <c r="L657" s="701">
        <f t="shared" si="274"/>
        <v>0.02</v>
      </c>
      <c r="M657" s="702">
        <f t="shared" si="272"/>
        <v>412.25439244800003</v>
      </c>
    </row>
    <row r="658" spans="1:13">
      <c r="A658" s="602"/>
      <c r="B658" s="607"/>
      <c r="C658" s="604"/>
      <c r="D658" s="603"/>
      <c r="E658" s="605"/>
      <c r="F658" s="606"/>
      <c r="H658" s="602"/>
      <c r="I658" s="607"/>
      <c r="J658" s="604"/>
      <c r="K658" s="603"/>
      <c r="L658" s="605"/>
      <c r="M658" s="606"/>
    </row>
    <row r="659" spans="1:13">
      <c r="A659" s="595"/>
      <c r="B659" s="595" t="s">
        <v>4253</v>
      </c>
      <c r="C659" s="596"/>
      <c r="D659" s="596"/>
      <c r="E659" s="596"/>
      <c r="F659" s="594">
        <f>SUM(F650:F658)</f>
        <v>23567.772829097597</v>
      </c>
      <c r="H659" s="595"/>
      <c r="I659" s="595" t="s">
        <v>4253</v>
      </c>
      <c r="J659" s="596"/>
      <c r="K659" s="596"/>
      <c r="L659" s="596"/>
      <c r="M659" s="594">
        <f>SUM(M650:M658)</f>
        <v>28420.031365861199</v>
      </c>
    </row>
    <row r="660" spans="1:13">
      <c r="A660" s="1602"/>
      <c r="B660" s="1602"/>
      <c r="C660" s="1603"/>
      <c r="D660" s="1603"/>
      <c r="E660" s="1603"/>
      <c r="F660" s="1604"/>
    </row>
    <row r="661" spans="1:13">
      <c r="A661" s="596"/>
      <c r="B661" s="1401" t="s">
        <v>5336</v>
      </c>
      <c r="C661" s="596"/>
      <c r="D661" s="596"/>
      <c r="E661" s="596"/>
      <c r="F661" s="596"/>
    </row>
    <row r="662" spans="1:13">
      <c r="A662" s="613"/>
      <c r="B662" s="614"/>
      <c r="C662" s="614"/>
      <c r="D662" s="614"/>
      <c r="E662" s="614"/>
      <c r="F662" s="615"/>
    </row>
    <row r="663" spans="1:13">
      <c r="A663" s="602"/>
      <c r="B663" s="632" t="s">
        <v>4298</v>
      </c>
      <c r="C663" s="632">
        <v>1.05</v>
      </c>
      <c r="D663" s="598" t="s">
        <v>825</v>
      </c>
      <c r="E663" s="605">
        <f>Ana.term!D8720</f>
        <v>6850</v>
      </c>
      <c r="F663" s="606">
        <f t="shared" ref="F663:F665" si="275">+C663*E663</f>
        <v>7192.5</v>
      </c>
    </row>
    <row r="664" spans="1:13">
      <c r="A664" s="602"/>
      <c r="B664" s="632" t="s">
        <v>1683</v>
      </c>
      <c r="C664" s="632">
        <f>+CUANTIAS!H116</f>
        <v>2.8121608542857142</v>
      </c>
      <c r="D664" s="598" t="s">
        <v>216</v>
      </c>
      <c r="E664" s="618">
        <f>Ana.term!D8721</f>
        <v>3200</v>
      </c>
      <c r="F664" s="606">
        <f t="shared" si="275"/>
        <v>8998.9147337142858</v>
      </c>
    </row>
    <row r="665" spans="1:13">
      <c r="A665" s="602"/>
      <c r="B665" s="598" t="s">
        <v>217</v>
      </c>
      <c r="C665" s="632">
        <f>SUM(C663:C663)*2</f>
        <v>2.1</v>
      </c>
      <c r="D665" s="598" t="s">
        <v>218</v>
      </c>
      <c r="E665" s="605">
        <f>Ana.term!D8722</f>
        <v>60</v>
      </c>
      <c r="F665" s="606">
        <f t="shared" si="275"/>
        <v>126</v>
      </c>
    </row>
    <row r="666" spans="1:13">
      <c r="A666" s="602"/>
      <c r="B666" s="704" t="s">
        <v>1037</v>
      </c>
      <c r="C666" s="699">
        <f>C664</f>
        <v>2.8121608542857142</v>
      </c>
      <c r="D666" s="700" t="s">
        <v>1171</v>
      </c>
      <c r="E666" s="701">
        <f>Prec.!C350</f>
        <v>486.5</v>
      </c>
      <c r="F666" s="702">
        <f t="shared" ref="F666:F670" si="276">C666*E666</f>
        <v>1368.1162556100001</v>
      </c>
    </row>
    <row r="667" spans="1:13">
      <c r="A667" s="602"/>
      <c r="B667" s="704" t="s">
        <v>1685</v>
      </c>
      <c r="C667" s="699">
        <f>1/(0.2*0.35)</f>
        <v>14.285714285714286</v>
      </c>
      <c r="D667" s="700" t="s">
        <v>1171</v>
      </c>
      <c r="E667" s="701">
        <v>165.66</v>
      </c>
      <c r="F667" s="702">
        <f t="shared" si="276"/>
        <v>2366.5714285714284</v>
      </c>
    </row>
    <row r="668" spans="1:13">
      <c r="A668" s="602"/>
      <c r="B668" s="704" t="s">
        <v>4383</v>
      </c>
      <c r="C668" s="699">
        <f>(0.2+0.35)*C667</f>
        <v>7.8571428571428585</v>
      </c>
      <c r="D668" s="700" t="s">
        <v>213</v>
      </c>
      <c r="E668" s="701">
        <v>33.14</v>
      </c>
      <c r="F668" s="702">
        <f t="shared" si="276"/>
        <v>260.38571428571436</v>
      </c>
    </row>
    <row r="669" spans="1:13">
      <c r="A669" s="602"/>
      <c r="B669" s="704" t="s">
        <v>1684</v>
      </c>
      <c r="C669" s="699">
        <v>1</v>
      </c>
      <c r="D669" s="700" t="s">
        <v>825</v>
      </c>
      <c r="E669" s="701">
        <f>E656</f>
        <v>600.29999999999995</v>
      </c>
      <c r="F669" s="702"/>
    </row>
    <row r="670" spans="1:13">
      <c r="A670" s="602"/>
      <c r="B670" s="704" t="s">
        <v>208</v>
      </c>
      <c r="C670" s="699">
        <f>SUM(F663:F665)</f>
        <v>16317.414733714286</v>
      </c>
      <c r="D670" s="700" t="s">
        <v>209</v>
      </c>
      <c r="E670" s="701">
        <f>Ana.term!D8727</f>
        <v>0.02</v>
      </c>
      <c r="F670" s="702">
        <f t="shared" si="276"/>
        <v>326.34829467428574</v>
      </c>
    </row>
    <row r="671" spans="1:13">
      <c r="A671" s="602"/>
      <c r="B671" s="607"/>
      <c r="C671" s="604"/>
      <c r="D671" s="603"/>
      <c r="E671" s="605"/>
      <c r="F671" s="606"/>
    </row>
    <row r="672" spans="1:13">
      <c r="A672" s="595"/>
      <c r="B672" s="595" t="s">
        <v>4253</v>
      </c>
      <c r="C672" s="596"/>
      <c r="D672" s="596"/>
      <c r="E672" s="596"/>
      <c r="F672" s="594">
        <f>SUM(F663:F671)</f>
        <v>20638.836426855712</v>
      </c>
    </row>
    <row r="674" spans="1:13">
      <c r="A674" s="596"/>
      <c r="B674" s="1401" t="s">
        <v>5337</v>
      </c>
      <c r="C674" s="596"/>
      <c r="D674" s="596"/>
      <c r="E674" s="596"/>
      <c r="F674" s="596"/>
      <c r="H674" s="596"/>
      <c r="I674" s="1401" t="s">
        <v>5340</v>
      </c>
      <c r="J674" s="596"/>
      <c r="K674" s="596"/>
      <c r="L674" s="596"/>
      <c r="M674" s="596"/>
    </row>
    <row r="675" spans="1:13">
      <c r="A675" s="613"/>
      <c r="B675" s="614"/>
      <c r="C675" s="614"/>
      <c r="D675" s="614"/>
      <c r="E675" s="614"/>
      <c r="F675" s="615"/>
      <c r="H675" s="613"/>
      <c r="I675" s="614"/>
      <c r="J675" s="614"/>
      <c r="K675" s="614"/>
      <c r="L675" s="614"/>
      <c r="M675" s="615"/>
    </row>
    <row r="676" spans="1:13">
      <c r="A676" s="602"/>
      <c r="B676" s="632" t="s">
        <v>4298</v>
      </c>
      <c r="C676" s="632">
        <v>1.05</v>
      </c>
      <c r="D676" s="598" t="s">
        <v>825</v>
      </c>
      <c r="E676" s="605">
        <f>E663</f>
        <v>6850</v>
      </c>
      <c r="F676" s="606">
        <f t="shared" ref="F676:F678" si="277">+C676*E676</f>
        <v>7192.5</v>
      </c>
      <c r="H676" s="602"/>
      <c r="I676" s="632" t="s">
        <v>4298</v>
      </c>
      <c r="J676" s="632">
        <v>1.05</v>
      </c>
      <c r="K676" s="598" t="s">
        <v>825</v>
      </c>
      <c r="L676" s="605">
        <f>+L624</f>
        <v>6850</v>
      </c>
      <c r="M676" s="606">
        <f t="shared" ref="M676:M678" si="278">+J676*L676</f>
        <v>7192.5</v>
      </c>
    </row>
    <row r="677" spans="1:13">
      <c r="A677" s="602"/>
      <c r="B677" s="632" t="s">
        <v>1683</v>
      </c>
      <c r="C677" s="632">
        <f>C664</f>
        <v>2.8121608542857142</v>
      </c>
      <c r="D677" s="598" t="s">
        <v>216</v>
      </c>
      <c r="E677" s="605">
        <f t="shared" ref="E677:E678" si="279">E664</f>
        <v>3200</v>
      </c>
      <c r="F677" s="606">
        <f t="shared" si="277"/>
        <v>8998.9147337142858</v>
      </c>
      <c r="H677" s="602"/>
      <c r="I677" s="632" t="s">
        <v>1683</v>
      </c>
      <c r="J677" s="632">
        <f>CUANTIAS!I597</f>
        <v>5.9147853683353695</v>
      </c>
      <c r="K677" s="598" t="s">
        <v>216</v>
      </c>
      <c r="L677" s="618">
        <f>+L625</f>
        <v>3200</v>
      </c>
      <c r="M677" s="606">
        <f t="shared" si="278"/>
        <v>18927.313178673183</v>
      </c>
    </row>
    <row r="678" spans="1:13">
      <c r="A678" s="602"/>
      <c r="B678" s="598" t="s">
        <v>217</v>
      </c>
      <c r="C678" s="632">
        <f>SUM(C676:C676)*2</f>
        <v>2.1</v>
      </c>
      <c r="D678" s="598" t="s">
        <v>218</v>
      </c>
      <c r="E678" s="605">
        <f t="shared" si="279"/>
        <v>60</v>
      </c>
      <c r="F678" s="606">
        <f t="shared" si="277"/>
        <v>126</v>
      </c>
      <c r="H678" s="602"/>
      <c r="I678" s="598" t="s">
        <v>217</v>
      </c>
      <c r="J678" s="632">
        <f>SUM(J676:J676)*2</f>
        <v>2.1</v>
      </c>
      <c r="K678" s="598" t="s">
        <v>218</v>
      </c>
      <c r="L678" s="605">
        <f>E678</f>
        <v>60</v>
      </c>
      <c r="M678" s="606">
        <f t="shared" si="278"/>
        <v>126</v>
      </c>
    </row>
    <row r="679" spans="1:13">
      <c r="A679" s="602"/>
      <c r="B679" s="704" t="s">
        <v>1037</v>
      </c>
      <c r="C679" s="699">
        <f>C677</f>
        <v>2.8121608542857142</v>
      </c>
      <c r="D679" s="700" t="s">
        <v>1171</v>
      </c>
      <c r="E679" s="701">
        <f>Prec.!C351</f>
        <v>535.15000000000009</v>
      </c>
      <c r="F679" s="702">
        <f t="shared" ref="F679:F681" si="280">C679*E679</f>
        <v>1504.9278811710001</v>
      </c>
      <c r="H679" s="602"/>
      <c r="I679" s="512" t="s">
        <v>1037</v>
      </c>
      <c r="J679" s="543">
        <f>SUM(J677:J677)</f>
        <v>5.9147853683353695</v>
      </c>
      <c r="K679" s="511" t="s">
        <v>216</v>
      </c>
      <c r="L679" s="521">
        <f>Prec.!C351</f>
        <v>535.15000000000009</v>
      </c>
      <c r="M679" s="508">
        <f t="shared" ref="M679:M682" si="281">J679*L679</f>
        <v>3165.2973898646737</v>
      </c>
    </row>
    <row r="680" spans="1:13">
      <c r="A680" s="602"/>
      <c r="B680" s="704" t="s">
        <v>1685</v>
      </c>
      <c r="C680" s="699">
        <f>1/(0.2*0.35)</f>
        <v>14.285714285714286</v>
      </c>
      <c r="D680" s="700" t="s">
        <v>1171</v>
      </c>
      <c r="E680" s="701">
        <v>165.66</v>
      </c>
      <c r="F680" s="702">
        <f t="shared" si="280"/>
        <v>2366.5714285714284</v>
      </c>
      <c r="H680" s="602"/>
      <c r="I680" s="512" t="s">
        <v>5366</v>
      </c>
      <c r="J680" s="543">
        <f>1/(0.4*0.3)</f>
        <v>8.3333333333333339</v>
      </c>
      <c r="K680" s="511" t="s">
        <v>1171</v>
      </c>
      <c r="L680" s="521">
        <f>L508</f>
        <v>426.71999999999997</v>
      </c>
      <c r="M680" s="508">
        <f t="shared" si="281"/>
        <v>3556</v>
      </c>
    </row>
    <row r="681" spans="1:13">
      <c r="A681" s="602"/>
      <c r="B681" s="704" t="s">
        <v>4383</v>
      </c>
      <c r="C681" s="699">
        <f>(0.2+0.35)*C680</f>
        <v>7.8571428571428585</v>
      </c>
      <c r="D681" s="700" t="s">
        <v>213</v>
      </c>
      <c r="E681" s="701">
        <v>33.14</v>
      </c>
      <c r="F681" s="702">
        <f t="shared" si="280"/>
        <v>260.38571428571436</v>
      </c>
      <c r="H681" s="602"/>
      <c r="I681" s="512" t="s">
        <v>1688</v>
      </c>
      <c r="J681" s="543">
        <v>1</v>
      </c>
      <c r="K681" s="511" t="s">
        <v>825</v>
      </c>
      <c r="L681" s="521">
        <f t="shared" ref="L681:L682" si="282">L509</f>
        <v>600.29999999999995</v>
      </c>
      <c r="M681" s="508">
        <f t="shared" si="281"/>
        <v>600.29999999999995</v>
      </c>
    </row>
    <row r="682" spans="1:13">
      <c r="A682" s="602"/>
      <c r="B682" s="704" t="s">
        <v>1684</v>
      </c>
      <c r="C682" s="699">
        <v>1</v>
      </c>
      <c r="D682" s="700" t="s">
        <v>825</v>
      </c>
      <c r="E682" s="701">
        <f>E669</f>
        <v>600.29999999999995</v>
      </c>
      <c r="F682" s="702"/>
      <c r="H682" s="602"/>
      <c r="I682" s="512" t="s">
        <v>208</v>
      </c>
      <c r="J682" s="543">
        <f>SUM(M676:M678)</f>
        <v>26245.813178673183</v>
      </c>
      <c r="K682" s="511" t="s">
        <v>209</v>
      </c>
      <c r="L682" s="521">
        <f t="shared" si="282"/>
        <v>0.02</v>
      </c>
      <c r="M682" s="508">
        <f t="shared" si="281"/>
        <v>524.91626357346365</v>
      </c>
    </row>
    <row r="683" spans="1:13">
      <c r="A683" s="602"/>
      <c r="B683" s="704" t="s">
        <v>208</v>
      </c>
      <c r="C683" s="699">
        <f>SUM(F676:F678)</f>
        <v>16317.414733714286</v>
      </c>
      <c r="D683" s="700" t="s">
        <v>209</v>
      </c>
      <c r="E683" s="701">
        <f>E670</f>
        <v>0.02</v>
      </c>
      <c r="F683" s="702">
        <f t="shared" ref="F683" si="283">C683*E683</f>
        <v>326.34829467428574</v>
      </c>
      <c r="H683" s="602"/>
      <c r="I683" s="598"/>
      <c r="J683" s="632"/>
      <c r="K683" s="598"/>
      <c r="L683" s="605"/>
      <c r="M683" s="606"/>
    </row>
    <row r="684" spans="1:13">
      <c r="A684" s="602"/>
      <c r="B684" s="607"/>
      <c r="C684" s="604"/>
      <c r="D684" s="603"/>
      <c r="E684" s="605"/>
      <c r="F684" s="606"/>
      <c r="H684" s="602"/>
      <c r="I684" s="607"/>
      <c r="J684" s="604"/>
      <c r="K684" s="603"/>
      <c r="L684" s="605"/>
      <c r="M684" s="606"/>
    </row>
    <row r="685" spans="1:13">
      <c r="A685" s="595"/>
      <c r="B685" s="595" t="s">
        <v>4253</v>
      </c>
      <c r="C685" s="596"/>
      <c r="D685" s="596"/>
      <c r="E685" s="596"/>
      <c r="F685" s="594">
        <f>SUM(F676:F684)</f>
        <v>20775.648052416713</v>
      </c>
      <c r="H685" s="595"/>
      <c r="I685" s="595" t="s">
        <v>4253</v>
      </c>
      <c r="J685" s="596"/>
      <c r="K685" s="596"/>
      <c r="L685" s="596"/>
      <c r="M685" s="594">
        <f>SUM(M676:M684)</f>
        <v>34092.326832111321</v>
      </c>
    </row>
    <row r="687" spans="1:13">
      <c r="A687" s="596"/>
      <c r="B687" s="1401" t="s">
        <v>5338</v>
      </c>
      <c r="C687" s="596"/>
      <c r="D687" s="596"/>
      <c r="E687" s="596"/>
      <c r="F687" s="596"/>
      <c r="H687" s="596"/>
      <c r="I687" s="1401" t="s">
        <v>5339</v>
      </c>
      <c r="J687" s="596"/>
      <c r="K687" s="596"/>
      <c r="L687" s="596"/>
      <c r="M687" s="596"/>
    </row>
    <row r="688" spans="1:13">
      <c r="A688" s="613"/>
      <c r="B688" s="614"/>
      <c r="C688" s="614"/>
      <c r="D688" s="614"/>
      <c r="E688" s="614"/>
      <c r="F688" s="615"/>
      <c r="H688" s="613"/>
      <c r="I688" s="614"/>
      <c r="J688" s="614"/>
      <c r="K688" s="614"/>
      <c r="L688" s="614"/>
      <c r="M688" s="615"/>
    </row>
    <row r="689" spans="1:13">
      <c r="A689" s="602"/>
      <c r="B689" s="632" t="s">
        <v>4298</v>
      </c>
      <c r="C689" s="632">
        <v>1.05</v>
      </c>
      <c r="D689" s="598" t="s">
        <v>825</v>
      </c>
      <c r="E689" s="605">
        <f>E676</f>
        <v>6850</v>
      </c>
      <c r="F689" s="606">
        <f t="shared" ref="F689:F691" si="284">+C689*E689</f>
        <v>7192.5</v>
      </c>
      <c r="H689" s="602"/>
      <c r="I689" s="632" t="s">
        <v>4298</v>
      </c>
      <c r="J689" s="632">
        <v>1.05</v>
      </c>
      <c r="K689" s="598" t="s">
        <v>825</v>
      </c>
      <c r="L689" s="605">
        <f>+L637</f>
        <v>6850</v>
      </c>
      <c r="M689" s="606">
        <f t="shared" ref="M689:M691" si="285">+J689*L689</f>
        <v>7192.5</v>
      </c>
    </row>
    <row r="690" spans="1:13">
      <c r="A690" s="602"/>
      <c r="B690" s="632" t="s">
        <v>1683</v>
      </c>
      <c r="C690" s="632">
        <f>C677</f>
        <v>2.8121608542857142</v>
      </c>
      <c r="D690" s="598" t="s">
        <v>216</v>
      </c>
      <c r="E690" s="605">
        <f t="shared" ref="E690:E691" si="286">E677</f>
        <v>3200</v>
      </c>
      <c r="F690" s="606">
        <f t="shared" si="284"/>
        <v>8998.9147337142858</v>
      </c>
      <c r="H690" s="602"/>
      <c r="I690" s="632" t="s">
        <v>1683</v>
      </c>
      <c r="J690" s="632">
        <f>J677</f>
        <v>5.9147853683353695</v>
      </c>
      <c r="K690" s="598" t="s">
        <v>216</v>
      </c>
      <c r="L690" s="618">
        <f>+L638</f>
        <v>3200</v>
      </c>
      <c r="M690" s="606">
        <f t="shared" si="285"/>
        <v>18927.313178673183</v>
      </c>
    </row>
    <row r="691" spans="1:13">
      <c r="A691" s="602"/>
      <c r="B691" s="598" t="s">
        <v>217</v>
      </c>
      <c r="C691" s="632">
        <f>SUM(C689:C689)*2</f>
        <v>2.1</v>
      </c>
      <c r="D691" s="598" t="s">
        <v>218</v>
      </c>
      <c r="E691" s="605">
        <f t="shared" si="286"/>
        <v>60</v>
      </c>
      <c r="F691" s="606">
        <f t="shared" si="284"/>
        <v>126</v>
      </c>
      <c r="H691" s="602"/>
      <c r="I691" s="598" t="s">
        <v>217</v>
      </c>
      <c r="J691" s="632">
        <f>SUM(J689:J689)*2</f>
        <v>2.1</v>
      </c>
      <c r="K691" s="598" t="s">
        <v>218</v>
      </c>
      <c r="L691" s="605">
        <f>L678</f>
        <v>60</v>
      </c>
      <c r="M691" s="606">
        <f t="shared" si="285"/>
        <v>126</v>
      </c>
    </row>
    <row r="692" spans="1:13">
      <c r="A692" s="602"/>
      <c r="B692" s="704" t="s">
        <v>1037</v>
      </c>
      <c r="C692" s="699">
        <f>C690</f>
        <v>2.8121608542857142</v>
      </c>
      <c r="D692" s="700" t="s">
        <v>1171</v>
      </c>
      <c r="E692" s="701">
        <f>Prec.!C352</f>
        <v>559.47499999999991</v>
      </c>
      <c r="F692" s="702">
        <f t="shared" ref="F692:F694" si="287">C692*E692</f>
        <v>1573.3336939514998</v>
      </c>
      <c r="H692" s="602"/>
      <c r="I692" s="512" t="s">
        <v>1037</v>
      </c>
      <c r="J692" s="543">
        <f>SUM(J690:J690)</f>
        <v>5.9147853683353695</v>
      </c>
      <c r="K692" s="511" t="s">
        <v>216</v>
      </c>
      <c r="L692" s="521">
        <f>Prec.!C352</f>
        <v>559.47499999999991</v>
      </c>
      <c r="M692" s="508">
        <f t="shared" ref="M692:M695" si="288">J692*L692</f>
        <v>3309.1745439494302</v>
      </c>
    </row>
    <row r="693" spans="1:13">
      <c r="A693" s="602"/>
      <c r="B693" s="704" t="s">
        <v>1685</v>
      </c>
      <c r="C693" s="699">
        <f>1/(0.2*0.35)</f>
        <v>14.285714285714286</v>
      </c>
      <c r="D693" s="700" t="s">
        <v>1171</v>
      </c>
      <c r="E693" s="701">
        <v>165.66</v>
      </c>
      <c r="F693" s="702">
        <f t="shared" si="287"/>
        <v>2366.5714285714284</v>
      </c>
      <c r="H693" s="602"/>
      <c r="I693" s="512" t="s">
        <v>5366</v>
      </c>
      <c r="J693" s="543">
        <f>1/(0.4*0.3)</f>
        <v>8.3333333333333339</v>
      </c>
      <c r="K693" s="511" t="s">
        <v>1171</v>
      </c>
      <c r="L693" s="521">
        <f>L680</f>
        <v>426.71999999999997</v>
      </c>
      <c r="M693" s="508">
        <f t="shared" si="288"/>
        <v>3556</v>
      </c>
    </row>
    <row r="694" spans="1:13">
      <c r="A694" s="602"/>
      <c r="B694" s="704" t="s">
        <v>4383</v>
      </c>
      <c r="C694" s="699">
        <f>(0.2+0.35)*C693</f>
        <v>7.8571428571428585</v>
      </c>
      <c r="D694" s="700" t="s">
        <v>213</v>
      </c>
      <c r="E694" s="701">
        <v>33.14</v>
      </c>
      <c r="F694" s="702">
        <f t="shared" si="287"/>
        <v>260.38571428571436</v>
      </c>
      <c r="H694" s="602"/>
      <c r="I694" s="512" t="s">
        <v>1688</v>
      </c>
      <c r="J694" s="543">
        <v>1</v>
      </c>
      <c r="K694" s="511" t="s">
        <v>825</v>
      </c>
      <c r="L694" s="521">
        <f t="shared" ref="L694:L695" si="289">L681</f>
        <v>600.29999999999995</v>
      </c>
      <c r="M694" s="508">
        <f t="shared" si="288"/>
        <v>600.29999999999995</v>
      </c>
    </row>
    <row r="695" spans="1:13">
      <c r="A695" s="602"/>
      <c r="B695" s="704" t="s">
        <v>1684</v>
      </c>
      <c r="C695" s="699">
        <v>1</v>
      </c>
      <c r="D695" s="700" t="s">
        <v>825</v>
      </c>
      <c r="E695" s="701">
        <f>E682</f>
        <v>600.29999999999995</v>
      </c>
      <c r="F695" s="702"/>
      <c r="H695" s="602"/>
      <c r="I695" s="512" t="s">
        <v>208</v>
      </c>
      <c r="J695" s="543">
        <f>SUM(M689:M691)</f>
        <v>26245.813178673183</v>
      </c>
      <c r="K695" s="511" t="s">
        <v>209</v>
      </c>
      <c r="L695" s="521">
        <f t="shared" si="289"/>
        <v>0.02</v>
      </c>
      <c r="M695" s="508">
        <f t="shared" si="288"/>
        <v>524.91626357346365</v>
      </c>
    </row>
    <row r="696" spans="1:13">
      <c r="A696" s="602"/>
      <c r="B696" s="704" t="s">
        <v>208</v>
      </c>
      <c r="C696" s="699">
        <f>SUM(F689:F691)</f>
        <v>16317.414733714286</v>
      </c>
      <c r="D696" s="700" t="s">
        <v>209</v>
      </c>
      <c r="E696" s="701">
        <f>E683</f>
        <v>0.02</v>
      </c>
      <c r="F696" s="702">
        <f t="shared" ref="F696" si="290">C696*E696</f>
        <v>326.34829467428574</v>
      </c>
      <c r="H696" s="602"/>
      <c r="I696" s="598"/>
      <c r="J696" s="632"/>
      <c r="K696" s="598"/>
      <c r="L696" s="605"/>
      <c r="M696" s="606"/>
    </row>
    <row r="697" spans="1:13">
      <c r="A697" s="602"/>
      <c r="B697" s="607"/>
      <c r="C697" s="604"/>
      <c r="D697" s="603"/>
      <c r="E697" s="605"/>
      <c r="F697" s="606"/>
      <c r="H697" s="602"/>
      <c r="I697" s="607"/>
      <c r="J697" s="604"/>
      <c r="K697" s="603"/>
      <c r="L697" s="605"/>
      <c r="M697" s="606"/>
    </row>
    <row r="698" spans="1:13">
      <c r="A698" s="595"/>
      <c r="B698" s="595" t="s">
        <v>4253</v>
      </c>
      <c r="C698" s="596"/>
      <c r="D698" s="596"/>
      <c r="E698" s="596"/>
      <c r="F698" s="594">
        <f>SUM(F689:F697)</f>
        <v>20844.053865197213</v>
      </c>
      <c r="H698" s="595"/>
      <c r="I698" s="595" t="s">
        <v>4253</v>
      </c>
      <c r="J698" s="596"/>
      <c r="K698" s="596"/>
      <c r="L698" s="596"/>
      <c r="M698" s="594">
        <f>SUM(M689:M697)</f>
        <v>34236.203986196073</v>
      </c>
    </row>
    <row r="700" spans="1:13">
      <c r="A700" s="596"/>
      <c r="B700" s="1401" t="s">
        <v>5341</v>
      </c>
      <c r="C700" s="596" t="s">
        <v>4297</v>
      </c>
      <c r="D700" s="596"/>
      <c r="E700" s="596"/>
      <c r="F700" s="596"/>
    </row>
    <row r="701" spans="1:13">
      <c r="A701" s="613"/>
      <c r="B701" s="614"/>
      <c r="C701" s="614"/>
      <c r="D701" s="614"/>
      <c r="E701" s="614"/>
      <c r="F701" s="615"/>
    </row>
    <row r="702" spans="1:13">
      <c r="A702" s="602"/>
      <c r="B702" s="632" t="s">
        <v>4298</v>
      </c>
      <c r="C702" s="632">
        <v>1.05</v>
      </c>
      <c r="D702" s="598" t="s">
        <v>825</v>
      </c>
      <c r="E702" s="605">
        <f>+'[14]LISTADO DE MATERIALES'!G22</f>
        <v>5980</v>
      </c>
      <c r="F702" s="606">
        <f t="shared" ref="F702:F704" si="291">+C702*E702</f>
        <v>6279</v>
      </c>
    </row>
    <row r="703" spans="1:13">
      <c r="A703" s="602"/>
      <c r="B703" s="632" t="s">
        <v>1683</v>
      </c>
      <c r="C703" s="632">
        <f>CUANTIAS!I635</f>
        <v>5.0283024011573492</v>
      </c>
      <c r="D703" s="598" t="s">
        <v>216</v>
      </c>
      <c r="E703" s="618">
        <f>+'[14]LISTADO DE MATERIALES'!G9</f>
        <v>2270.68345323741</v>
      </c>
      <c r="F703" s="606">
        <f t="shared" si="291"/>
        <v>11417.683060181931</v>
      </c>
    </row>
    <row r="704" spans="1:13">
      <c r="A704" s="602"/>
      <c r="B704" s="598" t="s">
        <v>217</v>
      </c>
      <c r="C704" s="632">
        <f>SUM(C702:C702)*2</f>
        <v>2.1</v>
      </c>
      <c r="D704" s="598" t="s">
        <v>218</v>
      </c>
      <c r="E704" s="605">
        <f>+'[14]LISTADO DE MATERIALES'!$G$14</f>
        <v>52</v>
      </c>
      <c r="F704" s="606">
        <f t="shared" si="291"/>
        <v>109.2</v>
      </c>
    </row>
    <row r="705" spans="1:13">
      <c r="A705" s="602"/>
      <c r="B705" s="512" t="s">
        <v>1037</v>
      </c>
      <c r="C705" s="543">
        <f>SUM(C703:C703)</f>
        <v>5.0283024011573492</v>
      </c>
      <c r="D705" s="511" t="s">
        <v>216</v>
      </c>
      <c r="E705" s="521">
        <f>Prec.!C351</f>
        <v>535.15000000000009</v>
      </c>
      <c r="F705" s="508">
        <f t="shared" ref="F705:F708" si="292">C705*E705</f>
        <v>2690.8960299793557</v>
      </c>
    </row>
    <row r="706" spans="1:13">
      <c r="A706" s="602"/>
      <c r="B706" s="512" t="s">
        <v>5366</v>
      </c>
      <c r="C706" s="543">
        <f>1/(0.4*0.3)</f>
        <v>8.3333333333333339</v>
      </c>
      <c r="D706" s="511" t="s">
        <v>1171</v>
      </c>
      <c r="E706" s="521">
        <f>L693</f>
        <v>426.71999999999997</v>
      </c>
      <c r="F706" s="508">
        <f t="shared" si="292"/>
        <v>3556</v>
      </c>
    </row>
    <row r="707" spans="1:13">
      <c r="A707" s="602"/>
      <c r="B707" s="512" t="s">
        <v>1688</v>
      </c>
      <c r="C707" s="543">
        <v>1</v>
      </c>
      <c r="D707" s="511" t="s">
        <v>825</v>
      </c>
      <c r="E707" s="521">
        <f t="shared" ref="E707:E708" si="293">L694</f>
        <v>600.29999999999995</v>
      </c>
      <c r="F707" s="508">
        <f t="shared" si="292"/>
        <v>600.29999999999995</v>
      </c>
    </row>
    <row r="708" spans="1:13">
      <c r="A708" s="602"/>
      <c r="B708" s="512" t="s">
        <v>208</v>
      </c>
      <c r="C708" s="543">
        <f>SUM(F702:F704)</f>
        <v>17805.883060181932</v>
      </c>
      <c r="D708" s="511" t="s">
        <v>209</v>
      </c>
      <c r="E708" s="521">
        <f t="shared" si="293"/>
        <v>0.02</v>
      </c>
      <c r="F708" s="508">
        <f t="shared" si="292"/>
        <v>356.11766120363865</v>
      </c>
      <c r="H708" s="596"/>
      <c r="I708" s="1401" t="s">
        <v>5444</v>
      </c>
      <c r="J708" s="596"/>
      <c r="K708" s="596"/>
      <c r="L708" s="596"/>
      <c r="M708" s="596"/>
    </row>
    <row r="709" spans="1:13">
      <c r="A709" s="602"/>
      <c r="B709" s="598"/>
      <c r="C709" s="632"/>
      <c r="D709" s="598"/>
      <c r="E709" s="605"/>
      <c r="F709" s="606"/>
      <c r="H709" s="613"/>
      <c r="I709" s="614"/>
      <c r="J709" s="614"/>
      <c r="K709" s="614"/>
      <c r="L709" s="614"/>
      <c r="M709" s="615"/>
    </row>
    <row r="710" spans="1:13">
      <c r="A710" s="602"/>
      <c r="B710" s="607"/>
      <c r="C710" s="604"/>
      <c r="D710" s="603"/>
      <c r="E710" s="605"/>
      <c r="F710" s="606"/>
      <c r="H710" s="602"/>
      <c r="I710" s="632" t="s">
        <v>4298</v>
      </c>
      <c r="J710" s="632">
        <v>1.05</v>
      </c>
      <c r="K710" s="598" t="s">
        <v>825</v>
      </c>
      <c r="L710" s="605">
        <f>E689</f>
        <v>6850</v>
      </c>
      <c r="M710" s="606">
        <f t="shared" ref="M710:M712" si="294">+J710*L710</f>
        <v>7192.5</v>
      </c>
    </row>
    <row r="711" spans="1:13">
      <c r="A711" s="595"/>
      <c r="B711" s="595" t="s">
        <v>4253</v>
      </c>
      <c r="C711" s="596"/>
      <c r="D711" s="596"/>
      <c r="E711" s="596"/>
      <c r="F711" s="594">
        <f>SUM(F702:F710)</f>
        <v>25009.196751364925</v>
      </c>
      <c r="H711" s="602"/>
      <c r="I711" s="632" t="s">
        <v>1683</v>
      </c>
      <c r="J711" s="632">
        <f>CUANTIAS!H1328</f>
        <v>3.2373652499999999</v>
      </c>
      <c r="K711" s="598" t="s">
        <v>216</v>
      </c>
      <c r="L711" s="605">
        <f t="shared" ref="L711:L712" si="295">E690</f>
        <v>3200</v>
      </c>
      <c r="M711" s="606">
        <f t="shared" si="294"/>
        <v>10359.568799999999</v>
      </c>
    </row>
    <row r="712" spans="1:13">
      <c r="H712" s="602"/>
      <c r="I712" s="598" t="s">
        <v>217</v>
      </c>
      <c r="J712" s="632">
        <f>SUM(J710:J710)*2</f>
        <v>2.1</v>
      </c>
      <c r="K712" s="598" t="s">
        <v>218</v>
      </c>
      <c r="L712" s="605">
        <f t="shared" si="295"/>
        <v>60</v>
      </c>
      <c r="M712" s="606">
        <f t="shared" si="294"/>
        <v>126</v>
      </c>
    </row>
    <row r="713" spans="1:13">
      <c r="A713" s="596"/>
      <c r="B713" s="1401" t="s">
        <v>5342</v>
      </c>
      <c r="C713" s="596" t="s">
        <v>4297</v>
      </c>
      <c r="D713" s="596"/>
      <c r="E713" s="596"/>
      <c r="F713" s="596"/>
      <c r="H713" s="602"/>
      <c r="I713" s="704" t="s">
        <v>1037</v>
      </c>
      <c r="J713" s="699">
        <f>J711</f>
        <v>3.2373652499999999</v>
      </c>
      <c r="K713" s="700" t="s">
        <v>1171</v>
      </c>
      <c r="L713" s="605">
        <f>Prec.!C350</f>
        <v>486.5</v>
      </c>
      <c r="M713" s="702">
        <f t="shared" ref="M713:M715" si="296">J713*L713</f>
        <v>1574.9781941249998</v>
      </c>
    </row>
    <row r="714" spans="1:13">
      <c r="A714" s="613"/>
      <c r="B714" s="614"/>
      <c r="C714" s="614"/>
      <c r="D714" s="614"/>
      <c r="E714" s="614"/>
      <c r="F714" s="615"/>
      <c r="H714" s="602"/>
      <c r="I714" s="704" t="s">
        <v>5445</v>
      </c>
      <c r="J714" s="699">
        <f>1/(0.2*0.4)</f>
        <v>12.499999999999998</v>
      </c>
      <c r="K714" s="700" t="s">
        <v>1171</v>
      </c>
      <c r="L714" s="701">
        <f>E693</f>
        <v>165.66</v>
      </c>
      <c r="M714" s="702">
        <f t="shared" si="296"/>
        <v>2070.7499999999995</v>
      </c>
    </row>
    <row r="715" spans="1:13">
      <c r="A715" s="602"/>
      <c r="B715" s="632" t="s">
        <v>4298</v>
      </c>
      <c r="C715" s="632">
        <v>1.05</v>
      </c>
      <c r="D715" s="598" t="s">
        <v>825</v>
      </c>
      <c r="E715" s="605">
        <f>E748</f>
        <v>6850</v>
      </c>
      <c r="F715" s="606">
        <f t="shared" ref="F715:F717" si="297">+C715*E715</f>
        <v>7192.5</v>
      </c>
      <c r="H715" s="602"/>
      <c r="I715" s="704" t="s">
        <v>4383</v>
      </c>
      <c r="J715" s="699">
        <f>(0.2+0.35)*J714</f>
        <v>6.875</v>
      </c>
      <c r="K715" s="700" t="s">
        <v>213</v>
      </c>
      <c r="L715" s="701">
        <v>33.14</v>
      </c>
      <c r="M715" s="702">
        <f t="shared" si="296"/>
        <v>227.83750000000001</v>
      </c>
    </row>
    <row r="716" spans="1:13">
      <c r="A716" s="602"/>
      <c r="B716" s="632" t="s">
        <v>1683</v>
      </c>
      <c r="C716" s="632">
        <f>C703</f>
        <v>5.0283024011573492</v>
      </c>
      <c r="D716" s="598" t="s">
        <v>216</v>
      </c>
      <c r="E716" s="618">
        <f>E749</f>
        <v>3200</v>
      </c>
      <c r="F716" s="606">
        <f t="shared" si="297"/>
        <v>16090.567683703517</v>
      </c>
      <c r="H716" s="602"/>
      <c r="I716" s="704" t="s">
        <v>1684</v>
      </c>
      <c r="J716" s="699">
        <v>1</v>
      </c>
      <c r="K716" s="700" t="s">
        <v>825</v>
      </c>
      <c r="L716" s="701">
        <f>E707</f>
        <v>600.29999999999995</v>
      </c>
      <c r="M716" s="702">
        <f>J716*L716</f>
        <v>600.29999999999995</v>
      </c>
    </row>
    <row r="717" spans="1:13">
      <c r="A717" s="602"/>
      <c r="B717" s="598" t="s">
        <v>217</v>
      </c>
      <c r="C717" s="632">
        <f>SUM(C715:C715)*2</f>
        <v>2.1</v>
      </c>
      <c r="D717" s="598" t="s">
        <v>218</v>
      </c>
      <c r="E717" s="605">
        <f>E750</f>
        <v>60</v>
      </c>
      <c r="F717" s="606">
        <f t="shared" si="297"/>
        <v>126</v>
      </c>
      <c r="H717" s="602"/>
      <c r="I717" s="704" t="s">
        <v>208</v>
      </c>
      <c r="J717" s="699">
        <f>SUM(M710:M712)</f>
        <v>17678.068800000001</v>
      </c>
      <c r="K717" s="700" t="s">
        <v>209</v>
      </c>
      <c r="L717" s="701">
        <f>E721</f>
        <v>0.02</v>
      </c>
      <c r="M717" s="702">
        <f t="shared" ref="M717" si="298">J717*L717</f>
        <v>353.56137600000005</v>
      </c>
    </row>
    <row r="718" spans="1:13">
      <c r="A718" s="602"/>
      <c r="B718" s="512" t="s">
        <v>1037</v>
      </c>
      <c r="C718" s="543">
        <f>SUM(C716:C716)</f>
        <v>5.0283024011573492</v>
      </c>
      <c r="D718" s="511" t="s">
        <v>216</v>
      </c>
      <c r="E718" s="521">
        <f>Prec.!C352</f>
        <v>559.47499999999991</v>
      </c>
      <c r="F718" s="508">
        <f t="shared" ref="F718:F721" si="299">C718*E718</f>
        <v>2813.2094858875075</v>
      </c>
      <c r="H718" s="602"/>
      <c r="I718" s="607"/>
      <c r="J718" s="604"/>
      <c r="K718" s="603"/>
      <c r="L718" s="605"/>
      <c r="M718" s="606"/>
    </row>
    <row r="719" spans="1:13">
      <c r="A719" s="602"/>
      <c r="B719" s="512" t="s">
        <v>5366</v>
      </c>
      <c r="C719" s="543">
        <f>1/(0.4*0.3)</f>
        <v>8.3333333333333339</v>
      </c>
      <c r="D719" s="511" t="s">
        <v>1171</v>
      </c>
      <c r="E719" s="521">
        <f>E706</f>
        <v>426.71999999999997</v>
      </c>
      <c r="F719" s="508">
        <f t="shared" si="299"/>
        <v>3556</v>
      </c>
      <c r="H719" s="595"/>
      <c r="I719" s="595" t="s">
        <v>4253</v>
      </c>
      <c r="J719" s="596"/>
      <c r="K719" s="596"/>
      <c r="L719" s="596"/>
      <c r="M719" s="594">
        <f>SUM(M710:M718)</f>
        <v>22505.495870125003</v>
      </c>
    </row>
    <row r="720" spans="1:13">
      <c r="A720" s="602"/>
      <c r="B720" s="512" t="s">
        <v>1688</v>
      </c>
      <c r="C720" s="543">
        <v>1</v>
      </c>
      <c r="D720" s="511" t="s">
        <v>825</v>
      </c>
      <c r="E720" s="521">
        <f t="shared" ref="E720:E721" si="300">E707</f>
        <v>600.29999999999995</v>
      </c>
      <c r="F720" s="508">
        <f t="shared" si="299"/>
        <v>600.29999999999995</v>
      </c>
    </row>
    <row r="721" spans="1:13">
      <c r="A721" s="602"/>
      <c r="B721" s="512" t="s">
        <v>208</v>
      </c>
      <c r="C721" s="543">
        <f>SUM(F715:F717)</f>
        <v>23409.067683703517</v>
      </c>
      <c r="D721" s="511" t="s">
        <v>209</v>
      </c>
      <c r="E721" s="521">
        <f t="shared" si="300"/>
        <v>0.02</v>
      </c>
      <c r="F721" s="508">
        <f t="shared" si="299"/>
        <v>468.18135367407035</v>
      </c>
    </row>
    <row r="722" spans="1:13">
      <c r="A722" s="602"/>
      <c r="B722" s="598"/>
      <c r="C722" s="632"/>
      <c r="D722" s="598"/>
      <c r="E722" s="605"/>
      <c r="F722" s="606"/>
    </row>
    <row r="723" spans="1:13">
      <c r="A723" s="602"/>
      <c r="B723" s="607"/>
      <c r="C723" s="604"/>
      <c r="D723" s="603"/>
      <c r="E723" s="605"/>
      <c r="F723" s="606"/>
    </row>
    <row r="724" spans="1:13">
      <c r="A724" s="595"/>
      <c r="B724" s="595" t="s">
        <v>4253</v>
      </c>
      <c r="C724" s="596"/>
      <c r="D724" s="596"/>
      <c r="E724" s="596"/>
      <c r="F724" s="594">
        <f>SUM(F715:F723)</f>
        <v>30846.758523265093</v>
      </c>
      <c r="H724" s="596"/>
      <c r="I724" s="1401" t="s">
        <v>5446</v>
      </c>
      <c r="J724" s="596"/>
      <c r="K724" s="596"/>
      <c r="L724" s="596"/>
      <c r="M724" s="596"/>
    </row>
    <row r="725" spans="1:13">
      <c r="H725" s="613"/>
      <c r="I725" s="614"/>
      <c r="J725" s="614"/>
      <c r="K725" s="614"/>
      <c r="L725" s="614"/>
      <c r="M725" s="615"/>
    </row>
    <row r="726" spans="1:13">
      <c r="H726" s="602"/>
      <c r="I726" s="632" t="s">
        <v>4298</v>
      </c>
      <c r="J726" s="632">
        <v>1.05</v>
      </c>
      <c r="K726" s="598" t="s">
        <v>825</v>
      </c>
      <c r="L726" s="605">
        <f>L710</f>
        <v>6850</v>
      </c>
      <c r="M726" s="606">
        <f t="shared" ref="M726:M728" si="301">+J726*L726</f>
        <v>7192.5</v>
      </c>
    </row>
    <row r="727" spans="1:13">
      <c r="A727" s="596"/>
      <c r="B727" s="1401" t="s">
        <v>5447</v>
      </c>
      <c r="C727" s="596"/>
      <c r="D727" s="596"/>
      <c r="E727" s="596"/>
      <c r="F727" s="596"/>
      <c r="H727" s="602"/>
      <c r="I727" s="632" t="s">
        <v>1683</v>
      </c>
      <c r="J727" s="632">
        <f>J711</f>
        <v>3.2373652499999999</v>
      </c>
      <c r="K727" s="598" t="s">
        <v>216</v>
      </c>
      <c r="L727" s="605">
        <f t="shared" ref="L727:L733" si="302">L711</f>
        <v>3200</v>
      </c>
      <c r="M727" s="606">
        <f t="shared" si="301"/>
        <v>10359.568799999999</v>
      </c>
    </row>
    <row r="728" spans="1:13">
      <c r="A728" s="613"/>
      <c r="B728" s="614"/>
      <c r="C728" s="614"/>
      <c r="D728" s="614"/>
      <c r="E728" s="614"/>
      <c r="F728" s="615"/>
      <c r="H728" s="602"/>
      <c r="I728" s="598" t="s">
        <v>217</v>
      </c>
      <c r="J728" s="632">
        <f>SUM(J726:J726)*2</f>
        <v>2.1</v>
      </c>
      <c r="K728" s="598" t="s">
        <v>218</v>
      </c>
      <c r="L728" s="605">
        <f t="shared" si="302"/>
        <v>60</v>
      </c>
      <c r="M728" s="606">
        <f t="shared" si="301"/>
        <v>126</v>
      </c>
    </row>
    <row r="729" spans="1:13">
      <c r="A729" s="602"/>
      <c r="B729" s="632" t="s">
        <v>4298</v>
      </c>
      <c r="C729" s="632">
        <v>1.05</v>
      </c>
      <c r="D729" s="598" t="s">
        <v>825</v>
      </c>
      <c r="E729" s="605">
        <f>L726</f>
        <v>6850</v>
      </c>
      <c r="F729" s="606">
        <f t="shared" ref="F729:F731" si="303">+C729*E729</f>
        <v>7192.5</v>
      </c>
      <c r="H729" s="602"/>
      <c r="I729" s="704" t="s">
        <v>1037</v>
      </c>
      <c r="J729" s="699">
        <f>J727</f>
        <v>3.2373652499999999</v>
      </c>
      <c r="K729" s="700" t="s">
        <v>1171</v>
      </c>
      <c r="L729" s="605">
        <f>Prec.!C351</f>
        <v>535.15000000000009</v>
      </c>
      <c r="M729" s="702">
        <f t="shared" ref="M729:M731" si="304">J729*L729</f>
        <v>1732.4760135375002</v>
      </c>
    </row>
    <row r="730" spans="1:13">
      <c r="A730" s="602"/>
      <c r="B730" s="632" t="s">
        <v>1683</v>
      </c>
      <c r="C730" s="632">
        <f>J727</f>
        <v>3.2373652499999999</v>
      </c>
      <c r="D730" s="598" t="s">
        <v>216</v>
      </c>
      <c r="E730" s="605">
        <f t="shared" ref="E730:E736" si="305">L727</f>
        <v>3200</v>
      </c>
      <c r="F730" s="606">
        <f t="shared" si="303"/>
        <v>10359.568799999999</v>
      </c>
      <c r="H730" s="602"/>
      <c r="I730" s="704" t="s">
        <v>5445</v>
      </c>
      <c r="J730" s="699">
        <f>1/(0.2*0.4)</f>
        <v>12.499999999999998</v>
      </c>
      <c r="K730" s="700" t="s">
        <v>1171</v>
      </c>
      <c r="L730" s="605">
        <f t="shared" si="302"/>
        <v>165.66</v>
      </c>
      <c r="M730" s="702">
        <f t="shared" si="304"/>
        <v>2070.7499999999995</v>
      </c>
    </row>
    <row r="731" spans="1:13">
      <c r="A731" s="602"/>
      <c r="B731" s="598" t="s">
        <v>217</v>
      </c>
      <c r="C731" s="632">
        <f>SUM(C729:C729)*2</f>
        <v>2.1</v>
      </c>
      <c r="D731" s="598" t="s">
        <v>218</v>
      </c>
      <c r="E731" s="605">
        <f t="shared" si="305"/>
        <v>60</v>
      </c>
      <c r="F731" s="606">
        <f t="shared" si="303"/>
        <v>126</v>
      </c>
      <c r="H731" s="602"/>
      <c r="I731" s="704" t="s">
        <v>4383</v>
      </c>
      <c r="J731" s="699">
        <f>(0.2+0.35)*J730</f>
        <v>6.875</v>
      </c>
      <c r="K731" s="700" t="s">
        <v>213</v>
      </c>
      <c r="L731" s="605">
        <f t="shared" si="302"/>
        <v>33.14</v>
      </c>
      <c r="M731" s="702">
        <f t="shared" si="304"/>
        <v>227.83750000000001</v>
      </c>
    </row>
    <row r="732" spans="1:13">
      <c r="A732" s="602"/>
      <c r="B732" s="704" t="s">
        <v>1037</v>
      </c>
      <c r="C732" s="699">
        <f>C730</f>
        <v>3.2373652499999999</v>
      </c>
      <c r="D732" s="700" t="s">
        <v>1171</v>
      </c>
      <c r="E732" s="605">
        <f>Prec.!C352</f>
        <v>559.47499999999991</v>
      </c>
      <c r="F732" s="702">
        <f t="shared" ref="F732:F734" si="306">C732*E732</f>
        <v>1811.2249232437496</v>
      </c>
      <c r="H732" s="602"/>
      <c r="I732" s="704" t="s">
        <v>1684</v>
      </c>
      <c r="J732" s="699">
        <v>1</v>
      </c>
      <c r="K732" s="700" t="s">
        <v>825</v>
      </c>
      <c r="L732" s="605">
        <f t="shared" si="302"/>
        <v>600.29999999999995</v>
      </c>
      <c r="M732" s="702">
        <f>J732*L732</f>
        <v>600.29999999999995</v>
      </c>
    </row>
    <row r="733" spans="1:13">
      <c r="A733" s="602"/>
      <c r="B733" s="704" t="s">
        <v>5445</v>
      </c>
      <c r="C733" s="699">
        <f>1/(0.2*0.4)</f>
        <v>12.499999999999998</v>
      </c>
      <c r="D733" s="700" t="s">
        <v>1171</v>
      </c>
      <c r="E733" s="605">
        <f t="shared" si="305"/>
        <v>165.66</v>
      </c>
      <c r="F733" s="702">
        <f t="shared" si="306"/>
        <v>2070.7499999999995</v>
      </c>
      <c r="H733" s="602"/>
      <c r="I733" s="704" t="s">
        <v>208</v>
      </c>
      <c r="J733" s="699">
        <f>SUM(M726:M728)</f>
        <v>17678.068800000001</v>
      </c>
      <c r="K733" s="700" t="s">
        <v>209</v>
      </c>
      <c r="L733" s="605">
        <f t="shared" si="302"/>
        <v>0.02</v>
      </c>
      <c r="M733" s="702">
        <f t="shared" ref="M733" si="307">J733*L733</f>
        <v>353.56137600000005</v>
      </c>
    </row>
    <row r="734" spans="1:13">
      <c r="A734" s="602"/>
      <c r="B734" s="704" t="s">
        <v>4383</v>
      </c>
      <c r="C734" s="699">
        <f>(0.2+0.35)*C733</f>
        <v>6.875</v>
      </c>
      <c r="D734" s="700" t="s">
        <v>213</v>
      </c>
      <c r="E734" s="605">
        <f t="shared" si="305"/>
        <v>33.14</v>
      </c>
      <c r="F734" s="702">
        <f t="shared" si="306"/>
        <v>227.83750000000001</v>
      </c>
      <c r="H734" s="602"/>
      <c r="I734" s="607"/>
      <c r="J734" s="604"/>
      <c r="K734" s="603"/>
      <c r="L734" s="605"/>
      <c r="M734" s="606"/>
    </row>
    <row r="735" spans="1:13">
      <c r="A735" s="602"/>
      <c r="B735" s="704" t="s">
        <v>1684</v>
      </c>
      <c r="C735" s="699">
        <v>1</v>
      </c>
      <c r="D735" s="700" t="s">
        <v>825</v>
      </c>
      <c r="E735" s="605">
        <f t="shared" si="305"/>
        <v>600.29999999999995</v>
      </c>
      <c r="F735" s="702">
        <f>C735*E735</f>
        <v>600.29999999999995</v>
      </c>
      <c r="H735" s="595"/>
      <c r="I735" s="595" t="s">
        <v>4253</v>
      </c>
      <c r="J735" s="596"/>
      <c r="K735" s="596"/>
      <c r="L735" s="596"/>
      <c r="M735" s="594">
        <f>SUM(M726:M734)</f>
        <v>22662.993689537503</v>
      </c>
    </row>
    <row r="736" spans="1:13">
      <c r="A736" s="602"/>
      <c r="B736" s="704" t="s">
        <v>208</v>
      </c>
      <c r="C736" s="699">
        <f>SUM(F729:F731)</f>
        <v>17678.068800000001</v>
      </c>
      <c r="D736" s="700" t="s">
        <v>209</v>
      </c>
      <c r="E736" s="605">
        <f t="shared" si="305"/>
        <v>0.02</v>
      </c>
      <c r="F736" s="702">
        <f t="shared" ref="F736" si="308">C736*E736</f>
        <v>353.56137600000005</v>
      </c>
    </row>
    <row r="737" spans="1:13">
      <c r="A737" s="602"/>
      <c r="B737" s="607"/>
      <c r="C737" s="604"/>
      <c r="D737" s="603"/>
      <c r="E737" s="605"/>
      <c r="F737" s="606"/>
    </row>
    <row r="738" spans="1:13">
      <c r="A738" s="595"/>
      <c r="B738" s="595" t="s">
        <v>4253</v>
      </c>
      <c r="C738" s="596"/>
      <c r="D738" s="596"/>
      <c r="E738" s="596"/>
      <c r="F738" s="594">
        <f>SUM(F729:F737)</f>
        <v>22741.742599243753</v>
      </c>
    </row>
    <row r="746" spans="1:13">
      <c r="A746" s="596"/>
      <c r="B746" s="1401" t="s">
        <v>5349</v>
      </c>
      <c r="C746" s="596"/>
      <c r="D746" s="596"/>
      <c r="E746" s="596"/>
      <c r="F746" s="596"/>
      <c r="H746" s="596"/>
      <c r="I746" s="1401" t="s">
        <v>5195</v>
      </c>
      <c r="J746" s="596" t="s">
        <v>4297</v>
      </c>
      <c r="K746" s="596"/>
      <c r="L746" s="596"/>
      <c r="M746" s="596"/>
    </row>
    <row r="747" spans="1:13">
      <c r="A747" s="613"/>
      <c r="B747" s="614"/>
      <c r="C747" s="614"/>
      <c r="D747" s="614"/>
      <c r="E747" s="614"/>
      <c r="F747" s="615"/>
      <c r="H747" s="613"/>
      <c r="I747" s="614"/>
      <c r="J747" s="614"/>
      <c r="K747" s="614"/>
      <c r="L747" s="614"/>
      <c r="M747" s="615"/>
    </row>
    <row r="748" spans="1:13">
      <c r="A748" s="602"/>
      <c r="B748" s="632" t="s">
        <v>4298</v>
      </c>
      <c r="C748" s="632">
        <f>0.12*0.4*1.05</f>
        <v>5.04E-2</v>
      </c>
      <c r="D748" s="598" t="s">
        <v>825</v>
      </c>
      <c r="E748" s="605">
        <f>Ana.term!D8246</f>
        <v>6850</v>
      </c>
      <c r="F748" s="606">
        <f t="shared" ref="F748:F755" si="309">+C748*E748</f>
        <v>345.24</v>
      </c>
      <c r="H748" s="602"/>
      <c r="I748" s="632" t="s">
        <v>4298</v>
      </c>
      <c r="J748" s="632">
        <f>0.15*1.4*1.05</f>
        <v>0.2205</v>
      </c>
      <c r="K748" s="598" t="s">
        <v>825</v>
      </c>
      <c r="L748" s="605">
        <f>E748</f>
        <v>6850</v>
      </c>
      <c r="M748" s="606">
        <f t="shared" ref="M748:M755" si="310">+J748*L748</f>
        <v>1510.425</v>
      </c>
    </row>
    <row r="749" spans="1:13">
      <c r="A749" s="602"/>
      <c r="B749" s="632" t="s">
        <v>1683</v>
      </c>
      <c r="C749" s="1402">
        <f>CUANTIAS!K702</f>
        <v>3.2572435426540283</v>
      </c>
      <c r="D749" s="598" t="s">
        <v>216</v>
      </c>
      <c r="E749" s="618">
        <f>Ana.term!D8247</f>
        <v>3200</v>
      </c>
      <c r="F749" s="606">
        <f t="shared" si="309"/>
        <v>10423.179336492891</v>
      </c>
      <c r="H749" s="602"/>
      <c r="I749" s="632" t="s">
        <v>1683</v>
      </c>
      <c r="J749" s="1402">
        <f>CUANTIAS!K701</f>
        <v>4.8440079301075265</v>
      </c>
      <c r="K749" s="598" t="s">
        <v>216</v>
      </c>
      <c r="L749" s="605">
        <f t="shared" ref="L749:L752" si="311">E749</f>
        <v>3200</v>
      </c>
      <c r="M749" s="606">
        <f t="shared" si="310"/>
        <v>15500.825376344084</v>
      </c>
    </row>
    <row r="750" spans="1:13">
      <c r="A750" s="602"/>
      <c r="B750" s="598" t="s">
        <v>217</v>
      </c>
      <c r="C750" s="632">
        <f>SUM(C748:C748)*2</f>
        <v>0.1008</v>
      </c>
      <c r="D750" s="598" t="s">
        <v>218</v>
      </c>
      <c r="E750" s="605">
        <f>Ana.term!D8248</f>
        <v>60</v>
      </c>
      <c r="F750" s="606">
        <f t="shared" si="309"/>
        <v>6.048</v>
      </c>
      <c r="H750" s="602"/>
      <c r="I750" s="598" t="s">
        <v>217</v>
      </c>
      <c r="J750" s="632">
        <f>SUM(J748:J748)*2</f>
        <v>0.441</v>
      </c>
      <c r="K750" s="598" t="s">
        <v>218</v>
      </c>
      <c r="L750" s="605">
        <f t="shared" si="311"/>
        <v>60</v>
      </c>
      <c r="M750" s="606">
        <f t="shared" si="310"/>
        <v>26.46</v>
      </c>
    </row>
    <row r="751" spans="1:13">
      <c r="A751" s="602"/>
      <c r="B751" s="598" t="s">
        <v>4304</v>
      </c>
      <c r="C751" s="632">
        <f>+C753*0.5</f>
        <v>4.166666666666667</v>
      </c>
      <c r="D751" s="598" t="s">
        <v>218</v>
      </c>
      <c r="E751" s="605">
        <f>Ana.term!D8249</f>
        <v>33.6</v>
      </c>
      <c r="F751" s="606">
        <f t="shared" si="309"/>
        <v>140.00000000000003</v>
      </c>
      <c r="H751" s="602"/>
      <c r="I751" s="598" t="s">
        <v>4304</v>
      </c>
      <c r="J751" s="632">
        <f>+J753*0.5</f>
        <v>3.3333333333333335</v>
      </c>
      <c r="K751" s="598" t="s">
        <v>218</v>
      </c>
      <c r="L751" s="605">
        <f t="shared" si="311"/>
        <v>33.6</v>
      </c>
      <c r="M751" s="606">
        <f t="shared" si="310"/>
        <v>112.00000000000001</v>
      </c>
    </row>
    <row r="752" spans="1:13">
      <c r="A752" s="602"/>
      <c r="B752" s="598" t="s">
        <v>4305</v>
      </c>
      <c r="C752" s="632">
        <f>+C751/2</f>
        <v>2.0833333333333335</v>
      </c>
      <c r="D752" s="598" t="s">
        <v>218</v>
      </c>
      <c r="E752" s="605">
        <f>Ana.term!D8250</f>
        <v>54.6</v>
      </c>
      <c r="F752" s="606">
        <f t="shared" si="309"/>
        <v>113.75000000000001</v>
      </c>
      <c r="H752" s="602"/>
      <c r="I752" s="598" t="s">
        <v>4305</v>
      </c>
      <c r="J752" s="632">
        <f>+J751/2</f>
        <v>1.6666666666666667</v>
      </c>
      <c r="K752" s="598" t="s">
        <v>218</v>
      </c>
      <c r="L752" s="605">
        <f t="shared" si="311"/>
        <v>54.6</v>
      </c>
      <c r="M752" s="606">
        <f t="shared" si="310"/>
        <v>91</v>
      </c>
    </row>
    <row r="753" spans="1:13">
      <c r="A753" s="602"/>
      <c r="B753" s="598" t="s">
        <v>4307</v>
      </c>
      <c r="C753" s="1402">
        <f>1/0.12</f>
        <v>8.3333333333333339</v>
      </c>
      <c r="D753" s="598" t="s">
        <v>1171</v>
      </c>
      <c r="E753" s="1599">
        <f>Ana.term!D8251</f>
        <v>247.38499999999999</v>
      </c>
      <c r="F753" s="606">
        <f t="shared" si="309"/>
        <v>2061.5416666666665</v>
      </c>
      <c r="H753" s="602"/>
      <c r="I753" s="598" t="s">
        <v>4306</v>
      </c>
      <c r="J753" s="1402">
        <f>1/0.15</f>
        <v>6.666666666666667</v>
      </c>
      <c r="K753" s="598" t="s">
        <v>1171</v>
      </c>
      <c r="L753" s="1599">
        <v>800</v>
      </c>
      <c r="M753" s="606">
        <f t="shared" si="310"/>
        <v>5333.3333333333339</v>
      </c>
    </row>
    <row r="754" spans="1:13">
      <c r="A754" s="602"/>
      <c r="B754" s="598" t="s">
        <v>4299</v>
      </c>
      <c r="C754" s="632">
        <f>+C749</f>
        <v>3.2572435426540283</v>
      </c>
      <c r="D754" s="598" t="s">
        <v>216</v>
      </c>
      <c r="E754" s="605">
        <f>Ana.term!D8252</f>
        <v>486.5</v>
      </c>
      <c r="F754" s="606">
        <f t="shared" si="309"/>
        <v>1584.6489835011848</v>
      </c>
      <c r="H754" s="602"/>
      <c r="I754" s="598" t="s">
        <v>4299</v>
      </c>
      <c r="J754" s="632">
        <f>+J749</f>
        <v>4.8440079301075265</v>
      </c>
      <c r="K754" s="598" t="s">
        <v>216</v>
      </c>
      <c r="L754" s="605">
        <f>Prec.!C350</f>
        <v>486.5</v>
      </c>
      <c r="M754" s="606">
        <f t="shared" si="310"/>
        <v>2356.6098579973118</v>
      </c>
    </row>
    <row r="755" spans="1:13">
      <c r="A755" s="602"/>
      <c r="B755" s="598" t="s">
        <v>1000</v>
      </c>
      <c r="C755" s="632">
        <f>+C754</f>
        <v>3.2572435426540283</v>
      </c>
      <c r="D755" s="598" t="s">
        <v>216</v>
      </c>
      <c r="E755" s="605">
        <f>Ana.term!D8253</f>
        <v>10</v>
      </c>
      <c r="F755" s="606">
        <f t="shared" si="309"/>
        <v>32.572435426540281</v>
      </c>
      <c r="H755" s="602"/>
      <c r="I755" s="598" t="s">
        <v>1000</v>
      </c>
      <c r="J755" s="632">
        <f>+J754</f>
        <v>4.8440079301075265</v>
      </c>
      <c r="K755" s="598" t="s">
        <v>216</v>
      </c>
      <c r="L755" s="605">
        <v>10</v>
      </c>
      <c r="M755" s="606">
        <f t="shared" si="310"/>
        <v>48.440079301075265</v>
      </c>
    </row>
    <row r="756" spans="1:13">
      <c r="A756" s="602"/>
      <c r="B756" s="607"/>
      <c r="C756" s="604"/>
      <c r="D756" s="603"/>
      <c r="E756" s="605"/>
      <c r="F756" s="606"/>
      <c r="H756" s="602"/>
      <c r="I756" s="607"/>
      <c r="J756" s="604"/>
      <c r="K756" s="603"/>
      <c r="L756" s="605"/>
      <c r="M756" s="606"/>
    </row>
    <row r="757" spans="1:13">
      <c r="A757" s="595"/>
      <c r="B757" s="595" t="s">
        <v>4308</v>
      </c>
      <c r="C757" s="596"/>
      <c r="D757" s="596"/>
      <c r="E757" s="596"/>
      <c r="F757" s="594">
        <f>SUM(F748:F756)/C749</f>
        <v>4515.161433125113</v>
      </c>
      <c r="H757" s="595"/>
      <c r="I757" s="595" t="s">
        <v>4308</v>
      </c>
      <c r="J757" s="596"/>
      <c r="K757" s="596"/>
      <c r="L757" s="596"/>
      <c r="M757" s="594">
        <f>SUM(M748:M756)/J749</f>
        <v>5156.6995775792057</v>
      </c>
    </row>
    <row r="760" spans="1:13">
      <c r="A760" s="596"/>
      <c r="B760" s="1401" t="s">
        <v>5350</v>
      </c>
      <c r="C760" s="596"/>
      <c r="D760" s="596"/>
      <c r="E760" s="596"/>
      <c r="F760" s="596"/>
      <c r="H760" s="596"/>
      <c r="I760" s="1401" t="s">
        <v>5343</v>
      </c>
      <c r="J760" s="596"/>
      <c r="K760" s="596"/>
      <c r="L760" s="596"/>
      <c r="M760" s="596"/>
    </row>
    <row r="761" spans="1:13">
      <c r="A761" s="613"/>
      <c r="B761" s="614"/>
      <c r="C761" s="614"/>
      <c r="D761" s="614"/>
      <c r="E761" s="614"/>
      <c r="F761" s="615"/>
      <c r="H761" s="613"/>
      <c r="I761" s="614"/>
      <c r="J761" s="614"/>
      <c r="K761" s="614"/>
      <c r="L761" s="614"/>
      <c r="M761" s="615"/>
    </row>
    <row r="762" spans="1:13">
      <c r="A762" s="602"/>
      <c r="B762" s="632" t="s">
        <v>4298</v>
      </c>
      <c r="C762" s="632">
        <f>0.12*1.4*1.05</f>
        <v>0.1764</v>
      </c>
      <c r="D762" s="598" t="s">
        <v>825</v>
      </c>
      <c r="E762" s="605">
        <f>E748</f>
        <v>6850</v>
      </c>
      <c r="F762" s="606">
        <f t="shared" ref="F762:F769" si="312">+C762*E762</f>
        <v>1208.3399999999999</v>
      </c>
      <c r="H762" s="602"/>
      <c r="I762" s="632" t="s">
        <v>4298</v>
      </c>
      <c r="J762" s="632">
        <f>0.15*0.5*1.05</f>
        <v>7.8750000000000001E-2</v>
      </c>
      <c r="K762" s="598" t="s">
        <v>825</v>
      </c>
      <c r="L762" s="605">
        <f>L748</f>
        <v>6850</v>
      </c>
      <c r="M762" s="606">
        <f t="shared" ref="M762:M769" si="313">+J762*L762</f>
        <v>539.4375</v>
      </c>
    </row>
    <row r="763" spans="1:13">
      <c r="A763" s="602"/>
      <c r="B763" s="632" t="s">
        <v>1683</v>
      </c>
      <c r="C763" s="1402">
        <f>CUANTIAS!K955</f>
        <v>4.8440079301075265</v>
      </c>
      <c r="D763" s="598" t="s">
        <v>216</v>
      </c>
      <c r="E763" s="605">
        <f t="shared" ref="E763:E766" si="314">E749</f>
        <v>3200</v>
      </c>
      <c r="F763" s="606">
        <f t="shared" si="312"/>
        <v>15500.825376344084</v>
      </c>
      <c r="H763" s="602"/>
      <c r="I763" s="632" t="s">
        <v>1683</v>
      </c>
      <c r="J763" s="1402">
        <f>CUANTIAS!K955</f>
        <v>4.8440079301075265</v>
      </c>
      <c r="K763" s="598" t="s">
        <v>216</v>
      </c>
      <c r="L763" s="605">
        <f t="shared" ref="L763:L766" si="315">L749</f>
        <v>3200</v>
      </c>
      <c r="M763" s="606">
        <f t="shared" si="313"/>
        <v>15500.825376344084</v>
      </c>
    </row>
    <row r="764" spans="1:13">
      <c r="A764" s="602"/>
      <c r="B764" s="598" t="s">
        <v>217</v>
      </c>
      <c r="C764" s="632">
        <f>SUM(C762:C762)*2</f>
        <v>0.3528</v>
      </c>
      <c r="D764" s="598" t="s">
        <v>218</v>
      </c>
      <c r="E764" s="605">
        <f t="shared" si="314"/>
        <v>60</v>
      </c>
      <c r="F764" s="606">
        <f t="shared" si="312"/>
        <v>21.167999999999999</v>
      </c>
      <c r="H764" s="602"/>
      <c r="I764" s="598" t="s">
        <v>217</v>
      </c>
      <c r="J764" s="632">
        <f>SUM(J762:J762)*2</f>
        <v>0.1575</v>
      </c>
      <c r="K764" s="598" t="s">
        <v>218</v>
      </c>
      <c r="L764" s="605">
        <f t="shared" si="315"/>
        <v>60</v>
      </c>
      <c r="M764" s="606">
        <f t="shared" si="313"/>
        <v>9.4499999999999993</v>
      </c>
    </row>
    <row r="765" spans="1:13">
      <c r="A765" s="602"/>
      <c r="B765" s="598" t="s">
        <v>4304</v>
      </c>
      <c r="C765" s="632">
        <f>+C767*0.5</f>
        <v>3.3333333333333335</v>
      </c>
      <c r="D765" s="598" t="s">
        <v>218</v>
      </c>
      <c r="E765" s="605">
        <f t="shared" si="314"/>
        <v>33.6</v>
      </c>
      <c r="F765" s="606">
        <f t="shared" si="312"/>
        <v>112.00000000000001</v>
      </c>
      <c r="H765" s="602"/>
      <c r="I765" s="598" t="s">
        <v>4304</v>
      </c>
      <c r="J765" s="632">
        <f>+J767*0.5</f>
        <v>3.3333333333333335</v>
      </c>
      <c r="K765" s="598" t="s">
        <v>218</v>
      </c>
      <c r="L765" s="605">
        <f t="shared" si="315"/>
        <v>33.6</v>
      </c>
      <c r="M765" s="606">
        <f t="shared" si="313"/>
        <v>112.00000000000001</v>
      </c>
    </row>
    <row r="766" spans="1:13">
      <c r="A766" s="602"/>
      <c r="B766" s="598" t="s">
        <v>4305</v>
      </c>
      <c r="C766" s="632">
        <f>+C765/2</f>
        <v>1.6666666666666667</v>
      </c>
      <c r="D766" s="598" t="s">
        <v>218</v>
      </c>
      <c r="E766" s="605">
        <f t="shared" si="314"/>
        <v>54.6</v>
      </c>
      <c r="F766" s="606">
        <f t="shared" si="312"/>
        <v>91</v>
      </c>
      <c r="H766" s="602"/>
      <c r="I766" s="598" t="s">
        <v>4305</v>
      </c>
      <c r="J766" s="632">
        <f>+J765/2</f>
        <v>1.6666666666666667</v>
      </c>
      <c r="K766" s="598" t="s">
        <v>218</v>
      </c>
      <c r="L766" s="605">
        <f t="shared" si="315"/>
        <v>54.6</v>
      </c>
      <c r="M766" s="606">
        <f t="shared" si="313"/>
        <v>91</v>
      </c>
    </row>
    <row r="767" spans="1:13">
      <c r="A767" s="602"/>
      <c r="B767" s="598" t="s">
        <v>4306</v>
      </c>
      <c r="C767" s="1402">
        <f>1/0.15</f>
        <v>6.666666666666667</v>
      </c>
      <c r="D767" s="598" t="s">
        <v>1171</v>
      </c>
      <c r="E767" s="1599">
        <v>800</v>
      </c>
      <c r="F767" s="606">
        <f t="shared" si="312"/>
        <v>5333.3333333333339</v>
      </c>
      <c r="H767" s="602"/>
      <c r="I767" s="598" t="s">
        <v>4306</v>
      </c>
      <c r="J767" s="1402">
        <f>1/0.15</f>
        <v>6.666666666666667</v>
      </c>
      <c r="K767" s="598" t="s">
        <v>1171</v>
      </c>
      <c r="L767" s="1599">
        <v>800</v>
      </c>
      <c r="M767" s="606">
        <f t="shared" si="313"/>
        <v>5333.3333333333339</v>
      </c>
    </row>
    <row r="768" spans="1:13">
      <c r="A768" s="602"/>
      <c r="B768" s="598" t="s">
        <v>4299</v>
      </c>
      <c r="C768" s="632">
        <f>+C763</f>
        <v>4.8440079301075265</v>
      </c>
      <c r="D768" s="598" t="s">
        <v>216</v>
      </c>
      <c r="E768" s="605">
        <f>Prec.!C351</f>
        <v>535.15000000000009</v>
      </c>
      <c r="F768" s="606">
        <f t="shared" si="312"/>
        <v>2592.2708437970432</v>
      </c>
      <c r="H768" s="602"/>
      <c r="I768" s="598" t="s">
        <v>4299</v>
      </c>
      <c r="J768" s="632">
        <f>+J763</f>
        <v>4.8440079301075265</v>
      </c>
      <c r="K768" s="598" t="s">
        <v>216</v>
      </c>
      <c r="L768" s="605">
        <f>Prec.!C352</f>
        <v>559.47499999999991</v>
      </c>
      <c r="M768" s="606">
        <f t="shared" si="313"/>
        <v>2710.1013366969078</v>
      </c>
    </row>
    <row r="769" spans="1:13">
      <c r="A769" s="602"/>
      <c r="B769" s="598" t="s">
        <v>1000</v>
      </c>
      <c r="C769" s="632">
        <f>+C768</f>
        <v>4.8440079301075265</v>
      </c>
      <c r="D769" s="598" t="s">
        <v>216</v>
      </c>
      <c r="E769" s="605">
        <v>10</v>
      </c>
      <c r="F769" s="606">
        <f t="shared" si="312"/>
        <v>48.440079301075265</v>
      </c>
      <c r="H769" s="602"/>
      <c r="I769" s="598" t="s">
        <v>1000</v>
      </c>
      <c r="J769" s="632">
        <f>+J768</f>
        <v>4.8440079301075265</v>
      </c>
      <c r="K769" s="598" t="s">
        <v>216</v>
      </c>
      <c r="L769" s="605">
        <v>10</v>
      </c>
      <c r="M769" s="606">
        <f t="shared" si="313"/>
        <v>48.440079301075265</v>
      </c>
    </row>
    <row r="770" spans="1:13">
      <c r="A770" s="602"/>
      <c r="B770" s="607"/>
      <c r="C770" s="604"/>
      <c r="D770" s="603"/>
      <c r="E770" s="605"/>
      <c r="F770" s="606"/>
      <c r="H770" s="602"/>
      <c r="I770" s="607"/>
      <c r="J770" s="604"/>
      <c r="K770" s="603"/>
      <c r="L770" s="605"/>
      <c r="M770" s="606"/>
    </row>
    <row r="771" spans="1:13">
      <c r="A771" s="595"/>
      <c r="B771" s="595" t="s">
        <v>4308</v>
      </c>
      <c r="C771" s="596"/>
      <c r="D771" s="596"/>
      <c r="E771" s="596"/>
      <c r="F771" s="594">
        <f>SUM(F762:F770)/C767</f>
        <v>3736.1066449163304</v>
      </c>
      <c r="H771" s="595"/>
      <c r="I771" s="595" t="s">
        <v>4308</v>
      </c>
      <c r="J771" s="596"/>
      <c r="K771" s="596"/>
      <c r="L771" s="596"/>
      <c r="M771" s="594">
        <f>SUM(M762:M770)/J767</f>
        <v>3651.6881438513105</v>
      </c>
    </row>
    <row r="776" spans="1:13">
      <c r="A776" s="596"/>
      <c r="B776" s="1401" t="s">
        <v>5351</v>
      </c>
      <c r="C776" s="596" t="s">
        <v>4297</v>
      </c>
      <c r="D776" s="596"/>
      <c r="E776" s="596"/>
      <c r="F776" s="596"/>
      <c r="H776" s="596"/>
      <c r="I776" s="1401" t="s">
        <v>5416</v>
      </c>
      <c r="J776" s="596"/>
      <c r="K776" s="596"/>
      <c r="L776" s="596"/>
      <c r="M776" s="596"/>
    </row>
    <row r="777" spans="1:13">
      <c r="A777" s="613"/>
      <c r="B777" s="614"/>
      <c r="C777" s="614"/>
      <c r="D777" s="614"/>
      <c r="E777" s="614"/>
      <c r="F777" s="615"/>
      <c r="H777" s="613"/>
      <c r="I777" s="614"/>
      <c r="J777" s="614"/>
      <c r="K777" s="614"/>
      <c r="L777" s="614"/>
      <c r="M777" s="615"/>
    </row>
    <row r="778" spans="1:13">
      <c r="A778" s="602"/>
      <c r="B778" s="632" t="s">
        <v>4298</v>
      </c>
      <c r="C778" s="632">
        <f>0.15*0.3*1.05</f>
        <v>4.725E-2</v>
      </c>
      <c r="D778" s="598" t="s">
        <v>825</v>
      </c>
      <c r="E778" s="605">
        <f>E762</f>
        <v>6850</v>
      </c>
      <c r="F778" s="606">
        <f t="shared" ref="F778:F785" si="316">+C778*E778</f>
        <v>323.66250000000002</v>
      </c>
      <c r="H778" s="600"/>
      <c r="I778" s="598" t="s">
        <v>4298</v>
      </c>
      <c r="J778" s="632">
        <v>1.05</v>
      </c>
      <c r="K778" s="598" t="s">
        <v>825</v>
      </c>
      <c r="L778" s="605">
        <f>L796</f>
        <v>6850</v>
      </c>
      <c r="M778" s="633">
        <f t="shared" ref="M778:M781" si="317">+J778*L778</f>
        <v>7192.5</v>
      </c>
    </row>
    <row r="779" spans="1:13">
      <c r="A779" s="602"/>
      <c r="B779" s="632" t="s">
        <v>1683</v>
      </c>
      <c r="C779" s="1402">
        <f>CUANTIAS!K700</f>
        <v>4.799991009852218</v>
      </c>
      <c r="D779" s="598" t="s">
        <v>216</v>
      </c>
      <c r="E779" s="605">
        <f t="shared" ref="E779:E782" si="318">E763</f>
        <v>3200</v>
      </c>
      <c r="F779" s="606">
        <f t="shared" si="316"/>
        <v>15359.971231527097</v>
      </c>
      <c r="H779" s="600"/>
      <c r="I779" s="632" t="str">
        <f>+'[15]Listado precios'!$B$41</f>
        <v>Acero 0 3/8" grado 40 y/o 60</v>
      </c>
      <c r="J779" s="632">
        <f>CUANTIAS!I1271</f>
        <v>1.3708699827628663</v>
      </c>
      <c r="K779" s="598" t="s">
        <v>216</v>
      </c>
      <c r="L779" s="634">
        <f>Ana.term!D8210</f>
        <v>3200</v>
      </c>
      <c r="M779" s="633">
        <f t="shared" si="317"/>
        <v>4386.7839448411723</v>
      </c>
    </row>
    <row r="780" spans="1:13">
      <c r="A780" s="602"/>
      <c r="B780" s="598" t="s">
        <v>217</v>
      </c>
      <c r="C780" s="632">
        <f>SUM(C778:C778)*2</f>
        <v>9.4500000000000001E-2</v>
      </c>
      <c r="D780" s="598" t="s">
        <v>218</v>
      </c>
      <c r="E780" s="605">
        <f t="shared" si="318"/>
        <v>60</v>
      </c>
      <c r="F780" s="606">
        <f t="shared" si="316"/>
        <v>5.67</v>
      </c>
      <c r="H780" s="600"/>
      <c r="I780" s="598" t="s">
        <v>217</v>
      </c>
      <c r="J780" s="632">
        <f>SUM(J779:J779)*2</f>
        <v>2.7417399655257326</v>
      </c>
      <c r="K780" s="598" t="s">
        <v>218</v>
      </c>
      <c r="L780" s="632">
        <f>Ana.term!D8211</f>
        <v>60</v>
      </c>
      <c r="M780" s="633">
        <f t="shared" si="317"/>
        <v>164.50439793154396</v>
      </c>
    </row>
    <row r="781" spans="1:13">
      <c r="A781" s="602"/>
      <c r="B781" s="598" t="s">
        <v>4304</v>
      </c>
      <c r="C781" s="632">
        <f>+C783*0.5</f>
        <v>4.166666666666667</v>
      </c>
      <c r="D781" s="598" t="s">
        <v>218</v>
      </c>
      <c r="E781" s="605">
        <f t="shared" si="318"/>
        <v>33.6</v>
      </c>
      <c r="F781" s="606">
        <f t="shared" si="316"/>
        <v>140.00000000000003</v>
      </c>
      <c r="H781" s="600"/>
      <c r="I781" s="598" t="s">
        <v>4299</v>
      </c>
      <c r="J781" s="632">
        <f>SUM(J779:J779)</f>
        <v>1.3708699827628663</v>
      </c>
      <c r="K781" s="598" t="s">
        <v>216</v>
      </c>
      <c r="L781" s="635">
        <f>Prec.!C353</f>
        <v>583.79999999999995</v>
      </c>
      <c r="M781" s="633">
        <f t="shared" si="317"/>
        <v>800.31389593696133</v>
      </c>
    </row>
    <row r="782" spans="1:13">
      <c r="A782" s="602"/>
      <c r="B782" s="598" t="s">
        <v>4305</v>
      </c>
      <c r="C782" s="632">
        <f>+C781/2</f>
        <v>2.0833333333333335</v>
      </c>
      <c r="D782" s="598" t="s">
        <v>218</v>
      </c>
      <c r="E782" s="605">
        <f t="shared" si="318"/>
        <v>54.6</v>
      </c>
      <c r="F782" s="606">
        <f t="shared" si="316"/>
        <v>113.75000000000001</v>
      </c>
      <c r="H782" s="600"/>
      <c r="I782" s="704" t="s">
        <v>5423</v>
      </c>
      <c r="J782" s="699">
        <f>1/0.1</f>
        <v>10</v>
      </c>
      <c r="K782" s="700" t="s">
        <v>213</v>
      </c>
      <c r="L782" s="701">
        <f>Ana.term!D8213</f>
        <v>254</v>
      </c>
      <c r="M782" s="702">
        <f t="shared" ref="M782:M784" si="319">J782*L782</f>
        <v>2540</v>
      </c>
    </row>
    <row r="783" spans="1:13">
      <c r="A783" s="602"/>
      <c r="B783" s="598" t="s">
        <v>4307</v>
      </c>
      <c r="C783" s="1402">
        <f>1/0.12</f>
        <v>8.3333333333333339</v>
      </c>
      <c r="D783" s="598" t="s">
        <v>1171</v>
      </c>
      <c r="E783" s="1599">
        <v>800</v>
      </c>
      <c r="F783" s="606">
        <f t="shared" si="316"/>
        <v>6666.666666666667</v>
      </c>
      <c r="H783" s="600"/>
      <c r="I783" s="704" t="s">
        <v>1688</v>
      </c>
      <c r="J783" s="705">
        <v>1</v>
      </c>
      <c r="K783" s="700" t="s">
        <v>825</v>
      </c>
      <c r="L783" s="701">
        <f>Ana.term!D8214</f>
        <v>600.29999999999995</v>
      </c>
      <c r="M783" s="702">
        <f t="shared" si="319"/>
        <v>600.29999999999995</v>
      </c>
    </row>
    <row r="784" spans="1:13">
      <c r="A784" s="602"/>
      <c r="B784" s="598" t="s">
        <v>4299</v>
      </c>
      <c r="C784" s="632">
        <f>+C779</f>
        <v>4.799991009852218</v>
      </c>
      <c r="D784" s="598" t="s">
        <v>216</v>
      </c>
      <c r="E784" s="605">
        <f>E754</f>
        <v>486.5</v>
      </c>
      <c r="F784" s="606">
        <f t="shared" si="316"/>
        <v>2335.1956262931039</v>
      </c>
      <c r="H784" s="600"/>
      <c r="I784" s="704" t="s">
        <v>208</v>
      </c>
      <c r="J784" s="699">
        <f>SUM(M778:M780)</f>
        <v>11743.788342772716</v>
      </c>
      <c r="K784" s="700" t="s">
        <v>209</v>
      </c>
      <c r="L784" s="701">
        <f>Ana.term!D8215</f>
        <v>0.02</v>
      </c>
      <c r="M784" s="702">
        <f t="shared" si="319"/>
        <v>234.87576685545432</v>
      </c>
    </row>
    <row r="785" spans="1:13">
      <c r="A785" s="602"/>
      <c r="B785" s="598" t="s">
        <v>1000</v>
      </c>
      <c r="C785" s="632">
        <f>+C784</f>
        <v>4.799991009852218</v>
      </c>
      <c r="D785" s="598" t="s">
        <v>216</v>
      </c>
      <c r="E785" s="605">
        <v>10</v>
      </c>
      <c r="F785" s="606">
        <f t="shared" si="316"/>
        <v>47.999910098522179</v>
      </c>
      <c r="H785" s="600"/>
      <c r="I785" s="598"/>
      <c r="J785" s="598"/>
      <c r="K785" s="598"/>
      <c r="L785" s="598"/>
      <c r="M785" s="601"/>
    </row>
    <row r="786" spans="1:13">
      <c r="A786" s="602"/>
      <c r="B786" s="607"/>
      <c r="C786" s="604"/>
      <c r="D786" s="603"/>
      <c r="E786" s="605"/>
      <c r="F786" s="606"/>
      <c r="H786" s="636"/>
      <c r="I786" s="637"/>
      <c r="J786" s="637"/>
      <c r="K786" s="637"/>
      <c r="L786" s="637"/>
      <c r="M786" s="638"/>
    </row>
    <row r="787" spans="1:13">
      <c r="A787" s="595"/>
      <c r="B787" s="595" t="s">
        <v>4308</v>
      </c>
      <c r="C787" s="596"/>
      <c r="D787" s="596"/>
      <c r="E787" s="596"/>
      <c r="F787" s="594">
        <f>SUM(F778:F786)/C783</f>
        <v>2999.1499121502466</v>
      </c>
      <c r="H787" s="595"/>
      <c r="I787" s="595" t="s">
        <v>4253</v>
      </c>
      <c r="J787" s="596"/>
      <c r="K787" s="596"/>
      <c r="L787" s="596"/>
      <c r="M787" s="594">
        <f>SUM(M778:M786)</f>
        <v>15919.278005565129</v>
      </c>
    </row>
    <row r="794" spans="1:13">
      <c r="A794" s="596"/>
      <c r="B794" s="1401" t="s">
        <v>5194</v>
      </c>
      <c r="C794" s="596" t="s">
        <v>4297</v>
      </c>
      <c r="D794" s="596"/>
      <c r="E794" s="596"/>
      <c r="F794" s="596"/>
      <c r="H794" s="596"/>
      <c r="I794" s="1401" t="s">
        <v>5193</v>
      </c>
      <c r="J794" s="596"/>
      <c r="K794" s="596"/>
      <c r="L794" s="596"/>
      <c r="M794" s="596"/>
    </row>
    <row r="795" spans="1:13">
      <c r="A795" s="613"/>
      <c r="B795" s="614"/>
      <c r="C795" s="614">
        <f>29.27</f>
        <v>29.27</v>
      </c>
      <c r="D795" s="614" t="s">
        <v>213</v>
      </c>
      <c r="E795" s="614"/>
      <c r="F795" s="615"/>
      <c r="H795" s="613"/>
      <c r="I795" s="614"/>
      <c r="J795" s="614"/>
      <c r="K795" s="614"/>
      <c r="L795" s="614"/>
      <c r="M795" s="615"/>
    </row>
    <row r="796" spans="1:13">
      <c r="A796" s="602"/>
      <c r="B796" s="1555" t="s">
        <v>5247</v>
      </c>
      <c r="C796" s="1556"/>
      <c r="D796" s="1557"/>
      <c r="E796" s="1558"/>
      <c r="F796" s="1556"/>
      <c r="G796" s="1559"/>
      <c r="H796" s="600"/>
      <c r="I796" s="598" t="s">
        <v>4298</v>
      </c>
      <c r="J796" s="632">
        <v>1.05</v>
      </c>
      <c r="K796" s="598" t="s">
        <v>825</v>
      </c>
      <c r="L796" s="605">
        <f>L359</f>
        <v>6850</v>
      </c>
      <c r="M796" s="633">
        <f t="shared" ref="M796:M799" si="320">+J796*L796</f>
        <v>7192.5</v>
      </c>
    </row>
    <row r="797" spans="1:13">
      <c r="A797" s="602"/>
      <c r="B797" s="1560" t="s">
        <v>5263</v>
      </c>
      <c r="C797" s="1556">
        <f>29.27*0.05*1.05</f>
        <v>1.536675</v>
      </c>
      <c r="D797" s="1557" t="s">
        <v>825</v>
      </c>
      <c r="E797" s="1561">
        <f>L796</f>
        <v>6850</v>
      </c>
      <c r="F797" s="1556">
        <f>C797*E797</f>
        <v>10526.223749999999</v>
      </c>
      <c r="G797" s="1559"/>
      <c r="H797" s="600"/>
      <c r="I797" s="632" t="str">
        <f>+'[15]Listado precios'!$B$41</f>
        <v>Acero 0 3/8" grado 40 y/o 60</v>
      </c>
      <c r="J797" s="632">
        <f>CUANTIAS!K697</f>
        <v>1.4600914855566449</v>
      </c>
      <c r="K797" s="598" t="s">
        <v>216</v>
      </c>
      <c r="L797" s="634">
        <f>Ana.term!D8228</f>
        <v>3200</v>
      </c>
      <c r="M797" s="633">
        <f t="shared" si="320"/>
        <v>4672.2927537812639</v>
      </c>
    </row>
    <row r="798" spans="1:13">
      <c r="A798" s="602"/>
      <c r="B798" s="1562" t="s">
        <v>5248</v>
      </c>
      <c r="C798" s="1563">
        <v>1</v>
      </c>
      <c r="D798" s="1557" t="s">
        <v>1110</v>
      </c>
      <c r="E798" s="1564">
        <f>[16]Ana.term!$D$8065</f>
        <v>14000</v>
      </c>
      <c r="F798" s="1556">
        <f t="shared" ref="F798:F801" si="321">C798*E798</f>
        <v>14000</v>
      </c>
      <c r="G798" s="1559"/>
      <c r="H798" s="600"/>
      <c r="I798" s="598" t="s">
        <v>217</v>
      </c>
      <c r="J798" s="632">
        <f>SUM(J797:J797)*2</f>
        <v>2.9201829711132898</v>
      </c>
      <c r="K798" s="598" t="s">
        <v>218</v>
      </c>
      <c r="L798" s="632">
        <f>Ana.term!D8229</f>
        <v>60</v>
      </c>
      <c r="M798" s="633">
        <f t="shared" si="320"/>
        <v>175.21097826679738</v>
      </c>
    </row>
    <row r="799" spans="1:13">
      <c r="A799" s="602"/>
      <c r="B799" s="1565" t="s">
        <v>5249</v>
      </c>
      <c r="C799" s="1556">
        <f>5.4*C798</f>
        <v>5.4</v>
      </c>
      <c r="D799" s="1557" t="s">
        <v>4</v>
      </c>
      <c r="E799" s="1564">
        <f>[16]Ana.term!$D$8066</f>
        <v>486.5</v>
      </c>
      <c r="F799" s="1556">
        <f t="shared" si="321"/>
        <v>2627.1000000000004</v>
      </c>
      <c r="G799" s="1559"/>
      <c r="H799" s="600"/>
      <c r="I799" s="598" t="s">
        <v>4299</v>
      </c>
      <c r="J799" s="632">
        <f>SUM(J797:J797)</f>
        <v>1.4600914855566449</v>
      </c>
      <c r="K799" s="598" t="s">
        <v>216</v>
      </c>
      <c r="L799" s="635">
        <f>Ana.term!D8230</f>
        <v>486.5</v>
      </c>
      <c r="M799" s="633">
        <f t="shared" si="320"/>
        <v>710.33450772330775</v>
      </c>
    </row>
    <row r="800" spans="1:13">
      <c r="A800" s="602"/>
      <c r="B800" s="1565" t="s">
        <v>4975</v>
      </c>
      <c r="C800" s="1556">
        <f>CUANTIAS!Q856</f>
        <v>5.8094014110010246</v>
      </c>
      <c r="D800" s="1557" t="s">
        <v>4</v>
      </c>
      <c r="E800" s="1564">
        <f>[16]Ana.term!$D$8067</f>
        <v>486.5</v>
      </c>
      <c r="F800" s="1556">
        <f t="shared" si="321"/>
        <v>2826.2737864519986</v>
      </c>
      <c r="G800" s="1559"/>
      <c r="H800" s="600"/>
      <c r="I800" s="704" t="s">
        <v>4384</v>
      </c>
      <c r="J800" s="699">
        <f>1/0.12</f>
        <v>8.3333333333333339</v>
      </c>
      <c r="K800" s="700" t="s">
        <v>213</v>
      </c>
      <c r="L800" s="701">
        <f>Ana.term!D8231</f>
        <v>254</v>
      </c>
      <c r="M800" s="702">
        <f t="shared" ref="M800:M802" si="322">J800*L800</f>
        <v>2116.666666666667</v>
      </c>
    </row>
    <row r="801" spans="1:13">
      <c r="A801" s="602"/>
      <c r="B801" s="1565" t="s">
        <v>5250</v>
      </c>
      <c r="C801" s="1556">
        <f>C800</f>
        <v>5.8094014110010246</v>
      </c>
      <c r="D801" s="1557" t="s">
        <v>4</v>
      </c>
      <c r="E801" s="1564">
        <f>[16]Ana.term!$D$8068</f>
        <v>486.5</v>
      </c>
      <c r="F801" s="1556">
        <f t="shared" si="321"/>
        <v>2826.2737864519986</v>
      </c>
      <c r="G801" s="1559"/>
      <c r="H801" s="600"/>
      <c r="I801" s="704" t="s">
        <v>1688</v>
      </c>
      <c r="J801" s="705">
        <v>1</v>
      </c>
      <c r="K801" s="700" t="s">
        <v>825</v>
      </c>
      <c r="L801" s="701">
        <f>Ana.term!D8232</f>
        <v>600.29999999999995</v>
      </c>
      <c r="M801" s="702">
        <f t="shared" si="322"/>
        <v>600.29999999999995</v>
      </c>
    </row>
    <row r="802" spans="1:13">
      <c r="A802" s="602"/>
      <c r="B802" s="1566" t="s">
        <v>5251</v>
      </c>
      <c r="C802" s="1556"/>
      <c r="D802" s="1557"/>
      <c r="E802" s="1561"/>
      <c r="F802" s="1556"/>
      <c r="G802" s="1559"/>
      <c r="H802" s="600"/>
      <c r="I802" s="704" t="s">
        <v>208</v>
      </c>
      <c r="J802" s="699">
        <f>SUM(M796:M798)</f>
        <v>12040.003732048062</v>
      </c>
      <c r="K802" s="700" t="s">
        <v>209</v>
      </c>
      <c r="L802" s="701">
        <f>Ana.term!D8233</f>
        <v>0.02</v>
      </c>
      <c r="M802" s="702">
        <f t="shared" si="322"/>
        <v>240.80007464096124</v>
      </c>
    </row>
    <row r="803" spans="1:13">
      <c r="A803" s="602"/>
      <c r="B803" s="1560" t="s">
        <v>5264</v>
      </c>
      <c r="C803" s="1556">
        <f>CUANTIAS!H850*1.05</f>
        <v>0.84601124999999999</v>
      </c>
      <c r="D803" s="1557" t="s">
        <v>825</v>
      </c>
      <c r="E803" s="1561">
        <f>E797</f>
        <v>6850</v>
      </c>
      <c r="F803" s="1556">
        <f>C803*E803</f>
        <v>5795.1770624999999</v>
      </c>
      <c r="G803" s="1559"/>
      <c r="H803" s="600"/>
      <c r="I803" s="598"/>
      <c r="J803" s="598"/>
      <c r="K803" s="598"/>
      <c r="L803" s="598"/>
      <c r="M803" s="601"/>
    </row>
    <row r="804" spans="1:13">
      <c r="A804" s="598"/>
      <c r="B804" s="1565" t="s">
        <v>5252</v>
      </c>
      <c r="C804" s="1556">
        <f>CUANTIAS!M852</f>
        <v>0.73929300940147069</v>
      </c>
      <c r="D804" s="1557" t="s">
        <v>4</v>
      </c>
      <c r="E804" s="1558">
        <f>[16]Ana.term!$D$8071</f>
        <v>3200</v>
      </c>
      <c r="F804" s="1556">
        <f t="shared" ref="F804:F806" si="323">C804*E804</f>
        <v>2365.7376300847063</v>
      </c>
      <c r="G804" s="1559"/>
      <c r="H804" s="636"/>
      <c r="I804" s="637"/>
      <c r="J804" s="637"/>
      <c r="K804" s="637"/>
      <c r="L804" s="637"/>
      <c r="M804" s="638"/>
    </row>
    <row r="805" spans="1:13">
      <c r="A805" s="602"/>
      <c r="B805" s="1565" t="s">
        <v>5265</v>
      </c>
      <c r="C805" s="1556">
        <f>CUANTIAS!M853</f>
        <v>2.409827645908964</v>
      </c>
      <c r="D805" s="1557" t="s">
        <v>4</v>
      </c>
      <c r="E805" s="1558">
        <f>[16]Ana.term!$D$8072</f>
        <v>3200</v>
      </c>
      <c r="F805" s="1556">
        <f t="shared" si="323"/>
        <v>7711.4484669086851</v>
      </c>
      <c r="G805" s="1559"/>
      <c r="H805" s="595"/>
      <c r="I805" s="595" t="s">
        <v>4253</v>
      </c>
      <c r="J805" s="596"/>
      <c r="K805" s="596"/>
      <c r="L805" s="596"/>
      <c r="M805" s="594">
        <f>SUM(M796:M804)</f>
        <v>15708.104981078997</v>
      </c>
    </row>
    <row r="806" spans="1:13">
      <c r="A806" s="602"/>
      <c r="B806" s="1565" t="s">
        <v>1037</v>
      </c>
      <c r="C806" s="1556">
        <f>C804+C805</f>
        <v>3.1491206553104347</v>
      </c>
      <c r="D806" s="1557" t="s">
        <v>4</v>
      </c>
      <c r="E806" s="1558">
        <f>[16]Ana.term!$D$8073</f>
        <v>486.5</v>
      </c>
      <c r="F806" s="1556">
        <f t="shared" si="323"/>
        <v>1532.0471988085264</v>
      </c>
      <c r="G806" s="1559"/>
    </row>
    <row r="807" spans="1:13">
      <c r="A807" s="602"/>
      <c r="B807" s="1566" t="s">
        <v>5253</v>
      </c>
      <c r="C807" s="1556"/>
      <c r="D807" s="1557"/>
      <c r="E807" s="1558"/>
      <c r="F807" s="1556"/>
      <c r="G807" s="1559"/>
    </row>
    <row r="808" spans="1:13">
      <c r="A808" s="602"/>
      <c r="B808" s="1560" t="s">
        <v>5262</v>
      </c>
      <c r="C808" s="1556">
        <v>0</v>
      </c>
      <c r="D808" s="1557" t="s">
        <v>825</v>
      </c>
      <c r="E808" s="1561">
        <f>E797</f>
        <v>6850</v>
      </c>
      <c r="F808" s="1556">
        <f>C808*E808</f>
        <v>0</v>
      </c>
      <c r="G808" s="1559"/>
      <c r="H808" s="596"/>
      <c r="I808" s="1401" t="s">
        <v>5345</v>
      </c>
      <c r="J808" s="596"/>
      <c r="K808" s="596"/>
      <c r="L808" s="596"/>
      <c r="M808" s="596"/>
    </row>
    <row r="809" spans="1:13">
      <c r="A809" s="602"/>
      <c r="B809" s="1565" t="s">
        <v>5254</v>
      </c>
      <c r="C809" s="1556">
        <v>0</v>
      </c>
      <c r="D809" s="1557" t="s">
        <v>4</v>
      </c>
      <c r="E809" s="1558">
        <f>[16]Ana.term!$D$8076</f>
        <v>3200</v>
      </c>
      <c r="F809" s="1556">
        <f t="shared" ref="F809:F814" si="324">C809*E809</f>
        <v>0</v>
      </c>
      <c r="G809" s="1559"/>
      <c r="H809" s="613"/>
      <c r="I809" s="614"/>
      <c r="J809" s="614"/>
      <c r="K809" s="614"/>
      <c r="L809" s="614"/>
      <c r="M809" s="615"/>
    </row>
    <row r="810" spans="1:13">
      <c r="A810" s="602"/>
      <c r="B810" s="1565" t="s">
        <v>5255</v>
      </c>
      <c r="C810" s="1556">
        <v>0</v>
      </c>
      <c r="D810" s="1557" t="s">
        <v>4</v>
      </c>
      <c r="E810" s="1558">
        <f>[16]Ana.term!$D$8077</f>
        <v>3200</v>
      </c>
      <c r="F810" s="1556">
        <f t="shared" si="324"/>
        <v>0</v>
      </c>
      <c r="G810" s="1559"/>
      <c r="H810" s="600"/>
      <c r="I810" s="598" t="s">
        <v>4298</v>
      </c>
      <c r="J810" s="632">
        <v>1.05</v>
      </c>
      <c r="K810" s="598" t="s">
        <v>825</v>
      </c>
      <c r="L810" s="605">
        <f>L796</f>
        <v>6850</v>
      </c>
      <c r="M810" s="633">
        <f t="shared" ref="M810:M813" si="325">+J810*L810</f>
        <v>7192.5</v>
      </c>
    </row>
    <row r="811" spans="1:13">
      <c r="A811" s="602"/>
      <c r="B811" s="1565" t="s">
        <v>5256</v>
      </c>
      <c r="C811" s="1556">
        <v>0</v>
      </c>
      <c r="D811" s="1557" t="s">
        <v>1171</v>
      </c>
      <c r="E811" s="1558">
        <f>[16]Ana.term!$D$8078</f>
        <v>199.5</v>
      </c>
      <c r="F811" s="1556">
        <f t="shared" si="324"/>
        <v>0</v>
      </c>
      <c r="G811" s="1559"/>
      <c r="H811" s="600"/>
      <c r="I811" s="632" t="str">
        <f>+'[15]Listado precios'!$B$41</f>
        <v>Acero 0 3/8" grado 40 y/o 60</v>
      </c>
      <c r="J811" s="632">
        <f>CUANTIAS!K951</f>
        <v>1.4044862063731485</v>
      </c>
      <c r="K811" s="598" t="s">
        <v>216</v>
      </c>
      <c r="L811" s="605">
        <f t="shared" ref="L811:L812" si="326">L797</f>
        <v>3200</v>
      </c>
      <c r="M811" s="633">
        <f t="shared" si="325"/>
        <v>4494.3558603940755</v>
      </c>
    </row>
    <row r="812" spans="1:13">
      <c r="A812" s="602"/>
      <c r="B812" s="1565" t="s">
        <v>1198</v>
      </c>
      <c r="C812" s="1556">
        <f>C813*2</f>
        <v>0</v>
      </c>
      <c r="D812" s="1557" t="s">
        <v>218</v>
      </c>
      <c r="E812" s="1558">
        <f>[16]Ana.term!$D$8079</f>
        <v>60</v>
      </c>
      <c r="F812" s="1556">
        <f t="shared" si="324"/>
        <v>0</v>
      </c>
      <c r="G812" s="1559"/>
      <c r="H812" s="600"/>
      <c r="I812" s="598" t="s">
        <v>217</v>
      </c>
      <c r="J812" s="632">
        <f>SUM(J811:J811)*2</f>
        <v>2.8089724127462969</v>
      </c>
      <c r="K812" s="598" t="s">
        <v>218</v>
      </c>
      <c r="L812" s="605">
        <f t="shared" si="326"/>
        <v>60</v>
      </c>
      <c r="M812" s="633">
        <f t="shared" si="325"/>
        <v>168.5383447647778</v>
      </c>
    </row>
    <row r="813" spans="1:13">
      <c r="A813" s="602"/>
      <c r="B813" s="1565" t="s">
        <v>1037</v>
      </c>
      <c r="C813" s="1556">
        <f>SUM(C809:C810)</f>
        <v>0</v>
      </c>
      <c r="D813" s="1557" t="s">
        <v>4</v>
      </c>
      <c r="E813" s="1558">
        <f>[16]Ana.term!$D$8080</f>
        <v>486.5</v>
      </c>
      <c r="F813" s="1556">
        <f t="shared" si="324"/>
        <v>0</v>
      </c>
      <c r="G813" s="1559"/>
      <c r="H813" s="600"/>
      <c r="I813" s="598" t="s">
        <v>4299</v>
      </c>
      <c r="J813" s="632">
        <f>SUM(J811:J811)</f>
        <v>1.4044862063731485</v>
      </c>
      <c r="K813" s="598" t="s">
        <v>216</v>
      </c>
      <c r="L813" s="605">
        <f>Prec.!C351</f>
        <v>535.15000000000009</v>
      </c>
      <c r="M813" s="633">
        <f t="shared" si="325"/>
        <v>751.61079334059048</v>
      </c>
    </row>
    <row r="814" spans="1:13">
      <c r="A814" s="602"/>
      <c r="B814" s="1565" t="s">
        <v>1825</v>
      </c>
      <c r="C814" s="1556"/>
      <c r="D814" s="1557" t="s">
        <v>213</v>
      </c>
      <c r="E814" s="1558">
        <f>[16]Ana.term!$D$8081</f>
        <v>254</v>
      </c>
      <c r="F814" s="1556">
        <f t="shared" si="324"/>
        <v>0</v>
      </c>
      <c r="G814" s="1559"/>
      <c r="H814" s="600"/>
      <c r="I814" s="704" t="s">
        <v>4384</v>
      </c>
      <c r="J814" s="699">
        <f>1/0.12</f>
        <v>8.3333333333333339</v>
      </c>
      <c r="K814" s="700" t="s">
        <v>213</v>
      </c>
      <c r="L814" s="701">
        <f>L800</f>
        <v>254</v>
      </c>
      <c r="M814" s="702">
        <f t="shared" ref="M814:M816" si="327">J814*L814</f>
        <v>2116.666666666667</v>
      </c>
    </row>
    <row r="815" spans="1:13">
      <c r="A815" s="602"/>
      <c r="B815" s="1565" t="s">
        <v>5257</v>
      </c>
      <c r="C815" s="1556">
        <v>31.52</v>
      </c>
      <c r="D815" s="1557" t="s">
        <v>825</v>
      </c>
      <c r="E815" s="1558"/>
      <c r="F815" s="1556">
        <f t="shared" ref="F815" si="328">C815*E815</f>
        <v>0</v>
      </c>
      <c r="G815" s="1559">
        <f>SUM(F797:F815)</f>
        <v>50210.28168120591</v>
      </c>
      <c r="H815" s="600"/>
      <c r="I815" s="704" t="s">
        <v>1688</v>
      </c>
      <c r="J815" s="705">
        <v>1</v>
      </c>
      <c r="K815" s="700" t="s">
        <v>825</v>
      </c>
      <c r="L815" s="701">
        <f>L801</f>
        <v>600.29999999999995</v>
      </c>
      <c r="M815" s="702">
        <f t="shared" si="327"/>
        <v>600.29999999999995</v>
      </c>
    </row>
    <row r="816" spans="1:13">
      <c r="A816" s="602"/>
      <c r="B816" s="704"/>
      <c r="C816" s="725"/>
      <c r="D816" s="704"/>
      <c r="E816" s="704"/>
      <c r="F816" s="704" t="s">
        <v>5258</v>
      </c>
      <c r="G816" s="1559">
        <f>G815/E819</f>
        <v>21072.972440750818</v>
      </c>
      <c r="H816" s="600"/>
      <c r="I816" s="704" t="s">
        <v>208</v>
      </c>
      <c r="J816" s="699">
        <f>SUM(M810:M812)</f>
        <v>11855.394205158855</v>
      </c>
      <c r="K816" s="700" t="s">
        <v>209</v>
      </c>
      <c r="L816" s="701">
        <f>L802</f>
        <v>0.02</v>
      </c>
      <c r="M816" s="702">
        <f t="shared" si="327"/>
        <v>237.1078841031771</v>
      </c>
    </row>
    <row r="817" spans="1:13" ht="15">
      <c r="A817" s="602"/>
      <c r="B817" s="704"/>
      <c r="C817" s="725"/>
      <c r="D817" s="704"/>
      <c r="E817" s="704"/>
      <c r="F817" s="704" t="s">
        <v>5259</v>
      </c>
      <c r="G817" s="1567">
        <f>G815/E818</f>
        <v>1715.417891397537</v>
      </c>
      <c r="H817" s="600"/>
      <c r="I817" s="598"/>
      <c r="J817" s="598"/>
      <c r="K817" s="598"/>
      <c r="L817" s="598"/>
      <c r="M817" s="601"/>
    </row>
    <row r="818" spans="1:13" ht="15">
      <c r="A818" s="602"/>
      <c r="B818" s="1568"/>
      <c r="C818" s="725"/>
      <c r="D818" s="1569" t="s">
        <v>5260</v>
      </c>
      <c r="E818" s="715">
        <v>29.27</v>
      </c>
      <c r="F818" s="1570" t="s">
        <v>1333</v>
      </c>
      <c r="G818" s="1571"/>
      <c r="H818" s="636"/>
      <c r="I818" s="637"/>
      <c r="J818" s="637"/>
      <c r="K818" s="637"/>
      <c r="L818" s="637"/>
      <c r="M818" s="638"/>
    </row>
    <row r="819" spans="1:13" ht="15">
      <c r="A819" s="602"/>
      <c r="B819" s="1568"/>
      <c r="C819" s="1572"/>
      <c r="D819" s="1569" t="s">
        <v>5261</v>
      </c>
      <c r="E819" s="1567">
        <f>C797+C803</f>
        <v>2.3826862499999999</v>
      </c>
      <c r="F819" s="1570" t="s">
        <v>1806</v>
      </c>
      <c r="G819" s="1571"/>
      <c r="H819" s="595"/>
      <c r="I819" s="595" t="s">
        <v>4253</v>
      </c>
      <c r="J819" s="596"/>
      <c r="K819" s="596"/>
      <c r="L819" s="596"/>
      <c r="M819" s="594">
        <f>SUM(M810:M818)</f>
        <v>15561.079549269289</v>
      </c>
    </row>
    <row r="820" spans="1:13">
      <c r="A820" s="602"/>
      <c r="B820" s="12"/>
      <c r="C820" s="434"/>
      <c r="D820" s="24"/>
      <c r="E820" s="41"/>
      <c r="F820" s="31"/>
      <c r="G820" s="32"/>
    </row>
    <row r="821" spans="1:13">
      <c r="A821" s="602"/>
      <c r="B821" s="598"/>
      <c r="C821" s="632"/>
      <c r="D821" s="598"/>
      <c r="E821" s="605"/>
      <c r="F821" s="606"/>
      <c r="H821" s="596"/>
      <c r="I821" s="1401" t="s">
        <v>5344</v>
      </c>
      <c r="J821" s="596"/>
      <c r="K821" s="596"/>
      <c r="L821" s="596"/>
      <c r="M821" s="596"/>
    </row>
    <row r="822" spans="1:13">
      <c r="A822" s="602"/>
      <c r="B822" s="598"/>
      <c r="C822" s="632"/>
      <c r="D822" s="598"/>
      <c r="E822" s="605"/>
      <c r="F822" s="606"/>
      <c r="H822" s="613"/>
      <c r="I822" s="614"/>
      <c r="J822" s="614"/>
      <c r="K822" s="614"/>
      <c r="L822" s="614"/>
      <c r="M822" s="615"/>
    </row>
    <row r="823" spans="1:13">
      <c r="A823" s="602"/>
      <c r="B823" s="598"/>
      <c r="C823" s="632"/>
      <c r="D823" s="598"/>
      <c r="E823" s="605"/>
      <c r="F823" s="606"/>
      <c r="H823" s="600"/>
      <c r="I823" s="598" t="s">
        <v>4298</v>
      </c>
      <c r="J823" s="632">
        <v>1.05</v>
      </c>
      <c r="K823" s="598" t="s">
        <v>825</v>
      </c>
      <c r="L823" s="605">
        <f>L810</f>
        <v>6850</v>
      </c>
      <c r="M823" s="633">
        <f t="shared" ref="M823:M826" si="329">+J823*L823</f>
        <v>7192.5</v>
      </c>
    </row>
    <row r="824" spans="1:13">
      <c r="A824" s="602"/>
      <c r="B824" s="598"/>
      <c r="C824" s="632"/>
      <c r="D824" s="598"/>
      <c r="E824" s="605"/>
      <c r="F824" s="606"/>
      <c r="H824" s="600"/>
      <c r="I824" s="632" t="str">
        <f>+'[15]Listado precios'!$B$41</f>
        <v>Acero 0 3/8" grado 40 y/o 60</v>
      </c>
      <c r="J824" s="632">
        <f>CUANTIAS!K951</f>
        <v>1.4044862063731485</v>
      </c>
      <c r="K824" s="598" t="s">
        <v>216</v>
      </c>
      <c r="L824" s="605">
        <f t="shared" ref="L824:L825" si="330">L811</f>
        <v>3200</v>
      </c>
      <c r="M824" s="633">
        <f t="shared" si="329"/>
        <v>4494.3558603940755</v>
      </c>
    </row>
    <row r="825" spans="1:13">
      <c r="A825" s="602"/>
      <c r="B825" s="598"/>
      <c r="C825" s="632"/>
      <c r="D825" s="598"/>
      <c r="E825" s="605"/>
      <c r="F825" s="606"/>
      <c r="H825" s="600"/>
      <c r="I825" s="598" t="s">
        <v>217</v>
      </c>
      <c r="J825" s="632">
        <f>SUM(J824:J824)*2</f>
        <v>2.8089724127462969</v>
      </c>
      <c r="K825" s="598" t="s">
        <v>218</v>
      </c>
      <c r="L825" s="605">
        <f t="shared" si="330"/>
        <v>60</v>
      </c>
      <c r="M825" s="633">
        <f t="shared" si="329"/>
        <v>168.5383447647778</v>
      </c>
    </row>
    <row r="826" spans="1:13">
      <c r="A826" s="602"/>
      <c r="B826" s="598"/>
      <c r="C826" s="632"/>
      <c r="D826" s="598"/>
      <c r="E826" s="605"/>
      <c r="F826" s="606"/>
      <c r="H826" s="600"/>
      <c r="I826" s="598" t="s">
        <v>4299</v>
      </c>
      <c r="J826" s="632">
        <f>SUM(J824:J824)</f>
        <v>1.4044862063731485</v>
      </c>
      <c r="K826" s="598" t="s">
        <v>216</v>
      </c>
      <c r="L826" s="605">
        <f>Prec.!C352</f>
        <v>559.47499999999991</v>
      </c>
      <c r="M826" s="633">
        <f t="shared" si="329"/>
        <v>785.77492031061706</v>
      </c>
    </row>
    <row r="827" spans="1:13">
      <c r="A827" s="602"/>
      <c r="B827" s="607"/>
      <c r="C827" s="604"/>
      <c r="D827" s="603"/>
      <c r="E827" s="605"/>
      <c r="F827" s="606"/>
      <c r="H827" s="600"/>
      <c r="I827" s="704" t="s">
        <v>4384</v>
      </c>
      <c r="J827" s="699">
        <f>1/0.12</f>
        <v>8.3333333333333339</v>
      </c>
      <c r="K827" s="700" t="s">
        <v>213</v>
      </c>
      <c r="L827" s="701">
        <f>L814</f>
        <v>254</v>
      </c>
      <c r="M827" s="702">
        <f t="shared" ref="M827:M829" si="331">J827*L827</f>
        <v>2116.666666666667</v>
      </c>
    </row>
    <row r="828" spans="1:13">
      <c r="A828" s="595"/>
      <c r="B828" s="595" t="s">
        <v>138</v>
      </c>
      <c r="C828" s="596"/>
      <c r="D828" s="596"/>
      <c r="E828" s="596"/>
      <c r="F828" s="594">
        <f>SUM(F796:F827)/C795</f>
        <v>1715.417891397537</v>
      </c>
      <c r="H828" s="600"/>
      <c r="I828" s="704" t="s">
        <v>1688</v>
      </c>
      <c r="J828" s="705">
        <v>1</v>
      </c>
      <c r="K828" s="700" t="s">
        <v>825</v>
      </c>
      <c r="L828" s="701">
        <f t="shared" ref="L828:L829" si="332">L815</f>
        <v>600.29999999999995</v>
      </c>
      <c r="M828" s="702">
        <f t="shared" si="331"/>
        <v>600.29999999999995</v>
      </c>
    </row>
    <row r="829" spans="1:13">
      <c r="A829" s="1527"/>
      <c r="B829" s="1527"/>
      <c r="C829" s="1528"/>
      <c r="D829" s="1528"/>
      <c r="E829" s="1528"/>
      <c r="F829" s="1529"/>
      <c r="H829" s="600"/>
      <c r="I829" s="704" t="s">
        <v>208</v>
      </c>
      <c r="J829" s="699">
        <f>SUM(M823:M825)</f>
        <v>11855.394205158855</v>
      </c>
      <c r="K829" s="700" t="s">
        <v>209</v>
      </c>
      <c r="L829" s="701">
        <f t="shared" si="332"/>
        <v>0.02</v>
      </c>
      <c r="M829" s="702">
        <f t="shared" si="331"/>
        <v>237.1078841031771</v>
      </c>
    </row>
    <row r="830" spans="1:13">
      <c r="A830" s="1527"/>
      <c r="B830" s="1527"/>
      <c r="C830" s="1528"/>
      <c r="D830" s="1528"/>
      <c r="E830" s="1528"/>
      <c r="F830" s="1529"/>
      <c r="H830" s="600"/>
      <c r="I830" s="598"/>
      <c r="J830" s="598"/>
      <c r="K830" s="598"/>
      <c r="L830" s="598"/>
      <c r="M830" s="601"/>
    </row>
    <row r="831" spans="1:13">
      <c r="A831" s="1527"/>
      <c r="B831" s="1527"/>
      <c r="C831" s="1528"/>
      <c r="D831" s="1528"/>
      <c r="E831" s="1528"/>
      <c r="F831" s="1529"/>
      <c r="H831" s="636"/>
      <c r="I831" s="637"/>
      <c r="J831" s="637"/>
      <c r="K831" s="637"/>
      <c r="L831" s="637"/>
      <c r="M831" s="638"/>
    </row>
    <row r="832" spans="1:13">
      <c r="A832" s="1527"/>
      <c r="B832" s="1527"/>
      <c r="C832" s="1528"/>
      <c r="D832" s="1528"/>
      <c r="E832" s="1528"/>
      <c r="F832" s="1529"/>
      <c r="H832" s="595"/>
      <c r="I832" s="595" t="s">
        <v>4253</v>
      </c>
      <c r="J832" s="596"/>
      <c r="K832" s="596"/>
      <c r="L832" s="596"/>
      <c r="M832" s="594">
        <f>SUM(M823:M831)</f>
        <v>15595.243676239315</v>
      </c>
    </row>
    <row r="833" spans="1:13">
      <c r="A833" s="596"/>
      <c r="B833" s="1401" t="s">
        <v>5417</v>
      </c>
      <c r="C833" s="596"/>
      <c r="D833" s="596"/>
      <c r="E833" s="596"/>
      <c r="F833" s="596"/>
    </row>
    <row r="834" spans="1:13">
      <c r="A834" s="613"/>
      <c r="B834" s="614"/>
      <c r="C834" s="614"/>
      <c r="D834" s="614"/>
      <c r="E834" s="614"/>
      <c r="F834" s="615"/>
      <c r="H834" s="596"/>
      <c r="I834" s="1401" t="s">
        <v>5421</v>
      </c>
      <c r="J834" s="596"/>
      <c r="K834" s="596"/>
      <c r="L834" s="596"/>
      <c r="M834" s="596"/>
    </row>
    <row r="835" spans="1:13">
      <c r="A835" s="602"/>
      <c r="B835" s="632" t="s">
        <v>4298</v>
      </c>
      <c r="C835" s="632">
        <f>0.15*0.3*1.05</f>
        <v>4.725E-2</v>
      </c>
      <c r="D835" s="598" t="s">
        <v>825</v>
      </c>
      <c r="E835" s="605">
        <f>E778</f>
        <v>6850</v>
      </c>
      <c r="F835" s="606">
        <f t="shared" ref="F835:F842" si="333">+C835*E835</f>
        <v>323.66250000000002</v>
      </c>
      <c r="H835" s="613"/>
      <c r="I835" s="614"/>
      <c r="J835" s="614"/>
      <c r="K835" s="614"/>
      <c r="L835" s="614"/>
      <c r="M835" s="615"/>
    </row>
    <row r="836" spans="1:13">
      <c r="A836" s="602"/>
      <c r="B836" s="632" t="s">
        <v>1683</v>
      </c>
      <c r="C836" s="1402">
        <f>CUANTIAS!J1292</f>
        <v>2.6008085777777774</v>
      </c>
      <c r="D836" s="598" t="s">
        <v>216</v>
      </c>
      <c r="E836" s="605">
        <f t="shared" ref="E836:E842" si="334">E779</f>
        <v>3200</v>
      </c>
      <c r="F836" s="606">
        <f t="shared" si="333"/>
        <v>8322.5874488888876</v>
      </c>
      <c r="H836" s="600"/>
      <c r="I836" s="598" t="s">
        <v>4298</v>
      </c>
      <c r="J836" s="632">
        <v>1.05</v>
      </c>
      <c r="K836" s="598" t="s">
        <v>825</v>
      </c>
      <c r="L836" s="605">
        <f>L823</f>
        <v>6850</v>
      </c>
      <c r="M836" s="633">
        <f t="shared" ref="M836:M840" si="335">+J836*L836</f>
        <v>7192.5</v>
      </c>
    </row>
    <row r="837" spans="1:13">
      <c r="A837" s="602"/>
      <c r="B837" s="598" t="s">
        <v>217</v>
      </c>
      <c r="C837" s="632">
        <f>SUM(C835:C835)*2</f>
        <v>9.4500000000000001E-2</v>
      </c>
      <c r="D837" s="598" t="s">
        <v>218</v>
      </c>
      <c r="E837" s="605">
        <f t="shared" si="334"/>
        <v>60</v>
      </c>
      <c r="F837" s="606">
        <f t="shared" si="333"/>
        <v>5.67</v>
      </c>
      <c r="H837" s="600"/>
      <c r="I837" s="632" t="str">
        <f>+'[15]Listado precios'!$B$41</f>
        <v>Acero 0 3/8" grado 40 y/o 60</v>
      </c>
      <c r="J837" s="632">
        <f>CUANTIAS!I1237</f>
        <v>1.4628498082924657</v>
      </c>
      <c r="K837" s="598" t="s">
        <v>216</v>
      </c>
      <c r="L837" s="605">
        <f t="shared" ref="L837:L838" si="336">L824</f>
        <v>3200</v>
      </c>
      <c r="M837" s="633">
        <f t="shared" si="335"/>
        <v>4681.11938653589</v>
      </c>
    </row>
    <row r="838" spans="1:13">
      <c r="A838" s="602"/>
      <c r="B838" s="598" t="s">
        <v>4304</v>
      </c>
      <c r="C838" s="632">
        <f>+C840*0.5</f>
        <v>3.3333333333333335</v>
      </c>
      <c r="D838" s="598" t="s">
        <v>218</v>
      </c>
      <c r="E838" s="605">
        <f t="shared" si="334"/>
        <v>33.6</v>
      </c>
      <c r="F838" s="606">
        <f t="shared" si="333"/>
        <v>112.00000000000001</v>
      </c>
      <c r="H838" s="600"/>
      <c r="I838" s="598" t="s">
        <v>217</v>
      </c>
      <c r="J838" s="632">
        <f>SUM(J837:J837)*2</f>
        <v>2.9256996165849314</v>
      </c>
      <c r="K838" s="598" t="s">
        <v>218</v>
      </c>
      <c r="L838" s="605">
        <f t="shared" si="336"/>
        <v>60</v>
      </c>
      <c r="M838" s="633">
        <f t="shared" si="335"/>
        <v>175.54197699509589</v>
      </c>
    </row>
    <row r="839" spans="1:13">
      <c r="A839" s="602"/>
      <c r="B839" s="598" t="s">
        <v>4305</v>
      </c>
      <c r="C839" s="632">
        <f>+C838/2</f>
        <v>1.6666666666666667</v>
      </c>
      <c r="D839" s="598" t="s">
        <v>218</v>
      </c>
      <c r="E839" s="605">
        <f t="shared" si="334"/>
        <v>54.6</v>
      </c>
      <c r="F839" s="606">
        <f t="shared" si="333"/>
        <v>91</v>
      </c>
      <c r="H839" s="600"/>
      <c r="I839" s="598" t="s">
        <v>4299</v>
      </c>
      <c r="J839" s="632">
        <f>SUM(J837:J837)</f>
        <v>1.4628498082924657</v>
      </c>
      <c r="K839" s="598" t="s">
        <v>216</v>
      </c>
      <c r="L839" s="605">
        <f>Prec.!C353</f>
        <v>583.79999999999995</v>
      </c>
      <c r="M839" s="633">
        <f t="shared" si="335"/>
        <v>854.01171808114145</v>
      </c>
    </row>
    <row r="840" spans="1:13">
      <c r="A840" s="602"/>
      <c r="B840" s="598" t="s">
        <v>4307</v>
      </c>
      <c r="C840" s="1402">
        <f>1/0.15</f>
        <v>6.666666666666667</v>
      </c>
      <c r="D840" s="598" t="s">
        <v>1171</v>
      </c>
      <c r="E840" s="605">
        <f t="shared" si="334"/>
        <v>800</v>
      </c>
      <c r="F840" s="606">
        <f t="shared" si="333"/>
        <v>5333.3333333333339</v>
      </c>
      <c r="H840" s="600"/>
      <c r="I840" s="598" t="s">
        <v>4307</v>
      </c>
      <c r="J840" s="1402">
        <f>1/0.12</f>
        <v>8.3333333333333339</v>
      </c>
      <c r="K840" s="598" t="s">
        <v>1171</v>
      </c>
      <c r="L840" s="605">
        <f t="shared" ref="L840" si="337">E840</f>
        <v>800</v>
      </c>
      <c r="M840" s="606">
        <f t="shared" si="335"/>
        <v>6666.666666666667</v>
      </c>
    </row>
    <row r="841" spans="1:13">
      <c r="A841" s="602"/>
      <c r="B841" s="598" t="s">
        <v>4299</v>
      </c>
      <c r="C841" s="632">
        <f>+C836</f>
        <v>2.6008085777777774</v>
      </c>
      <c r="D841" s="598" t="s">
        <v>216</v>
      </c>
      <c r="E841" s="605">
        <f>Prec.!C351</f>
        <v>535.15000000000009</v>
      </c>
      <c r="F841" s="606">
        <f t="shared" si="333"/>
        <v>1391.8227103977779</v>
      </c>
      <c r="H841" s="600"/>
      <c r="I841" s="704" t="s">
        <v>4384</v>
      </c>
      <c r="J841" s="699">
        <f>1/0.12</f>
        <v>8.3333333333333339</v>
      </c>
      <c r="K841" s="700" t="s">
        <v>213</v>
      </c>
      <c r="L841" s="701">
        <f>L827</f>
        <v>254</v>
      </c>
      <c r="M841" s="702">
        <f t="shared" ref="M841:M843" si="338">J841*L841</f>
        <v>2116.666666666667</v>
      </c>
    </row>
    <row r="842" spans="1:13">
      <c r="A842" s="602"/>
      <c r="B842" s="598" t="s">
        <v>1000</v>
      </c>
      <c r="C842" s="632">
        <f>+C841</f>
        <v>2.6008085777777774</v>
      </c>
      <c r="D842" s="598" t="s">
        <v>216</v>
      </c>
      <c r="E842" s="605">
        <f t="shared" si="334"/>
        <v>10</v>
      </c>
      <c r="F842" s="606">
        <f t="shared" si="333"/>
        <v>26.008085777777772</v>
      </c>
      <c r="H842" s="600"/>
      <c r="I842" s="704" t="s">
        <v>1688</v>
      </c>
      <c r="J842" s="705">
        <v>1</v>
      </c>
      <c r="K842" s="700" t="s">
        <v>825</v>
      </c>
      <c r="L842" s="701">
        <f>L828</f>
        <v>600.29999999999995</v>
      </c>
      <c r="M842" s="702">
        <f t="shared" si="338"/>
        <v>600.29999999999995</v>
      </c>
    </row>
    <row r="843" spans="1:13">
      <c r="A843" s="602"/>
      <c r="B843" s="607"/>
      <c r="C843" s="604"/>
      <c r="D843" s="603"/>
      <c r="E843" s="605"/>
      <c r="F843" s="606"/>
      <c r="H843" s="600"/>
      <c r="I843" s="704" t="s">
        <v>208</v>
      </c>
      <c r="J843" s="699">
        <f>SUM(M836:M838)</f>
        <v>12049.161363530988</v>
      </c>
      <c r="K843" s="700" t="s">
        <v>209</v>
      </c>
      <c r="L843" s="701">
        <f>L829</f>
        <v>0.02</v>
      </c>
      <c r="M843" s="702">
        <f t="shared" si="338"/>
        <v>240.98322727061975</v>
      </c>
    </row>
    <row r="844" spans="1:13">
      <c r="A844" s="595"/>
      <c r="B844" s="595" t="s">
        <v>4308</v>
      </c>
      <c r="C844" s="596"/>
      <c r="D844" s="596"/>
      <c r="E844" s="596"/>
      <c r="F844" s="594">
        <f>SUM(F835:F843)/C840</f>
        <v>2340.9126117596666</v>
      </c>
      <c r="H844" s="636"/>
      <c r="I844" s="637"/>
      <c r="J844" s="637"/>
      <c r="K844" s="637"/>
      <c r="L844" s="637"/>
      <c r="M844" s="638"/>
    </row>
    <row r="845" spans="1:13">
      <c r="A845" s="1527"/>
      <c r="B845" s="1527"/>
      <c r="C845" s="1528"/>
      <c r="D845" s="1528"/>
      <c r="E845" s="1528"/>
      <c r="F845" s="1529"/>
      <c r="H845" s="595"/>
      <c r="I845" s="595" t="s">
        <v>4253</v>
      </c>
      <c r="J845" s="596"/>
      <c r="K845" s="596"/>
      <c r="L845" s="596"/>
      <c r="M845" s="594">
        <f>SUM(M836:M844)</f>
        <v>22527.789642216081</v>
      </c>
    </row>
    <row r="846" spans="1:13">
      <c r="A846" s="1527"/>
      <c r="B846" s="1527"/>
      <c r="C846" s="1528"/>
      <c r="D846" s="1528"/>
      <c r="E846" s="1528"/>
      <c r="F846" s="1529"/>
    </row>
    <row r="847" spans="1:13">
      <c r="A847" s="596"/>
      <c r="B847" s="1401" t="s">
        <v>5418</v>
      </c>
      <c r="C847" s="596"/>
      <c r="D847" s="596"/>
      <c r="E847" s="596"/>
      <c r="F847" s="596"/>
      <c r="H847" s="596"/>
      <c r="I847" s="1401" t="s">
        <v>5419</v>
      </c>
      <c r="J847" s="596"/>
      <c r="K847" s="596"/>
      <c r="L847" s="596"/>
      <c r="M847" s="596"/>
    </row>
    <row r="848" spans="1:13">
      <c r="A848" s="613"/>
      <c r="B848" s="614"/>
      <c r="C848" s="614"/>
      <c r="D848" s="614"/>
      <c r="E848" s="614"/>
      <c r="F848" s="615"/>
      <c r="H848" s="613"/>
      <c r="I848" s="614"/>
      <c r="J848" s="614"/>
      <c r="K848" s="614"/>
      <c r="L848" s="614"/>
      <c r="M848" s="615"/>
    </row>
    <row r="849" spans="1:13">
      <c r="A849" s="602"/>
      <c r="B849" s="632" t="s">
        <v>4298</v>
      </c>
      <c r="C849" s="632">
        <f>0.15*0.3*1.05</f>
        <v>4.725E-2</v>
      </c>
      <c r="D849" s="598" t="s">
        <v>825</v>
      </c>
      <c r="E849" s="605">
        <f>E778</f>
        <v>6850</v>
      </c>
      <c r="F849" s="606">
        <f t="shared" ref="F849:F856" si="339">+C849*E849</f>
        <v>323.66250000000002</v>
      </c>
      <c r="H849" s="602"/>
      <c r="I849" s="632" t="s">
        <v>4298</v>
      </c>
      <c r="J849" s="632">
        <f>0.15*0.3*1.05</f>
        <v>4.725E-2</v>
      </c>
      <c r="K849" s="598" t="s">
        <v>825</v>
      </c>
      <c r="L849" s="605">
        <f>E849</f>
        <v>6850</v>
      </c>
      <c r="M849" s="606">
        <f t="shared" ref="M849:M856" si="340">+J849*L849</f>
        <v>323.66250000000002</v>
      </c>
    </row>
    <row r="850" spans="1:13">
      <c r="A850" s="602"/>
      <c r="B850" s="632" t="s">
        <v>1683</v>
      </c>
      <c r="C850" s="1402">
        <f>CUANTIAS!J1292</f>
        <v>2.6008085777777774</v>
      </c>
      <c r="D850" s="598" t="s">
        <v>216</v>
      </c>
      <c r="E850" s="605">
        <f t="shared" ref="E850:E856" si="341">E779</f>
        <v>3200</v>
      </c>
      <c r="F850" s="606">
        <f t="shared" si="339"/>
        <v>8322.5874488888876</v>
      </c>
      <c r="H850" s="602"/>
      <c r="I850" s="632" t="s">
        <v>1683</v>
      </c>
      <c r="J850" s="1402">
        <f>CUANTIAS!J1292</f>
        <v>2.6008085777777774</v>
      </c>
      <c r="K850" s="598" t="s">
        <v>216</v>
      </c>
      <c r="L850" s="605">
        <f t="shared" ref="L850:L856" si="342">E850</f>
        <v>3200</v>
      </c>
      <c r="M850" s="606">
        <f t="shared" si="340"/>
        <v>8322.5874488888876</v>
      </c>
    </row>
    <row r="851" spans="1:13">
      <c r="A851" s="602"/>
      <c r="B851" s="598" t="s">
        <v>217</v>
      </c>
      <c r="C851" s="632">
        <f>SUM(C849:C849)*2</f>
        <v>9.4500000000000001E-2</v>
      </c>
      <c r="D851" s="598" t="s">
        <v>218</v>
      </c>
      <c r="E851" s="605">
        <f t="shared" si="341"/>
        <v>60</v>
      </c>
      <c r="F851" s="606">
        <f t="shared" si="339"/>
        <v>5.67</v>
      </c>
      <c r="H851" s="602"/>
      <c r="I851" s="598" t="s">
        <v>217</v>
      </c>
      <c r="J851" s="632">
        <f>SUM(J849:J849)*2</f>
        <v>9.4500000000000001E-2</v>
      </c>
      <c r="K851" s="598" t="s">
        <v>218</v>
      </c>
      <c r="L851" s="605">
        <f t="shared" si="342"/>
        <v>60</v>
      </c>
      <c r="M851" s="606">
        <f t="shared" si="340"/>
        <v>5.67</v>
      </c>
    </row>
    <row r="852" spans="1:13">
      <c r="A852" s="602"/>
      <c r="B852" s="598" t="s">
        <v>4304</v>
      </c>
      <c r="C852" s="632">
        <f>+C854*0.5</f>
        <v>3.3333333333333335</v>
      </c>
      <c r="D852" s="598" t="s">
        <v>218</v>
      </c>
      <c r="E852" s="605">
        <f t="shared" si="341"/>
        <v>33.6</v>
      </c>
      <c r="F852" s="606">
        <f t="shared" si="339"/>
        <v>112.00000000000001</v>
      </c>
      <c r="H852" s="602"/>
      <c r="I852" s="598" t="s">
        <v>4304</v>
      </c>
      <c r="J852" s="632">
        <f>+J854*0.5</f>
        <v>3.3333333333333335</v>
      </c>
      <c r="K852" s="598" t="s">
        <v>218</v>
      </c>
      <c r="L852" s="605">
        <f t="shared" si="342"/>
        <v>33.6</v>
      </c>
      <c r="M852" s="606">
        <f t="shared" si="340"/>
        <v>112.00000000000001</v>
      </c>
    </row>
    <row r="853" spans="1:13">
      <c r="A853" s="602"/>
      <c r="B853" s="598" t="s">
        <v>4305</v>
      </c>
      <c r="C853" s="632">
        <f>+C852/2</f>
        <v>1.6666666666666667</v>
      </c>
      <c r="D853" s="598" t="s">
        <v>218</v>
      </c>
      <c r="E853" s="605">
        <f t="shared" si="341"/>
        <v>54.6</v>
      </c>
      <c r="F853" s="606">
        <f t="shared" si="339"/>
        <v>91</v>
      </c>
      <c r="H853" s="602"/>
      <c r="I853" s="598" t="s">
        <v>4305</v>
      </c>
      <c r="J853" s="632">
        <f>+J852/2</f>
        <v>1.6666666666666667</v>
      </c>
      <c r="K853" s="598" t="s">
        <v>218</v>
      </c>
      <c r="L853" s="605">
        <f t="shared" si="342"/>
        <v>54.6</v>
      </c>
      <c r="M853" s="606">
        <f t="shared" si="340"/>
        <v>91</v>
      </c>
    </row>
    <row r="854" spans="1:13">
      <c r="A854" s="602"/>
      <c r="B854" s="598" t="s">
        <v>4307</v>
      </c>
      <c r="C854" s="1402">
        <f>1/0.15</f>
        <v>6.666666666666667</v>
      </c>
      <c r="D854" s="598" t="s">
        <v>1171</v>
      </c>
      <c r="E854" s="605">
        <f t="shared" si="341"/>
        <v>800</v>
      </c>
      <c r="F854" s="606">
        <f t="shared" si="339"/>
        <v>5333.3333333333339</v>
      </c>
      <c r="H854" s="602"/>
      <c r="I854" s="598" t="s">
        <v>4307</v>
      </c>
      <c r="J854" s="1402">
        <f>1/0.15</f>
        <v>6.666666666666667</v>
      </c>
      <c r="K854" s="598" t="s">
        <v>1171</v>
      </c>
      <c r="L854" s="605">
        <f t="shared" si="342"/>
        <v>800</v>
      </c>
      <c r="M854" s="606">
        <f t="shared" si="340"/>
        <v>5333.3333333333339</v>
      </c>
    </row>
    <row r="855" spans="1:13">
      <c r="A855" s="602"/>
      <c r="B855" s="598" t="s">
        <v>4299</v>
      </c>
      <c r="C855" s="632">
        <f>+C850</f>
        <v>2.6008085777777774</v>
      </c>
      <c r="D855" s="598" t="s">
        <v>216</v>
      </c>
      <c r="E855" s="605">
        <f>Prec.!C352</f>
        <v>559.47499999999991</v>
      </c>
      <c r="F855" s="606">
        <f t="shared" si="339"/>
        <v>1455.0873790522219</v>
      </c>
      <c r="H855" s="602"/>
      <c r="I855" s="598" t="s">
        <v>4299</v>
      </c>
      <c r="J855" s="632">
        <f>+J850</f>
        <v>2.6008085777777774</v>
      </c>
      <c r="K855" s="598" t="s">
        <v>216</v>
      </c>
      <c r="L855" s="605">
        <f>Prec.!C353</f>
        <v>583.79999999999995</v>
      </c>
      <c r="M855" s="606">
        <f t="shared" si="340"/>
        <v>1518.3520477066663</v>
      </c>
    </row>
    <row r="856" spans="1:13">
      <c r="A856" s="602"/>
      <c r="B856" s="598" t="s">
        <v>1000</v>
      </c>
      <c r="C856" s="632">
        <f>+C855</f>
        <v>2.6008085777777774</v>
      </c>
      <c r="D856" s="598" t="s">
        <v>216</v>
      </c>
      <c r="E856" s="605">
        <f t="shared" si="341"/>
        <v>10</v>
      </c>
      <c r="F856" s="606">
        <f t="shared" si="339"/>
        <v>26.008085777777772</v>
      </c>
      <c r="H856" s="602"/>
      <c r="I856" s="598" t="s">
        <v>1000</v>
      </c>
      <c r="J856" s="632">
        <f>+J855</f>
        <v>2.6008085777777774</v>
      </c>
      <c r="K856" s="598" t="s">
        <v>216</v>
      </c>
      <c r="L856" s="605">
        <f t="shared" si="342"/>
        <v>10</v>
      </c>
      <c r="M856" s="606">
        <f t="shared" si="340"/>
        <v>26.008085777777772</v>
      </c>
    </row>
    <row r="857" spans="1:13">
      <c r="A857" s="602"/>
      <c r="B857" s="607"/>
      <c r="C857" s="604"/>
      <c r="D857" s="603"/>
      <c r="E857" s="605"/>
      <c r="F857" s="606"/>
      <c r="H857" s="602"/>
      <c r="I857" s="607"/>
      <c r="J857" s="604"/>
      <c r="K857" s="603"/>
      <c r="L857" s="605"/>
      <c r="M857" s="606"/>
    </row>
    <row r="858" spans="1:13">
      <c r="A858" s="595"/>
      <c r="B858" s="595" t="s">
        <v>4308</v>
      </c>
      <c r="C858" s="596"/>
      <c r="D858" s="596"/>
      <c r="E858" s="596"/>
      <c r="F858" s="594">
        <f>SUM(F849:F857)/C854</f>
        <v>2350.4023120578331</v>
      </c>
      <c r="H858" s="595"/>
      <c r="I858" s="595" t="s">
        <v>4308</v>
      </c>
      <c r="J858" s="596"/>
      <c r="K858" s="596"/>
      <c r="L858" s="596"/>
      <c r="M858" s="594">
        <f>SUM(M849:M857)/J854</f>
        <v>2359.8920123559997</v>
      </c>
    </row>
    <row r="859" spans="1:13">
      <c r="A859" s="1527"/>
      <c r="B859" s="1527"/>
      <c r="C859" s="1528"/>
      <c r="D859" s="1528"/>
      <c r="E859" s="1528"/>
      <c r="F859" s="1529"/>
    </row>
    <row r="860" spans="1:13">
      <c r="A860" s="596"/>
      <c r="B860" s="1401" t="s">
        <v>5438</v>
      </c>
      <c r="C860" s="596"/>
      <c r="D860" s="596"/>
      <c r="E860" s="596"/>
      <c r="F860" s="596"/>
      <c r="H860" s="596"/>
      <c r="I860" s="1401" t="s">
        <v>5439</v>
      </c>
      <c r="J860" s="596"/>
      <c r="K860" s="596"/>
      <c r="L860" s="596"/>
      <c r="M860" s="596"/>
    </row>
    <row r="861" spans="1:13">
      <c r="A861" s="613"/>
      <c r="B861" s="614"/>
      <c r="C861" s="614"/>
      <c r="D861" s="614"/>
      <c r="E861" s="614"/>
      <c r="F861" s="615"/>
      <c r="H861" s="613"/>
      <c r="I861" s="614"/>
      <c r="J861" s="614"/>
      <c r="K861" s="614"/>
      <c r="L861" s="614"/>
      <c r="M861" s="615"/>
    </row>
    <row r="862" spans="1:13">
      <c r="A862" s="602"/>
      <c r="B862" s="632" t="s">
        <v>4298</v>
      </c>
      <c r="C862" s="632">
        <f>0.15*0.5*1.05</f>
        <v>7.8750000000000001E-2</v>
      </c>
      <c r="D862" s="598" t="s">
        <v>825</v>
      </c>
      <c r="E862" s="605">
        <f>E849</f>
        <v>6850</v>
      </c>
      <c r="F862" s="606">
        <f t="shared" ref="F862:F869" si="343">+C862*E862</f>
        <v>539.4375</v>
      </c>
      <c r="H862" s="602"/>
      <c r="I862" s="632" t="s">
        <v>4298</v>
      </c>
      <c r="J862" s="632">
        <f>0.15*0.5*1.05</f>
        <v>7.8750000000000001E-2</v>
      </c>
      <c r="K862" s="598" t="s">
        <v>825</v>
      </c>
      <c r="L862" s="605">
        <f>E862</f>
        <v>6850</v>
      </c>
      <c r="M862" s="606">
        <f t="shared" ref="M862:M869" si="344">+J862*L862</f>
        <v>539.4375</v>
      </c>
    </row>
    <row r="863" spans="1:13">
      <c r="A863" s="602"/>
      <c r="B863" s="632" t="s">
        <v>1683</v>
      </c>
      <c r="C863" s="1402">
        <f>CUANTIAS!G1320</f>
        <v>2.1081219608000001</v>
      </c>
      <c r="D863" s="598" t="s">
        <v>216</v>
      </c>
      <c r="E863" s="605">
        <f t="shared" ref="E863:E869" si="345">E850</f>
        <v>3200</v>
      </c>
      <c r="F863" s="606">
        <f t="shared" si="343"/>
        <v>6745.9902745600002</v>
      </c>
      <c r="H863" s="602"/>
      <c r="I863" s="632" t="s">
        <v>1683</v>
      </c>
      <c r="J863" s="1402">
        <f>CUANTIAS!G1320</f>
        <v>2.1081219608000001</v>
      </c>
      <c r="K863" s="598" t="s">
        <v>216</v>
      </c>
      <c r="L863" s="605">
        <f t="shared" ref="L863:L869" si="346">E863</f>
        <v>3200</v>
      </c>
      <c r="M863" s="606">
        <f t="shared" si="344"/>
        <v>6745.9902745600002</v>
      </c>
    </row>
    <row r="864" spans="1:13">
      <c r="A864" s="602"/>
      <c r="B864" s="598" t="s">
        <v>217</v>
      </c>
      <c r="C864" s="632">
        <f>SUM(C862:C862)*2</f>
        <v>0.1575</v>
      </c>
      <c r="D864" s="598" t="s">
        <v>218</v>
      </c>
      <c r="E864" s="605">
        <f t="shared" si="345"/>
        <v>60</v>
      </c>
      <c r="F864" s="606">
        <f t="shared" si="343"/>
        <v>9.4499999999999993</v>
      </c>
      <c r="H864" s="602"/>
      <c r="I864" s="598" t="s">
        <v>217</v>
      </c>
      <c r="J864" s="632">
        <f>SUM(J862:J862)*2</f>
        <v>0.1575</v>
      </c>
      <c r="K864" s="598" t="s">
        <v>218</v>
      </c>
      <c r="L864" s="605">
        <f t="shared" si="346"/>
        <v>60</v>
      </c>
      <c r="M864" s="606">
        <f t="shared" si="344"/>
        <v>9.4499999999999993</v>
      </c>
    </row>
    <row r="865" spans="1:13">
      <c r="A865" s="602"/>
      <c r="B865" s="598" t="s">
        <v>4304</v>
      </c>
      <c r="C865" s="632">
        <f>+C867*0.5</f>
        <v>3.3333333333333335</v>
      </c>
      <c r="D865" s="598" t="s">
        <v>218</v>
      </c>
      <c r="E865" s="605">
        <f t="shared" si="345"/>
        <v>33.6</v>
      </c>
      <c r="F865" s="606">
        <f t="shared" si="343"/>
        <v>112.00000000000001</v>
      </c>
      <c r="H865" s="602"/>
      <c r="I865" s="598" t="s">
        <v>4304</v>
      </c>
      <c r="J865" s="632">
        <f>+J867*0.5</f>
        <v>3.3333333333333335</v>
      </c>
      <c r="K865" s="598" t="s">
        <v>218</v>
      </c>
      <c r="L865" s="605">
        <f t="shared" si="346"/>
        <v>33.6</v>
      </c>
      <c r="M865" s="606">
        <f t="shared" si="344"/>
        <v>112.00000000000001</v>
      </c>
    </row>
    <row r="866" spans="1:13">
      <c r="A866" s="602"/>
      <c r="B866" s="598" t="s">
        <v>4305</v>
      </c>
      <c r="C866" s="632">
        <f>+C865/2</f>
        <v>1.6666666666666667</v>
      </c>
      <c r="D866" s="598" t="s">
        <v>218</v>
      </c>
      <c r="E866" s="605">
        <f t="shared" si="345"/>
        <v>54.6</v>
      </c>
      <c r="F866" s="606">
        <f t="shared" si="343"/>
        <v>91</v>
      </c>
      <c r="H866" s="602"/>
      <c r="I866" s="598" t="s">
        <v>4305</v>
      </c>
      <c r="J866" s="632">
        <f>+J865/2</f>
        <v>1.6666666666666667</v>
      </c>
      <c r="K866" s="598" t="s">
        <v>218</v>
      </c>
      <c r="L866" s="605">
        <f t="shared" si="346"/>
        <v>54.6</v>
      </c>
      <c r="M866" s="606">
        <f t="shared" si="344"/>
        <v>91</v>
      </c>
    </row>
    <row r="867" spans="1:13">
      <c r="A867" s="602"/>
      <c r="B867" s="598" t="s">
        <v>4307</v>
      </c>
      <c r="C867" s="1402">
        <f>1/0.15</f>
        <v>6.666666666666667</v>
      </c>
      <c r="D867" s="598" t="s">
        <v>1171</v>
      </c>
      <c r="E867" s="605">
        <f t="shared" si="345"/>
        <v>800</v>
      </c>
      <c r="F867" s="606">
        <f t="shared" si="343"/>
        <v>5333.3333333333339</v>
      </c>
      <c r="H867" s="602"/>
      <c r="I867" s="598" t="s">
        <v>4307</v>
      </c>
      <c r="J867" s="1402">
        <f>1/0.15</f>
        <v>6.666666666666667</v>
      </c>
      <c r="K867" s="598" t="s">
        <v>1171</v>
      </c>
      <c r="L867" s="605">
        <f t="shared" si="346"/>
        <v>800</v>
      </c>
      <c r="M867" s="606">
        <f t="shared" si="344"/>
        <v>5333.3333333333339</v>
      </c>
    </row>
    <row r="868" spans="1:13">
      <c r="A868" s="602"/>
      <c r="B868" s="598" t="s">
        <v>4299</v>
      </c>
      <c r="C868" s="632">
        <f>+C863</f>
        <v>2.1081219608000001</v>
      </c>
      <c r="D868" s="598" t="s">
        <v>216</v>
      </c>
      <c r="E868" s="605">
        <f>Prec.!C350</f>
        <v>486.5</v>
      </c>
      <c r="F868" s="606">
        <f t="shared" si="343"/>
        <v>1025.6013339292001</v>
      </c>
      <c r="H868" s="602"/>
      <c r="I868" s="598" t="s">
        <v>4299</v>
      </c>
      <c r="J868" s="632">
        <f>+J863</f>
        <v>2.1081219608000001</v>
      </c>
      <c r="K868" s="598" t="s">
        <v>216</v>
      </c>
      <c r="L868" s="605">
        <f>Prec.!C351</f>
        <v>535.15000000000009</v>
      </c>
      <c r="M868" s="606">
        <f t="shared" si="344"/>
        <v>1128.1614673221202</v>
      </c>
    </row>
    <row r="869" spans="1:13">
      <c r="A869" s="602"/>
      <c r="B869" s="598" t="s">
        <v>1000</v>
      </c>
      <c r="C869" s="632">
        <f>+C868</f>
        <v>2.1081219608000001</v>
      </c>
      <c r="D869" s="598" t="s">
        <v>216</v>
      </c>
      <c r="E869" s="605">
        <f t="shared" si="345"/>
        <v>10</v>
      </c>
      <c r="F869" s="606">
        <f t="shared" si="343"/>
        <v>21.081219608000001</v>
      </c>
      <c r="H869" s="602"/>
      <c r="I869" s="598" t="s">
        <v>1000</v>
      </c>
      <c r="J869" s="632">
        <f>+J868</f>
        <v>2.1081219608000001</v>
      </c>
      <c r="K869" s="598" t="s">
        <v>216</v>
      </c>
      <c r="L869" s="605">
        <f t="shared" si="346"/>
        <v>10</v>
      </c>
      <c r="M869" s="606">
        <f t="shared" si="344"/>
        <v>21.081219608000001</v>
      </c>
    </row>
    <row r="870" spans="1:13">
      <c r="A870" s="602"/>
      <c r="B870" s="607"/>
      <c r="C870" s="604"/>
      <c r="D870" s="603"/>
      <c r="E870" s="605"/>
      <c r="F870" s="606"/>
      <c r="H870" s="602"/>
      <c r="I870" s="607"/>
      <c r="J870" s="604"/>
      <c r="K870" s="603"/>
      <c r="L870" s="605"/>
      <c r="M870" s="606"/>
    </row>
    <row r="871" spans="1:13">
      <c r="A871" s="595"/>
      <c r="B871" s="595" t="s">
        <v>4308</v>
      </c>
      <c r="C871" s="596"/>
      <c r="D871" s="596"/>
      <c r="E871" s="596"/>
      <c r="F871" s="594">
        <f>SUM(F862:F870)/C867</f>
        <v>2081.6840492145802</v>
      </c>
      <c r="H871" s="595"/>
      <c r="I871" s="595" t="s">
        <v>4308</v>
      </c>
      <c r="J871" s="596"/>
      <c r="K871" s="596"/>
      <c r="L871" s="596"/>
      <c r="M871" s="594">
        <f>SUM(M862:M870)/J867</f>
        <v>2097.0680692235178</v>
      </c>
    </row>
    <row r="872" spans="1:13">
      <c r="A872" s="1527"/>
      <c r="B872" s="1527"/>
      <c r="C872" s="1528"/>
      <c r="D872" s="1528"/>
      <c r="E872" s="1528"/>
      <c r="F872" s="1529"/>
    </row>
    <row r="873" spans="1:13">
      <c r="A873" s="1527"/>
      <c r="B873" s="1527"/>
      <c r="C873" s="1528"/>
      <c r="D873" s="1528"/>
      <c r="E873" s="1528"/>
      <c r="F873" s="1529"/>
    </row>
    <row r="874" spans="1:13">
      <c r="A874" s="596"/>
      <c r="B874" s="1401" t="s">
        <v>5440</v>
      </c>
      <c r="C874" s="596"/>
      <c r="D874" s="596"/>
      <c r="E874" s="596"/>
      <c r="F874" s="596"/>
    </row>
    <row r="875" spans="1:13">
      <c r="A875" s="613"/>
      <c r="B875" s="614"/>
      <c r="C875" s="614"/>
      <c r="D875" s="614"/>
      <c r="E875" s="614"/>
      <c r="F875" s="615"/>
    </row>
    <row r="876" spans="1:13">
      <c r="A876" s="602"/>
      <c r="B876" s="632" t="s">
        <v>4298</v>
      </c>
      <c r="C876" s="632">
        <f>0.15*0.5*1.05</f>
        <v>7.8750000000000001E-2</v>
      </c>
      <c r="D876" s="598" t="s">
        <v>825</v>
      </c>
      <c r="E876" s="605">
        <f>E862</f>
        <v>6850</v>
      </c>
      <c r="F876" s="606">
        <f t="shared" ref="F876:F883" si="347">+C876*E876</f>
        <v>539.4375</v>
      </c>
    </row>
    <row r="877" spans="1:13">
      <c r="A877" s="602"/>
      <c r="B877" s="632" t="s">
        <v>1683</v>
      </c>
      <c r="C877" s="1402">
        <f>C863</f>
        <v>2.1081219608000001</v>
      </c>
      <c r="D877" s="598" t="s">
        <v>216</v>
      </c>
      <c r="E877" s="605">
        <f t="shared" ref="E877:E883" si="348">E863</f>
        <v>3200</v>
      </c>
      <c r="F877" s="606">
        <f t="shared" si="347"/>
        <v>6745.9902745600002</v>
      </c>
    </row>
    <row r="878" spans="1:13">
      <c r="A878" s="602"/>
      <c r="B878" s="598" t="s">
        <v>217</v>
      </c>
      <c r="C878" s="632">
        <f>SUM(C876:C876)*2</f>
        <v>0.1575</v>
      </c>
      <c r="D878" s="598" t="s">
        <v>218</v>
      </c>
      <c r="E878" s="605">
        <f t="shared" si="348"/>
        <v>60</v>
      </c>
      <c r="F878" s="606">
        <f t="shared" si="347"/>
        <v>9.4499999999999993</v>
      </c>
    </row>
    <row r="879" spans="1:13">
      <c r="A879" s="602"/>
      <c r="B879" s="598" t="s">
        <v>4304</v>
      </c>
      <c r="C879" s="632">
        <f>+C881*0.5</f>
        <v>3.3333333333333335</v>
      </c>
      <c r="D879" s="598" t="s">
        <v>218</v>
      </c>
      <c r="E879" s="605">
        <f t="shared" si="348"/>
        <v>33.6</v>
      </c>
      <c r="F879" s="606">
        <f t="shared" si="347"/>
        <v>112.00000000000001</v>
      </c>
    </row>
    <row r="880" spans="1:13">
      <c r="A880" s="602"/>
      <c r="B880" s="598" t="s">
        <v>4305</v>
      </c>
      <c r="C880" s="632">
        <f>+C879/2</f>
        <v>1.6666666666666667</v>
      </c>
      <c r="D880" s="598" t="s">
        <v>218</v>
      </c>
      <c r="E880" s="605">
        <f t="shared" si="348"/>
        <v>54.6</v>
      </c>
      <c r="F880" s="606">
        <f t="shared" si="347"/>
        <v>91</v>
      </c>
    </row>
    <row r="881" spans="1:14">
      <c r="A881" s="602"/>
      <c r="B881" s="598" t="s">
        <v>4307</v>
      </c>
      <c r="C881" s="1402">
        <f>1/0.15</f>
        <v>6.666666666666667</v>
      </c>
      <c r="D881" s="598" t="s">
        <v>1171</v>
      </c>
      <c r="E881" s="605">
        <f t="shared" si="348"/>
        <v>800</v>
      </c>
      <c r="F881" s="606">
        <f t="shared" si="347"/>
        <v>5333.3333333333339</v>
      </c>
    </row>
    <row r="882" spans="1:14">
      <c r="A882" s="602"/>
      <c r="B882" s="598" t="s">
        <v>4299</v>
      </c>
      <c r="C882" s="632">
        <f>+C877</f>
        <v>2.1081219608000001</v>
      </c>
      <c r="D882" s="598" t="s">
        <v>216</v>
      </c>
      <c r="E882" s="605">
        <f>Prec.!C352</f>
        <v>559.47499999999991</v>
      </c>
      <c r="F882" s="606">
        <f t="shared" si="347"/>
        <v>1179.4415340185799</v>
      </c>
    </row>
    <row r="883" spans="1:14">
      <c r="A883" s="602"/>
      <c r="B883" s="598" t="s">
        <v>1000</v>
      </c>
      <c r="C883" s="632">
        <f>+C882</f>
        <v>2.1081219608000001</v>
      </c>
      <c r="D883" s="598" t="s">
        <v>216</v>
      </c>
      <c r="E883" s="605">
        <f t="shared" si="348"/>
        <v>10</v>
      </c>
      <c r="F883" s="606">
        <f t="shared" si="347"/>
        <v>21.081219608000001</v>
      </c>
    </row>
    <row r="884" spans="1:14">
      <c r="A884" s="602"/>
      <c r="B884" s="607"/>
      <c r="C884" s="604"/>
      <c r="D884" s="603"/>
      <c r="E884" s="605"/>
      <c r="F884" s="606"/>
    </row>
    <row r="885" spans="1:14">
      <c r="A885" s="595"/>
      <c r="B885" s="595" t="s">
        <v>4308</v>
      </c>
      <c r="C885" s="596"/>
      <c r="D885" s="596"/>
      <c r="E885" s="596"/>
      <c r="F885" s="594">
        <f>SUM(F876:F884)/C881</f>
        <v>2104.7600792279873</v>
      </c>
    </row>
    <row r="886" spans="1:14">
      <c r="A886" s="1527"/>
      <c r="B886" s="1527"/>
      <c r="C886" s="1528"/>
      <c r="D886" s="1528"/>
      <c r="E886" s="1528"/>
      <c r="F886" s="1529"/>
    </row>
    <row r="887" spans="1:14">
      <c r="A887" s="1527"/>
      <c r="B887" s="1527"/>
      <c r="C887" s="1528"/>
      <c r="D887" s="1528"/>
      <c r="E887" s="1528"/>
      <c r="F887" s="1529"/>
    </row>
    <row r="888" spans="1:14">
      <c r="A888" s="1527"/>
      <c r="B888" s="1527"/>
      <c r="C888" s="1528"/>
      <c r="D888" s="1528"/>
      <c r="E888" s="1528"/>
      <c r="F888" s="1529"/>
    </row>
    <row r="889" spans="1:14">
      <c r="A889" s="1527"/>
      <c r="B889" s="1527"/>
      <c r="C889" s="1528"/>
      <c r="D889" s="1528"/>
      <c r="E889" s="1528"/>
      <c r="F889" s="1529"/>
    </row>
    <row r="890" spans="1:14">
      <c r="A890" s="596"/>
      <c r="B890" s="1401" t="s">
        <v>5210</v>
      </c>
      <c r="C890" s="596"/>
      <c r="D890" s="596"/>
      <c r="E890" s="596"/>
      <c r="F890" s="596"/>
      <c r="H890" s="596"/>
      <c r="I890" s="1401" t="s">
        <v>5211</v>
      </c>
      <c r="J890" s="596"/>
      <c r="K890" s="596"/>
      <c r="L890" s="596"/>
      <c r="M890" s="596"/>
    </row>
    <row r="891" spans="1:14">
      <c r="A891" s="613"/>
      <c r="B891" s="614"/>
      <c r="C891" s="614">
        <v>24.51</v>
      </c>
      <c r="D891" s="614" t="s">
        <v>213</v>
      </c>
      <c r="E891" s="614"/>
      <c r="F891" s="615"/>
      <c r="H891" s="613"/>
      <c r="I891" s="614"/>
      <c r="J891" s="614">
        <v>18.98</v>
      </c>
      <c r="K891" s="614" t="s">
        <v>213</v>
      </c>
      <c r="L891" s="614"/>
      <c r="M891" s="615"/>
    </row>
    <row r="892" spans="1:14">
      <c r="A892" s="602"/>
      <c r="B892" s="1555" t="s">
        <v>5247</v>
      </c>
      <c r="C892" s="1556"/>
      <c r="D892" s="1557"/>
      <c r="E892" s="1558"/>
      <c r="F892" s="1556"/>
      <c r="G892" s="1559"/>
      <c r="H892" s="602"/>
      <c r="I892" s="1555" t="s">
        <v>5247</v>
      </c>
      <c r="J892" s="1556"/>
      <c r="K892" s="1557"/>
      <c r="L892" s="1558"/>
      <c r="M892" s="1556"/>
      <c r="N892" s="1559"/>
    </row>
    <row r="893" spans="1:14" ht="25.5">
      <c r="A893" s="602"/>
      <c r="B893" s="1560" t="s">
        <v>5263</v>
      </c>
      <c r="C893" s="1556">
        <f>24.51*0.05*1.05</f>
        <v>1.2867750000000002</v>
      </c>
      <c r="D893" s="1557" t="s">
        <v>825</v>
      </c>
      <c r="E893" s="1561">
        <f>E797</f>
        <v>6850</v>
      </c>
      <c r="F893" s="1556">
        <f>C893*E893</f>
        <v>8814.4087500000023</v>
      </c>
      <c r="G893" s="1559"/>
      <c r="H893" s="602"/>
      <c r="I893" s="1560" t="s">
        <v>5263</v>
      </c>
      <c r="J893" s="1556">
        <f>18.98*0.05*1.05</f>
        <v>0.99645000000000006</v>
      </c>
      <c r="K893" s="1557" t="s">
        <v>825</v>
      </c>
      <c r="L893" s="1561">
        <f>E893</f>
        <v>6850</v>
      </c>
      <c r="M893" s="1556">
        <f>J893*L893</f>
        <v>6825.6825000000008</v>
      </c>
      <c r="N893" s="1559"/>
    </row>
    <row r="894" spans="1:14">
      <c r="A894" s="602"/>
      <c r="B894" s="1562" t="s">
        <v>5248</v>
      </c>
      <c r="C894" s="1563">
        <v>1</v>
      </c>
      <c r="D894" s="1557" t="s">
        <v>1110</v>
      </c>
      <c r="E894" s="1564">
        <f>[16]Ana.term!$D$8065</f>
        <v>14000</v>
      </c>
      <c r="F894" s="1556">
        <f t="shared" ref="F894:F897" si="349">C894*E894</f>
        <v>14000</v>
      </c>
      <c r="G894" s="1559"/>
      <c r="H894" s="602"/>
      <c r="I894" s="1562" t="s">
        <v>5248</v>
      </c>
      <c r="J894" s="1563">
        <v>1</v>
      </c>
      <c r="K894" s="1557" t="s">
        <v>1110</v>
      </c>
      <c r="L894" s="1564">
        <f>[16]Ana.term!$D$8065</f>
        <v>14000</v>
      </c>
      <c r="M894" s="1556">
        <f t="shared" ref="M894:M897" si="350">J894*L894</f>
        <v>14000</v>
      </c>
      <c r="N894" s="1559"/>
    </row>
    <row r="895" spans="1:14">
      <c r="A895" s="602"/>
      <c r="B895" s="1565" t="s">
        <v>5249</v>
      </c>
      <c r="C895" s="1556">
        <f>5.4*C894</f>
        <v>5.4</v>
      </c>
      <c r="D895" s="1557" t="s">
        <v>4</v>
      </c>
      <c r="E895" s="1564">
        <f>Prec.!C351</f>
        <v>535.15000000000009</v>
      </c>
      <c r="F895" s="1556">
        <f t="shared" si="349"/>
        <v>2889.8100000000009</v>
      </c>
      <c r="G895" s="1559"/>
      <c r="H895" s="602"/>
      <c r="I895" s="1565" t="s">
        <v>5249</v>
      </c>
      <c r="J895" s="1556">
        <f>5.4*J894</f>
        <v>5.4</v>
      </c>
      <c r="K895" s="1557" t="s">
        <v>4</v>
      </c>
      <c r="L895" s="1564">
        <f>Prec.!C352</f>
        <v>559.47499999999991</v>
      </c>
      <c r="M895" s="1556">
        <f t="shared" si="350"/>
        <v>3021.1649999999995</v>
      </c>
      <c r="N895" s="1559"/>
    </row>
    <row r="896" spans="1:14">
      <c r="A896" s="602"/>
      <c r="B896" s="1565" t="s">
        <v>4975</v>
      </c>
      <c r="C896" s="1556">
        <f>CUANTIAS!Q1084</f>
        <v>5.3038420073439392</v>
      </c>
      <c r="D896" s="1557" t="s">
        <v>4</v>
      </c>
      <c r="E896" s="1564">
        <f>E895</f>
        <v>535.15000000000009</v>
      </c>
      <c r="F896" s="1556">
        <f t="shared" si="349"/>
        <v>2838.3510502301096</v>
      </c>
      <c r="G896" s="1559"/>
      <c r="H896" s="602"/>
      <c r="I896" s="1565" t="s">
        <v>4975</v>
      </c>
      <c r="J896" s="1556">
        <f>CUANTIAS!Q1138</f>
        <v>5.8401874077976812</v>
      </c>
      <c r="K896" s="1557" t="s">
        <v>4</v>
      </c>
      <c r="L896" s="1564">
        <f>L895</f>
        <v>559.47499999999991</v>
      </c>
      <c r="M896" s="1556">
        <f t="shared" si="350"/>
        <v>3267.4388499776073</v>
      </c>
      <c r="N896" s="1559"/>
    </row>
    <row r="897" spans="1:14">
      <c r="A897" s="602"/>
      <c r="B897" s="1565" t="s">
        <v>5250</v>
      </c>
      <c r="C897" s="1556">
        <f>C896</f>
        <v>5.3038420073439392</v>
      </c>
      <c r="D897" s="1557" t="s">
        <v>4</v>
      </c>
      <c r="E897" s="1564">
        <f>E896</f>
        <v>535.15000000000009</v>
      </c>
      <c r="F897" s="1556">
        <f t="shared" si="349"/>
        <v>2838.3510502301096</v>
      </c>
      <c r="G897" s="1559"/>
      <c r="H897" s="602"/>
      <c r="I897" s="1565" t="s">
        <v>5250</v>
      </c>
      <c r="J897" s="1556">
        <f>J896</f>
        <v>5.8401874077976812</v>
      </c>
      <c r="K897" s="1557" t="s">
        <v>4</v>
      </c>
      <c r="L897" s="1564">
        <f>L896</f>
        <v>559.47499999999991</v>
      </c>
      <c r="M897" s="1556">
        <f t="shared" si="350"/>
        <v>3267.4388499776073</v>
      </c>
      <c r="N897" s="1559"/>
    </row>
    <row r="898" spans="1:14">
      <c r="A898" s="602"/>
      <c r="B898" s="1566" t="s">
        <v>5251</v>
      </c>
      <c r="C898" s="1556"/>
      <c r="D898" s="1557"/>
      <c r="E898" s="1561"/>
      <c r="F898" s="1556"/>
      <c r="G898" s="1559"/>
      <c r="H898" s="602"/>
      <c r="I898" s="1566" t="s">
        <v>5251</v>
      </c>
      <c r="J898" s="1556"/>
      <c r="K898" s="1557"/>
      <c r="L898" s="1561"/>
      <c r="M898" s="1556"/>
      <c r="N898" s="1559"/>
    </row>
    <row r="899" spans="1:14">
      <c r="A899" s="602"/>
      <c r="B899" s="1560" t="s">
        <v>5264</v>
      </c>
      <c r="C899" s="1556">
        <f>CUANTIAS!H1079*1.05</f>
        <v>0.69150375000000008</v>
      </c>
      <c r="D899" s="1557" t="s">
        <v>825</v>
      </c>
      <c r="E899" s="1561">
        <f>E893</f>
        <v>6850</v>
      </c>
      <c r="F899" s="1556">
        <f>C899*E899</f>
        <v>4736.800687500001</v>
      </c>
      <c r="G899" s="1559"/>
      <c r="H899" s="602"/>
      <c r="I899" s="1560" t="s">
        <v>5264</v>
      </c>
      <c r="J899" s="1556">
        <f>CUANTIAS!H1132*1.05</f>
        <v>0.5506987499999999</v>
      </c>
      <c r="K899" s="1557" t="s">
        <v>825</v>
      </c>
      <c r="L899" s="1561">
        <f>L893</f>
        <v>6850</v>
      </c>
      <c r="M899" s="1556">
        <f>J899*L899</f>
        <v>3772.2864374999995</v>
      </c>
      <c r="N899" s="1559"/>
    </row>
    <row r="900" spans="1:14">
      <c r="A900" s="598"/>
      <c r="B900" s="1565" t="s">
        <v>5252</v>
      </c>
      <c r="C900" s="1556">
        <f>CUANTIAS!M1079</f>
        <v>1.0560550279011502</v>
      </c>
      <c r="D900" s="1557" t="s">
        <v>4</v>
      </c>
      <c r="E900" s="1558">
        <f>[16]Ana.term!$D$8071</f>
        <v>3200</v>
      </c>
      <c r="F900" s="1556">
        <f t="shared" ref="F900:F902" si="351">C900*E900</f>
        <v>3379.3760892836808</v>
      </c>
      <c r="G900" s="1559"/>
      <c r="H900" s="598"/>
      <c r="I900" s="1565" t="s">
        <v>5252</v>
      </c>
      <c r="J900" s="1556">
        <f>CUANTIAS!M1133</f>
        <v>0.7312294008294008</v>
      </c>
      <c r="K900" s="1557" t="s">
        <v>4</v>
      </c>
      <c r="L900" s="1558">
        <f>[16]Ana.term!$D$8071</f>
        <v>3200</v>
      </c>
      <c r="M900" s="1556">
        <f t="shared" ref="M900:M902" si="352">J900*L900</f>
        <v>2339.9340826540824</v>
      </c>
      <c r="N900" s="1559"/>
    </row>
    <row r="901" spans="1:14">
      <c r="A901" s="602"/>
      <c r="B901" s="1565" t="s">
        <v>5265</v>
      </c>
      <c r="C901" s="1556">
        <f>CUANTIAS!M1080</f>
        <v>1.2545990661655848</v>
      </c>
      <c r="D901" s="1557" t="s">
        <v>4</v>
      </c>
      <c r="E901" s="1558">
        <f>[16]Ana.term!$D$8072</f>
        <v>3200</v>
      </c>
      <c r="F901" s="1556">
        <f t="shared" si="351"/>
        <v>4014.7170117298715</v>
      </c>
      <c r="G901" s="1559"/>
      <c r="H901" s="602"/>
      <c r="I901" s="1565" t="s">
        <v>5265</v>
      </c>
      <c r="J901" s="1556">
        <f>CUANTIAS!M1134</f>
        <v>2.5788698412698419</v>
      </c>
      <c r="K901" s="1557" t="s">
        <v>4</v>
      </c>
      <c r="L901" s="1558">
        <f>[16]Ana.term!$D$8072</f>
        <v>3200</v>
      </c>
      <c r="M901" s="1556">
        <f t="shared" si="352"/>
        <v>8252.3834920634945</v>
      </c>
      <c r="N901" s="1559"/>
    </row>
    <row r="902" spans="1:14">
      <c r="A902" s="602"/>
      <c r="B902" s="1565" t="s">
        <v>1037</v>
      </c>
      <c r="C902" s="1556">
        <f>C900+C901</f>
        <v>2.3106540940667353</v>
      </c>
      <c r="D902" s="1557" t="s">
        <v>4</v>
      </c>
      <c r="E902" s="1558">
        <f>E895</f>
        <v>535.15000000000009</v>
      </c>
      <c r="F902" s="1556">
        <f t="shared" si="351"/>
        <v>1236.5465384398135</v>
      </c>
      <c r="G902" s="1559"/>
      <c r="H902" s="602"/>
      <c r="I902" s="1565" t="s">
        <v>1037</v>
      </c>
      <c r="J902" s="1556">
        <f>J900+J901</f>
        <v>3.3100992420992426</v>
      </c>
      <c r="K902" s="1557" t="s">
        <v>4</v>
      </c>
      <c r="L902" s="1558">
        <f>L897</f>
        <v>559.47499999999991</v>
      </c>
      <c r="M902" s="1556">
        <f t="shared" si="352"/>
        <v>1851.9177734734735</v>
      </c>
      <c r="N902" s="1559"/>
    </row>
    <row r="903" spans="1:14">
      <c r="A903" s="602"/>
      <c r="B903" s="1566" t="s">
        <v>5253</v>
      </c>
      <c r="C903" s="1556"/>
      <c r="D903" s="1557"/>
      <c r="E903" s="1558"/>
      <c r="F903" s="1556"/>
      <c r="G903" s="1559"/>
      <c r="H903" s="602"/>
      <c r="I903" s="1566" t="s">
        <v>5253</v>
      </c>
      <c r="J903" s="1556"/>
      <c r="K903" s="1557"/>
      <c r="L903" s="1558"/>
      <c r="M903" s="1556"/>
      <c r="N903" s="1559"/>
    </row>
    <row r="904" spans="1:14">
      <c r="A904" s="602"/>
      <c r="B904" s="1560" t="s">
        <v>5262</v>
      </c>
      <c r="C904" s="1556">
        <v>0</v>
      </c>
      <c r="D904" s="1557" t="s">
        <v>825</v>
      </c>
      <c r="E904" s="1561">
        <f>E893</f>
        <v>6850</v>
      </c>
      <c r="F904" s="1556">
        <f>C904*E904</f>
        <v>0</v>
      </c>
      <c r="G904" s="1559"/>
      <c r="H904" s="602"/>
      <c r="I904" s="1560" t="s">
        <v>5262</v>
      </c>
      <c r="J904" s="1556">
        <v>0</v>
      </c>
      <c r="K904" s="1557" t="s">
        <v>825</v>
      </c>
      <c r="L904" s="1561">
        <f>L893</f>
        <v>6850</v>
      </c>
      <c r="M904" s="1556">
        <f>J904*L904</f>
        <v>0</v>
      </c>
      <c r="N904" s="1559"/>
    </row>
    <row r="905" spans="1:14">
      <c r="A905" s="595"/>
      <c r="B905" s="1565" t="s">
        <v>5254</v>
      </c>
      <c r="C905" s="1556">
        <v>0</v>
      </c>
      <c r="D905" s="1557" t="s">
        <v>4</v>
      </c>
      <c r="E905" s="1558">
        <f>[16]Ana.term!$D$8076</f>
        <v>3200</v>
      </c>
      <c r="F905" s="1556">
        <f t="shared" ref="F905:F911" si="353">C905*E905</f>
        <v>0</v>
      </c>
      <c r="G905" s="1559"/>
      <c r="H905" s="595"/>
      <c r="I905" s="1565" t="s">
        <v>5254</v>
      </c>
      <c r="J905" s="1556">
        <v>0</v>
      </c>
      <c r="K905" s="1557" t="s">
        <v>4</v>
      </c>
      <c r="L905" s="1558">
        <f>[16]Ana.term!$D$8076</f>
        <v>3200</v>
      </c>
      <c r="M905" s="1556">
        <f t="shared" ref="M905:M911" si="354">J905*L905</f>
        <v>0</v>
      </c>
      <c r="N905" s="1559"/>
    </row>
    <row r="906" spans="1:14">
      <c r="A906" s="1527"/>
      <c r="B906" s="1565" t="s">
        <v>5255</v>
      </c>
      <c r="C906" s="1556">
        <v>0</v>
      </c>
      <c r="D906" s="1557" t="s">
        <v>4</v>
      </c>
      <c r="E906" s="1558">
        <f>[16]Ana.term!$D$8077</f>
        <v>3200</v>
      </c>
      <c r="F906" s="1556">
        <f t="shared" si="353"/>
        <v>0</v>
      </c>
      <c r="G906" s="1559"/>
      <c r="I906" s="1565" t="s">
        <v>5255</v>
      </c>
      <c r="J906" s="1556">
        <v>0</v>
      </c>
      <c r="K906" s="1557" t="s">
        <v>4</v>
      </c>
      <c r="L906" s="1558">
        <f>[16]Ana.term!$D$8077</f>
        <v>3200</v>
      </c>
      <c r="M906" s="1556">
        <f t="shared" si="354"/>
        <v>0</v>
      </c>
      <c r="N906" s="1559"/>
    </row>
    <row r="907" spans="1:14">
      <c r="A907" s="1527"/>
      <c r="B907" s="1565" t="s">
        <v>5256</v>
      </c>
      <c r="C907" s="1556">
        <v>0</v>
      </c>
      <c r="D907" s="1557" t="s">
        <v>1171</v>
      </c>
      <c r="E907" s="1558">
        <f>[16]Ana.term!$D$8078</f>
        <v>199.5</v>
      </c>
      <c r="F907" s="1556">
        <f t="shared" si="353"/>
        <v>0</v>
      </c>
      <c r="G907" s="1559"/>
      <c r="I907" s="1565" t="s">
        <v>5256</v>
      </c>
      <c r="J907" s="1556">
        <v>0</v>
      </c>
      <c r="K907" s="1557" t="s">
        <v>1171</v>
      </c>
      <c r="L907" s="1558">
        <f>[16]Ana.term!$D$8078</f>
        <v>199.5</v>
      </c>
      <c r="M907" s="1556">
        <f t="shared" si="354"/>
        <v>0</v>
      </c>
      <c r="N907" s="1559"/>
    </row>
    <row r="908" spans="1:14">
      <c r="A908" s="1527"/>
      <c r="B908" s="1565" t="s">
        <v>1198</v>
      </c>
      <c r="C908" s="1556">
        <f>C909*2</f>
        <v>0</v>
      </c>
      <c r="D908" s="1557" t="s">
        <v>218</v>
      </c>
      <c r="E908" s="1558">
        <f>[16]Ana.term!$D$8079</f>
        <v>60</v>
      </c>
      <c r="F908" s="1556">
        <f t="shared" si="353"/>
        <v>0</v>
      </c>
      <c r="G908" s="1559"/>
      <c r="I908" s="1565" t="s">
        <v>1198</v>
      </c>
      <c r="J908" s="1556">
        <f>J909*2</f>
        <v>0</v>
      </c>
      <c r="K908" s="1557" t="s">
        <v>218</v>
      </c>
      <c r="L908" s="1558">
        <f>[16]Ana.term!$D$8079</f>
        <v>60</v>
      </c>
      <c r="M908" s="1556">
        <f t="shared" si="354"/>
        <v>0</v>
      </c>
      <c r="N908" s="1559"/>
    </row>
    <row r="909" spans="1:14">
      <c r="A909" s="1527"/>
      <c r="B909" s="1565" t="s">
        <v>1037</v>
      </c>
      <c r="C909" s="1556">
        <f>SUM(C905:C906)</f>
        <v>0</v>
      </c>
      <c r="D909" s="1557" t="s">
        <v>4</v>
      </c>
      <c r="E909" s="1558">
        <f>E896</f>
        <v>535.15000000000009</v>
      </c>
      <c r="F909" s="1556">
        <f t="shared" si="353"/>
        <v>0</v>
      </c>
      <c r="G909" s="1559"/>
      <c r="I909" s="1565" t="s">
        <v>1037</v>
      </c>
      <c r="J909" s="1556">
        <f>SUM(J905:J906)</f>
        <v>0</v>
      </c>
      <c r="K909" s="1557" t="s">
        <v>4</v>
      </c>
      <c r="L909" s="1558">
        <f>L902</f>
        <v>559.47499999999991</v>
      </c>
      <c r="M909" s="1556">
        <f t="shared" si="354"/>
        <v>0</v>
      </c>
      <c r="N909" s="1559"/>
    </row>
    <row r="910" spans="1:14">
      <c r="A910" s="1527"/>
      <c r="B910" s="1565" t="s">
        <v>1825</v>
      </c>
      <c r="C910" s="1556"/>
      <c r="D910" s="1557" t="s">
        <v>213</v>
      </c>
      <c r="E910" s="1558">
        <f>[16]Ana.term!$D$8081</f>
        <v>254</v>
      </c>
      <c r="F910" s="1556">
        <f t="shared" si="353"/>
        <v>0</v>
      </c>
      <c r="G910" s="1559"/>
      <c r="I910" s="1565" t="s">
        <v>1825</v>
      </c>
      <c r="J910" s="1556"/>
      <c r="K910" s="1557" t="s">
        <v>213</v>
      </c>
      <c r="L910" s="1558">
        <f>[16]Ana.term!$D$8081</f>
        <v>254</v>
      </c>
      <c r="M910" s="1556">
        <f t="shared" si="354"/>
        <v>0</v>
      </c>
      <c r="N910" s="1559"/>
    </row>
    <row r="911" spans="1:14">
      <c r="A911" s="1527"/>
      <c r="B911" s="1565" t="s">
        <v>5257</v>
      </c>
      <c r="C911" s="1556">
        <v>31.52</v>
      </c>
      <c r="D911" s="1557" t="s">
        <v>825</v>
      </c>
      <c r="E911" s="1558"/>
      <c r="F911" s="1556">
        <f t="shared" si="353"/>
        <v>0</v>
      </c>
      <c r="G911" s="1559">
        <f>SUM(F893:F911)</f>
        <v>44748.361177413593</v>
      </c>
      <c r="I911" s="1565" t="s">
        <v>5257</v>
      </c>
      <c r="J911" s="1556">
        <v>31.52</v>
      </c>
      <c r="K911" s="1557" t="s">
        <v>825</v>
      </c>
      <c r="L911" s="1558"/>
      <c r="M911" s="1556">
        <f t="shared" si="354"/>
        <v>0</v>
      </c>
      <c r="N911" s="1559">
        <f>SUM(M893:M911)</f>
        <v>46598.246985646263</v>
      </c>
    </row>
    <row r="912" spans="1:14">
      <c r="A912" s="1527"/>
      <c r="B912" s="704"/>
      <c r="C912" s="725"/>
      <c r="D912" s="704"/>
      <c r="E912" s="704"/>
      <c r="F912" s="704" t="s">
        <v>5258</v>
      </c>
      <c r="G912" s="1559">
        <f>G911/E915</f>
        <v>22619.846256455814</v>
      </c>
      <c r="I912" s="704"/>
      <c r="J912" s="725"/>
      <c r="K912" s="704"/>
      <c r="L912" s="704"/>
      <c r="M912" s="704" t="s">
        <v>5258</v>
      </c>
      <c r="N912" s="1559">
        <f>N911/L915</f>
        <v>30118.789150459041</v>
      </c>
    </row>
    <row r="913" spans="1:14" ht="15">
      <c r="A913" s="1527"/>
      <c r="B913" s="704"/>
      <c r="C913" s="725"/>
      <c r="D913" s="704"/>
      <c r="E913" s="704"/>
      <c r="F913" s="704" t="s">
        <v>5259</v>
      </c>
      <c r="G913" s="1567">
        <f>G911/E914</f>
        <v>1825.7185302902321</v>
      </c>
      <c r="I913" s="704"/>
      <c r="J913" s="725"/>
      <c r="K913" s="704"/>
      <c r="L913" s="704"/>
      <c r="M913" s="704" t="s">
        <v>5259</v>
      </c>
      <c r="N913" s="1567">
        <f>N911/L914</f>
        <v>2455.1236557242501</v>
      </c>
    </row>
    <row r="914" spans="1:14" ht="15">
      <c r="A914" s="1527"/>
      <c r="B914" s="1568"/>
      <c r="C914" s="725"/>
      <c r="D914" s="1569" t="s">
        <v>5260</v>
      </c>
      <c r="E914" s="715">
        <v>24.51</v>
      </c>
      <c r="F914" s="1570" t="s">
        <v>1333</v>
      </c>
      <c r="G914" s="1571"/>
      <c r="I914" s="1568"/>
      <c r="J914" s="725"/>
      <c r="K914" s="1569" t="s">
        <v>5260</v>
      </c>
      <c r="L914" s="715">
        <v>18.98</v>
      </c>
      <c r="M914" s="1570" t="s">
        <v>1333</v>
      </c>
      <c r="N914" s="1571"/>
    </row>
    <row r="915" spans="1:14" ht="15">
      <c r="A915" s="1527"/>
      <c r="B915" s="1568"/>
      <c r="C915" s="1572"/>
      <c r="D915" s="1569" t="s">
        <v>5261</v>
      </c>
      <c r="E915" s="1567">
        <f>C893+C899</f>
        <v>1.9782787500000003</v>
      </c>
      <c r="F915" s="1570" t="s">
        <v>1806</v>
      </c>
      <c r="G915" s="1571"/>
      <c r="I915" s="1568"/>
      <c r="J915" s="1572"/>
      <c r="K915" s="1569" t="s">
        <v>5261</v>
      </c>
      <c r="L915" s="1567">
        <f>J893+J899</f>
        <v>1.5471487499999999</v>
      </c>
      <c r="M915" s="1570" t="s">
        <v>1806</v>
      </c>
      <c r="N915" s="1571"/>
    </row>
    <row r="916" spans="1:14">
      <c r="A916" s="1527"/>
      <c r="B916" s="1527"/>
      <c r="C916" s="1528"/>
      <c r="D916" s="1528"/>
      <c r="E916" s="1528"/>
      <c r="F916" s="1529"/>
    </row>
    <row r="917" spans="1:14">
      <c r="A917" s="1527"/>
      <c r="B917" s="1527"/>
      <c r="C917" s="595" t="s">
        <v>138</v>
      </c>
      <c r="D917" s="596"/>
      <c r="E917" s="596"/>
      <c r="F917" s="596"/>
      <c r="G917" s="594">
        <f>SUM(F892:F904)/C891</f>
        <v>1825.7185302902321</v>
      </c>
    </row>
    <row r="918" spans="1:14">
      <c r="A918" s="1527"/>
      <c r="B918" s="1527"/>
      <c r="C918" s="1528"/>
      <c r="D918" s="1528"/>
      <c r="E918" s="1528"/>
      <c r="F918" s="1529"/>
    </row>
    <row r="919" spans="1:14">
      <c r="A919" s="1527"/>
      <c r="B919" s="1527"/>
      <c r="C919" s="1528"/>
      <c r="D919" s="1528"/>
      <c r="E919" s="1528"/>
      <c r="F919" s="1529"/>
    </row>
    <row r="920" spans="1:14">
      <c r="H920" s="596"/>
      <c r="I920" s="1401" t="s">
        <v>5192</v>
      </c>
      <c r="J920" s="596"/>
      <c r="K920" s="596"/>
      <c r="L920" s="596"/>
      <c r="M920" s="596"/>
    </row>
    <row r="921" spans="1:14">
      <c r="A921" s="596"/>
      <c r="B921" s="1401" t="s">
        <v>5347</v>
      </c>
      <c r="C921" s="596"/>
      <c r="D921" s="596"/>
      <c r="E921" s="596"/>
      <c r="F921" s="596"/>
      <c r="H921" s="613"/>
      <c r="I921" s="614"/>
      <c r="J921" s="614"/>
      <c r="K921" s="614"/>
      <c r="L921" s="614"/>
      <c r="M921" s="615"/>
    </row>
    <row r="922" spans="1:14">
      <c r="A922" s="613"/>
      <c r="B922" s="614"/>
      <c r="C922" s="614"/>
      <c r="D922" s="614"/>
      <c r="E922" s="614"/>
      <c r="F922" s="615"/>
      <c r="H922" s="600"/>
      <c r="I922" s="598" t="s">
        <v>4298</v>
      </c>
      <c r="J922" s="632">
        <v>1.05</v>
      </c>
      <c r="K922" s="598" t="s">
        <v>825</v>
      </c>
      <c r="L922" s="605">
        <f>L836</f>
        <v>6850</v>
      </c>
      <c r="M922" s="633">
        <f t="shared" ref="M922:M925" si="355">+J922*L922</f>
        <v>7192.5</v>
      </c>
    </row>
    <row r="923" spans="1:14">
      <c r="A923" s="600"/>
      <c r="B923" s="598" t="s">
        <v>4298</v>
      </c>
      <c r="C923" s="632">
        <v>1.05</v>
      </c>
      <c r="D923" s="598" t="s">
        <v>825</v>
      </c>
      <c r="E923" s="605">
        <f>L922</f>
        <v>6850</v>
      </c>
      <c r="F923" s="633">
        <f t="shared" ref="F923:F926" si="356">+C923*E923</f>
        <v>7192.5</v>
      </c>
      <c r="H923" s="600"/>
      <c r="I923" s="632" t="str">
        <f>+'[15]Listado precios'!$B$41</f>
        <v>Acero 0 3/8" grado 40 y/o 60</v>
      </c>
      <c r="J923" s="632">
        <f>CUANTIAS!K699</f>
        <v>1.3468633250039395</v>
      </c>
      <c r="K923" s="598" t="s">
        <v>216</v>
      </c>
      <c r="L923" s="605">
        <f>L837</f>
        <v>3200</v>
      </c>
      <c r="M923" s="633">
        <f t="shared" si="355"/>
        <v>4309.9626400126062</v>
      </c>
    </row>
    <row r="924" spans="1:14">
      <c r="A924" s="600"/>
      <c r="B924" s="632" t="str">
        <f>+'[15]Listado precios'!$B$41</f>
        <v>Acero 0 3/8" grado 40 y/o 60</v>
      </c>
      <c r="C924" s="632">
        <f>CUANTIAS!K953</f>
        <v>1.4304226145291643</v>
      </c>
      <c r="D924" s="598" t="s">
        <v>216</v>
      </c>
      <c r="E924" s="605">
        <f t="shared" ref="E924:E925" si="357">L923</f>
        <v>3200</v>
      </c>
      <c r="F924" s="633">
        <f t="shared" si="356"/>
        <v>4577.3523664933255</v>
      </c>
      <c r="H924" s="600"/>
      <c r="I924" s="598" t="s">
        <v>217</v>
      </c>
      <c r="J924" s="632">
        <f>SUM(J923:J923)*2</f>
        <v>2.6937266500078789</v>
      </c>
      <c r="K924" s="598" t="s">
        <v>218</v>
      </c>
      <c r="L924" s="605">
        <f>L838</f>
        <v>60</v>
      </c>
      <c r="M924" s="633">
        <f t="shared" si="355"/>
        <v>161.62359900047272</v>
      </c>
    </row>
    <row r="925" spans="1:14">
      <c r="A925" s="600"/>
      <c r="B925" s="598" t="s">
        <v>217</v>
      </c>
      <c r="C925" s="632">
        <f>SUM(C924:C924)*2</f>
        <v>2.8608452290583286</v>
      </c>
      <c r="D925" s="598" t="s">
        <v>218</v>
      </c>
      <c r="E925" s="605">
        <f t="shared" si="357"/>
        <v>60</v>
      </c>
      <c r="F925" s="633">
        <f t="shared" si="356"/>
        <v>171.65071374349972</v>
      </c>
      <c r="H925" s="600"/>
      <c r="I925" s="598" t="s">
        <v>4299</v>
      </c>
      <c r="J925" s="632">
        <f>SUM(J923:J923)</f>
        <v>1.3468633250039395</v>
      </c>
      <c r="K925" s="598" t="s">
        <v>216</v>
      </c>
      <c r="L925" s="605">
        <f>Prec.!C350</f>
        <v>486.5</v>
      </c>
      <c r="M925" s="633">
        <f t="shared" si="355"/>
        <v>655.24900761441654</v>
      </c>
    </row>
    <row r="926" spans="1:14">
      <c r="A926" s="600"/>
      <c r="B926" s="598" t="s">
        <v>4299</v>
      </c>
      <c r="C926" s="632">
        <f>SUM(C924:C924)</f>
        <v>1.4304226145291643</v>
      </c>
      <c r="D926" s="598" t="s">
        <v>216</v>
      </c>
      <c r="E926" s="605">
        <f>Prec.!C352</f>
        <v>559.47499999999991</v>
      </c>
      <c r="F926" s="633">
        <f t="shared" si="356"/>
        <v>800.28569226370405</v>
      </c>
      <c r="H926" s="600"/>
      <c r="I926" s="704" t="s">
        <v>5348</v>
      </c>
      <c r="J926" s="699">
        <f>1/0.15</f>
        <v>6.666666666666667</v>
      </c>
      <c r="K926" s="700" t="s">
        <v>213</v>
      </c>
      <c r="L926" s="701">
        <f>L841</f>
        <v>254</v>
      </c>
      <c r="M926" s="702">
        <f t="shared" ref="M926:M928" si="358">J926*L926</f>
        <v>1693.3333333333335</v>
      </c>
    </row>
    <row r="927" spans="1:14">
      <c r="A927" s="600"/>
      <c r="B927" s="704" t="s">
        <v>5348</v>
      </c>
      <c r="C927" s="699">
        <f>1/0.15</f>
        <v>6.666666666666667</v>
      </c>
      <c r="D927" s="700" t="s">
        <v>213</v>
      </c>
      <c r="E927" s="701">
        <f>L926</f>
        <v>254</v>
      </c>
      <c r="F927" s="702">
        <f t="shared" ref="F927:F929" si="359">C927*E927</f>
        <v>1693.3333333333335</v>
      </c>
      <c r="H927" s="600"/>
      <c r="I927" s="704" t="s">
        <v>1688</v>
      </c>
      <c r="J927" s="705">
        <v>1</v>
      </c>
      <c r="K927" s="700" t="s">
        <v>825</v>
      </c>
      <c r="L927" s="701">
        <f>L842</f>
        <v>600.29999999999995</v>
      </c>
      <c r="M927" s="702">
        <f t="shared" si="358"/>
        <v>600.29999999999995</v>
      </c>
    </row>
    <row r="928" spans="1:14">
      <c r="A928" s="600"/>
      <c r="B928" s="704" t="s">
        <v>1688</v>
      </c>
      <c r="C928" s="705">
        <v>1</v>
      </c>
      <c r="D928" s="700" t="s">
        <v>825</v>
      </c>
      <c r="E928" s="701">
        <f t="shared" ref="E928:E929" si="360">L927</f>
        <v>600.29999999999995</v>
      </c>
      <c r="F928" s="702">
        <f t="shared" si="359"/>
        <v>600.29999999999995</v>
      </c>
      <c r="H928" s="600"/>
      <c r="I928" s="704" t="s">
        <v>208</v>
      </c>
      <c r="J928" s="699">
        <f>SUM(M922:M924)</f>
        <v>11664.086239013081</v>
      </c>
      <c r="K928" s="700" t="s">
        <v>209</v>
      </c>
      <c r="L928" s="701">
        <f>L843</f>
        <v>0.02</v>
      </c>
      <c r="M928" s="702">
        <f t="shared" si="358"/>
        <v>233.28172478026161</v>
      </c>
    </row>
    <row r="929" spans="1:13">
      <c r="A929" s="600"/>
      <c r="B929" s="704" t="s">
        <v>208</v>
      </c>
      <c r="C929" s="699">
        <f>SUM(F923:F925)</f>
        <v>11941.503080236826</v>
      </c>
      <c r="D929" s="700" t="s">
        <v>209</v>
      </c>
      <c r="E929" s="701">
        <f t="shared" si="360"/>
        <v>0.02</v>
      </c>
      <c r="F929" s="702">
        <f t="shared" si="359"/>
        <v>238.83006160473653</v>
      </c>
      <c r="H929" s="600"/>
      <c r="I929" s="598"/>
      <c r="J929" s="598"/>
      <c r="K929" s="598"/>
      <c r="L929" s="598"/>
      <c r="M929" s="601"/>
    </row>
    <row r="930" spans="1:13">
      <c r="A930" s="600"/>
      <c r="B930" s="598"/>
      <c r="C930" s="598"/>
      <c r="D930" s="598"/>
      <c r="E930" s="598"/>
      <c r="F930" s="601"/>
      <c r="H930" s="636"/>
      <c r="I930" s="637"/>
      <c r="J930" s="637"/>
      <c r="K930" s="637"/>
      <c r="L930" s="637"/>
      <c r="M930" s="638"/>
    </row>
    <row r="931" spans="1:13">
      <c r="A931" s="636"/>
      <c r="B931" s="637"/>
      <c r="C931" s="637"/>
      <c r="D931" s="637"/>
      <c r="E931" s="637"/>
      <c r="F931" s="638"/>
      <c r="H931" s="595"/>
      <c r="I931" s="595" t="s">
        <v>4253</v>
      </c>
      <c r="J931" s="596"/>
      <c r="K931" s="596"/>
      <c r="L931" s="596"/>
      <c r="M931" s="594">
        <f>SUM(M922:M930)</f>
        <v>14846.250304741092</v>
      </c>
    </row>
    <row r="932" spans="1:13">
      <c r="A932" s="595"/>
      <c r="B932" s="595" t="s">
        <v>4253</v>
      </c>
      <c r="C932" s="596"/>
      <c r="D932" s="596"/>
      <c r="E932" s="596"/>
      <c r="F932" s="594">
        <f>SUM(F923:F931)</f>
        <v>15274.252167438599</v>
      </c>
    </row>
    <row r="935" spans="1:13">
      <c r="H935" s="612"/>
      <c r="I935" s="612"/>
      <c r="J935" s="612"/>
      <c r="K935" s="612"/>
      <c r="L935" s="612"/>
      <c r="M935" s="612"/>
    </row>
    <row r="936" spans="1:13">
      <c r="B936" s="1401" t="s">
        <v>5422</v>
      </c>
      <c r="C936" s="596"/>
      <c r="D936" s="596"/>
      <c r="E936" s="596"/>
      <c r="F936" s="596"/>
      <c r="H936" s="596"/>
      <c r="I936" s="1401" t="s">
        <v>5346</v>
      </c>
      <c r="J936" s="596"/>
      <c r="K936" s="596"/>
      <c r="L936" s="596"/>
      <c r="M936" s="596"/>
    </row>
    <row r="937" spans="1:13">
      <c r="B937" s="614"/>
      <c r="C937" s="614"/>
      <c r="D937" s="614"/>
      <c r="E937" s="614"/>
      <c r="F937" s="615"/>
      <c r="H937" s="613"/>
      <c r="I937" s="614"/>
      <c r="J937" s="614"/>
      <c r="K937" s="614"/>
      <c r="L937" s="614"/>
      <c r="M937" s="615"/>
    </row>
    <row r="938" spans="1:13">
      <c r="B938" s="598" t="s">
        <v>4298</v>
      </c>
      <c r="C938" s="632">
        <v>1.05</v>
      </c>
      <c r="D938" s="598" t="s">
        <v>825</v>
      </c>
      <c r="E938" s="605">
        <f>L938</f>
        <v>6850</v>
      </c>
      <c r="F938" s="633">
        <f t="shared" ref="F938:F942" si="361">+C938*E938</f>
        <v>7192.5</v>
      </c>
      <c r="H938" s="600"/>
      <c r="I938" s="598" t="s">
        <v>4298</v>
      </c>
      <c r="J938" s="632">
        <v>1.05</v>
      </c>
      <c r="K938" s="598" t="s">
        <v>825</v>
      </c>
      <c r="L938" s="605">
        <f>L922</f>
        <v>6850</v>
      </c>
      <c r="M938" s="633">
        <f t="shared" ref="M938:M941" si="362">+J938*L938</f>
        <v>7192.5</v>
      </c>
    </row>
    <row r="939" spans="1:13">
      <c r="B939" s="632" t="str">
        <f>+'[15]Listado precios'!$B$41</f>
        <v>Acero 0 3/8" grado 40 y/o 60</v>
      </c>
      <c r="C939" s="632">
        <f>CUANTIAS!I1236</f>
        <v>1.4471313810802868</v>
      </c>
      <c r="D939" s="598" t="s">
        <v>216</v>
      </c>
      <c r="E939" s="605">
        <f t="shared" ref="E939:E940" si="363">L939</f>
        <v>3200</v>
      </c>
      <c r="F939" s="633">
        <f t="shared" si="361"/>
        <v>4630.820419456918</v>
      </c>
      <c r="H939" s="600"/>
      <c r="I939" s="632" t="str">
        <f>+'[15]Listado precios'!$B$41</f>
        <v>Acero 0 3/8" grado 40 y/o 60</v>
      </c>
      <c r="J939" s="632">
        <f>CUANTIAS!K953</f>
        <v>1.4304226145291643</v>
      </c>
      <c r="K939" s="598" t="s">
        <v>216</v>
      </c>
      <c r="L939" s="605">
        <f t="shared" ref="L939:L940" si="364">L923</f>
        <v>3200</v>
      </c>
      <c r="M939" s="633">
        <f t="shared" si="362"/>
        <v>4577.3523664933255</v>
      </c>
    </row>
    <row r="940" spans="1:13">
      <c r="B940" s="598" t="s">
        <v>217</v>
      </c>
      <c r="C940" s="632">
        <f>SUM(C939:C939)*2</f>
        <v>2.8942627621605737</v>
      </c>
      <c r="D940" s="598" t="s">
        <v>218</v>
      </c>
      <c r="E940" s="605">
        <f t="shared" si="363"/>
        <v>60</v>
      </c>
      <c r="F940" s="633">
        <f t="shared" si="361"/>
        <v>173.65576572963442</v>
      </c>
      <c r="H940" s="600"/>
      <c r="I940" s="598" t="s">
        <v>217</v>
      </c>
      <c r="J940" s="632">
        <f>SUM(J939:J939)*2</f>
        <v>2.8608452290583286</v>
      </c>
      <c r="K940" s="598" t="s">
        <v>218</v>
      </c>
      <c r="L940" s="605">
        <f t="shared" si="364"/>
        <v>60</v>
      </c>
      <c r="M940" s="633">
        <f t="shared" si="362"/>
        <v>171.65071374349972</v>
      </c>
    </row>
    <row r="941" spans="1:13">
      <c r="B941" s="598" t="s">
        <v>4299</v>
      </c>
      <c r="C941" s="632">
        <f>SUM(C939:C939)</f>
        <v>1.4471313810802868</v>
      </c>
      <c r="D941" s="598" t="s">
        <v>216</v>
      </c>
      <c r="E941" s="605">
        <f>Prec.!C353</f>
        <v>583.79999999999995</v>
      </c>
      <c r="F941" s="633">
        <f t="shared" si="361"/>
        <v>844.83530027467134</v>
      </c>
      <c r="H941" s="600"/>
      <c r="I941" s="598" t="s">
        <v>4299</v>
      </c>
      <c r="J941" s="632">
        <f>SUM(J939:J939)</f>
        <v>1.4304226145291643</v>
      </c>
      <c r="K941" s="598" t="s">
        <v>216</v>
      </c>
      <c r="L941" s="605">
        <f>Prec.!C351</f>
        <v>535.15000000000009</v>
      </c>
      <c r="M941" s="633">
        <f t="shared" si="362"/>
        <v>765.4906621652824</v>
      </c>
    </row>
    <row r="942" spans="1:13">
      <c r="B942" s="598" t="s">
        <v>4307</v>
      </c>
      <c r="C942" s="1402">
        <f>1/0.15</f>
        <v>6.666666666666667</v>
      </c>
      <c r="D942" s="598" t="s">
        <v>1171</v>
      </c>
      <c r="E942" s="605">
        <f>E854</f>
        <v>800</v>
      </c>
      <c r="F942" s="606">
        <f t="shared" si="361"/>
        <v>5333.3333333333339</v>
      </c>
      <c r="H942" s="600"/>
      <c r="I942" s="704" t="s">
        <v>5348</v>
      </c>
      <c r="J942" s="699">
        <f>1/0.15</f>
        <v>6.666666666666667</v>
      </c>
      <c r="K942" s="700" t="s">
        <v>213</v>
      </c>
      <c r="L942" s="701">
        <f>L926</f>
        <v>254</v>
      </c>
      <c r="M942" s="702">
        <f t="shared" ref="M942:M944" si="365">J942*L942</f>
        <v>1693.3333333333335</v>
      </c>
    </row>
    <row r="943" spans="1:13">
      <c r="B943" s="704" t="s">
        <v>5348</v>
      </c>
      <c r="C943" s="699">
        <f>1/0.15</f>
        <v>6.666666666666667</v>
      </c>
      <c r="D943" s="700" t="s">
        <v>213</v>
      </c>
      <c r="E943" s="701">
        <f>L942</f>
        <v>254</v>
      </c>
      <c r="F943" s="702">
        <f t="shared" ref="F943:F945" si="366">C943*E943</f>
        <v>1693.3333333333335</v>
      </c>
      <c r="H943" s="600"/>
      <c r="I943" s="704" t="s">
        <v>1688</v>
      </c>
      <c r="J943" s="705">
        <v>1</v>
      </c>
      <c r="K943" s="700" t="s">
        <v>825</v>
      </c>
      <c r="L943" s="701">
        <f t="shared" ref="L943:L944" si="367">L927</f>
        <v>600.29999999999995</v>
      </c>
      <c r="M943" s="702">
        <f t="shared" si="365"/>
        <v>600.29999999999995</v>
      </c>
    </row>
    <row r="944" spans="1:13">
      <c r="B944" s="704" t="s">
        <v>1688</v>
      </c>
      <c r="C944" s="705">
        <v>1</v>
      </c>
      <c r="D944" s="700" t="s">
        <v>825</v>
      </c>
      <c r="E944" s="701">
        <f>L943</f>
        <v>600.29999999999995</v>
      </c>
      <c r="F944" s="702">
        <f t="shared" si="366"/>
        <v>600.29999999999995</v>
      </c>
      <c r="H944" s="600"/>
      <c r="I944" s="704" t="s">
        <v>208</v>
      </c>
      <c r="J944" s="699">
        <f>SUM(M938:M940)</f>
        <v>11941.503080236826</v>
      </c>
      <c r="K944" s="700" t="s">
        <v>209</v>
      </c>
      <c r="L944" s="701">
        <f t="shared" si="367"/>
        <v>0.02</v>
      </c>
      <c r="M944" s="702">
        <f t="shared" si="365"/>
        <v>238.83006160473653</v>
      </c>
    </row>
    <row r="945" spans="2:13">
      <c r="B945" s="704" t="s">
        <v>208</v>
      </c>
      <c r="C945" s="699">
        <f>SUM(F938:F940)</f>
        <v>11996.976185186553</v>
      </c>
      <c r="D945" s="700" t="s">
        <v>209</v>
      </c>
      <c r="E945" s="701">
        <f>L944</f>
        <v>0.02</v>
      </c>
      <c r="F945" s="702">
        <f t="shared" si="366"/>
        <v>239.93952370373108</v>
      </c>
      <c r="H945" s="600"/>
      <c r="I945" s="598"/>
      <c r="J945" s="598"/>
      <c r="K945" s="598"/>
      <c r="L945" s="598"/>
      <c r="M945" s="601"/>
    </row>
    <row r="946" spans="2:13">
      <c r="B946" s="637"/>
      <c r="C946" s="637"/>
      <c r="D946" s="637"/>
      <c r="E946" s="637"/>
      <c r="F946" s="638"/>
      <c r="H946" s="636"/>
      <c r="I946" s="637"/>
      <c r="J946" s="637"/>
      <c r="K946" s="637"/>
      <c r="L946" s="637"/>
      <c r="M946" s="638"/>
    </row>
    <row r="947" spans="2:13">
      <c r="B947" s="595" t="s">
        <v>4253</v>
      </c>
      <c r="C947" s="596"/>
      <c r="D947" s="596"/>
      <c r="E947" s="596"/>
      <c r="F947" s="594">
        <f>SUM(F938:F946)</f>
        <v>20708.71767583162</v>
      </c>
      <c r="H947" s="595"/>
      <c r="I947" s="595" t="s">
        <v>4253</v>
      </c>
      <c r="J947" s="596"/>
      <c r="K947" s="596"/>
      <c r="L947" s="596"/>
      <c r="M947" s="594">
        <f>SUM(M938:M946)</f>
        <v>15239.457137340178</v>
      </c>
    </row>
    <row r="973" spans="1:13">
      <c r="A973" s="596"/>
      <c r="B973" s="595" t="s">
        <v>4314</v>
      </c>
      <c r="C973" s="596"/>
      <c r="D973" s="596" t="s">
        <v>4297</v>
      </c>
      <c r="E973" s="596"/>
      <c r="F973" s="596"/>
      <c r="H973" s="596"/>
      <c r="I973" s="595" t="s">
        <v>4311</v>
      </c>
      <c r="J973" s="596"/>
      <c r="K973" s="596" t="s">
        <v>4297</v>
      </c>
      <c r="L973" s="596"/>
      <c r="M973" s="596"/>
    </row>
    <row r="974" spans="1:13">
      <c r="A974" s="613"/>
      <c r="B974" s="614"/>
      <c r="C974" s="614"/>
      <c r="D974" s="614"/>
      <c r="E974" s="614"/>
      <c r="F974" s="615"/>
      <c r="H974" s="613"/>
      <c r="I974" s="614"/>
      <c r="J974" s="614"/>
      <c r="K974" s="614"/>
      <c r="L974" s="614"/>
      <c r="M974" s="615"/>
    </row>
    <row r="975" spans="1:13">
      <c r="A975" s="600"/>
      <c r="B975" s="632" t="s">
        <v>4316</v>
      </c>
      <c r="C975" s="632">
        <f>0.05*1.05</f>
        <v>5.2500000000000005E-2</v>
      </c>
      <c r="D975" s="598" t="s">
        <v>825</v>
      </c>
      <c r="E975" s="605">
        <f>+'[14]LISTADO DE MATERIALES'!G23</f>
        <v>5430</v>
      </c>
      <c r="F975" s="633">
        <f t="shared" ref="F975:F977" si="368">+C975*E975</f>
        <v>285.07500000000005</v>
      </c>
      <c r="H975" s="600"/>
      <c r="I975" s="632" t="s">
        <v>4312</v>
      </c>
      <c r="J975" s="632">
        <v>1.05</v>
      </c>
      <c r="K975" s="598" t="s">
        <v>825</v>
      </c>
      <c r="L975" s="605">
        <f>+'[14]LISTADO DE MATERIALES'!G23</f>
        <v>5430</v>
      </c>
      <c r="M975" s="633">
        <f t="shared" ref="M975:M977" si="369">+J975*L975</f>
        <v>5701.5</v>
      </c>
    </row>
    <row r="976" spans="1:13">
      <c r="A976" s="600"/>
      <c r="B976" s="632" t="s">
        <v>4317</v>
      </c>
      <c r="C976" s="632">
        <v>0.1</v>
      </c>
      <c r="D976" s="598" t="s">
        <v>4318</v>
      </c>
      <c r="E976" s="632">
        <v>2384.56</v>
      </c>
      <c r="F976" s="633">
        <f t="shared" si="368"/>
        <v>238.45600000000002</v>
      </c>
      <c r="H976" s="600"/>
      <c r="I976" s="632" t="s">
        <v>4313</v>
      </c>
      <c r="J976" s="632">
        <v>0.35</v>
      </c>
      <c r="K976" s="598" t="s">
        <v>218</v>
      </c>
      <c r="L976" s="632">
        <v>3078</v>
      </c>
      <c r="M976" s="633">
        <f t="shared" si="369"/>
        <v>1077.3</v>
      </c>
    </row>
    <row r="977" spans="1:13">
      <c r="A977" s="600"/>
      <c r="B977" s="639" t="s">
        <v>4319</v>
      </c>
      <c r="C977" s="632">
        <v>1</v>
      </c>
      <c r="D977" s="598" t="s">
        <v>1333</v>
      </c>
      <c r="E977" s="632">
        <v>295</v>
      </c>
      <c r="F977" s="633">
        <f t="shared" si="368"/>
        <v>295</v>
      </c>
      <c r="H977" s="600"/>
      <c r="I977" s="598" t="s">
        <v>4315</v>
      </c>
      <c r="J977" s="632">
        <f>1/0.1</f>
        <v>10</v>
      </c>
      <c r="K977" s="598" t="s">
        <v>1333</v>
      </c>
      <c r="L977" s="632">
        <v>140</v>
      </c>
      <c r="M977" s="633">
        <f t="shared" si="369"/>
        <v>1400</v>
      </c>
    </row>
    <row r="978" spans="1:13">
      <c r="A978" s="636"/>
      <c r="B978" s="637"/>
      <c r="C978" s="637"/>
      <c r="D978" s="637"/>
      <c r="E978" s="637"/>
      <c r="F978" s="638"/>
      <c r="H978" s="636"/>
      <c r="I978" s="637"/>
      <c r="J978" s="637"/>
      <c r="K978" s="637"/>
      <c r="L978" s="637"/>
      <c r="M978" s="638"/>
    </row>
    <row r="979" spans="1:13">
      <c r="A979" s="595"/>
      <c r="B979" s="595" t="s">
        <v>138</v>
      </c>
      <c r="C979" s="596"/>
      <c r="D979" s="596"/>
      <c r="E979" s="596"/>
      <c r="F979" s="594">
        <f>SUM(F975:F978)</f>
        <v>818.53100000000006</v>
      </c>
      <c r="H979" s="595"/>
      <c r="I979" s="595" t="s">
        <v>4253</v>
      </c>
      <c r="J979" s="596"/>
      <c r="K979" s="596"/>
      <c r="L979" s="596"/>
      <c r="M979" s="594">
        <f>SUM(M975:M978)</f>
        <v>8178.8</v>
      </c>
    </row>
    <row r="981" spans="1:13">
      <c r="A981" s="596"/>
      <c r="B981" s="595" t="s">
        <v>4320</v>
      </c>
      <c r="C981" s="596"/>
      <c r="D981" s="596" t="s">
        <v>4297</v>
      </c>
      <c r="E981" s="596"/>
      <c r="F981" s="596"/>
      <c r="H981" s="596"/>
      <c r="I981" s="595" t="s">
        <v>4321</v>
      </c>
      <c r="J981" s="596"/>
      <c r="K981" s="596" t="s">
        <v>4297</v>
      </c>
      <c r="L981" s="596"/>
      <c r="M981" s="596"/>
    </row>
    <row r="982" spans="1:13">
      <c r="A982" s="613"/>
      <c r="B982" s="614"/>
      <c r="C982" s="614"/>
      <c r="D982" s="614"/>
      <c r="E982" s="614"/>
      <c r="F982" s="615"/>
      <c r="H982" s="613"/>
      <c r="I982" s="614"/>
      <c r="J982" s="614"/>
      <c r="K982" s="614"/>
      <c r="L982" s="614"/>
      <c r="M982" s="615"/>
    </row>
    <row r="983" spans="1:13">
      <c r="A983" s="600"/>
      <c r="B983" s="598" t="s">
        <v>4322</v>
      </c>
      <c r="C983" s="632">
        <f>1.2*0.027*2</f>
        <v>6.4799999999999996E-2</v>
      </c>
      <c r="D983" s="598" t="s">
        <v>828</v>
      </c>
      <c r="E983" s="640">
        <v>300</v>
      </c>
      <c r="F983" s="633">
        <f>ROUND(C983*E983,2)</f>
        <v>19.440000000000001</v>
      </c>
      <c r="H983" s="600"/>
      <c r="I983" s="598" t="s">
        <v>4323</v>
      </c>
      <c r="J983" s="632">
        <f>1.2*0.0333*2</f>
        <v>7.9920000000000005E-2</v>
      </c>
      <c r="K983" s="598" t="s">
        <v>828</v>
      </c>
      <c r="L983" s="632">
        <v>1099.23</v>
      </c>
      <c r="M983" s="633">
        <f>ROUND(J983*L983,2)</f>
        <v>87.85</v>
      </c>
    </row>
    <row r="984" spans="1:13">
      <c r="A984" s="600"/>
      <c r="B984" s="598" t="s">
        <v>1951</v>
      </c>
      <c r="C984" s="632">
        <v>1</v>
      </c>
      <c r="D984" s="598" t="s">
        <v>213</v>
      </c>
      <c r="E984" s="632">
        <v>25</v>
      </c>
      <c r="F984" s="633">
        <f>ROUND(C984*E984,2)</f>
        <v>25</v>
      </c>
      <c r="H984" s="600"/>
      <c r="I984" s="598" t="s">
        <v>1951</v>
      </c>
      <c r="J984" s="632">
        <v>1</v>
      </c>
      <c r="K984" s="598" t="s">
        <v>213</v>
      </c>
      <c r="L984" s="632">
        <v>38</v>
      </c>
      <c r="M984" s="633">
        <f>ROUND(J984*L984,2)</f>
        <v>38</v>
      </c>
    </row>
    <row r="985" spans="1:13">
      <c r="A985" s="600"/>
      <c r="B985" s="598" t="s">
        <v>1851</v>
      </c>
      <c r="C985" s="632"/>
      <c r="D985" s="598"/>
      <c r="E985" s="632">
        <v>0.2</v>
      </c>
      <c r="F985" s="633">
        <f>ROUND(SUM(F983:F984)*E985,2)</f>
        <v>8.89</v>
      </c>
      <c r="H985" s="600"/>
      <c r="I985" s="598" t="s">
        <v>1851</v>
      </c>
      <c r="J985" s="632"/>
      <c r="K985" s="598"/>
      <c r="L985" s="632">
        <v>0.2</v>
      </c>
      <c r="M985" s="633">
        <f>ROUND(SUM(M983:M984)*L985,2)</f>
        <v>25.17</v>
      </c>
    </row>
    <row r="986" spans="1:13">
      <c r="A986" s="636"/>
      <c r="B986" s="637"/>
      <c r="C986" s="637"/>
      <c r="D986" s="637"/>
      <c r="E986" s="637"/>
      <c r="F986" s="638"/>
      <c r="H986" s="636"/>
      <c r="I986" s="637"/>
      <c r="J986" s="637"/>
      <c r="K986" s="637"/>
      <c r="L986" s="637"/>
      <c r="M986" s="638"/>
    </row>
    <row r="987" spans="1:13">
      <c r="A987" s="595"/>
      <c r="B987" s="595" t="s">
        <v>138</v>
      </c>
      <c r="C987" s="596"/>
      <c r="D987" s="596"/>
      <c r="E987" s="596"/>
      <c r="F987" s="594">
        <f>SUM(F983:F986)</f>
        <v>53.33</v>
      </c>
      <c r="H987" s="595"/>
      <c r="I987" s="595" t="s">
        <v>138</v>
      </c>
      <c r="J987" s="596"/>
      <c r="K987" s="596"/>
      <c r="L987" s="596"/>
      <c r="M987" s="594">
        <f>SUM(M983:M986)</f>
        <v>151.01999999999998</v>
      </c>
    </row>
    <row r="989" spans="1:13">
      <c r="A989" s="596"/>
      <c r="B989" s="595" t="s">
        <v>4324</v>
      </c>
      <c r="C989" s="596"/>
      <c r="D989" s="596" t="s">
        <v>4297</v>
      </c>
      <c r="E989" s="596"/>
      <c r="F989" s="596"/>
      <c r="H989" s="596"/>
      <c r="I989" s="1401" t="s">
        <v>4325</v>
      </c>
      <c r="J989" s="596"/>
      <c r="K989" s="596" t="s">
        <v>4297</v>
      </c>
      <c r="L989" s="596"/>
      <c r="M989" s="596"/>
    </row>
    <row r="990" spans="1:13">
      <c r="A990" s="613"/>
      <c r="B990" s="614"/>
      <c r="C990" s="614"/>
      <c r="D990" s="614"/>
      <c r="E990" s="614"/>
      <c r="F990" s="615"/>
      <c r="H990" s="613"/>
      <c r="I990" s="614"/>
      <c r="J990" s="614"/>
      <c r="K990" s="614"/>
      <c r="L990" s="614"/>
      <c r="M990" s="615"/>
    </row>
    <row r="991" spans="1:13">
      <c r="A991" s="600"/>
      <c r="B991" s="598" t="s">
        <v>4326</v>
      </c>
      <c r="C991" s="632">
        <f>1.2*0.0333*2</f>
        <v>7.9920000000000005E-2</v>
      </c>
      <c r="D991" s="598" t="s">
        <v>828</v>
      </c>
      <c r="E991" s="632">
        <v>1495.5</v>
      </c>
      <c r="F991" s="633">
        <f>ROUND(C991*E991,2)</f>
        <v>119.52</v>
      </c>
      <c r="H991" s="600"/>
      <c r="I991" s="598" t="s">
        <v>4327</v>
      </c>
      <c r="J991" s="632">
        <f>1.2*0.04*2</f>
        <v>9.6000000000000002E-2</v>
      </c>
      <c r="K991" s="598" t="s">
        <v>828</v>
      </c>
      <c r="L991" s="1402">
        <v>2495</v>
      </c>
      <c r="M991" s="633">
        <f>ROUND(J991*L991,2)</f>
        <v>239.52</v>
      </c>
    </row>
    <row r="992" spans="1:13">
      <c r="A992" s="600"/>
      <c r="B992" s="598" t="s">
        <v>1951</v>
      </c>
      <c r="C992" s="632">
        <v>1</v>
      </c>
      <c r="D992" s="598" t="s">
        <v>213</v>
      </c>
      <c r="E992" s="632">
        <v>38</v>
      </c>
      <c r="F992" s="633">
        <f>ROUND(C992*E992,2)</f>
        <v>38</v>
      </c>
      <c r="H992" s="600"/>
      <c r="I992" s="598" t="s">
        <v>1951</v>
      </c>
      <c r="J992" s="632">
        <v>1</v>
      </c>
      <c r="K992" s="598" t="s">
        <v>213</v>
      </c>
      <c r="L992" s="1402">
        <v>45</v>
      </c>
      <c r="M992" s="633">
        <f>ROUND(J992*L992,2)</f>
        <v>45</v>
      </c>
    </row>
    <row r="993" spans="1:13">
      <c r="A993" s="600"/>
      <c r="B993" s="598" t="s">
        <v>1851</v>
      </c>
      <c r="C993" s="632"/>
      <c r="D993" s="598"/>
      <c r="E993" s="632">
        <v>0.2</v>
      </c>
      <c r="F993" s="633">
        <f>ROUND(SUM(F991:F992)*E993,2)</f>
        <v>31.5</v>
      </c>
      <c r="H993" s="600"/>
      <c r="I993" s="598" t="s">
        <v>1851</v>
      </c>
      <c r="J993" s="632"/>
      <c r="K993" s="598"/>
      <c r="L993" s="1402">
        <v>0.2</v>
      </c>
      <c r="M993" s="633">
        <f>ROUND(SUM(M991:M992)*L993,2)</f>
        <v>56.9</v>
      </c>
    </row>
    <row r="994" spans="1:13">
      <c r="A994" s="636"/>
      <c r="B994" s="637"/>
      <c r="C994" s="637"/>
      <c r="D994" s="637"/>
      <c r="E994" s="637"/>
      <c r="F994" s="638"/>
      <c r="H994" s="636"/>
      <c r="I994" s="637"/>
      <c r="J994" s="637"/>
      <c r="K994" s="637"/>
      <c r="L994" s="637"/>
      <c r="M994" s="638"/>
    </row>
    <row r="995" spans="1:13">
      <c r="A995" s="595"/>
      <c r="B995" s="595" t="s">
        <v>138</v>
      </c>
      <c r="C995" s="596"/>
      <c r="D995" s="596"/>
      <c r="E995" s="596"/>
      <c r="F995" s="594">
        <f>SUM(F991:F994)</f>
        <v>189.01999999999998</v>
      </c>
      <c r="H995" s="595"/>
      <c r="I995" s="595" t="s">
        <v>138</v>
      </c>
      <c r="J995" s="596"/>
      <c r="K995" s="596"/>
      <c r="L995" s="596"/>
      <c r="M995" s="594">
        <f>SUM(M991:M994)</f>
        <v>341.41999999999996</v>
      </c>
    </row>
    <row r="997" spans="1:13">
      <c r="A997" s="596"/>
      <c r="B997" s="1401" t="s">
        <v>4328</v>
      </c>
      <c r="C997" s="596"/>
      <c r="D997" s="596" t="s">
        <v>4297</v>
      </c>
      <c r="E997" s="596"/>
      <c r="F997" s="596"/>
      <c r="H997" s="596"/>
      <c r="I997" s="595" t="s">
        <v>4329</v>
      </c>
      <c r="J997" s="596"/>
      <c r="K997" s="596" t="s">
        <v>4297</v>
      </c>
      <c r="L997" s="596"/>
      <c r="M997" s="596"/>
    </row>
    <row r="998" spans="1:13">
      <c r="A998" s="613"/>
      <c r="B998" s="614"/>
      <c r="C998" s="614"/>
      <c r="D998" s="614"/>
      <c r="E998" s="614"/>
      <c r="F998" s="615"/>
      <c r="H998" s="613"/>
      <c r="I998" s="614"/>
      <c r="J998" s="614"/>
      <c r="K998" s="614"/>
      <c r="L998" s="614"/>
      <c r="M998" s="615"/>
    </row>
    <row r="999" spans="1:13">
      <c r="A999" s="600"/>
      <c r="B999" s="632" t="s">
        <v>4312</v>
      </c>
      <c r="C999" s="632">
        <v>0.1105</v>
      </c>
      <c r="D999" s="598" t="s">
        <v>825</v>
      </c>
      <c r="E999" s="1599">
        <f>+'[14]LISTADO DE MATERIALES'!G23</f>
        <v>5430</v>
      </c>
      <c r="F999" s="633">
        <f t="shared" ref="F999:F1001" si="370">+C999*E999</f>
        <v>600.01499999999999</v>
      </c>
      <c r="H999" s="600"/>
      <c r="I999" s="598" t="s">
        <v>4303</v>
      </c>
      <c r="J999" s="632">
        <v>1.05</v>
      </c>
      <c r="K999" s="598" t="s">
        <v>825</v>
      </c>
      <c r="L999" s="605">
        <f>+'[14]LISTADO DE MATERIALES'!G20</f>
        <v>6480</v>
      </c>
      <c r="M999" s="633">
        <f t="shared" ref="M999:M1004" si="371">+J999*L999</f>
        <v>6804</v>
      </c>
    </row>
    <row r="1000" spans="1:13">
      <c r="A1000" s="600"/>
      <c r="B1000" s="632" t="s">
        <v>4313</v>
      </c>
      <c r="C1000" s="632">
        <f>0.25/5</f>
        <v>0.05</v>
      </c>
      <c r="D1000" s="598" t="s">
        <v>218</v>
      </c>
      <c r="E1000" s="1402">
        <v>3078</v>
      </c>
      <c r="F1000" s="633">
        <f t="shared" si="370"/>
        <v>153.9</v>
      </c>
      <c r="H1000" s="600"/>
      <c r="I1000" s="632" t="str">
        <f>+'[15]Listado precios'!$B$41</f>
        <v>Acero 0 3/8" grado 40 y/o 60</v>
      </c>
      <c r="J1000" s="632">
        <v>1.58</v>
      </c>
      <c r="K1000" s="598" t="s">
        <v>216</v>
      </c>
      <c r="L1000" s="632">
        <f>+'[14]LISTADO DE MATERIALES'!G9</f>
        <v>2270.68345323741</v>
      </c>
      <c r="M1000" s="633">
        <f t="shared" si="371"/>
        <v>3587.6798561151081</v>
      </c>
    </row>
    <row r="1001" spans="1:13">
      <c r="A1001" s="600"/>
      <c r="B1001" s="598" t="s">
        <v>4330</v>
      </c>
      <c r="C1001" s="632">
        <v>1</v>
      </c>
      <c r="D1001" s="598" t="s">
        <v>1333</v>
      </c>
      <c r="E1001" s="1402">
        <v>280</v>
      </c>
      <c r="F1001" s="633">
        <f t="shared" si="370"/>
        <v>280</v>
      </c>
      <c r="H1001" s="600"/>
      <c r="I1001" s="598" t="s">
        <v>217</v>
      </c>
      <c r="J1001" s="632">
        <f>SUM(J1000:J1000)*2</f>
        <v>3.16</v>
      </c>
      <c r="K1001" s="598" t="s">
        <v>218</v>
      </c>
      <c r="L1001" s="632">
        <f>+E801</f>
        <v>486.5</v>
      </c>
      <c r="M1001" s="633">
        <f t="shared" si="371"/>
        <v>1537.3400000000001</v>
      </c>
    </row>
    <row r="1002" spans="1:13">
      <c r="A1002" s="636"/>
      <c r="B1002" s="637"/>
      <c r="C1002" s="637"/>
      <c r="D1002" s="637"/>
      <c r="E1002" s="637"/>
      <c r="F1002" s="638"/>
      <c r="H1002" s="600"/>
      <c r="I1002" s="598" t="s">
        <v>4299</v>
      </c>
      <c r="J1002" s="632">
        <f>SUM(J1000:J1000)</f>
        <v>1.58</v>
      </c>
      <c r="K1002" s="598" t="s">
        <v>216</v>
      </c>
      <c r="L1002" s="635">
        <v>400</v>
      </c>
      <c r="M1002" s="633">
        <f t="shared" si="371"/>
        <v>632</v>
      </c>
    </row>
    <row r="1003" spans="1:13">
      <c r="A1003" s="595"/>
      <c r="B1003" s="595" t="s">
        <v>138</v>
      </c>
      <c r="C1003" s="596"/>
      <c r="D1003" s="596"/>
      <c r="E1003" s="596"/>
      <c r="F1003" s="594">
        <f>SUM(F999:F1002)</f>
        <v>1033.915</v>
      </c>
      <c r="H1003" s="600"/>
      <c r="I1003" s="598" t="s">
        <v>1000</v>
      </c>
      <c r="J1003" s="632">
        <f>+J1002</f>
        <v>1.58</v>
      </c>
      <c r="K1003" s="598" t="s">
        <v>216</v>
      </c>
      <c r="L1003" s="635">
        <f>+'[15] Mano de Obra'!$D$191</f>
        <v>10</v>
      </c>
      <c r="M1003" s="633">
        <f t="shared" si="371"/>
        <v>15.8</v>
      </c>
    </row>
    <row r="1004" spans="1:13">
      <c r="H1004" s="600"/>
      <c r="I1004" s="598" t="s">
        <v>4309</v>
      </c>
      <c r="J1004" s="632">
        <f>1/0.15</f>
        <v>6.666666666666667</v>
      </c>
      <c r="K1004" s="598" t="s">
        <v>213</v>
      </c>
      <c r="L1004" s="635">
        <v>650</v>
      </c>
      <c r="M1004" s="633">
        <f t="shared" si="371"/>
        <v>4333.3333333333339</v>
      </c>
    </row>
    <row r="1005" spans="1:13">
      <c r="A1005" s="596"/>
      <c r="B1005" s="595" t="s">
        <v>4331</v>
      </c>
      <c r="C1005" s="596"/>
      <c r="E1005" s="596"/>
      <c r="F1005" s="596"/>
      <c r="H1005" s="600"/>
      <c r="I1005" s="598" t="s">
        <v>4310</v>
      </c>
      <c r="J1005" s="632"/>
      <c r="K1005" s="598"/>
      <c r="L1005" s="635"/>
      <c r="M1005" s="633"/>
    </row>
    <row r="1006" spans="1:13">
      <c r="A1006" s="613"/>
      <c r="B1006" s="614"/>
      <c r="C1006" s="614"/>
      <c r="D1006" s="614"/>
      <c r="E1006" s="614"/>
      <c r="F1006" s="615"/>
      <c r="H1006" s="600"/>
      <c r="I1006" s="598"/>
      <c r="J1006" s="598"/>
      <c r="K1006" s="598"/>
      <c r="L1006" s="598"/>
      <c r="M1006" s="601"/>
    </row>
    <row r="1007" spans="1:13">
      <c r="A1007" s="600"/>
      <c r="B1007" s="632" t="s">
        <v>4298</v>
      </c>
      <c r="C1007" s="632">
        <v>1.05</v>
      </c>
      <c r="D1007" s="598" t="s">
        <v>825</v>
      </c>
      <c r="E1007" s="605">
        <f>+'[14]LISTADO DE MATERIALES'!G22</f>
        <v>5980</v>
      </c>
      <c r="F1007" s="633">
        <f t="shared" ref="F1007:F1009" si="372">+C1007*E1007</f>
        <v>6279</v>
      </c>
      <c r="H1007" s="636"/>
      <c r="I1007" s="637"/>
      <c r="J1007" s="637"/>
      <c r="K1007" s="637"/>
      <c r="L1007" s="637"/>
      <c r="M1007" s="638"/>
    </row>
    <row r="1008" spans="1:13">
      <c r="A1008" s="600"/>
      <c r="B1008" s="632" t="s">
        <v>4313</v>
      </c>
      <c r="C1008" s="632">
        <f>0.25*8/3.5</f>
        <v>0.5714285714285714</v>
      </c>
      <c r="D1008" s="598" t="s">
        <v>218</v>
      </c>
      <c r="E1008" s="632">
        <v>3078</v>
      </c>
      <c r="F1008" s="633">
        <f t="shared" si="372"/>
        <v>1758.8571428571427</v>
      </c>
      <c r="H1008" s="595"/>
      <c r="I1008" s="595" t="s">
        <v>4253</v>
      </c>
      <c r="J1008" s="596"/>
      <c r="K1008" s="596"/>
      <c r="L1008" s="596"/>
      <c r="M1008" s="594">
        <f>SUM(M999:M1007)</f>
        <v>16910.153189448443</v>
      </c>
    </row>
    <row r="1009" spans="1:13">
      <c r="A1009" s="600"/>
      <c r="B1009" s="598" t="s">
        <v>4332</v>
      </c>
      <c r="C1009" s="632">
        <f>1/0.14</f>
        <v>7.1428571428571423</v>
      </c>
      <c r="D1009" s="598" t="s">
        <v>1333</v>
      </c>
      <c r="E1009" s="632">
        <v>295</v>
      </c>
      <c r="F1009" s="633">
        <f t="shared" si="372"/>
        <v>2107.1428571428569</v>
      </c>
    </row>
    <row r="1010" spans="1:13">
      <c r="A1010" s="636"/>
      <c r="B1010" s="637"/>
      <c r="C1010" s="637"/>
      <c r="D1010" s="637"/>
      <c r="E1010" s="637"/>
      <c r="F1010" s="638"/>
    </row>
    <row r="1011" spans="1:13">
      <c r="A1011" s="636"/>
      <c r="B1011" s="637"/>
      <c r="C1011" s="637"/>
      <c r="D1011" s="637"/>
      <c r="E1011" s="637"/>
      <c r="F1011" s="638"/>
    </row>
    <row r="1012" spans="1:13">
      <c r="A1012" s="595"/>
      <c r="B1012" s="595" t="s">
        <v>4253</v>
      </c>
      <c r="C1012" s="596"/>
      <c r="D1012" s="596"/>
      <c r="E1012" s="596"/>
      <c r="F1012" s="594">
        <f>SUM(F1007:F1011)</f>
        <v>10145</v>
      </c>
    </row>
    <row r="1014" spans="1:13">
      <c r="A1014" s="596"/>
      <c r="B1014" s="595" t="s">
        <v>4333</v>
      </c>
      <c r="C1014" s="596"/>
      <c r="D1014" s="641"/>
      <c r="E1014" s="596"/>
      <c r="F1014" s="596"/>
      <c r="H1014" s="596"/>
      <c r="I1014" s="595"/>
      <c r="J1014" s="596"/>
      <c r="K1014" s="596"/>
      <c r="L1014" s="596"/>
      <c r="M1014" s="596"/>
    </row>
    <row r="1015" spans="1:13">
      <c r="A1015" s="613"/>
      <c r="B1015" s="614"/>
      <c r="C1015" s="614"/>
      <c r="D1015" s="614"/>
      <c r="E1015" s="614"/>
      <c r="F1015" s="615"/>
      <c r="H1015" s="613"/>
      <c r="I1015" s="614"/>
      <c r="J1015" s="614"/>
      <c r="K1015" s="614"/>
      <c r="L1015" s="614"/>
      <c r="M1015" s="615"/>
    </row>
    <row r="1016" spans="1:13">
      <c r="A1016" s="600"/>
      <c r="B1016" s="632" t="s">
        <v>4312</v>
      </c>
      <c r="C1016" s="632">
        <v>1.05</v>
      </c>
      <c r="D1016" s="598" t="s">
        <v>825</v>
      </c>
      <c r="E1016" s="605">
        <f>+'[14]LISTADO DE MATERIALES'!G23</f>
        <v>5430</v>
      </c>
      <c r="F1016" s="633">
        <f t="shared" ref="F1016:F1019" si="373">+C1016*E1016</f>
        <v>5701.5</v>
      </c>
      <c r="H1016" s="600"/>
      <c r="I1016" s="632"/>
      <c r="J1016" s="632"/>
      <c r="K1016" s="598"/>
      <c r="L1016" s="605"/>
      <c r="M1016" s="633"/>
    </row>
    <row r="1017" spans="1:13">
      <c r="A1017" s="600"/>
      <c r="B1017" s="598" t="s">
        <v>4315</v>
      </c>
      <c r="C1017" s="632">
        <v>10</v>
      </c>
      <c r="D1017" s="598" t="s">
        <v>1333</v>
      </c>
      <c r="E1017" s="632">
        <v>145</v>
      </c>
      <c r="F1017" s="633">
        <f t="shared" si="373"/>
        <v>1450</v>
      </c>
      <c r="H1017" s="600"/>
      <c r="I1017" s="632"/>
      <c r="J1017" s="632"/>
      <c r="K1017" s="598"/>
      <c r="L1017" s="632"/>
      <c r="M1017" s="633"/>
    </row>
    <row r="1018" spans="1:13">
      <c r="A1018" s="600"/>
      <c r="B1018" s="598" t="s">
        <v>4334</v>
      </c>
      <c r="C1018" s="632">
        <f>+C1017*1.05</f>
        <v>10.5</v>
      </c>
      <c r="D1018" s="598" t="s">
        <v>1333</v>
      </c>
      <c r="E1018" s="632">
        <f>+'[14]LISTADO DE MATERIALES'!G11</f>
        <v>136.79999999999998</v>
      </c>
      <c r="F1018" s="633">
        <f t="shared" si="373"/>
        <v>1436.3999999999999</v>
      </c>
      <c r="H1018" s="600"/>
      <c r="I1018" s="598"/>
      <c r="J1018" s="632"/>
      <c r="K1018" s="598"/>
      <c r="L1018" s="632"/>
      <c r="M1018" s="633"/>
    </row>
    <row r="1019" spans="1:13">
      <c r="A1019" s="600"/>
      <c r="B1019" s="598" t="s">
        <v>4335</v>
      </c>
      <c r="C1019" s="632">
        <f>+C1018</f>
        <v>10.5</v>
      </c>
      <c r="D1019" s="598" t="s">
        <v>1333</v>
      </c>
      <c r="E1019" s="632">
        <v>45</v>
      </c>
      <c r="F1019" s="633">
        <f t="shared" si="373"/>
        <v>472.5</v>
      </c>
      <c r="H1019" s="636"/>
      <c r="I1019" s="637"/>
      <c r="J1019" s="637"/>
      <c r="K1019" s="637"/>
      <c r="L1019" s="637"/>
      <c r="M1019" s="638"/>
    </row>
    <row r="1020" spans="1:13">
      <c r="A1020" s="636"/>
      <c r="B1020" s="637"/>
      <c r="C1020" s="637"/>
      <c r="D1020" s="637"/>
      <c r="E1020" s="637"/>
      <c r="F1020" s="638"/>
      <c r="H1020" s="595"/>
      <c r="I1020" s="595"/>
      <c r="J1020" s="596"/>
      <c r="K1020" s="596"/>
      <c r="L1020" s="596"/>
      <c r="M1020" s="594"/>
    </row>
    <row r="1021" spans="1:13">
      <c r="A1021" s="636"/>
      <c r="B1021" s="637"/>
      <c r="C1021" s="637"/>
      <c r="D1021" s="637"/>
      <c r="E1021" s="637"/>
      <c r="F1021" s="638"/>
    </row>
    <row r="1022" spans="1:13">
      <c r="A1022" s="595"/>
      <c r="B1022" s="595" t="s">
        <v>4253</v>
      </c>
      <c r="C1022" s="596"/>
      <c r="D1022" s="596"/>
      <c r="E1022" s="596"/>
      <c r="F1022" s="594">
        <f>SUM(F1016:F1021)</f>
        <v>9060.4</v>
      </c>
    </row>
    <row r="1025" spans="1:13">
      <c r="H1025" s="602"/>
      <c r="I1025" s="632"/>
      <c r="J1025" s="632"/>
      <c r="K1025" s="598"/>
      <c r="L1025" s="605"/>
      <c r="M1025" s="606"/>
    </row>
    <row r="1026" spans="1:13">
      <c r="A1026" s="596"/>
      <c r="B1026" s="595" t="s">
        <v>4336</v>
      </c>
      <c r="C1026" s="596"/>
      <c r="D1026" s="596" t="s">
        <v>4337</v>
      </c>
      <c r="E1026" s="596"/>
      <c r="F1026" s="596"/>
      <c r="H1026" s="602"/>
      <c r="I1026" s="632"/>
      <c r="J1026" s="632"/>
      <c r="K1026" s="598"/>
      <c r="L1026" s="618"/>
      <c r="M1026" s="606"/>
    </row>
    <row r="1027" spans="1:13">
      <c r="A1027" s="613"/>
      <c r="B1027" s="632" t="s">
        <v>4312</v>
      </c>
      <c r="C1027" s="632">
        <v>1.05</v>
      </c>
      <c r="D1027" s="598" t="s">
        <v>825</v>
      </c>
      <c r="E1027" s="605">
        <f>+'[14]LISTADO DE MATERIALES'!G23</f>
        <v>5430</v>
      </c>
      <c r="F1027" s="633">
        <f t="shared" ref="F1027:F1031" si="374">+C1027*E1027</f>
        <v>5701.5</v>
      </c>
      <c r="H1027" s="602"/>
      <c r="I1027" s="598"/>
      <c r="J1027" s="632"/>
      <c r="K1027" s="598"/>
      <c r="L1027" s="605"/>
      <c r="M1027" s="606"/>
    </row>
    <row r="1028" spans="1:13">
      <c r="A1028" s="600"/>
      <c r="B1028" s="632" t="s">
        <v>4338</v>
      </c>
      <c r="C1028" s="632">
        <v>10.5</v>
      </c>
      <c r="D1028" s="598" t="s">
        <v>1333</v>
      </c>
      <c r="E1028" s="632">
        <f>1.1*368.98</f>
        <v>405.87800000000004</v>
      </c>
      <c r="F1028" s="633">
        <f t="shared" si="374"/>
        <v>4261.7190000000001</v>
      </c>
      <c r="H1028" s="602"/>
      <c r="I1028" s="598"/>
      <c r="J1028" s="632"/>
      <c r="K1028" s="598"/>
      <c r="L1028" s="605"/>
      <c r="M1028" s="606"/>
    </row>
    <row r="1029" spans="1:13">
      <c r="A1029" s="600"/>
      <c r="B1029" s="598" t="s">
        <v>4315</v>
      </c>
      <c r="C1029" s="632">
        <f>1/0.1</f>
        <v>10</v>
      </c>
      <c r="D1029" s="598" t="s">
        <v>1333</v>
      </c>
      <c r="E1029" s="632">
        <v>140</v>
      </c>
      <c r="F1029" s="633">
        <f t="shared" si="374"/>
        <v>1400</v>
      </c>
      <c r="H1029" s="602"/>
      <c r="I1029" s="598"/>
      <c r="J1029" s="632"/>
      <c r="K1029" s="598"/>
      <c r="L1029" s="605"/>
      <c r="M1029" s="606"/>
    </row>
    <row r="1030" spans="1:13">
      <c r="A1030" s="600"/>
      <c r="B1030" s="598" t="s">
        <v>4339</v>
      </c>
      <c r="C1030" s="632">
        <v>11</v>
      </c>
      <c r="D1030" s="598" t="s">
        <v>1333</v>
      </c>
      <c r="E1030" s="632">
        <f>+'[14]LISTADO DE MATERIALES'!G10</f>
        <v>106.92</v>
      </c>
      <c r="F1030" s="633">
        <f t="shared" si="374"/>
        <v>1176.1200000000001</v>
      </c>
      <c r="H1030" s="602"/>
      <c r="I1030" s="607"/>
      <c r="J1030" s="604"/>
      <c r="K1030" s="603"/>
      <c r="L1030" s="605"/>
      <c r="M1030" s="606"/>
    </row>
    <row r="1031" spans="1:13">
      <c r="A1031" s="636"/>
      <c r="B1031" s="598" t="s">
        <v>4340</v>
      </c>
      <c r="C1031" s="632">
        <f>1/0.1</f>
        <v>10</v>
      </c>
      <c r="D1031" s="598" t="s">
        <v>1333</v>
      </c>
      <c r="E1031" s="632">
        <v>45</v>
      </c>
      <c r="F1031" s="633">
        <f t="shared" si="374"/>
        <v>450</v>
      </c>
      <c r="H1031" s="595"/>
      <c r="I1031" s="595"/>
      <c r="J1031" s="596"/>
      <c r="K1031" s="596"/>
      <c r="L1031" s="596"/>
      <c r="M1031" s="594"/>
    </row>
    <row r="1032" spans="1:13">
      <c r="A1032" s="595"/>
      <c r="B1032" s="595" t="s">
        <v>4253</v>
      </c>
      <c r="C1032" s="596"/>
      <c r="D1032" s="596"/>
      <c r="E1032" s="596"/>
      <c r="F1032" s="594">
        <f>SUM(F1027:F1031)</f>
        <v>12989.339000000002</v>
      </c>
    </row>
    <row r="1036" spans="1:13">
      <c r="A1036" s="596"/>
      <c r="B1036" s="1401" t="s">
        <v>4341</v>
      </c>
      <c r="C1036" s="596"/>
      <c r="D1036" s="596"/>
      <c r="E1036" s="596"/>
      <c r="F1036" s="596"/>
      <c r="H1036" s="596"/>
      <c r="I1036" s="595"/>
      <c r="J1036" s="596"/>
      <c r="K1036" s="596"/>
      <c r="L1036" s="596"/>
      <c r="M1036" s="596"/>
    </row>
    <row r="1037" spans="1:13">
      <c r="A1037" s="613"/>
      <c r="B1037" s="614"/>
      <c r="C1037" s="614"/>
      <c r="D1037" s="614"/>
      <c r="E1037" s="614"/>
      <c r="F1037" s="615"/>
      <c r="H1037" s="613"/>
      <c r="I1037" s="614"/>
      <c r="J1037" s="614"/>
      <c r="K1037" s="614"/>
      <c r="L1037" s="614"/>
      <c r="M1037" s="615"/>
    </row>
    <row r="1038" spans="1:13">
      <c r="A1038" s="602"/>
      <c r="B1038" s="632" t="s">
        <v>4342</v>
      </c>
      <c r="C1038" s="632">
        <f>1*0.5*0.08*1.05</f>
        <v>4.2000000000000003E-2</v>
      </c>
      <c r="D1038" s="598" t="s">
        <v>825</v>
      </c>
      <c r="E1038" s="605">
        <f>+M805*0.8</f>
        <v>12566.483984863198</v>
      </c>
      <c r="F1038" s="606">
        <f t="shared" ref="F1038:F1042" si="375">+C1038*E1038</f>
        <v>527.79232736425433</v>
      </c>
      <c r="H1038" s="602"/>
      <c r="I1038" s="598"/>
      <c r="J1038" s="632"/>
      <c r="K1038" s="598"/>
      <c r="L1038" s="605"/>
      <c r="M1038" s="606"/>
    </row>
    <row r="1039" spans="1:13">
      <c r="A1039" s="602"/>
      <c r="B1039" s="632" t="s">
        <v>4343</v>
      </c>
      <c r="C1039" s="632">
        <f>1*0.5</f>
        <v>0.5</v>
      </c>
      <c r="D1039" s="598" t="s">
        <v>1333</v>
      </c>
      <c r="E1039" s="618">
        <v>125</v>
      </c>
      <c r="F1039" s="606">
        <f t="shared" si="375"/>
        <v>62.5</v>
      </c>
      <c r="H1039" s="602"/>
      <c r="I1039" s="598"/>
      <c r="J1039" s="632"/>
      <c r="K1039" s="598"/>
      <c r="L1039" s="605"/>
      <c r="M1039" s="606"/>
    </row>
    <row r="1040" spans="1:13">
      <c r="A1040" s="602"/>
      <c r="B1040" s="632" t="s">
        <v>4344</v>
      </c>
      <c r="C1040" s="632">
        <f>5*0.4*0.4/6</f>
        <v>0.13333333333333333</v>
      </c>
      <c r="D1040" s="598" t="s">
        <v>1333</v>
      </c>
      <c r="E1040" s="618">
        <f>+F31</f>
        <v>1173.6330682589928</v>
      </c>
      <c r="F1040" s="606">
        <f t="shared" si="375"/>
        <v>156.48440910119905</v>
      </c>
      <c r="H1040" s="602"/>
      <c r="I1040" s="598"/>
      <c r="J1040" s="632"/>
      <c r="K1040" s="598"/>
      <c r="L1040" s="605"/>
      <c r="M1040" s="606"/>
    </row>
    <row r="1041" spans="1:13">
      <c r="A1041" s="602"/>
      <c r="B1041" s="598" t="s">
        <v>4345</v>
      </c>
      <c r="C1041" s="632">
        <f>+C1040*2</f>
        <v>0.26666666666666666</v>
      </c>
      <c r="D1041" s="598" t="s">
        <v>1333</v>
      </c>
      <c r="E1041" s="605">
        <f>+F61</f>
        <v>326.12451699999997</v>
      </c>
      <c r="F1041" s="606">
        <f t="shared" si="375"/>
        <v>86.966537866666656</v>
      </c>
      <c r="H1041" s="602"/>
      <c r="I1041" s="598"/>
      <c r="J1041" s="632"/>
      <c r="K1041" s="598"/>
      <c r="L1041" s="605"/>
      <c r="M1041" s="606"/>
    </row>
    <row r="1042" spans="1:13">
      <c r="A1042" s="602"/>
      <c r="B1042" s="598" t="s">
        <v>4346</v>
      </c>
      <c r="C1042" s="632">
        <f>4*0.4</f>
        <v>1.6</v>
      </c>
      <c r="D1042" s="598" t="s">
        <v>1752</v>
      </c>
      <c r="E1042" s="605">
        <f>+F69</f>
        <v>133.41965249999998</v>
      </c>
      <c r="F1042" s="606">
        <f t="shared" si="375"/>
        <v>213.47144399999999</v>
      </c>
      <c r="H1042" s="602"/>
      <c r="I1042" s="598"/>
      <c r="J1042" s="632"/>
      <c r="K1042" s="598"/>
      <c r="L1042" s="605"/>
      <c r="M1042" s="606"/>
    </row>
    <row r="1043" spans="1:13">
      <c r="A1043" s="602"/>
      <c r="B1043" s="607"/>
      <c r="C1043" s="604"/>
      <c r="D1043" s="603"/>
      <c r="E1043" s="605"/>
      <c r="F1043" s="606"/>
      <c r="H1043" s="602"/>
      <c r="I1043" s="598"/>
      <c r="J1043" s="632"/>
      <c r="K1043" s="598"/>
      <c r="L1043" s="605"/>
      <c r="M1043" s="606"/>
    </row>
    <row r="1044" spans="1:13">
      <c r="A1044" s="595"/>
      <c r="B1044" s="595" t="s">
        <v>4308</v>
      </c>
      <c r="C1044" s="596"/>
      <c r="D1044" s="596"/>
      <c r="E1044" s="596"/>
      <c r="F1044" s="594">
        <v>6003.6</v>
      </c>
      <c r="H1044" s="602"/>
      <c r="I1044" s="598"/>
      <c r="J1044" s="632"/>
      <c r="K1044" s="598"/>
      <c r="L1044" s="605"/>
      <c r="M1044" s="606"/>
    </row>
    <row r="1045" spans="1:13">
      <c r="H1045" s="602"/>
      <c r="I1045" s="598"/>
      <c r="J1045" s="632"/>
      <c r="K1045" s="598"/>
      <c r="L1045" s="605"/>
      <c r="M1045" s="606"/>
    </row>
    <row r="1046" spans="1:13">
      <c r="H1046" s="598"/>
      <c r="I1046" s="598"/>
      <c r="J1046" s="632"/>
      <c r="K1046" s="598"/>
      <c r="L1046" s="605"/>
      <c r="M1046" s="606"/>
    </row>
    <row r="1050" spans="1:13">
      <c r="B1050" s="698" t="s">
        <v>5217</v>
      </c>
      <c r="C1050" s="699"/>
      <c r="D1050" s="700"/>
      <c r="E1050" s="701"/>
      <c r="F1050" s="702"/>
      <c r="G1050" s="703"/>
    </row>
    <row r="1051" spans="1:13">
      <c r="B1051" s="704" t="s">
        <v>4197</v>
      </c>
      <c r="C1051" s="699">
        <f>CUANTIAS!H1397</f>
        <v>2.9757500000000001</v>
      </c>
      <c r="D1051" s="700" t="s">
        <v>1806</v>
      </c>
      <c r="E1051" s="701"/>
      <c r="F1051" s="702"/>
      <c r="G1051" s="703"/>
    </row>
    <row r="1052" spans="1:13">
      <c r="B1052" s="704" t="s">
        <v>5218</v>
      </c>
      <c r="C1052" s="699">
        <f>C1051*1.05</f>
        <v>3.1245375000000002</v>
      </c>
      <c r="D1052" s="700" t="s">
        <v>1806</v>
      </c>
      <c r="E1052" s="701">
        <f>Ana.term!D8639</f>
        <v>6850</v>
      </c>
      <c r="F1052" s="702">
        <f t="shared" ref="F1052:F1058" si="376">C1052*E1052</f>
        <v>21403.081875</v>
      </c>
      <c r="G1052" s="703"/>
    </row>
    <row r="1053" spans="1:13">
      <c r="B1053" s="704" t="s">
        <v>4198</v>
      </c>
      <c r="C1053" s="699">
        <f>CUANTIAS!H1396</f>
        <v>11.557855059000001</v>
      </c>
      <c r="D1053" s="700" t="s">
        <v>1887</v>
      </c>
      <c r="E1053" s="701">
        <f>E1104</f>
        <v>3200</v>
      </c>
      <c r="F1053" s="702">
        <f t="shared" si="376"/>
        <v>36985.136188800003</v>
      </c>
      <c r="G1053" s="703"/>
    </row>
    <row r="1054" spans="1:13">
      <c r="B1054" s="704" t="s">
        <v>1198</v>
      </c>
      <c r="C1054" s="699">
        <f>C1053*2</f>
        <v>23.115710118000003</v>
      </c>
      <c r="D1054" s="700" t="s">
        <v>1018</v>
      </c>
      <c r="E1054" s="701">
        <f>E1105</f>
        <v>60</v>
      </c>
      <c r="F1054" s="702">
        <f t="shared" si="376"/>
        <v>1386.9426070800002</v>
      </c>
      <c r="G1054" s="703"/>
    </row>
    <row r="1055" spans="1:13">
      <c r="B1055" s="1600" t="s">
        <v>4299</v>
      </c>
      <c r="C1055" s="1402">
        <f>C1053</f>
        <v>11.557855059000001</v>
      </c>
      <c r="D1055" s="1600" t="s">
        <v>216</v>
      </c>
      <c r="E1055" s="1599">
        <f>E1106</f>
        <v>486.5</v>
      </c>
      <c r="F1055" s="1601">
        <f t="shared" ref="F1055" si="377">+C1055*E1055</f>
        <v>5622.8964862035009</v>
      </c>
      <c r="G1055" s="703"/>
    </row>
    <row r="1056" spans="1:13">
      <c r="B1056" s="704" t="s">
        <v>4199</v>
      </c>
      <c r="C1056" s="699">
        <f>C1051</f>
        <v>2.9757500000000001</v>
      </c>
      <c r="D1056" s="700" t="s">
        <v>1806</v>
      </c>
      <c r="E1056" s="701">
        <f>Ana.term!D8329</f>
        <v>600.29999999999995</v>
      </c>
      <c r="F1056" s="702"/>
      <c r="G1056" s="703"/>
    </row>
    <row r="1057" spans="2:7">
      <c r="B1057" s="704" t="s">
        <v>4426</v>
      </c>
      <c r="C1057" s="699">
        <v>2</v>
      </c>
      <c r="D1057" s="700" t="s">
        <v>324</v>
      </c>
      <c r="E1057" s="701">
        <v>6000</v>
      </c>
      <c r="F1057" s="702">
        <f t="shared" si="376"/>
        <v>12000</v>
      </c>
      <c r="G1057" s="703"/>
    </row>
    <row r="1058" spans="2:7">
      <c r="B1058" s="704" t="s">
        <v>4200</v>
      </c>
      <c r="C1058" s="699">
        <f>SUM(F1051:F1053)</f>
        <v>58388.218063799999</v>
      </c>
      <c r="D1058" s="700" t="s">
        <v>48</v>
      </c>
      <c r="E1058" s="701">
        <v>0.02</v>
      </c>
      <c r="F1058" s="702">
        <f t="shared" si="376"/>
        <v>1167.764361276</v>
      </c>
      <c r="G1058" s="703">
        <f>SUM(F1050:F1058)</f>
        <v>78565.821518359502</v>
      </c>
    </row>
    <row r="1059" spans="2:7">
      <c r="B1059" s="12"/>
      <c r="C1059" s="434"/>
      <c r="D1059" s="24"/>
      <c r="E1059" s="41"/>
      <c r="F1059" s="726" t="s">
        <v>4202</v>
      </c>
      <c r="G1059" s="703">
        <f>G1058/C1051</f>
        <v>26402.023529651178</v>
      </c>
    </row>
    <row r="1062" spans="2:7">
      <c r="B1062" s="698" t="s">
        <v>5393</v>
      </c>
      <c r="C1062" s="699"/>
      <c r="D1062" s="700"/>
      <c r="E1062" s="701"/>
      <c r="F1062" s="702"/>
      <c r="G1062" s="703"/>
    </row>
    <row r="1063" spans="2:7">
      <c r="B1063" s="704" t="s">
        <v>4197</v>
      </c>
      <c r="C1063" s="699">
        <f>CUANTIAS!J1403</f>
        <v>2.69075</v>
      </c>
      <c r="D1063" s="700" t="s">
        <v>1806</v>
      </c>
      <c r="E1063" s="701"/>
      <c r="F1063" s="702"/>
      <c r="G1063" s="703"/>
    </row>
    <row r="1064" spans="2:7">
      <c r="B1064" s="704" t="s">
        <v>5218</v>
      </c>
      <c r="C1064" s="699">
        <f>CUANTIAS!J1403*1.05</f>
        <v>2.8252875</v>
      </c>
      <c r="D1064" s="700" t="s">
        <v>1806</v>
      </c>
      <c r="E1064" s="701">
        <f>E1052</f>
        <v>6850</v>
      </c>
      <c r="F1064" s="702">
        <f t="shared" ref="F1064:F1066" si="378">C1064*E1064</f>
        <v>19353.219375000001</v>
      </c>
      <c r="G1064" s="703"/>
    </row>
    <row r="1065" spans="2:7">
      <c r="B1065" s="704" t="s">
        <v>4198</v>
      </c>
      <c r="C1065" s="699">
        <f>CUANTIAS!J1402</f>
        <v>10.535701179000002</v>
      </c>
      <c r="D1065" s="700" t="s">
        <v>1887</v>
      </c>
      <c r="E1065" s="701">
        <f>E1053</f>
        <v>3200</v>
      </c>
      <c r="F1065" s="702">
        <f t="shared" si="378"/>
        <v>33714.243772800008</v>
      </c>
      <c r="G1065" s="703"/>
    </row>
    <row r="1066" spans="2:7">
      <c r="B1066" s="704" t="s">
        <v>1198</v>
      </c>
      <c r="C1066" s="699">
        <f>C1065*2</f>
        <v>21.071402358000004</v>
      </c>
      <c r="D1066" s="700" t="s">
        <v>1018</v>
      </c>
      <c r="E1066" s="701">
        <f>E1054</f>
        <v>60</v>
      </c>
      <c r="F1066" s="702">
        <f t="shared" si="378"/>
        <v>1264.2841414800002</v>
      </c>
      <c r="G1066" s="703"/>
    </row>
    <row r="1067" spans="2:7">
      <c r="B1067" s="1600" t="s">
        <v>4299</v>
      </c>
      <c r="C1067" s="1402">
        <f>C1065</f>
        <v>10.535701179000002</v>
      </c>
      <c r="D1067" s="1600" t="s">
        <v>216</v>
      </c>
      <c r="E1067" s="1599">
        <f>Prec.!C351</f>
        <v>535.15000000000009</v>
      </c>
      <c r="F1067" s="1601">
        <f t="shared" ref="F1067" si="379">+C1067*E1067</f>
        <v>5638.1804859418517</v>
      </c>
      <c r="G1067" s="703"/>
    </row>
    <row r="1068" spans="2:7">
      <c r="B1068" s="704" t="s">
        <v>4199</v>
      </c>
      <c r="C1068" s="699">
        <f>C1063</f>
        <v>2.69075</v>
      </c>
      <c r="D1068" s="700" t="s">
        <v>1806</v>
      </c>
      <c r="E1068" s="701">
        <f>E1056</f>
        <v>600.29999999999995</v>
      </c>
      <c r="F1068" s="702"/>
      <c r="G1068" s="703"/>
    </row>
    <row r="1069" spans="2:7">
      <c r="B1069" s="704" t="s">
        <v>4426</v>
      </c>
      <c r="C1069" s="699">
        <v>2</v>
      </c>
      <c r="D1069" s="700" t="s">
        <v>324</v>
      </c>
      <c r="E1069" s="701">
        <v>6000</v>
      </c>
      <c r="F1069" s="702">
        <f t="shared" ref="F1069:F1070" si="380">C1069*E1069</f>
        <v>12000</v>
      </c>
      <c r="G1069" s="703"/>
    </row>
    <row r="1070" spans="2:7">
      <c r="B1070" s="704" t="s">
        <v>4200</v>
      </c>
      <c r="C1070" s="699">
        <f>SUM(F1063:F1065)</f>
        <v>53067.463147800008</v>
      </c>
      <c r="D1070" s="700" t="s">
        <v>48</v>
      </c>
      <c r="E1070" s="701">
        <v>0.02</v>
      </c>
      <c r="F1070" s="702">
        <f t="shared" si="380"/>
        <v>1061.3492629560001</v>
      </c>
      <c r="G1070" s="703">
        <f>SUM(F1062:F1070)</f>
        <v>73031.277038177868</v>
      </c>
    </row>
    <row r="1071" spans="2:7">
      <c r="B1071" s="12"/>
      <c r="C1071" s="434"/>
      <c r="D1071" s="24"/>
      <c r="E1071" s="41"/>
      <c r="F1071" s="726" t="s">
        <v>4202</v>
      </c>
      <c r="G1071" s="703">
        <f>G1070/C1063</f>
        <v>27141.606257800937</v>
      </c>
    </row>
    <row r="1074" spans="2:7">
      <c r="B1074" s="698" t="s">
        <v>5392</v>
      </c>
      <c r="C1074" s="699"/>
      <c r="D1074" s="700"/>
      <c r="E1074" s="701"/>
      <c r="F1074" s="702"/>
      <c r="G1074" s="703"/>
    </row>
    <row r="1075" spans="2:7">
      <c r="B1075" s="704" t="s">
        <v>4197</v>
      </c>
      <c r="C1075" s="699">
        <f>CUANTIAS!J1403</f>
        <v>2.69075</v>
      </c>
      <c r="D1075" s="700" t="s">
        <v>1806</v>
      </c>
      <c r="E1075" s="701"/>
      <c r="F1075" s="702"/>
      <c r="G1075" s="703"/>
    </row>
    <row r="1076" spans="2:7">
      <c r="B1076" s="704" t="s">
        <v>5218</v>
      </c>
      <c r="C1076" s="699">
        <f>CUANTIAS!J1403*1.05</f>
        <v>2.8252875</v>
      </c>
      <c r="D1076" s="700" t="s">
        <v>1806</v>
      </c>
      <c r="E1076" s="701">
        <f>E1064</f>
        <v>6850</v>
      </c>
      <c r="F1076" s="702">
        <f t="shared" ref="F1076:F1078" si="381">C1076*E1076</f>
        <v>19353.219375000001</v>
      </c>
      <c r="G1076" s="703"/>
    </row>
    <row r="1077" spans="2:7">
      <c r="B1077" s="704" t="s">
        <v>4198</v>
      </c>
      <c r="C1077" s="699">
        <f>CUANTIAS!J1402</f>
        <v>10.535701179000002</v>
      </c>
      <c r="D1077" s="700" t="s">
        <v>1887</v>
      </c>
      <c r="E1077" s="701">
        <f>E1065</f>
        <v>3200</v>
      </c>
      <c r="F1077" s="702">
        <f t="shared" si="381"/>
        <v>33714.243772800008</v>
      </c>
      <c r="G1077" s="703"/>
    </row>
    <row r="1078" spans="2:7">
      <c r="B1078" s="704" t="s">
        <v>1198</v>
      </c>
      <c r="C1078" s="699">
        <f>C1077*2</f>
        <v>21.071402358000004</v>
      </c>
      <c r="D1078" s="700" t="s">
        <v>1018</v>
      </c>
      <c r="E1078" s="701">
        <f>E1066</f>
        <v>60</v>
      </c>
      <c r="F1078" s="702">
        <f t="shared" si="381"/>
        <v>1264.2841414800002</v>
      </c>
      <c r="G1078" s="703"/>
    </row>
    <row r="1079" spans="2:7">
      <c r="B1079" s="1600" t="s">
        <v>4299</v>
      </c>
      <c r="C1079" s="1402">
        <f>C1077</f>
        <v>10.535701179000002</v>
      </c>
      <c r="D1079" s="1600" t="s">
        <v>216</v>
      </c>
      <c r="E1079" s="1599">
        <f>Prec.!C352</f>
        <v>559.47499999999991</v>
      </c>
      <c r="F1079" s="1601">
        <f t="shared" ref="F1079" si="382">+C1079*E1079</f>
        <v>5894.4614171210251</v>
      </c>
      <c r="G1079" s="703"/>
    </row>
    <row r="1080" spans="2:7">
      <c r="B1080" s="704" t="s">
        <v>4199</v>
      </c>
      <c r="C1080" s="699">
        <f>C1075</f>
        <v>2.69075</v>
      </c>
      <c r="D1080" s="700" t="s">
        <v>1806</v>
      </c>
      <c r="E1080" s="701">
        <f>E1068</f>
        <v>600.29999999999995</v>
      </c>
      <c r="F1080" s="702"/>
      <c r="G1080" s="703"/>
    </row>
    <row r="1081" spans="2:7">
      <c r="B1081" s="704" t="s">
        <v>4426</v>
      </c>
      <c r="C1081" s="699">
        <v>2</v>
      </c>
      <c r="D1081" s="700" t="s">
        <v>324</v>
      </c>
      <c r="E1081" s="701">
        <v>6000</v>
      </c>
      <c r="F1081" s="702">
        <f t="shared" ref="F1081:F1082" si="383">C1081*E1081</f>
        <v>12000</v>
      </c>
      <c r="G1081" s="703"/>
    </row>
    <row r="1082" spans="2:7">
      <c r="B1082" s="704" t="s">
        <v>4200</v>
      </c>
      <c r="C1082" s="699">
        <f>SUM(F1075:F1077)</f>
        <v>53067.463147800008</v>
      </c>
      <c r="D1082" s="700" t="s">
        <v>48</v>
      </c>
      <c r="E1082" s="701">
        <v>0.02</v>
      </c>
      <c r="F1082" s="702">
        <f t="shared" si="383"/>
        <v>1061.3492629560001</v>
      </c>
      <c r="G1082" s="703">
        <f>SUM(F1074:F1082)</f>
        <v>73287.557969357033</v>
      </c>
    </row>
    <row r="1083" spans="2:7">
      <c r="B1083" s="12"/>
      <c r="C1083" s="434"/>
      <c r="D1083" s="24"/>
      <c r="E1083" s="41"/>
      <c r="F1083" s="726" t="s">
        <v>4202</v>
      </c>
      <c r="G1083" s="703">
        <f>G1082/C1075</f>
        <v>27236.851424085118</v>
      </c>
    </row>
    <row r="1090" spans="2:7">
      <c r="B1090" s="698" t="s">
        <v>4385</v>
      </c>
      <c r="C1090" s="711"/>
      <c r="D1090" s="707" t="s">
        <v>1742</v>
      </c>
      <c r="E1090" s="708"/>
      <c r="F1090" s="709" t="s">
        <v>151</v>
      </c>
      <c r="G1090" s="710" t="s">
        <v>213</v>
      </c>
    </row>
    <row r="1091" spans="2:7">
      <c r="B1091" s="704" t="s">
        <v>1736</v>
      </c>
      <c r="C1091" s="712">
        <v>1.04E-2</v>
      </c>
      <c r="D1091" s="700" t="s">
        <v>476</v>
      </c>
      <c r="E1091" s="708">
        <f>Ana.term!D8103</f>
        <v>8500</v>
      </c>
      <c r="F1091" s="702">
        <f t="shared" ref="F1091:F1098" si="384">ROUND(C1091*E1091,2)</f>
        <v>88.4</v>
      </c>
      <c r="G1091" s="703"/>
    </row>
    <row r="1092" spans="2:7">
      <c r="B1092" s="704" t="s">
        <v>4386</v>
      </c>
      <c r="C1092" s="705">
        <v>8.4000000000000005E-2</v>
      </c>
      <c r="D1092" s="700" t="s">
        <v>825</v>
      </c>
      <c r="E1092" s="708">
        <f>Ana.term!D8104</f>
        <v>6667.86</v>
      </c>
      <c r="F1092" s="702">
        <f t="shared" si="384"/>
        <v>560.1</v>
      </c>
      <c r="G1092" s="703"/>
    </row>
    <row r="1093" spans="2:7">
      <c r="B1093" s="722" t="s">
        <v>1686</v>
      </c>
      <c r="C1093" s="1551" t="e">
        <f>CUANTIAS!F1418</f>
        <v>#REF!</v>
      </c>
      <c r="D1093" s="718" t="s">
        <v>4</v>
      </c>
      <c r="E1093" s="1552">
        <f>E1053</f>
        <v>3200</v>
      </c>
      <c r="F1093" s="720" t="e">
        <f t="shared" ref="F1093:F1094" si="385">C1093*E1093</f>
        <v>#REF!</v>
      </c>
      <c r="G1093" s="703"/>
    </row>
    <row r="1094" spans="2:7">
      <c r="B1094" s="722" t="s">
        <v>1198</v>
      </c>
      <c r="C1094" s="717" t="e">
        <f>C1093*2</f>
        <v>#REF!</v>
      </c>
      <c r="D1094" s="718" t="s">
        <v>1018</v>
      </c>
      <c r="E1094" s="719">
        <f t="shared" ref="E1094" si="386">E1069</f>
        <v>6000</v>
      </c>
      <c r="F1094" s="720" t="e">
        <f t="shared" si="385"/>
        <v>#REF!</v>
      </c>
      <c r="G1094" s="703"/>
    </row>
    <row r="1095" spans="2:7">
      <c r="B1095" s="598" t="s">
        <v>4299</v>
      </c>
      <c r="C1095" s="632" t="e">
        <f>C1093</f>
        <v>#REF!</v>
      </c>
      <c r="D1095" s="598" t="s">
        <v>216</v>
      </c>
      <c r="E1095" s="605">
        <v>400</v>
      </c>
      <c r="F1095" s="606" t="e">
        <f t="shared" ref="F1095" si="387">+C1095*E1095</f>
        <v>#REF!</v>
      </c>
      <c r="G1095" s="703"/>
    </row>
    <row r="1096" spans="2:7">
      <c r="B1096" s="704" t="s">
        <v>1740</v>
      </c>
      <c r="C1096" s="713">
        <v>8.7999999999999995E-2</v>
      </c>
      <c r="D1096" s="700" t="s">
        <v>1730</v>
      </c>
      <c r="E1096" s="708">
        <f>Ana.term!D8105</f>
        <v>90</v>
      </c>
      <c r="F1096" s="702">
        <f>ROUND(C1096*E1096,2)</f>
        <v>7.92</v>
      </c>
      <c r="G1096" s="703"/>
    </row>
    <row r="1097" spans="2:7">
      <c r="B1097" s="704" t="s">
        <v>1737</v>
      </c>
      <c r="C1097" s="711">
        <v>0.11</v>
      </c>
      <c r="D1097" s="700" t="s">
        <v>4</v>
      </c>
      <c r="E1097" s="708">
        <f>Ana.term!D8106</f>
        <v>486.5</v>
      </c>
      <c r="F1097" s="702">
        <f t="shared" si="384"/>
        <v>53.52</v>
      </c>
      <c r="G1097" s="703"/>
    </row>
    <row r="1098" spans="2:7">
      <c r="B1098" s="704" t="s">
        <v>208</v>
      </c>
      <c r="C1098" s="711">
        <f>SUM(F1091:F1092)+F1096</f>
        <v>656.42</v>
      </c>
      <c r="D1098" s="700" t="s">
        <v>209</v>
      </c>
      <c r="E1098" s="708">
        <f>Ana.term!D8107</f>
        <v>0.02</v>
      </c>
      <c r="F1098" s="702">
        <f t="shared" si="384"/>
        <v>13.13</v>
      </c>
      <c r="G1098" s="703" t="e">
        <f>SUM(F1091:F1098)</f>
        <v>#REF!</v>
      </c>
    </row>
    <row r="1102" spans="2:7">
      <c r="B1102" s="698" t="s">
        <v>5390</v>
      </c>
      <c r="C1102" s="699"/>
      <c r="D1102" s="700"/>
      <c r="E1102" s="701"/>
      <c r="F1102" s="702"/>
      <c r="G1102" s="703"/>
    </row>
    <row r="1103" spans="2:7">
      <c r="B1103" s="704" t="s">
        <v>1681</v>
      </c>
      <c r="C1103" s="699">
        <v>1.05</v>
      </c>
      <c r="D1103" s="700" t="s">
        <v>825</v>
      </c>
      <c r="E1103" s="701">
        <f>Ana.term!D8639</f>
        <v>6850</v>
      </c>
      <c r="F1103" s="702">
        <f t="shared" ref="F1103:F1110" si="388">C1103*E1103</f>
        <v>7192.5</v>
      </c>
      <c r="G1103" s="703"/>
    </row>
    <row r="1104" spans="2:7">
      <c r="B1104" s="704" t="s">
        <v>1683</v>
      </c>
      <c r="C1104" s="699">
        <f>CUANTIAS!H6</f>
        <v>2.7187993799999997</v>
      </c>
      <c r="D1104" s="700" t="s">
        <v>4</v>
      </c>
      <c r="E1104" s="701">
        <f>Ana.term!D8721</f>
        <v>3200</v>
      </c>
      <c r="F1104" s="702">
        <f t="shared" si="388"/>
        <v>8700.1580159999994</v>
      </c>
      <c r="G1104" s="703"/>
    </row>
    <row r="1105" spans="2:7">
      <c r="B1105" s="704" t="s">
        <v>1198</v>
      </c>
      <c r="C1105" s="699">
        <f>C1104*2</f>
        <v>5.4375987599999993</v>
      </c>
      <c r="D1105" s="700" t="s">
        <v>1018</v>
      </c>
      <c r="E1105" s="701">
        <f>Ana.term!D8722</f>
        <v>60</v>
      </c>
      <c r="F1105" s="702">
        <f t="shared" si="388"/>
        <v>326.25592559999996</v>
      </c>
      <c r="G1105" s="703"/>
    </row>
    <row r="1106" spans="2:7">
      <c r="B1106" s="704" t="s">
        <v>1037</v>
      </c>
      <c r="C1106" s="699">
        <f>C1104</f>
        <v>2.7187993799999997</v>
      </c>
      <c r="D1106" s="700" t="s">
        <v>4</v>
      </c>
      <c r="E1106" s="701">
        <f>Prec.!C350</f>
        <v>486.5</v>
      </c>
      <c r="F1106" s="702">
        <f t="shared" si="388"/>
        <v>1322.6958983699999</v>
      </c>
      <c r="G1106" s="703"/>
    </row>
    <row r="1107" spans="2:7">
      <c r="B1107" s="704" t="s">
        <v>154</v>
      </c>
      <c r="C1107" s="699">
        <f>1/(0.2*0.2)</f>
        <v>24.999999999999996</v>
      </c>
      <c r="D1107" s="700" t="s">
        <v>1171</v>
      </c>
      <c r="E1107" s="701">
        <f>Ana.term!D8724</f>
        <v>165.66</v>
      </c>
      <c r="F1107" s="702">
        <f t="shared" si="388"/>
        <v>4141.4999999999991</v>
      </c>
      <c r="G1107" s="703"/>
    </row>
    <row r="1108" spans="2:7">
      <c r="B1108" s="704" t="s">
        <v>4383</v>
      </c>
      <c r="C1108" s="699">
        <f>(0.2+0.2)*C1107</f>
        <v>10</v>
      </c>
      <c r="D1108" s="700" t="s">
        <v>213</v>
      </c>
      <c r="E1108" s="701">
        <f>Ana.term!D8725</f>
        <v>33.14</v>
      </c>
      <c r="F1108" s="702">
        <f t="shared" si="388"/>
        <v>331.4</v>
      </c>
      <c r="G1108" s="703"/>
    </row>
    <row r="1109" spans="2:7">
      <c r="B1109" s="704" t="s">
        <v>1684</v>
      </c>
      <c r="C1109" s="699">
        <v>1</v>
      </c>
      <c r="D1109" s="700" t="s">
        <v>825</v>
      </c>
      <c r="E1109" s="701">
        <f>Ana.term!D8726</f>
        <v>600.29999999999995</v>
      </c>
      <c r="F1109" s="702"/>
      <c r="G1109" s="703"/>
    </row>
    <row r="1110" spans="2:7">
      <c r="B1110" s="704" t="s">
        <v>208</v>
      </c>
      <c r="C1110" s="699">
        <f>SUM(F1103:F1105)</f>
        <v>16218.9139416</v>
      </c>
      <c r="D1110" s="700" t="s">
        <v>209</v>
      </c>
      <c r="E1110" s="701">
        <f>Ana.term!D8727</f>
        <v>0.02</v>
      </c>
      <c r="F1110" s="702">
        <f t="shared" si="388"/>
        <v>324.37827883199998</v>
      </c>
      <c r="G1110" s="703">
        <f>SUM(F1103:F1110)</f>
        <v>22338.888118801999</v>
      </c>
    </row>
    <row r="1111" spans="2:7">
      <c r="B1111" s="12"/>
      <c r="C1111" s="434"/>
      <c r="D1111" s="24"/>
      <c r="E1111" s="41"/>
      <c r="F1111" s="31"/>
      <c r="G1111" s="32"/>
    </row>
    <row r="1113" spans="2:7">
      <c r="B1113" s="698" t="s">
        <v>5391</v>
      </c>
      <c r="C1113" s="699"/>
      <c r="D1113" s="700"/>
      <c r="E1113" s="701"/>
      <c r="F1113" s="702"/>
      <c r="G1113" s="703"/>
    </row>
    <row r="1114" spans="2:7">
      <c r="B1114" s="704" t="s">
        <v>1681</v>
      </c>
      <c r="C1114" s="699">
        <v>1.05</v>
      </c>
      <c r="D1114" s="700" t="s">
        <v>825</v>
      </c>
      <c r="E1114" s="701">
        <f>E1103</f>
        <v>6850</v>
      </c>
      <c r="F1114" s="702">
        <f t="shared" ref="F1114:F1121" si="389">C1114*E1114</f>
        <v>7192.5</v>
      </c>
      <c r="G1114" s="703"/>
    </row>
    <row r="1115" spans="2:7">
      <c r="B1115" s="704" t="s">
        <v>1683</v>
      </c>
      <c r="C1115" s="699">
        <f>CUANTIAS!H16</f>
        <v>3.6162918399999997</v>
      </c>
      <c r="D1115" s="700" t="s">
        <v>4</v>
      </c>
      <c r="E1115" s="701">
        <f t="shared" ref="E1115:E1121" si="390">E1104</f>
        <v>3200</v>
      </c>
      <c r="F1115" s="702">
        <f t="shared" si="389"/>
        <v>11572.133887999998</v>
      </c>
      <c r="G1115" s="703"/>
    </row>
    <row r="1116" spans="2:7">
      <c r="B1116" s="704" t="s">
        <v>1198</v>
      </c>
      <c r="C1116" s="699">
        <f>C1115*2</f>
        <v>7.2325836799999994</v>
      </c>
      <c r="D1116" s="700" t="s">
        <v>1018</v>
      </c>
      <c r="E1116" s="701">
        <f t="shared" si="390"/>
        <v>60</v>
      </c>
      <c r="F1116" s="702">
        <f t="shared" si="389"/>
        <v>433.95502079999994</v>
      </c>
      <c r="G1116" s="703"/>
    </row>
    <row r="1117" spans="2:7">
      <c r="B1117" s="704" t="s">
        <v>1037</v>
      </c>
      <c r="C1117" s="699">
        <f>C1115</f>
        <v>3.6162918399999997</v>
      </c>
      <c r="D1117" s="700" t="s">
        <v>4</v>
      </c>
      <c r="E1117" s="701">
        <f t="shared" si="390"/>
        <v>486.5</v>
      </c>
      <c r="F1117" s="702">
        <f t="shared" si="389"/>
        <v>1759.3259801599997</v>
      </c>
      <c r="G1117" s="703"/>
    </row>
    <row r="1118" spans="2:7">
      <c r="B1118" s="704" t="s">
        <v>1685</v>
      </c>
      <c r="C1118" s="699">
        <f>1/(0.15*0.2)</f>
        <v>33.333333333333336</v>
      </c>
      <c r="D1118" s="700" t="s">
        <v>1171</v>
      </c>
      <c r="E1118" s="701">
        <f t="shared" si="390"/>
        <v>165.66</v>
      </c>
      <c r="F1118" s="702">
        <f t="shared" si="389"/>
        <v>5522</v>
      </c>
      <c r="G1118" s="703"/>
    </row>
    <row r="1119" spans="2:7">
      <c r="B1119" s="704" t="s">
        <v>4383</v>
      </c>
      <c r="C1119" s="699">
        <f>(0.15+0.2)*C1118</f>
        <v>11.666666666666666</v>
      </c>
      <c r="D1119" s="700" t="s">
        <v>213</v>
      </c>
      <c r="E1119" s="701">
        <f t="shared" si="390"/>
        <v>33.14</v>
      </c>
      <c r="F1119" s="702">
        <f t="shared" si="389"/>
        <v>386.63333333333333</v>
      </c>
      <c r="G1119" s="703"/>
    </row>
    <row r="1120" spans="2:7">
      <c r="B1120" s="704" t="s">
        <v>1684</v>
      </c>
      <c r="C1120" s="699">
        <v>1</v>
      </c>
      <c r="D1120" s="700" t="s">
        <v>825</v>
      </c>
      <c r="E1120" s="701">
        <f t="shared" si="390"/>
        <v>600.29999999999995</v>
      </c>
      <c r="F1120" s="702"/>
      <c r="G1120" s="703"/>
    </row>
    <row r="1121" spans="1:7">
      <c r="B1121" s="704" t="s">
        <v>208</v>
      </c>
      <c r="C1121" s="699">
        <f>SUM(F1114:F1116)</f>
        <v>19198.588908799997</v>
      </c>
      <c r="D1121" s="700" t="s">
        <v>209</v>
      </c>
      <c r="E1121" s="701">
        <f t="shared" si="390"/>
        <v>0.02</v>
      </c>
      <c r="F1121" s="702">
        <f t="shared" si="389"/>
        <v>383.97177817599993</v>
      </c>
      <c r="G1121" s="703">
        <f>SUM(F1114:F1121)</f>
        <v>27250.520000469332</v>
      </c>
    </row>
    <row r="1122" spans="1:7">
      <c r="B1122" s="12"/>
      <c r="C1122" s="434"/>
      <c r="D1122" s="24"/>
      <c r="E1122" s="41"/>
      <c r="F1122" s="31"/>
      <c r="G1122" s="32"/>
    </row>
    <row r="1128" spans="1:7">
      <c r="A1128" s="608">
        <v>15</v>
      </c>
      <c r="B1128" s="1661" t="s">
        <v>5451</v>
      </c>
    </row>
    <row r="1129" spans="1:7">
      <c r="A1129" s="608">
        <v>15.01</v>
      </c>
      <c r="B1129" s="608" t="s">
        <v>5401</v>
      </c>
      <c r="C1129" s="608">
        <v>77.599999999999994</v>
      </c>
      <c r="D1129" s="608" t="s">
        <v>4019</v>
      </c>
      <c r="E1129" s="608">
        <v>2081.6840492145802</v>
      </c>
      <c r="F1129" s="608">
        <f>C1129*E1129</f>
        <v>161538.68221905141</v>
      </c>
    </row>
    <row r="1130" spans="1:7">
      <c r="A1130" s="608">
        <v>15.02</v>
      </c>
      <c r="B1130" s="608" t="s">
        <v>5448</v>
      </c>
      <c r="C1130" s="608">
        <v>4.2768000000000006</v>
      </c>
      <c r="D1130" s="608" t="s">
        <v>4352</v>
      </c>
      <c r="E1130" s="608">
        <v>22505.495870125003</v>
      </c>
      <c r="F1130" s="608">
        <f t="shared" ref="F1130:F1140" si="391">C1130*E1130</f>
        <v>96251.504737350624</v>
      </c>
    </row>
    <row r="1131" spans="1:7">
      <c r="A1131" s="608">
        <v>15.02</v>
      </c>
      <c r="B1131" s="608" t="s">
        <v>102</v>
      </c>
      <c r="C1131" s="608">
        <v>10.96</v>
      </c>
      <c r="D1131" s="608" t="s">
        <v>2928</v>
      </c>
      <c r="E1131" s="608">
        <v>1235.8099999999997</v>
      </c>
      <c r="F1131" s="608">
        <f t="shared" si="391"/>
        <v>13544.477599999998</v>
      </c>
    </row>
    <row r="1132" spans="1:7">
      <c r="A1132" s="608">
        <v>15.03</v>
      </c>
      <c r="B1132" s="608" t="s">
        <v>5389</v>
      </c>
      <c r="C1132" s="608">
        <v>97.039999999999992</v>
      </c>
      <c r="D1132" s="608" t="s">
        <v>2928</v>
      </c>
      <c r="E1132" s="608">
        <v>125.82370457166</v>
      </c>
      <c r="F1132" s="608">
        <f t="shared" si="391"/>
        <v>12209.932291633886</v>
      </c>
    </row>
    <row r="1133" spans="1:7">
      <c r="A1133" s="608">
        <v>15.04</v>
      </c>
      <c r="B1133" s="608" t="s">
        <v>5386</v>
      </c>
      <c r="C1133" s="608">
        <v>25.208000000000002</v>
      </c>
      <c r="D1133" s="608" t="s">
        <v>2928</v>
      </c>
      <c r="E1133" s="608">
        <v>515.04</v>
      </c>
      <c r="F1133" s="608">
        <f t="shared" si="391"/>
        <v>12983.12832</v>
      </c>
    </row>
    <row r="1134" spans="1:7">
      <c r="A1134" s="608">
        <v>15.049999999999999</v>
      </c>
      <c r="B1134" s="608" t="s">
        <v>4357</v>
      </c>
      <c r="C1134" s="608">
        <v>97.039999999999992</v>
      </c>
      <c r="D1134" s="608" t="s">
        <v>2928</v>
      </c>
      <c r="E1134" s="608">
        <v>386.9</v>
      </c>
      <c r="F1134" s="608">
        <f t="shared" si="391"/>
        <v>37544.775999999998</v>
      </c>
    </row>
    <row r="1135" spans="1:7">
      <c r="A1135" s="608">
        <v>15.059999999999999</v>
      </c>
      <c r="B1135" s="608" t="s">
        <v>1170</v>
      </c>
      <c r="C1135" s="608">
        <v>199.04000000000002</v>
      </c>
      <c r="D1135" s="608" t="s">
        <v>4019</v>
      </c>
      <c r="E1135" s="608">
        <v>102.31</v>
      </c>
      <c r="F1135" s="608">
        <f t="shared" si="391"/>
        <v>20363.782400000004</v>
      </c>
    </row>
    <row r="1136" spans="1:7">
      <c r="A1136" s="608">
        <v>15.069999999999999</v>
      </c>
      <c r="B1136" s="608" t="s">
        <v>4358</v>
      </c>
      <c r="C1136" s="608">
        <v>102.80799999999999</v>
      </c>
      <c r="D1136" s="608" t="s">
        <v>2928</v>
      </c>
      <c r="E1136" s="608">
        <v>128.31</v>
      </c>
      <c r="F1136" s="608">
        <f t="shared" si="391"/>
        <v>13191.294479999999</v>
      </c>
    </row>
    <row r="1137" spans="1:10">
      <c r="A1137" s="608">
        <v>15.079999999999998</v>
      </c>
      <c r="B1137" s="608" t="s">
        <v>5387</v>
      </c>
      <c r="C1137" s="608">
        <v>102.80799999999999</v>
      </c>
      <c r="D1137" s="608" t="s">
        <v>2928</v>
      </c>
      <c r="E1137" s="608">
        <v>202.11999999999998</v>
      </c>
      <c r="F1137" s="608">
        <f t="shared" si="391"/>
        <v>20779.552959999997</v>
      </c>
    </row>
    <row r="1138" spans="1:10">
      <c r="A1138" s="608">
        <v>15.089999999999998</v>
      </c>
      <c r="B1138" s="608" t="s">
        <v>5083</v>
      </c>
      <c r="C1138" s="608">
        <v>38.799999999999997</v>
      </c>
      <c r="D1138" s="608" t="s">
        <v>2928</v>
      </c>
      <c r="F1138" s="608">
        <f t="shared" si="391"/>
        <v>0</v>
      </c>
    </row>
    <row r="1139" spans="1:10">
      <c r="A1139" s="608">
        <v>15.099999999999998</v>
      </c>
      <c r="B1139" s="608" t="s">
        <v>5388</v>
      </c>
      <c r="C1139" s="608">
        <v>77.599999999999994</v>
      </c>
      <c r="D1139" s="608" t="s">
        <v>4019</v>
      </c>
      <c r="F1139" s="608">
        <f t="shared" si="391"/>
        <v>0</v>
      </c>
    </row>
    <row r="1140" spans="1:10">
      <c r="A1140" s="608">
        <v>15.109999999999998</v>
      </c>
      <c r="B1140" s="608" t="s">
        <v>5084</v>
      </c>
      <c r="C1140" s="608">
        <v>38.799999999999997</v>
      </c>
      <c r="D1140" s="608" t="s">
        <v>2928</v>
      </c>
      <c r="F1140" s="608">
        <f t="shared" si="391"/>
        <v>0</v>
      </c>
      <c r="G1140" s="608">
        <v>448185.88999999996</v>
      </c>
      <c r="H1140" s="608">
        <f>SUM(F1129:F1140)</f>
        <v>388407.13100803597</v>
      </c>
    </row>
    <row r="1141" spans="1:10">
      <c r="H1141" s="1662">
        <f>H1140/C1129</f>
        <v>5005.2465336087116</v>
      </c>
      <c r="I1141" s="1663">
        <v>6000</v>
      </c>
      <c r="J1141" s="1661" t="s">
        <v>5453</v>
      </c>
    </row>
    <row r="1143" spans="1:10">
      <c r="A1143" s="608">
        <v>27</v>
      </c>
      <c r="B1143" s="1661" t="s">
        <v>5452</v>
      </c>
    </row>
    <row r="1144" spans="1:10">
      <c r="A1144" s="608">
        <v>27.01</v>
      </c>
      <c r="B1144" s="608" t="s">
        <v>5401</v>
      </c>
      <c r="C1144" s="608">
        <v>77.599999999999994</v>
      </c>
      <c r="D1144" s="608" t="s">
        <v>4019</v>
      </c>
      <c r="E1144" s="608">
        <v>2097.0680692235178</v>
      </c>
      <c r="F1144" s="608">
        <v>162732.48000000001</v>
      </c>
    </row>
    <row r="1145" spans="1:10">
      <c r="A1145" s="608">
        <v>27.020000000000003</v>
      </c>
      <c r="B1145" s="608" t="s">
        <v>5448</v>
      </c>
      <c r="C1145" s="608">
        <v>4.4176000000000011</v>
      </c>
      <c r="D1145" s="608" t="s">
        <v>4352</v>
      </c>
      <c r="E1145" s="608">
        <v>22662.993689537503</v>
      </c>
      <c r="F1145" s="608">
        <v>100116.04</v>
      </c>
    </row>
    <row r="1146" spans="1:10">
      <c r="A1146" s="608">
        <v>27.020000000000003</v>
      </c>
      <c r="B1146" s="608" t="s">
        <v>102</v>
      </c>
      <c r="C1146" s="608">
        <v>16.440000000000001</v>
      </c>
      <c r="D1146" s="608" t="s">
        <v>2928</v>
      </c>
      <c r="E1146" s="608">
        <v>1270.6499999999999</v>
      </c>
      <c r="F1146" s="608">
        <v>20889.490000000002</v>
      </c>
    </row>
    <row r="1147" spans="1:10">
      <c r="A1147" s="608">
        <v>27.030000000000005</v>
      </c>
      <c r="B1147" s="608" t="s">
        <v>5389</v>
      </c>
      <c r="C1147" s="608">
        <v>97.679999999999993</v>
      </c>
      <c r="D1147" s="608" t="s">
        <v>2928</v>
      </c>
      <c r="E1147" s="608">
        <v>125.82370457166</v>
      </c>
      <c r="F1147" s="608">
        <v>12290.46</v>
      </c>
    </row>
    <row r="1148" spans="1:10">
      <c r="A1148" s="608">
        <v>27.040000000000006</v>
      </c>
      <c r="B1148" s="608" t="s">
        <v>5386</v>
      </c>
      <c r="C1148" s="608">
        <v>37.812000000000005</v>
      </c>
      <c r="D1148" s="608" t="s">
        <v>2928</v>
      </c>
      <c r="E1148" s="608">
        <v>539.98000000000013</v>
      </c>
      <c r="F1148" s="608">
        <v>20417.72</v>
      </c>
    </row>
    <row r="1149" spans="1:10">
      <c r="A1149" s="608">
        <v>27.050000000000008</v>
      </c>
      <c r="B1149" s="608" t="s">
        <v>4357</v>
      </c>
      <c r="C1149" s="608">
        <v>97.679999999999993</v>
      </c>
      <c r="D1149" s="608" t="s">
        <v>2928</v>
      </c>
      <c r="E1149" s="608">
        <v>392.21999999999997</v>
      </c>
      <c r="F1149" s="608">
        <v>38312.050000000003</v>
      </c>
    </row>
    <row r="1150" spans="1:10">
      <c r="A1150" s="608">
        <v>27.060000000000009</v>
      </c>
      <c r="B1150" s="608" t="s">
        <v>1170</v>
      </c>
      <c r="C1150" s="608">
        <v>220.96</v>
      </c>
      <c r="D1150" s="608" t="s">
        <v>4019</v>
      </c>
      <c r="E1150" s="608">
        <v>104.58</v>
      </c>
      <c r="F1150" s="608">
        <v>23108</v>
      </c>
    </row>
    <row r="1151" spans="1:10">
      <c r="A1151" s="608">
        <v>27.070000000000011</v>
      </c>
      <c r="B1151" s="608" t="s">
        <v>4358</v>
      </c>
      <c r="C1151" s="608">
        <v>115.41200000000001</v>
      </c>
      <c r="D1151" s="608" t="s">
        <v>2928</v>
      </c>
      <c r="E1151" s="608">
        <v>129.71</v>
      </c>
      <c r="F1151" s="608">
        <v>14970.09</v>
      </c>
    </row>
    <row r="1152" spans="1:10">
      <c r="A1152" s="608">
        <v>27.080000000000013</v>
      </c>
      <c r="B1152" s="608" t="s">
        <v>5387</v>
      </c>
      <c r="C1152" s="608">
        <v>115.41200000000001</v>
      </c>
      <c r="D1152" s="608" t="s">
        <v>2928</v>
      </c>
      <c r="E1152" s="608">
        <v>209.64999999999998</v>
      </c>
      <c r="F1152" s="608">
        <v>24196.13</v>
      </c>
    </row>
    <row r="1153" spans="1:8">
      <c r="A1153" s="608">
        <v>27.090000000000014</v>
      </c>
      <c r="B1153" s="608" t="s">
        <v>5083</v>
      </c>
      <c r="C1153" s="608">
        <v>38.799999999999997</v>
      </c>
      <c r="D1153" s="608" t="s">
        <v>2928</v>
      </c>
      <c r="F1153" s="608">
        <v>23356.05</v>
      </c>
    </row>
    <row r="1154" spans="1:8">
      <c r="A1154" s="608">
        <v>27.100000000000016</v>
      </c>
      <c r="B1154" s="608" t="s">
        <v>5388</v>
      </c>
      <c r="C1154" s="608">
        <v>77.599999999999994</v>
      </c>
      <c r="D1154" s="608" t="s">
        <v>4019</v>
      </c>
      <c r="F1154" s="608">
        <v>10091.1</v>
      </c>
    </row>
    <row r="1155" spans="1:8">
      <c r="A1155" s="608">
        <v>27.110000000000017</v>
      </c>
      <c r="B1155" s="608" t="s">
        <v>5084</v>
      </c>
      <c r="C1155" s="608">
        <v>38.799999999999997</v>
      </c>
      <c r="D1155" s="608" t="s">
        <v>2928</v>
      </c>
      <c r="F1155" s="608">
        <v>27215.48</v>
      </c>
      <c r="G1155" s="608">
        <v>477695.09</v>
      </c>
      <c r="H1155" s="1662">
        <f>G1155/C1144</f>
        <v>6155.8645618556711</v>
      </c>
    </row>
  </sheetData>
  <pageMargins left="0.25" right="0.25" top="0.5" bottom="0.5" header="0.3" footer="0.3"/>
  <pageSetup scale="7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indexed="40"/>
  </sheetPr>
  <dimension ref="A1:BL731"/>
  <sheetViews>
    <sheetView view="pageBreakPreview" topLeftCell="A238" zoomScale="111" zoomScaleSheetLayoutView="111" workbookViewId="0">
      <selection activeCell="D251" sqref="D251"/>
    </sheetView>
  </sheetViews>
  <sheetFormatPr baseColWidth="10" defaultColWidth="9.28515625" defaultRowHeight="15.75"/>
  <cols>
    <col min="1" max="1" width="69.5703125" style="48" customWidth="1"/>
    <col min="2" max="2" width="8.28515625" style="164" customWidth="1"/>
    <col min="3" max="3" width="14.42578125" style="60" customWidth="1"/>
    <col min="4" max="4" width="16" style="148" customWidth="1"/>
    <col min="5" max="5" width="17.28515625" style="4" customWidth="1"/>
    <col min="6" max="16384" width="9.28515625" style="4"/>
  </cols>
  <sheetData>
    <row r="1" spans="1:4" ht="23.25" customHeight="1" thickTop="1" thickBot="1">
      <c r="A1" s="1736" t="s">
        <v>4211</v>
      </c>
      <c r="B1" s="1737"/>
      <c r="C1" s="1738"/>
    </row>
    <row r="2" spans="1:4" ht="17.25" thickTop="1" thickBot="1"/>
    <row r="3" spans="1:4" s="48" customFormat="1" ht="17.25" thickTop="1" thickBot="1">
      <c r="A3" s="497" t="s">
        <v>4210</v>
      </c>
      <c r="B3" s="497" t="s">
        <v>324</v>
      </c>
      <c r="C3" s="497" t="s">
        <v>1339</v>
      </c>
      <c r="D3" s="110"/>
    </row>
    <row r="4" spans="1:4" s="12" customFormat="1" ht="16.5" thickTop="1">
      <c r="A4" s="99"/>
      <c r="B4" s="164"/>
      <c r="C4" s="188"/>
      <c r="D4" s="13"/>
    </row>
    <row r="5" spans="1:4" ht="15" customHeight="1">
      <c r="A5" s="48" t="s">
        <v>1</v>
      </c>
      <c r="B5" s="164" t="s">
        <v>1172</v>
      </c>
      <c r="C5" s="181">
        <v>425</v>
      </c>
      <c r="D5" s="45"/>
    </row>
    <row r="6" spans="1:4">
      <c r="A6" s="79" t="s">
        <v>2</v>
      </c>
      <c r="B6" s="164" t="s">
        <v>1172</v>
      </c>
      <c r="C6" s="181">
        <v>900</v>
      </c>
    </row>
    <row r="7" spans="1:4">
      <c r="A7" s="79" t="s">
        <v>2035</v>
      </c>
      <c r="B7" s="164" t="s">
        <v>1172</v>
      </c>
      <c r="C7" s="181">
        <v>250</v>
      </c>
    </row>
    <row r="8" spans="1:4">
      <c r="A8" s="79" t="s">
        <v>657</v>
      </c>
      <c r="B8" s="164" t="s">
        <v>1172</v>
      </c>
      <c r="C8" s="181">
        <v>250</v>
      </c>
    </row>
    <row r="9" spans="1:4">
      <c r="A9" s="79" t="s">
        <v>198</v>
      </c>
      <c r="B9" s="164" t="s">
        <v>1172</v>
      </c>
      <c r="C9" s="181">
        <v>220</v>
      </c>
    </row>
    <row r="10" spans="1:4">
      <c r="A10" s="79" t="s">
        <v>1117</v>
      </c>
      <c r="B10" s="164" t="s">
        <v>1172</v>
      </c>
      <c r="C10" s="181">
        <v>250</v>
      </c>
    </row>
    <row r="11" spans="1:4">
      <c r="A11" s="48" t="s">
        <v>1381</v>
      </c>
      <c r="B11" s="164" t="s">
        <v>1172</v>
      </c>
      <c r="C11" s="60">
        <v>806.2</v>
      </c>
    </row>
    <row r="12" spans="1:4">
      <c r="A12" s="48" t="s">
        <v>1364</v>
      </c>
      <c r="B12" s="164" t="s">
        <v>1172</v>
      </c>
      <c r="C12" s="181">
        <v>335</v>
      </c>
    </row>
    <row r="13" spans="1:4" s="12" customFormat="1">
      <c r="A13" s="48" t="s">
        <v>1380</v>
      </c>
      <c r="B13" s="164" t="s">
        <v>825</v>
      </c>
      <c r="C13" s="642">
        <v>900</v>
      </c>
      <c r="D13" s="13"/>
    </row>
    <row r="14" spans="1:4" s="12" customFormat="1">
      <c r="A14" s="48" t="s">
        <v>1374</v>
      </c>
      <c r="B14" s="164" t="s">
        <v>825</v>
      </c>
      <c r="C14" s="642">
        <v>900</v>
      </c>
      <c r="D14" s="13"/>
    </row>
    <row r="15" spans="1:4" s="12" customFormat="1">
      <c r="A15" s="48" t="s">
        <v>3</v>
      </c>
      <c r="B15" s="164" t="s">
        <v>825</v>
      </c>
      <c r="C15" s="642">
        <v>900</v>
      </c>
      <c r="D15" s="13"/>
    </row>
    <row r="16" spans="1:4" s="12" customFormat="1">
      <c r="A16" s="48" t="s">
        <v>1373</v>
      </c>
      <c r="B16" s="164" t="s">
        <v>825</v>
      </c>
      <c r="C16" s="642">
        <v>900</v>
      </c>
      <c r="D16" s="13"/>
    </row>
    <row r="17" spans="1:64" s="12" customFormat="1">
      <c r="A17" s="48" t="s">
        <v>1408</v>
      </c>
      <c r="B17" s="164" t="s">
        <v>825</v>
      </c>
      <c r="C17" s="642">
        <v>900</v>
      </c>
      <c r="D17" s="13"/>
    </row>
    <row r="18" spans="1:64">
      <c r="A18" s="79" t="s">
        <v>826</v>
      </c>
      <c r="B18" s="164" t="s">
        <v>825</v>
      </c>
      <c r="C18" s="60">
        <v>950</v>
      </c>
    </row>
    <row r="19" spans="1:64">
      <c r="A19" s="48" t="s">
        <v>1556</v>
      </c>
      <c r="B19" s="164" t="s">
        <v>825</v>
      </c>
      <c r="C19" s="181">
        <v>750</v>
      </c>
    </row>
    <row r="20" spans="1:64">
      <c r="A20" s="48" t="s">
        <v>1564</v>
      </c>
      <c r="B20" s="164" t="s">
        <v>825</v>
      </c>
      <c r="C20" s="60">
        <f>Ana.term!F32</f>
        <v>603.04999999999995</v>
      </c>
    </row>
    <row r="21" spans="1:64">
      <c r="A21" s="79" t="s">
        <v>1061</v>
      </c>
      <c r="B21" s="164" t="s">
        <v>825</v>
      </c>
      <c r="C21" s="60">
        <v>775</v>
      </c>
    </row>
    <row r="22" spans="1:64">
      <c r="A22" s="79" t="s">
        <v>1437</v>
      </c>
      <c r="B22" s="164" t="s">
        <v>1172</v>
      </c>
      <c r="C22" s="181">
        <v>80</v>
      </c>
    </row>
    <row r="23" spans="1:64">
      <c r="A23" s="79" t="s">
        <v>1540</v>
      </c>
      <c r="B23" s="164" t="s">
        <v>1172</v>
      </c>
      <c r="C23" s="181">
        <v>160</v>
      </c>
    </row>
    <row r="24" spans="1:64">
      <c r="A24" s="79" t="s">
        <v>1554</v>
      </c>
      <c r="B24" s="164" t="s">
        <v>1172</v>
      </c>
      <c r="C24" s="181">
        <v>260</v>
      </c>
    </row>
    <row r="25" spans="1:64">
      <c r="A25" s="79" t="s">
        <v>1555</v>
      </c>
      <c r="B25" s="164" t="s">
        <v>1172</v>
      </c>
      <c r="C25" s="181">
        <v>220</v>
      </c>
    </row>
    <row r="26" spans="1:64">
      <c r="A26" s="79" t="s">
        <v>1552</v>
      </c>
      <c r="B26" s="164" t="s">
        <v>1172</v>
      </c>
      <c r="C26" s="181">
        <v>220</v>
      </c>
    </row>
    <row r="27" spans="1:64">
      <c r="A27" s="79" t="s">
        <v>1553</v>
      </c>
      <c r="B27" s="164" t="s">
        <v>1172</v>
      </c>
      <c r="C27" s="181">
        <v>220</v>
      </c>
    </row>
    <row r="28" spans="1:64">
      <c r="A28" s="79" t="s">
        <v>191</v>
      </c>
      <c r="B28" s="164" t="s">
        <v>828</v>
      </c>
      <c r="C28" s="60">
        <v>200</v>
      </c>
    </row>
    <row r="29" spans="1:64" s="126" customFormat="1" ht="18.75">
      <c r="A29" s="79" t="s">
        <v>1605</v>
      </c>
      <c r="B29" s="164" t="s">
        <v>828</v>
      </c>
      <c r="C29" s="60">
        <v>170</v>
      </c>
      <c r="D29" s="149"/>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row>
    <row r="30" spans="1:64" s="126" customFormat="1" ht="19.5" thickBot="1">
      <c r="A30" s="79" t="s">
        <v>1606</v>
      </c>
      <c r="B30" s="164" t="s">
        <v>1607</v>
      </c>
      <c r="C30" s="181">
        <v>1700</v>
      </c>
      <c r="D30" s="149"/>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row>
    <row r="31" spans="1:64" ht="17.25" thickTop="1" thickBot="1">
      <c r="A31" s="498" t="s">
        <v>1323</v>
      </c>
    </row>
    <row r="32" spans="1:64" ht="15" customHeight="1" thickTop="1">
      <c r="A32" s="48" t="s">
        <v>2034</v>
      </c>
      <c r="B32" s="164" t="s">
        <v>825</v>
      </c>
      <c r="C32" s="181">
        <v>5659</v>
      </c>
    </row>
    <row r="33" spans="1:6">
      <c r="A33" s="48" t="s">
        <v>691</v>
      </c>
      <c r="B33" s="164" t="s">
        <v>825</v>
      </c>
      <c r="C33" s="181">
        <v>5859</v>
      </c>
    </row>
    <row r="34" spans="1:6">
      <c r="A34" s="48" t="s">
        <v>1326</v>
      </c>
      <c r="B34" s="164" t="s">
        <v>825</v>
      </c>
      <c r="C34" s="181">
        <v>6059</v>
      </c>
    </row>
    <row r="35" spans="1:6">
      <c r="A35" s="48" t="s">
        <v>2036</v>
      </c>
      <c r="B35" s="164" t="s">
        <v>825</v>
      </c>
      <c r="C35" s="181">
        <v>6667.86</v>
      </c>
    </row>
    <row r="36" spans="1:6">
      <c r="A36" s="48" t="s">
        <v>2037</v>
      </c>
      <c r="B36" s="164" t="s">
        <v>825</v>
      </c>
      <c r="C36" s="181">
        <v>6850</v>
      </c>
      <c r="E36" s="166"/>
      <c r="F36" s="166"/>
    </row>
    <row r="37" spans="1:6">
      <c r="A37" s="48" t="s">
        <v>2038</v>
      </c>
      <c r="B37" s="164" t="s">
        <v>825</v>
      </c>
      <c r="C37" s="181">
        <v>7077.29</v>
      </c>
      <c r="E37" s="166"/>
      <c r="F37" s="166"/>
    </row>
    <row r="38" spans="1:6">
      <c r="A38" s="48" t="s">
        <v>2039</v>
      </c>
      <c r="B38" s="164" t="s">
        <v>825</v>
      </c>
      <c r="C38" s="181">
        <v>7194.27</v>
      </c>
      <c r="E38" s="166"/>
      <c r="F38" s="166"/>
    </row>
    <row r="39" spans="1:6">
      <c r="A39" s="48" t="s">
        <v>1327</v>
      </c>
      <c r="B39" s="164" t="s">
        <v>825</v>
      </c>
      <c r="C39" s="60">
        <v>6188.6</v>
      </c>
    </row>
    <row r="40" spans="1:6">
      <c r="A40" s="48" t="s">
        <v>1328</v>
      </c>
      <c r="B40" s="164" t="s">
        <v>825</v>
      </c>
      <c r="C40" s="181">
        <v>7311.25</v>
      </c>
    </row>
    <row r="41" spans="1:6">
      <c r="A41" s="48" t="s">
        <v>1329</v>
      </c>
      <c r="B41" s="164" t="s">
        <v>825</v>
      </c>
      <c r="C41" s="181">
        <v>7410</v>
      </c>
    </row>
    <row r="42" spans="1:6">
      <c r="A42" s="48" t="s">
        <v>1330</v>
      </c>
      <c r="B42" s="164" t="s">
        <v>825</v>
      </c>
      <c r="C42" s="181">
        <v>7560</v>
      </c>
    </row>
    <row r="43" spans="1:6">
      <c r="A43" s="48" t="s">
        <v>1331</v>
      </c>
      <c r="B43" s="164" t="s">
        <v>825</v>
      </c>
      <c r="C43" s="181">
        <v>7736</v>
      </c>
    </row>
    <row r="44" spans="1:6">
      <c r="A44" s="48" t="s">
        <v>1332</v>
      </c>
      <c r="B44" s="164" t="s">
        <v>825</v>
      </c>
      <c r="C44" s="181">
        <v>8251</v>
      </c>
    </row>
    <row r="45" spans="1:6">
      <c r="A45" s="48" t="s">
        <v>1609</v>
      </c>
      <c r="B45" s="164" t="s">
        <v>825</v>
      </c>
      <c r="C45" s="181">
        <v>9000</v>
      </c>
    </row>
    <row r="46" spans="1:6">
      <c r="A46" s="48" t="s">
        <v>1610</v>
      </c>
      <c r="B46" s="164" t="s">
        <v>825</v>
      </c>
      <c r="C46" s="60">
        <v>8120</v>
      </c>
    </row>
    <row r="47" spans="1:6" s="166" customFormat="1">
      <c r="A47" s="48" t="s">
        <v>2040</v>
      </c>
      <c r="B47" s="164" t="s">
        <v>825</v>
      </c>
      <c r="C47" s="181">
        <v>6850</v>
      </c>
      <c r="D47" s="148"/>
    </row>
    <row r="48" spans="1:6">
      <c r="A48" s="183" t="s">
        <v>1054</v>
      </c>
      <c r="B48" s="187" t="s">
        <v>1172</v>
      </c>
      <c r="C48" s="60">
        <v>250</v>
      </c>
    </row>
    <row r="49" spans="1:9">
      <c r="A49" s="48" t="s">
        <v>1365</v>
      </c>
      <c r="B49" s="164" t="s">
        <v>1172</v>
      </c>
      <c r="C49" s="60">
        <v>70</v>
      </c>
    </row>
    <row r="50" spans="1:9">
      <c r="A50" s="79" t="s">
        <v>1342</v>
      </c>
      <c r="B50" s="164" t="s">
        <v>1172</v>
      </c>
      <c r="C50" s="60">
        <v>50</v>
      </c>
    </row>
    <row r="51" spans="1:9" ht="16.5" thickBot="1">
      <c r="A51" s="79" t="s">
        <v>1344</v>
      </c>
      <c r="B51" s="164" t="s">
        <v>1172</v>
      </c>
      <c r="C51" s="181">
        <v>310</v>
      </c>
    </row>
    <row r="52" spans="1:9" ht="17.25" thickTop="1" thickBot="1">
      <c r="A52" s="498" t="s">
        <v>1611</v>
      </c>
      <c r="F52" s="166"/>
    </row>
    <row r="53" spans="1:9" ht="16.5" customHeight="1" thickTop="1">
      <c r="A53" s="48" t="s">
        <v>1027</v>
      </c>
      <c r="B53" s="164" t="s">
        <v>4</v>
      </c>
      <c r="C53" s="181">
        <v>3200</v>
      </c>
      <c r="D53" s="163"/>
    </row>
    <row r="54" spans="1:9">
      <c r="A54" s="48" t="s">
        <v>1028</v>
      </c>
      <c r="B54" s="164" t="s">
        <v>4</v>
      </c>
      <c r="C54" s="181">
        <f>C53</f>
        <v>3200</v>
      </c>
      <c r="D54" s="163"/>
    </row>
    <row r="55" spans="1:9">
      <c r="A55" s="48" t="s">
        <v>1029</v>
      </c>
      <c r="B55" s="164" t="s">
        <v>4</v>
      </c>
      <c r="C55" s="181">
        <f>C53</f>
        <v>3200</v>
      </c>
      <c r="D55" s="163"/>
    </row>
    <row r="56" spans="1:9">
      <c r="A56" s="48" t="s">
        <v>1030</v>
      </c>
      <c r="B56" s="164" t="s">
        <v>4</v>
      </c>
      <c r="C56" s="181">
        <f>C53</f>
        <v>3200</v>
      </c>
      <c r="D56" s="163"/>
    </row>
    <row r="57" spans="1:9">
      <c r="A57" s="48" t="s">
        <v>1031</v>
      </c>
      <c r="B57" s="164" t="s">
        <v>4</v>
      </c>
      <c r="C57" s="181">
        <f>C53</f>
        <v>3200</v>
      </c>
      <c r="D57" s="163"/>
    </row>
    <row r="58" spans="1:9" ht="31.5">
      <c r="A58" s="185" t="s">
        <v>1647</v>
      </c>
      <c r="B58" s="164" t="s">
        <v>1110</v>
      </c>
      <c r="C58" s="181">
        <v>10500</v>
      </c>
    </row>
    <row r="59" spans="1:9" ht="31.5">
      <c r="A59" s="186" t="s">
        <v>1648</v>
      </c>
      <c r="B59" s="164" t="s">
        <v>4</v>
      </c>
      <c r="C59" s="60">
        <f>C58/3.58</f>
        <v>2932.9608938547485</v>
      </c>
    </row>
    <row r="60" spans="1:9" ht="31.5">
      <c r="A60" s="185" t="s">
        <v>1650</v>
      </c>
      <c r="B60" s="164" t="s">
        <v>1110</v>
      </c>
      <c r="C60" s="181">
        <v>8500</v>
      </c>
      <c r="H60" s="4">
        <v>2.4500000000000002</v>
      </c>
      <c r="I60" s="4">
        <v>486.5</v>
      </c>
    </row>
    <row r="61" spans="1:9" ht="31.5">
      <c r="A61" s="186" t="s">
        <v>1650</v>
      </c>
      <c r="B61" s="164" t="s">
        <v>4</v>
      </c>
      <c r="C61" s="60">
        <f>C60/2.45</f>
        <v>3469.3877551020405</v>
      </c>
      <c r="H61" s="4">
        <f>2.5*40</f>
        <v>100</v>
      </c>
      <c r="I61" s="4">
        <f>H60*I60</f>
        <v>1191.9250000000002</v>
      </c>
    </row>
    <row r="62" spans="1:9" ht="31.5">
      <c r="A62" s="185" t="s">
        <v>1649</v>
      </c>
      <c r="B62" s="164" t="s">
        <v>1110</v>
      </c>
      <c r="C62" s="181">
        <v>17000</v>
      </c>
      <c r="D62" s="163"/>
      <c r="I62" s="4">
        <f>I61/H61</f>
        <v>11.919250000000002</v>
      </c>
    </row>
    <row r="63" spans="1:9" ht="31.5">
      <c r="A63" s="186" t="s">
        <v>1649</v>
      </c>
      <c r="B63" s="164" t="s">
        <v>4</v>
      </c>
      <c r="C63" s="60">
        <f>C62/4.89</f>
        <v>3476.4826175869125</v>
      </c>
    </row>
    <row r="64" spans="1:9" ht="31.5">
      <c r="A64" s="186" t="s">
        <v>1651</v>
      </c>
      <c r="B64" s="164" t="s">
        <v>1110</v>
      </c>
      <c r="C64" s="60">
        <f>5902.13*1.16</f>
        <v>6846.4708000000001</v>
      </c>
    </row>
    <row r="65" spans="1:4" ht="31.5">
      <c r="A65" s="186" t="s">
        <v>1651</v>
      </c>
      <c r="B65" s="164" t="s">
        <v>4</v>
      </c>
      <c r="C65" s="60">
        <f>C64/3.26</f>
        <v>2100.1444171779144</v>
      </c>
    </row>
    <row r="66" spans="1:4" ht="31.5">
      <c r="A66" s="186" t="s">
        <v>1652</v>
      </c>
      <c r="B66" s="164" t="s">
        <v>1110</v>
      </c>
      <c r="C66" s="60">
        <f>10658.82*1.16</f>
        <v>12364.231199999998</v>
      </c>
    </row>
    <row r="67" spans="1:4" ht="31.5">
      <c r="A67" s="186" t="s">
        <v>1652</v>
      </c>
      <c r="B67" s="164" t="s">
        <v>4</v>
      </c>
      <c r="C67" s="60">
        <f>C66/5.79</f>
        <v>2135.4458031088079</v>
      </c>
    </row>
    <row r="68" spans="1:4" ht="31.5">
      <c r="A68" s="186" t="s">
        <v>1653</v>
      </c>
      <c r="B68" s="164" t="s">
        <v>1110</v>
      </c>
      <c r="C68" s="60">
        <f>11080.56*1.16</f>
        <v>12853.449599999998</v>
      </c>
    </row>
    <row r="69" spans="1:4" ht="31.5">
      <c r="A69" s="186" t="s">
        <v>1653</v>
      </c>
      <c r="B69" s="164" t="s">
        <v>4</v>
      </c>
      <c r="C69" s="60">
        <f>C68/4.99</f>
        <v>2575.8416032064124</v>
      </c>
    </row>
    <row r="70" spans="1:4" s="166" customFormat="1">
      <c r="A70" s="186" t="s">
        <v>2041</v>
      </c>
      <c r="B70" s="164" t="s">
        <v>1110</v>
      </c>
      <c r="C70" s="181">
        <v>3232</v>
      </c>
      <c r="D70" s="148"/>
    </row>
    <row r="71" spans="1:4" s="166" customFormat="1">
      <c r="A71" s="186" t="s">
        <v>2042</v>
      </c>
      <c r="B71" s="164" t="s">
        <v>1110</v>
      </c>
      <c r="C71" s="181">
        <v>5631</v>
      </c>
      <c r="D71" s="148"/>
    </row>
    <row r="72" spans="1:4" s="166" customFormat="1">
      <c r="A72" s="186" t="s">
        <v>2043</v>
      </c>
      <c r="B72" s="164" t="s">
        <v>1110</v>
      </c>
      <c r="C72" s="181"/>
      <c r="D72" s="148"/>
    </row>
    <row r="73" spans="1:4" s="166" customFormat="1" ht="16.5" thickBot="1">
      <c r="A73" s="186"/>
      <c r="B73" s="164"/>
      <c r="C73" s="60"/>
      <c r="D73" s="148"/>
    </row>
    <row r="74" spans="1:4" ht="17.25" thickTop="1" thickBot="1">
      <c r="A74" s="498" t="s">
        <v>1377</v>
      </c>
    </row>
    <row r="75" spans="1:4" ht="16.5" thickTop="1">
      <c r="A75" s="79" t="s">
        <v>5</v>
      </c>
      <c r="B75" s="164" t="s">
        <v>218</v>
      </c>
      <c r="C75" s="181">
        <v>60</v>
      </c>
    </row>
    <row r="76" spans="1:4">
      <c r="A76" s="79" t="s">
        <v>1455</v>
      </c>
      <c r="B76" s="164" t="s">
        <v>1110</v>
      </c>
      <c r="C76" s="181">
        <v>2300</v>
      </c>
    </row>
    <row r="77" spans="1:4">
      <c r="A77" s="79" t="s">
        <v>1457</v>
      </c>
      <c r="B77" s="164" t="s">
        <v>1110</v>
      </c>
      <c r="C77" s="60">
        <v>1750</v>
      </c>
    </row>
    <row r="78" spans="1:4">
      <c r="A78" s="48" t="s">
        <v>1456</v>
      </c>
      <c r="B78" s="164" t="s">
        <v>1110</v>
      </c>
      <c r="C78" s="60">
        <v>338.38</v>
      </c>
    </row>
    <row r="79" spans="1:4" s="166" customFormat="1">
      <c r="A79" s="182" t="s">
        <v>2044</v>
      </c>
      <c r="B79" s="164" t="s">
        <v>1110</v>
      </c>
      <c r="C79" s="60">
        <v>475</v>
      </c>
      <c r="D79" s="148"/>
    </row>
    <row r="80" spans="1:4">
      <c r="A80" s="79" t="s">
        <v>827</v>
      </c>
      <c r="B80" s="164" t="s">
        <v>828</v>
      </c>
      <c r="C80" s="60">
        <v>0.68</v>
      </c>
    </row>
    <row r="81" spans="1:6">
      <c r="A81" s="79" t="s">
        <v>1474</v>
      </c>
      <c r="B81" s="164" t="s">
        <v>828</v>
      </c>
      <c r="C81" s="60">
        <v>300</v>
      </c>
    </row>
    <row r="82" spans="1:6">
      <c r="A82" s="183" t="s">
        <v>1173</v>
      </c>
      <c r="B82" s="187" t="s">
        <v>218</v>
      </c>
      <c r="C82" s="181">
        <v>75</v>
      </c>
    </row>
    <row r="83" spans="1:6" ht="16.5" thickBot="1">
      <c r="A83" s="79" t="s">
        <v>368</v>
      </c>
      <c r="B83" s="164" t="s">
        <v>1017</v>
      </c>
      <c r="C83" s="181">
        <v>50</v>
      </c>
    </row>
    <row r="84" spans="1:6" ht="17.25" thickTop="1" thickBot="1">
      <c r="A84" s="498" t="s">
        <v>1334</v>
      </c>
    </row>
    <row r="85" spans="1:6" ht="15" customHeight="1" thickTop="1">
      <c r="A85" s="48" t="s">
        <v>1355</v>
      </c>
      <c r="B85" s="164" t="s">
        <v>1017</v>
      </c>
      <c r="C85" s="181">
        <v>48</v>
      </c>
    </row>
    <row r="86" spans="1:6">
      <c r="A86" s="48" t="s">
        <v>7</v>
      </c>
      <c r="B86" s="164" t="s">
        <v>1017</v>
      </c>
      <c r="C86" s="181">
        <v>44</v>
      </c>
    </row>
    <row r="87" spans="1:6">
      <c r="A87" s="48" t="s">
        <v>487</v>
      </c>
      <c r="B87" s="164" t="s">
        <v>1017</v>
      </c>
      <c r="C87" s="181">
        <v>34</v>
      </c>
    </row>
    <row r="88" spans="1:6">
      <c r="A88" s="48" t="s">
        <v>1356</v>
      </c>
      <c r="B88" s="164" t="s">
        <v>1017</v>
      </c>
      <c r="C88" s="60">
        <v>33.33</v>
      </c>
    </row>
    <row r="89" spans="1:6">
      <c r="A89" s="48" t="s">
        <v>1357</v>
      </c>
      <c r="B89" s="164" t="s">
        <v>1017</v>
      </c>
      <c r="C89" s="60">
        <v>30.5</v>
      </c>
    </row>
    <row r="90" spans="1:6">
      <c r="A90" s="48" t="s">
        <v>1366</v>
      </c>
      <c r="B90" s="164" t="s">
        <v>1017</v>
      </c>
      <c r="C90" s="60">
        <v>19</v>
      </c>
    </row>
    <row r="91" spans="1:6">
      <c r="A91" s="79" t="s">
        <v>110</v>
      </c>
      <c r="B91" s="164" t="s">
        <v>1017</v>
      </c>
      <c r="C91" s="181">
        <v>225</v>
      </c>
    </row>
    <row r="92" spans="1:6">
      <c r="A92" s="79" t="s">
        <v>57</v>
      </c>
      <c r="B92" s="164" t="s">
        <v>1017</v>
      </c>
      <c r="C92" s="60">
        <v>21.2</v>
      </c>
    </row>
    <row r="93" spans="1:6">
      <c r="A93" s="79" t="s">
        <v>1307</v>
      </c>
      <c r="B93" s="164" t="s">
        <v>1017</v>
      </c>
      <c r="C93" s="181">
        <v>80</v>
      </c>
    </row>
    <row r="94" spans="1:6">
      <c r="A94" s="79" t="s">
        <v>50</v>
      </c>
      <c r="B94" s="164" t="s">
        <v>1017</v>
      </c>
      <c r="C94" s="181">
        <v>85</v>
      </c>
    </row>
    <row r="95" spans="1:6">
      <c r="A95" s="79" t="s">
        <v>52</v>
      </c>
      <c r="B95" s="164" t="s">
        <v>1017</v>
      </c>
      <c r="C95" s="181">
        <v>85</v>
      </c>
      <c r="E95" s="166">
        <f>C96/2</f>
        <v>575</v>
      </c>
      <c r="F95" s="4">
        <f>16*E95</f>
        <v>9200</v>
      </c>
    </row>
    <row r="96" spans="1:6" s="166" customFormat="1">
      <c r="A96" s="79" t="s">
        <v>4140</v>
      </c>
      <c r="B96" s="164" t="s">
        <v>213</v>
      </c>
      <c r="C96" s="60">
        <v>1150</v>
      </c>
      <c r="D96" s="148"/>
      <c r="E96" s="166">
        <f>C97/2</f>
        <v>1475</v>
      </c>
      <c r="F96" s="166">
        <f>E96*16</f>
        <v>23600</v>
      </c>
    </row>
    <row r="97" spans="1:4" s="166" customFormat="1">
      <c r="A97" s="79" t="s">
        <v>4141</v>
      </c>
      <c r="B97" s="164" t="s">
        <v>213</v>
      </c>
      <c r="C97" s="60">
        <v>2950</v>
      </c>
      <c r="D97" s="148"/>
    </row>
    <row r="98" spans="1:4" s="166" customFormat="1">
      <c r="A98" s="79" t="s">
        <v>4142</v>
      </c>
      <c r="B98" s="164" t="s">
        <v>213</v>
      </c>
      <c r="C98" s="60">
        <v>3200</v>
      </c>
      <c r="D98" s="148"/>
    </row>
    <row r="99" spans="1:4" s="166" customFormat="1">
      <c r="A99" s="79" t="s">
        <v>4143</v>
      </c>
      <c r="B99" s="164" t="s">
        <v>1171</v>
      </c>
      <c r="C99" s="60">
        <v>1300</v>
      </c>
      <c r="D99" s="148"/>
    </row>
    <row r="100" spans="1:4" s="166" customFormat="1" ht="16.5" thickBot="1">
      <c r="A100" s="79"/>
      <c r="B100" s="164"/>
      <c r="C100" s="60"/>
      <c r="D100" s="148"/>
    </row>
    <row r="101" spans="1:4" ht="33" thickTop="1" thickBot="1">
      <c r="A101" s="499" t="s">
        <v>1541</v>
      </c>
    </row>
    <row r="102" spans="1:4" ht="16.5" thickTop="1">
      <c r="A102" s="79" t="s">
        <v>1232</v>
      </c>
      <c r="B102" s="164" t="s">
        <v>1017</v>
      </c>
      <c r="C102" s="60">
        <v>34.76</v>
      </c>
    </row>
    <row r="103" spans="1:4">
      <c r="A103" s="79" t="s">
        <v>1233</v>
      </c>
      <c r="B103" s="164" t="s">
        <v>1017</v>
      </c>
      <c r="C103" s="60">
        <v>59.27</v>
      </c>
    </row>
    <row r="104" spans="1:4">
      <c r="A104" s="79" t="s">
        <v>916</v>
      </c>
      <c r="B104" s="164" t="s">
        <v>1017</v>
      </c>
      <c r="C104" s="60">
        <v>107.65</v>
      </c>
    </row>
    <row r="105" spans="1:4">
      <c r="A105" s="79" t="s">
        <v>681</v>
      </c>
      <c r="B105" s="164" t="s">
        <v>1017</v>
      </c>
      <c r="C105" s="60">
        <v>62.63</v>
      </c>
    </row>
    <row r="106" spans="1:4">
      <c r="A106" s="79" t="s">
        <v>255</v>
      </c>
      <c r="B106" s="164" t="s">
        <v>1017</v>
      </c>
      <c r="C106" s="60">
        <v>48.09</v>
      </c>
    </row>
    <row r="107" spans="1:4">
      <c r="A107" s="79" t="s">
        <v>687</v>
      </c>
      <c r="B107" s="164" t="s">
        <v>213</v>
      </c>
      <c r="C107" s="60">
        <v>1986</v>
      </c>
    </row>
    <row r="108" spans="1:4">
      <c r="A108" s="100" t="s">
        <v>1352</v>
      </c>
      <c r="B108" s="164" t="s">
        <v>213</v>
      </c>
      <c r="C108" s="60">
        <v>1857.72</v>
      </c>
    </row>
    <row r="109" spans="1:4">
      <c r="A109" s="79" t="s">
        <v>1324</v>
      </c>
      <c r="B109" s="164" t="s">
        <v>213</v>
      </c>
      <c r="C109" s="60">
        <v>415</v>
      </c>
    </row>
    <row r="110" spans="1:4">
      <c r="A110" s="79" t="s">
        <v>1325</v>
      </c>
      <c r="B110" s="164" t="s">
        <v>213</v>
      </c>
      <c r="C110" s="60">
        <v>609</v>
      </c>
    </row>
    <row r="111" spans="1:4">
      <c r="A111" s="48" t="s">
        <v>1375</v>
      </c>
      <c r="B111" s="164" t="s">
        <v>213</v>
      </c>
      <c r="C111" s="60">
        <v>559</v>
      </c>
    </row>
    <row r="112" spans="1:4">
      <c r="A112" s="48" t="s">
        <v>1372</v>
      </c>
      <c r="B112" s="164" t="s">
        <v>213</v>
      </c>
      <c r="C112" s="60">
        <v>295</v>
      </c>
    </row>
    <row r="113" spans="1:3">
      <c r="A113" s="79" t="s">
        <v>1128</v>
      </c>
      <c r="B113" s="164" t="s">
        <v>1017</v>
      </c>
      <c r="C113" s="60">
        <v>32.14</v>
      </c>
    </row>
    <row r="114" spans="1:3">
      <c r="A114" s="79" t="s">
        <v>599</v>
      </c>
      <c r="B114" s="164" t="s">
        <v>213</v>
      </c>
      <c r="C114" s="60">
        <v>285</v>
      </c>
    </row>
    <row r="115" spans="1:3">
      <c r="A115" s="79" t="s">
        <v>1286</v>
      </c>
      <c r="B115" s="164" t="s">
        <v>213</v>
      </c>
      <c r="C115" s="60">
        <v>533</v>
      </c>
    </row>
    <row r="116" spans="1:3">
      <c r="A116" s="79" t="s">
        <v>1458</v>
      </c>
      <c r="B116" s="164" t="s">
        <v>1333</v>
      </c>
      <c r="C116" s="181">
        <v>600</v>
      </c>
    </row>
    <row r="117" spans="1:3">
      <c r="A117" s="79" t="s">
        <v>1459</v>
      </c>
      <c r="B117" s="164" t="s">
        <v>213</v>
      </c>
      <c r="C117" s="60">
        <v>410</v>
      </c>
    </row>
    <row r="118" spans="1:3">
      <c r="A118" s="79" t="s">
        <v>352</v>
      </c>
      <c r="B118" s="164" t="s">
        <v>1017</v>
      </c>
      <c r="C118" s="60">
        <v>67.540000000000006</v>
      </c>
    </row>
    <row r="119" spans="1:3">
      <c r="A119" s="79" t="s">
        <v>352</v>
      </c>
      <c r="B119" s="164" t="s">
        <v>213</v>
      </c>
      <c r="C119" s="60">
        <v>410</v>
      </c>
    </row>
    <row r="120" spans="1:3">
      <c r="A120" s="100" t="s">
        <v>683</v>
      </c>
      <c r="B120" s="164" t="s">
        <v>213</v>
      </c>
      <c r="C120" s="181">
        <v>600</v>
      </c>
    </row>
    <row r="121" spans="1:3">
      <c r="A121" s="101" t="s">
        <v>1012</v>
      </c>
      <c r="B121" s="164" t="s">
        <v>213</v>
      </c>
      <c r="C121" s="60">
        <v>290</v>
      </c>
    </row>
    <row r="122" spans="1:3">
      <c r="A122" s="100" t="s">
        <v>1120</v>
      </c>
      <c r="B122" s="164" t="s">
        <v>213</v>
      </c>
      <c r="C122" s="60">
        <v>350</v>
      </c>
    </row>
    <row r="123" spans="1:3">
      <c r="A123" s="100" t="s">
        <v>1020</v>
      </c>
      <c r="B123" s="164" t="s">
        <v>213</v>
      </c>
      <c r="C123" s="60">
        <v>250</v>
      </c>
    </row>
    <row r="124" spans="1:3">
      <c r="A124" s="100" t="s">
        <v>1192</v>
      </c>
      <c r="B124" s="164" t="s">
        <v>213</v>
      </c>
      <c r="C124" s="60">
        <v>261</v>
      </c>
    </row>
    <row r="125" spans="1:3">
      <c r="A125" s="100" t="s">
        <v>680</v>
      </c>
      <c r="B125" s="164" t="s">
        <v>213</v>
      </c>
      <c r="C125" s="60">
        <v>238.96</v>
      </c>
    </row>
    <row r="126" spans="1:3">
      <c r="A126" s="100" t="s">
        <v>1591</v>
      </c>
      <c r="B126" s="164" t="s">
        <v>1171</v>
      </c>
      <c r="C126" s="60">
        <v>356.93</v>
      </c>
    </row>
    <row r="127" spans="1:3">
      <c r="A127" s="79" t="s">
        <v>695</v>
      </c>
      <c r="B127" s="164" t="s">
        <v>1017</v>
      </c>
      <c r="C127" s="60">
        <v>42.26</v>
      </c>
    </row>
    <row r="128" spans="1:3">
      <c r="A128" s="79" t="s">
        <v>696</v>
      </c>
      <c r="B128" s="164" t="s">
        <v>1017</v>
      </c>
      <c r="C128" s="60">
        <v>67.930000000000007</v>
      </c>
    </row>
    <row r="129" spans="1:3">
      <c r="A129" s="79" t="s">
        <v>780</v>
      </c>
      <c r="B129" s="164" t="s">
        <v>1017</v>
      </c>
      <c r="C129" s="60">
        <v>12.01</v>
      </c>
    </row>
    <row r="130" spans="1:3">
      <c r="A130" s="79" t="s">
        <v>325</v>
      </c>
      <c r="B130" s="164" t="s">
        <v>1017</v>
      </c>
      <c r="C130" s="60">
        <v>14.33</v>
      </c>
    </row>
    <row r="131" spans="1:3" ht="13.5" customHeight="1">
      <c r="A131" s="79" t="s">
        <v>295</v>
      </c>
      <c r="B131" s="164" t="s">
        <v>1017</v>
      </c>
      <c r="C131" s="60">
        <v>10.82</v>
      </c>
    </row>
    <row r="132" spans="1:3" ht="13.5" customHeight="1">
      <c r="A132" s="79" t="s">
        <v>637</v>
      </c>
      <c r="B132" s="164" t="s">
        <v>1017</v>
      </c>
      <c r="C132" s="60">
        <v>8.7899999999999991</v>
      </c>
    </row>
    <row r="133" spans="1:3" ht="13.5" customHeight="1">
      <c r="A133" s="79" t="s">
        <v>756</v>
      </c>
      <c r="B133" s="164" t="s">
        <v>213</v>
      </c>
      <c r="C133" s="60">
        <v>275</v>
      </c>
    </row>
    <row r="134" spans="1:3" ht="13.5" customHeight="1">
      <c r="A134" s="79" t="s">
        <v>757</v>
      </c>
      <c r="B134" s="164" t="s">
        <v>213</v>
      </c>
      <c r="C134" s="60">
        <v>260</v>
      </c>
    </row>
    <row r="135" spans="1:3" ht="13.5" customHeight="1">
      <c r="A135" s="79" t="s">
        <v>1227</v>
      </c>
      <c r="B135" s="164" t="s">
        <v>213</v>
      </c>
      <c r="C135" s="60">
        <v>275</v>
      </c>
    </row>
    <row r="136" spans="1:3" ht="54" customHeight="1">
      <c r="A136" s="100" t="s">
        <v>1646</v>
      </c>
      <c r="B136" s="111" t="s">
        <v>1171</v>
      </c>
      <c r="C136" s="106">
        <v>2898.57</v>
      </c>
    </row>
    <row r="137" spans="1:3" ht="34.5" customHeight="1">
      <c r="A137" s="100" t="s">
        <v>1537</v>
      </c>
      <c r="B137" s="111" t="s">
        <v>1171</v>
      </c>
      <c r="C137" s="106">
        <v>2898.57</v>
      </c>
    </row>
    <row r="138" spans="1:3">
      <c r="A138" s="79" t="s">
        <v>226</v>
      </c>
      <c r="B138" s="164" t="s">
        <v>1017</v>
      </c>
      <c r="C138" s="60">
        <v>568.4</v>
      </c>
    </row>
    <row r="139" spans="1:3">
      <c r="A139" s="79" t="s">
        <v>104</v>
      </c>
      <c r="B139" s="164" t="s">
        <v>1171</v>
      </c>
      <c r="C139" s="60">
        <v>70.73</v>
      </c>
    </row>
    <row r="140" spans="1:3">
      <c r="A140" s="79" t="s">
        <v>348</v>
      </c>
      <c r="B140" s="164" t="s">
        <v>1171</v>
      </c>
      <c r="C140" s="60">
        <v>90</v>
      </c>
    </row>
    <row r="141" spans="1:3">
      <c r="A141" s="79" t="s">
        <v>917</v>
      </c>
      <c r="B141" s="164" t="s">
        <v>1171</v>
      </c>
      <c r="C141" s="60">
        <v>78.3</v>
      </c>
    </row>
    <row r="142" spans="1:3">
      <c r="A142" s="79" t="s">
        <v>682</v>
      </c>
      <c r="B142" s="164" t="s">
        <v>1171</v>
      </c>
      <c r="C142" s="60">
        <v>58</v>
      </c>
    </row>
    <row r="143" spans="1:3">
      <c r="A143" s="79" t="s">
        <v>253</v>
      </c>
      <c r="B143" s="164" t="s">
        <v>1171</v>
      </c>
      <c r="C143" s="60">
        <v>348</v>
      </c>
    </row>
    <row r="144" spans="1:3">
      <c r="A144" s="79" t="s">
        <v>648</v>
      </c>
      <c r="B144" s="164" t="s">
        <v>1171</v>
      </c>
      <c r="C144" s="60">
        <v>1710.15</v>
      </c>
    </row>
    <row r="145" spans="1:3">
      <c r="A145" s="79" t="s">
        <v>564</v>
      </c>
      <c r="B145" s="164" t="s">
        <v>1171</v>
      </c>
      <c r="C145" s="60">
        <v>1935.25</v>
      </c>
    </row>
    <row r="146" spans="1:3">
      <c r="A146" s="79" t="s">
        <v>1268</v>
      </c>
      <c r="B146" s="164" t="s">
        <v>1017</v>
      </c>
      <c r="C146" s="60">
        <v>125.25</v>
      </c>
    </row>
    <row r="147" spans="1:3" ht="16.5" thickBot="1">
      <c r="A147" s="79" t="s">
        <v>1269</v>
      </c>
      <c r="B147" s="164" t="s">
        <v>1017</v>
      </c>
      <c r="C147" s="60">
        <v>139.88</v>
      </c>
    </row>
    <row r="148" spans="1:3" ht="17.25" thickTop="1" thickBot="1">
      <c r="A148" s="498" t="s">
        <v>1378</v>
      </c>
    </row>
    <row r="149" spans="1:3" ht="15" customHeight="1" thickTop="1">
      <c r="A149" s="48" t="s">
        <v>1348</v>
      </c>
      <c r="B149" s="164" t="s">
        <v>218</v>
      </c>
      <c r="C149" s="60">
        <v>34</v>
      </c>
    </row>
    <row r="150" spans="1:3">
      <c r="A150" s="48" t="s">
        <v>1347</v>
      </c>
      <c r="B150" s="164" t="s">
        <v>218</v>
      </c>
      <c r="C150" s="60">
        <v>34</v>
      </c>
    </row>
    <row r="151" spans="1:3">
      <c r="A151" s="48" t="s">
        <v>457</v>
      </c>
      <c r="B151" s="164" t="s">
        <v>218</v>
      </c>
      <c r="C151" s="60">
        <v>40</v>
      </c>
    </row>
    <row r="152" spans="1:3">
      <c r="A152" s="48" t="s">
        <v>1358</v>
      </c>
      <c r="B152" s="164" t="s">
        <v>218</v>
      </c>
      <c r="C152" s="60">
        <v>34</v>
      </c>
    </row>
    <row r="153" spans="1:3">
      <c r="A153" s="48" t="s">
        <v>1359</v>
      </c>
      <c r="B153" s="164" t="s">
        <v>218</v>
      </c>
      <c r="C153" s="60">
        <v>39</v>
      </c>
    </row>
    <row r="154" spans="1:3">
      <c r="A154" s="48" t="s">
        <v>1360</v>
      </c>
      <c r="B154" s="164" t="s">
        <v>218</v>
      </c>
      <c r="C154" s="60">
        <v>39</v>
      </c>
    </row>
    <row r="155" spans="1:3">
      <c r="A155" s="48" t="s">
        <v>1361</v>
      </c>
      <c r="B155" s="164" t="s">
        <v>218</v>
      </c>
      <c r="C155" s="60">
        <v>39</v>
      </c>
    </row>
    <row r="156" spans="1:3">
      <c r="A156" s="48" t="s">
        <v>1362</v>
      </c>
      <c r="B156" s="164" t="s">
        <v>218</v>
      </c>
      <c r="C156" s="60">
        <v>36.89</v>
      </c>
    </row>
    <row r="157" spans="1:3">
      <c r="A157" s="48" t="s">
        <v>1363</v>
      </c>
      <c r="B157" s="164" t="s">
        <v>218</v>
      </c>
      <c r="C157" s="60">
        <v>39</v>
      </c>
    </row>
    <row r="158" spans="1:3">
      <c r="A158" s="48" t="s">
        <v>1083</v>
      </c>
      <c r="B158" s="164" t="s">
        <v>218</v>
      </c>
      <c r="C158" s="60">
        <v>37.99</v>
      </c>
    </row>
    <row r="159" spans="1:3">
      <c r="A159" s="48" t="s">
        <v>1367</v>
      </c>
      <c r="B159" s="164" t="s">
        <v>218</v>
      </c>
      <c r="C159" s="60">
        <v>37.99</v>
      </c>
    </row>
    <row r="160" spans="1:3">
      <c r="A160" s="48" t="s">
        <v>1368</v>
      </c>
      <c r="B160" s="164" t="s">
        <v>218</v>
      </c>
      <c r="C160" s="60">
        <v>41.76</v>
      </c>
    </row>
    <row r="161" spans="1:4">
      <c r="A161" s="48" t="s">
        <v>1369</v>
      </c>
      <c r="B161" s="164" t="s">
        <v>218</v>
      </c>
      <c r="C161" s="60">
        <v>37.99</v>
      </c>
    </row>
    <row r="162" spans="1:4">
      <c r="A162" s="48" t="s">
        <v>1370</v>
      </c>
      <c r="B162" s="164" t="s">
        <v>218</v>
      </c>
      <c r="C162" s="60">
        <v>37.99</v>
      </c>
    </row>
    <row r="163" spans="1:4">
      <c r="A163" s="48" t="s">
        <v>1371</v>
      </c>
      <c r="B163" s="164" t="s">
        <v>218</v>
      </c>
      <c r="C163" s="60">
        <v>37.99</v>
      </c>
    </row>
    <row r="164" spans="1:4">
      <c r="A164" s="79" t="s">
        <v>222</v>
      </c>
      <c r="B164" s="164" t="s">
        <v>218</v>
      </c>
      <c r="C164" s="60">
        <v>64.55</v>
      </c>
    </row>
    <row r="165" spans="1:4">
      <c r="A165" s="79" t="s">
        <v>1036</v>
      </c>
      <c r="B165" s="164" t="s">
        <v>218</v>
      </c>
      <c r="C165" s="60">
        <v>36.89</v>
      </c>
    </row>
    <row r="166" spans="1:4" ht="16.5" thickBot="1">
      <c r="A166" s="79" t="s">
        <v>722</v>
      </c>
      <c r="B166" s="164" t="s">
        <v>218</v>
      </c>
      <c r="C166" s="60">
        <v>52.2</v>
      </c>
    </row>
    <row r="167" spans="1:4" ht="17.25" thickTop="1" thickBot="1">
      <c r="A167" s="498" t="s">
        <v>1384</v>
      </c>
    </row>
    <row r="168" spans="1:4" ht="16.5" thickTop="1">
      <c r="A168" s="79" t="s">
        <v>283</v>
      </c>
      <c r="B168" s="164" t="s">
        <v>282</v>
      </c>
      <c r="C168" s="181">
        <v>5700</v>
      </c>
    </row>
    <row r="169" spans="1:4">
      <c r="A169" s="79" t="s">
        <v>1615</v>
      </c>
      <c r="B169" s="164" t="s">
        <v>282</v>
      </c>
      <c r="C169" s="60">
        <v>3091</v>
      </c>
    </row>
    <row r="170" spans="1:4">
      <c r="A170" s="79" t="s">
        <v>1616</v>
      </c>
      <c r="B170" s="164" t="s">
        <v>1617</v>
      </c>
      <c r="C170" s="60">
        <v>667</v>
      </c>
    </row>
    <row r="171" spans="1:4">
      <c r="A171" s="79" t="s">
        <v>2033</v>
      </c>
      <c r="B171" s="164" t="s">
        <v>282</v>
      </c>
      <c r="C171" s="181">
        <v>8200</v>
      </c>
    </row>
    <row r="172" spans="1:4" s="166" customFormat="1">
      <c r="A172" s="79" t="s">
        <v>2045</v>
      </c>
      <c r="B172" s="164" t="s">
        <v>282</v>
      </c>
      <c r="C172" s="60"/>
      <c r="D172" s="148"/>
    </row>
    <row r="173" spans="1:4" s="166" customFormat="1" ht="16.5" thickBot="1">
      <c r="A173" s="79" t="s">
        <v>2046</v>
      </c>
      <c r="B173" s="164" t="s">
        <v>282</v>
      </c>
      <c r="C173" s="60"/>
      <c r="D173" s="148"/>
    </row>
    <row r="174" spans="1:4" ht="18.75" customHeight="1" thickTop="1" thickBot="1">
      <c r="A174" s="498" t="s">
        <v>1538</v>
      </c>
    </row>
    <row r="175" spans="1:4" ht="15.75" customHeight="1" thickTop="1">
      <c r="A175" s="117" t="s">
        <v>1099</v>
      </c>
      <c r="B175" s="164" t="s">
        <v>213</v>
      </c>
      <c r="C175" s="60">
        <v>180</v>
      </c>
    </row>
    <row r="176" spans="1:4" ht="13.5" customHeight="1">
      <c r="A176" s="79" t="s">
        <v>1321</v>
      </c>
      <c r="B176" s="164" t="s">
        <v>825</v>
      </c>
      <c r="C176" s="60">
        <v>380</v>
      </c>
    </row>
    <row r="177" spans="1:3" ht="13.5" customHeight="1">
      <c r="A177" s="79" t="s">
        <v>254</v>
      </c>
      <c r="B177" s="164" t="s">
        <v>825</v>
      </c>
      <c r="C177" s="60">
        <v>325</v>
      </c>
    </row>
    <row r="178" spans="1:3" ht="16.5" thickBot="1">
      <c r="A178" s="500" t="s">
        <v>1539</v>
      </c>
    </row>
    <row r="179" spans="1:3" ht="16.5" thickTop="1">
      <c r="A179" s="79" t="s">
        <v>490</v>
      </c>
      <c r="B179" s="164" t="s">
        <v>213</v>
      </c>
      <c r="C179" s="60">
        <v>344</v>
      </c>
    </row>
    <row r="180" spans="1:3">
      <c r="A180" s="79" t="s">
        <v>946</v>
      </c>
      <c r="B180" s="164" t="s">
        <v>1171</v>
      </c>
      <c r="C180" s="60">
        <v>43</v>
      </c>
    </row>
    <row r="181" spans="1:3">
      <c r="A181" s="79" t="s">
        <v>949</v>
      </c>
      <c r="B181" s="164" t="s">
        <v>1017</v>
      </c>
      <c r="C181" s="60">
        <v>375</v>
      </c>
    </row>
    <row r="182" spans="1:3">
      <c r="A182" s="79" t="s">
        <v>947</v>
      </c>
      <c r="B182" s="164" t="s">
        <v>1017</v>
      </c>
      <c r="C182" s="60">
        <v>300</v>
      </c>
    </row>
    <row r="183" spans="1:3">
      <c r="A183" s="79" t="s">
        <v>948</v>
      </c>
      <c r="B183" s="164" t="s">
        <v>1017</v>
      </c>
      <c r="C183" s="60">
        <v>4</v>
      </c>
    </row>
    <row r="184" spans="1:3">
      <c r="A184" s="79" t="s">
        <v>953</v>
      </c>
      <c r="B184" s="164" t="s">
        <v>1017</v>
      </c>
      <c r="C184" s="60">
        <v>430</v>
      </c>
    </row>
    <row r="185" spans="1:3">
      <c r="A185" s="79" t="s">
        <v>950</v>
      </c>
      <c r="B185" s="164" t="s">
        <v>1017</v>
      </c>
      <c r="C185" s="60">
        <v>220</v>
      </c>
    </row>
    <row r="186" spans="1:3">
      <c r="A186" s="79" t="s">
        <v>951</v>
      </c>
      <c r="B186" s="164" t="s">
        <v>1017</v>
      </c>
      <c r="C186" s="60">
        <v>220</v>
      </c>
    </row>
    <row r="187" spans="1:3">
      <c r="A187" s="79" t="s">
        <v>952</v>
      </c>
      <c r="B187" s="164" t="s">
        <v>1017</v>
      </c>
      <c r="C187" s="60">
        <v>10</v>
      </c>
    </row>
    <row r="188" spans="1:3">
      <c r="A188" s="79" t="s">
        <v>954</v>
      </c>
      <c r="B188" s="164" t="s">
        <v>1017</v>
      </c>
      <c r="C188" s="60">
        <v>125</v>
      </c>
    </row>
    <row r="189" spans="1:3">
      <c r="A189" s="79" t="s">
        <v>945</v>
      </c>
      <c r="B189" s="164" t="s">
        <v>408</v>
      </c>
      <c r="C189" s="60">
        <v>150</v>
      </c>
    </row>
    <row r="190" spans="1:3">
      <c r="A190" s="79" t="s">
        <v>175</v>
      </c>
      <c r="B190" s="164" t="s">
        <v>213</v>
      </c>
      <c r="C190" s="60">
        <v>986</v>
      </c>
    </row>
    <row r="191" spans="1:3">
      <c r="A191" s="183" t="s">
        <v>2047</v>
      </c>
      <c r="B191" s="187" t="s">
        <v>1017</v>
      </c>
      <c r="C191" s="181">
        <v>300</v>
      </c>
    </row>
    <row r="192" spans="1:3">
      <c r="A192" s="183" t="s">
        <v>1608</v>
      </c>
      <c r="B192" s="187" t="s">
        <v>1017</v>
      </c>
      <c r="C192" s="181">
        <v>250</v>
      </c>
    </row>
    <row r="193" spans="1:4">
      <c r="A193" s="79" t="s">
        <v>176</v>
      </c>
      <c r="B193" s="164" t="s">
        <v>1175</v>
      </c>
      <c r="C193" s="181">
        <v>130</v>
      </c>
    </row>
    <row r="194" spans="1:4">
      <c r="A194" s="79" t="s">
        <v>543</v>
      </c>
      <c r="B194" s="164" t="s">
        <v>1017</v>
      </c>
      <c r="C194" s="189">
        <v>175</v>
      </c>
    </row>
    <row r="195" spans="1:4" ht="16.5" thickBot="1">
      <c r="A195" s="102" t="s">
        <v>866</v>
      </c>
      <c r="B195" s="164" t="s">
        <v>1017</v>
      </c>
    </row>
    <row r="196" spans="1:4" ht="17.25" customHeight="1" thickTop="1" thickBot="1">
      <c r="A196" s="498" t="s">
        <v>1409</v>
      </c>
    </row>
    <row r="197" spans="1:4" s="166" customFormat="1" ht="17.25" customHeight="1" thickTop="1">
      <c r="A197" s="79"/>
      <c r="B197" s="164"/>
      <c r="C197" s="60"/>
      <c r="D197" s="148"/>
    </row>
    <row r="198" spans="1:4" ht="15" customHeight="1">
      <c r="A198" s="48" t="s">
        <v>1580</v>
      </c>
      <c r="B198" s="164" t="s">
        <v>811</v>
      </c>
      <c r="C198" s="60">
        <v>44</v>
      </c>
    </row>
    <row r="199" spans="1:4" ht="15" customHeight="1">
      <c r="A199" s="48" t="s">
        <v>1581</v>
      </c>
      <c r="B199" s="164" t="s">
        <v>211</v>
      </c>
      <c r="C199" s="60">
        <v>37</v>
      </c>
    </row>
    <row r="200" spans="1:4" ht="15" customHeight="1">
      <c r="A200" s="48" t="s">
        <v>1582</v>
      </c>
      <c r="B200" s="164" t="s">
        <v>211</v>
      </c>
      <c r="C200" s="60">
        <v>37</v>
      </c>
    </row>
    <row r="201" spans="1:4" ht="15" customHeight="1">
      <c r="A201" s="48" t="s">
        <v>1583</v>
      </c>
      <c r="B201" s="164" t="s">
        <v>211</v>
      </c>
      <c r="C201" s="60">
        <v>37</v>
      </c>
    </row>
    <row r="202" spans="1:4" ht="15" customHeight="1">
      <c r="A202" s="48" t="s">
        <v>1584</v>
      </c>
      <c r="B202" s="164" t="s">
        <v>211</v>
      </c>
      <c r="C202" s="60">
        <v>37</v>
      </c>
    </row>
    <row r="203" spans="1:4" ht="15" customHeight="1">
      <c r="A203" s="48" t="s">
        <v>1475</v>
      </c>
      <c r="B203" s="164" t="s">
        <v>211</v>
      </c>
      <c r="C203" s="60">
        <v>38</v>
      </c>
      <c r="D203" s="13"/>
    </row>
    <row r="204" spans="1:4" ht="15" customHeight="1">
      <c r="A204" s="48" t="s">
        <v>1476</v>
      </c>
      <c r="B204" s="164" t="s">
        <v>211</v>
      </c>
      <c r="C204" s="60">
        <v>38</v>
      </c>
      <c r="D204" s="13"/>
    </row>
    <row r="205" spans="1:4" ht="15" customHeight="1">
      <c r="A205" s="48" t="s">
        <v>1477</v>
      </c>
      <c r="B205" s="164" t="s">
        <v>211</v>
      </c>
      <c r="C205" s="60">
        <v>38</v>
      </c>
      <c r="D205" s="13"/>
    </row>
    <row r="206" spans="1:4" ht="15" customHeight="1">
      <c r="A206" s="48" t="s">
        <v>1478</v>
      </c>
      <c r="B206" s="164" t="s">
        <v>211</v>
      </c>
      <c r="C206" s="60">
        <v>38</v>
      </c>
    </row>
    <row r="207" spans="1:4" ht="16.5" thickBot="1">
      <c r="A207" s="79" t="s">
        <v>1480</v>
      </c>
      <c r="B207" s="164" t="s">
        <v>211</v>
      </c>
      <c r="C207" s="60">
        <v>38</v>
      </c>
    </row>
    <row r="208" spans="1:4" ht="17.25" thickTop="1" thickBot="1">
      <c r="A208" s="496" t="s">
        <v>607</v>
      </c>
    </row>
    <row r="209" spans="1:3" ht="16.5" thickTop="1">
      <c r="A209" s="102" t="s">
        <v>1353</v>
      </c>
      <c r="B209" s="164" t="s">
        <v>1017</v>
      </c>
      <c r="C209" s="60">
        <v>1276</v>
      </c>
    </row>
    <row r="210" spans="1:3" ht="15" customHeight="1">
      <c r="A210" s="102" t="s">
        <v>1317</v>
      </c>
      <c r="B210" s="164" t="s">
        <v>1017</v>
      </c>
    </row>
    <row r="211" spans="1:3" ht="15" customHeight="1">
      <c r="A211" s="102" t="s">
        <v>1318</v>
      </c>
      <c r="B211" s="164" t="s">
        <v>1017</v>
      </c>
      <c r="C211" s="60">
        <v>2080</v>
      </c>
    </row>
    <row r="212" spans="1:3" ht="15" customHeight="1">
      <c r="A212" s="79" t="s">
        <v>1612</v>
      </c>
      <c r="B212" s="164" t="s">
        <v>1017</v>
      </c>
      <c r="C212" s="60">
        <v>1250</v>
      </c>
    </row>
    <row r="213" spans="1:3" ht="15" customHeight="1">
      <c r="A213" s="79" t="s">
        <v>1319</v>
      </c>
      <c r="B213" s="164" t="s">
        <v>1017</v>
      </c>
      <c r="C213" s="60">
        <v>900</v>
      </c>
    </row>
    <row r="214" spans="1:3" ht="15" customHeight="1">
      <c r="A214" s="79" t="s">
        <v>1473</v>
      </c>
      <c r="B214" s="164" t="s">
        <v>1017</v>
      </c>
      <c r="C214" s="60">
        <v>1</v>
      </c>
    </row>
    <row r="215" spans="1:3" ht="15" customHeight="1">
      <c r="A215" s="79" t="s">
        <v>1320</v>
      </c>
      <c r="B215" s="164" t="s">
        <v>1017</v>
      </c>
      <c r="C215" s="60">
        <v>406</v>
      </c>
    </row>
    <row r="216" spans="1:3" ht="15" customHeight="1">
      <c r="A216" s="79" t="s">
        <v>1432</v>
      </c>
      <c r="B216" s="164" t="s">
        <v>1017</v>
      </c>
      <c r="C216" s="60">
        <v>1300</v>
      </c>
    </row>
    <row r="217" spans="1:3" ht="15" customHeight="1">
      <c r="A217" s="79" t="s">
        <v>1433</v>
      </c>
      <c r="B217" s="164" t="s">
        <v>1017</v>
      </c>
      <c r="C217" s="60">
        <v>1500</v>
      </c>
    </row>
    <row r="218" spans="1:3" ht="15" customHeight="1">
      <c r="A218" s="79" t="s">
        <v>1434</v>
      </c>
      <c r="B218" s="164" t="s">
        <v>1017</v>
      </c>
      <c r="C218" s="60">
        <v>1800</v>
      </c>
    </row>
    <row r="219" spans="1:3" ht="15" customHeight="1">
      <c r="A219" s="79" t="s">
        <v>1435</v>
      </c>
      <c r="B219" s="164" t="s">
        <v>1017</v>
      </c>
      <c r="C219" s="60">
        <v>745</v>
      </c>
    </row>
    <row r="220" spans="1:3" ht="15" customHeight="1">
      <c r="A220" s="79" t="s">
        <v>1413</v>
      </c>
      <c r="B220" s="164" t="s">
        <v>1017</v>
      </c>
      <c r="C220" s="60">
        <v>260</v>
      </c>
    </row>
    <row r="221" spans="1:3" ht="15" customHeight="1">
      <c r="A221" s="79" t="s">
        <v>1322</v>
      </c>
      <c r="B221" s="164" t="s">
        <v>1017</v>
      </c>
      <c r="C221" s="60">
        <v>250</v>
      </c>
    </row>
    <row r="222" spans="1:3" ht="15" customHeight="1">
      <c r="A222" s="79" t="s">
        <v>1414</v>
      </c>
      <c r="B222" s="164" t="s">
        <v>1017</v>
      </c>
      <c r="C222" s="60">
        <v>400</v>
      </c>
    </row>
    <row r="223" spans="1:3" ht="15" customHeight="1">
      <c r="A223" s="79" t="s">
        <v>1415</v>
      </c>
      <c r="B223" s="164" t="s">
        <v>1017</v>
      </c>
      <c r="C223" s="60">
        <v>600</v>
      </c>
    </row>
    <row r="224" spans="1:3" ht="15" customHeight="1">
      <c r="A224" s="79" t="s">
        <v>1416</v>
      </c>
      <c r="B224" s="164" t="s">
        <v>1017</v>
      </c>
      <c r="C224" s="60">
        <v>725</v>
      </c>
    </row>
    <row r="225" spans="1:3" ht="15" customHeight="1">
      <c r="A225" s="79" t="s">
        <v>1417</v>
      </c>
      <c r="B225" s="164" t="s">
        <v>1017</v>
      </c>
      <c r="C225" s="60">
        <v>0</v>
      </c>
    </row>
    <row r="226" spans="1:3" ht="15" customHeight="1">
      <c r="A226" s="79" t="s">
        <v>1418</v>
      </c>
      <c r="B226" s="164" t="s">
        <v>1017</v>
      </c>
      <c r="C226" s="60">
        <v>1100</v>
      </c>
    </row>
    <row r="227" spans="1:3" ht="15" customHeight="1">
      <c r="A227" s="79" t="s">
        <v>1419</v>
      </c>
      <c r="B227" s="164" t="s">
        <v>1017</v>
      </c>
      <c r="C227" s="60">
        <v>1075</v>
      </c>
    </row>
    <row r="228" spans="1:3" ht="15" customHeight="1">
      <c r="A228" s="79" t="s">
        <v>1420</v>
      </c>
      <c r="B228" s="164" t="s">
        <v>1017</v>
      </c>
      <c r="C228" s="60">
        <v>310</v>
      </c>
    </row>
    <row r="229" spans="1:3" ht="15" customHeight="1">
      <c r="A229" s="79" t="s">
        <v>1421</v>
      </c>
      <c r="B229" s="164" t="s">
        <v>1017</v>
      </c>
      <c r="C229" s="60">
        <v>440</v>
      </c>
    </row>
    <row r="230" spans="1:3" ht="15" customHeight="1">
      <c r="A230" s="79" t="s">
        <v>1422</v>
      </c>
      <c r="B230" s="164" t="s">
        <v>1017</v>
      </c>
      <c r="C230" s="60">
        <v>600</v>
      </c>
    </row>
    <row r="231" spans="1:3" ht="15" customHeight="1">
      <c r="A231" s="79" t="s">
        <v>1423</v>
      </c>
      <c r="B231" s="164" t="s">
        <v>1017</v>
      </c>
      <c r="C231" s="60">
        <v>0</v>
      </c>
    </row>
    <row r="232" spans="1:3" ht="15" customHeight="1">
      <c r="A232" s="79" t="s">
        <v>1424</v>
      </c>
      <c r="B232" s="164" t="s">
        <v>1017</v>
      </c>
      <c r="C232" s="60">
        <v>925</v>
      </c>
    </row>
    <row r="233" spans="1:3" ht="15" customHeight="1">
      <c r="A233" s="79" t="s">
        <v>1425</v>
      </c>
      <c r="B233" s="164" t="s">
        <v>1017</v>
      </c>
      <c r="C233" s="60">
        <v>1050</v>
      </c>
    </row>
    <row r="234" spans="1:3" ht="15" customHeight="1">
      <c r="A234" s="79" t="s">
        <v>1426</v>
      </c>
      <c r="B234" s="164" t="s">
        <v>1017</v>
      </c>
      <c r="C234" s="60">
        <v>1100</v>
      </c>
    </row>
    <row r="235" spans="1:3" ht="15" customHeight="1" thickBot="1">
      <c r="A235" s="79" t="s">
        <v>1427</v>
      </c>
      <c r="B235" s="164" t="s">
        <v>1017</v>
      </c>
      <c r="C235" s="60">
        <v>1200</v>
      </c>
    </row>
    <row r="236" spans="1:3" ht="15" customHeight="1" thickTop="1" thickBot="1">
      <c r="A236" s="496" t="s">
        <v>1410</v>
      </c>
    </row>
    <row r="237" spans="1:3" ht="15" customHeight="1" thickTop="1">
      <c r="A237" s="79" t="s">
        <v>838</v>
      </c>
      <c r="B237" s="164" t="s">
        <v>1171</v>
      </c>
      <c r="C237" s="60">
        <v>153.96</v>
      </c>
    </row>
    <row r="238" spans="1:3" ht="15" customHeight="1">
      <c r="A238" s="79" t="s">
        <v>839</v>
      </c>
      <c r="B238" s="164" t="s">
        <v>1171</v>
      </c>
      <c r="C238" s="60">
        <v>102.63</v>
      </c>
    </row>
    <row r="239" spans="1:3" ht="15" customHeight="1">
      <c r="A239" s="79" t="s">
        <v>840</v>
      </c>
      <c r="B239" s="164" t="s">
        <v>1171</v>
      </c>
      <c r="C239" s="60">
        <v>286.93</v>
      </c>
    </row>
    <row r="240" spans="1:3" ht="15" customHeight="1">
      <c r="A240" s="79" t="s">
        <v>838</v>
      </c>
      <c r="B240" s="164" t="s">
        <v>1175</v>
      </c>
      <c r="C240" s="60">
        <v>46.94</v>
      </c>
    </row>
    <row r="241" spans="1:4" ht="15" customHeight="1">
      <c r="A241" s="79" t="s">
        <v>839</v>
      </c>
      <c r="B241" s="164" t="s">
        <v>1175</v>
      </c>
      <c r="C241" s="60">
        <v>31.29</v>
      </c>
    </row>
    <row r="242" spans="1:4" ht="15" customHeight="1">
      <c r="A242" s="79" t="s">
        <v>840</v>
      </c>
      <c r="B242" s="164" t="s">
        <v>1175</v>
      </c>
      <c r="C242" s="60">
        <v>87.48</v>
      </c>
    </row>
    <row r="243" spans="1:4" ht="15" customHeight="1">
      <c r="A243" s="79" t="s">
        <v>839</v>
      </c>
      <c r="B243" s="164" t="s">
        <v>1175</v>
      </c>
      <c r="C243" s="60">
        <f>C241</f>
        <v>31.29</v>
      </c>
    </row>
    <row r="244" spans="1:4" ht="15" customHeight="1" thickBot="1">
      <c r="A244" s="79" t="s">
        <v>1411</v>
      </c>
      <c r="B244" s="164" t="s">
        <v>1412</v>
      </c>
      <c r="C244" s="60">
        <v>400</v>
      </c>
    </row>
    <row r="245" spans="1:4" s="15" customFormat="1" ht="17.25" thickTop="1" thickBot="1">
      <c r="A245" s="496" t="s">
        <v>1385</v>
      </c>
      <c r="B245" s="164"/>
      <c r="C245" s="60"/>
      <c r="D245" s="17"/>
    </row>
    <row r="246" spans="1:4" ht="16.5" thickTop="1">
      <c r="A246" s="48" t="s">
        <v>561</v>
      </c>
      <c r="B246" s="164" t="s">
        <v>828</v>
      </c>
      <c r="C246" s="181">
        <v>1140</v>
      </c>
    </row>
    <row r="247" spans="1:4">
      <c r="A247" s="48" t="s">
        <v>1618</v>
      </c>
      <c r="B247" s="164" t="s">
        <v>828</v>
      </c>
    </row>
    <row r="248" spans="1:4">
      <c r="A248" s="48" t="s">
        <v>1026</v>
      </c>
      <c r="B248" s="164" t="s">
        <v>828</v>
      </c>
      <c r="C248" s="60">
        <v>550</v>
      </c>
    </row>
    <row r="249" spans="1:4">
      <c r="A249" s="48" t="s">
        <v>646</v>
      </c>
      <c r="B249" s="164" t="s">
        <v>828</v>
      </c>
      <c r="C249" s="60">
        <v>325</v>
      </c>
    </row>
    <row r="250" spans="1:4">
      <c r="A250" s="48" t="s">
        <v>2050</v>
      </c>
      <c r="B250" s="164" t="s">
        <v>828</v>
      </c>
      <c r="C250" s="181">
        <v>1590</v>
      </c>
      <c r="D250" s="45">
        <f>C250+500</f>
        <v>2090</v>
      </c>
    </row>
    <row r="251" spans="1:4">
      <c r="A251" s="48" t="s">
        <v>177</v>
      </c>
      <c r="B251" s="164" t="s">
        <v>828</v>
      </c>
      <c r="C251" s="60">
        <v>1110</v>
      </c>
    </row>
    <row r="252" spans="1:4">
      <c r="A252" s="48" t="s">
        <v>1654</v>
      </c>
      <c r="B252" s="164" t="s">
        <v>828</v>
      </c>
      <c r="C252" s="714">
        <v>530</v>
      </c>
    </row>
    <row r="253" spans="1:4">
      <c r="A253" s="48" t="s">
        <v>2049</v>
      </c>
      <c r="B253" s="164" t="s">
        <v>828</v>
      </c>
      <c r="C253" s="181">
        <v>1140</v>
      </c>
    </row>
    <row r="254" spans="1:4">
      <c r="A254" s="48" t="s">
        <v>2048</v>
      </c>
      <c r="B254" s="164" t="s">
        <v>828</v>
      </c>
      <c r="C254" s="181">
        <v>1540</v>
      </c>
    </row>
    <row r="255" spans="1:4">
      <c r="A255" s="48" t="s">
        <v>178</v>
      </c>
      <c r="B255" s="164" t="s">
        <v>828</v>
      </c>
      <c r="C255" s="60">
        <v>650</v>
      </c>
    </row>
    <row r="256" spans="1:4" s="166" customFormat="1">
      <c r="A256" s="48" t="s">
        <v>2051</v>
      </c>
      <c r="B256" s="164" t="s">
        <v>282</v>
      </c>
      <c r="C256" s="60"/>
      <c r="D256" s="148"/>
    </row>
    <row r="257" spans="1:6">
      <c r="A257" s="48" t="s">
        <v>2052</v>
      </c>
      <c r="B257" s="164" t="s">
        <v>282</v>
      </c>
    </row>
    <row r="258" spans="1:6">
      <c r="A258" s="48" t="s">
        <v>1382</v>
      </c>
      <c r="B258" s="164" t="s">
        <v>282</v>
      </c>
      <c r="C258" s="60">
        <v>850</v>
      </c>
    </row>
    <row r="259" spans="1:6">
      <c r="A259" s="48" t="s">
        <v>1383</v>
      </c>
      <c r="B259" s="164" t="s">
        <v>1228</v>
      </c>
      <c r="C259" s="60">
        <f>C258/5</f>
        <v>170</v>
      </c>
    </row>
    <row r="260" spans="1:6">
      <c r="A260" s="48" t="s">
        <v>1271</v>
      </c>
      <c r="B260" s="164" t="s">
        <v>828</v>
      </c>
      <c r="C260" s="60">
        <v>1115</v>
      </c>
    </row>
    <row r="261" spans="1:6">
      <c r="A261" s="48" t="s">
        <v>179</v>
      </c>
      <c r="B261" s="164" t="s">
        <v>828</v>
      </c>
      <c r="C261" s="60">
        <v>842</v>
      </c>
    </row>
    <row r="262" spans="1:6" s="80" customFormat="1" ht="18.75">
      <c r="A262" s="48" t="s">
        <v>1659</v>
      </c>
      <c r="B262" s="164" t="s">
        <v>828</v>
      </c>
      <c r="C262" s="60">
        <v>715</v>
      </c>
      <c r="D262" s="148"/>
      <c r="F262" s="152"/>
    </row>
    <row r="263" spans="1:6" s="80" customFormat="1" ht="18.75">
      <c r="A263" s="48" t="s">
        <v>1660</v>
      </c>
      <c r="B263" s="164" t="s">
        <v>828</v>
      </c>
      <c r="C263" s="60">
        <v>690</v>
      </c>
      <c r="D263" s="148"/>
      <c r="F263" s="152"/>
    </row>
    <row r="264" spans="1:6" s="153" customFormat="1" ht="15.75" customHeight="1">
      <c r="A264" s="48" t="s">
        <v>1661</v>
      </c>
      <c r="B264" s="164" t="s">
        <v>828</v>
      </c>
      <c r="C264" s="60">
        <v>715</v>
      </c>
      <c r="D264" s="148"/>
    </row>
    <row r="265" spans="1:6" s="80" customFormat="1" ht="18.75">
      <c r="A265" s="48" t="s">
        <v>1662</v>
      </c>
      <c r="B265" s="164" t="s">
        <v>828</v>
      </c>
      <c r="C265" s="60">
        <v>350</v>
      </c>
      <c r="D265" s="148"/>
      <c r="F265" s="152"/>
    </row>
    <row r="266" spans="1:6" s="80" customFormat="1" ht="18.75">
      <c r="A266" s="48" t="s">
        <v>876</v>
      </c>
      <c r="B266" s="164" t="s">
        <v>828</v>
      </c>
      <c r="C266" s="60">
        <v>290</v>
      </c>
      <c r="D266" s="148"/>
      <c r="F266" s="152"/>
    </row>
    <row r="267" spans="1:6">
      <c r="A267" s="48" t="s">
        <v>1176</v>
      </c>
      <c r="B267" s="164" t="s">
        <v>213</v>
      </c>
      <c r="C267" s="60">
        <v>9.92</v>
      </c>
    </row>
    <row r="268" spans="1:6">
      <c r="A268" s="48" t="s">
        <v>873</v>
      </c>
      <c r="B268" s="164" t="s">
        <v>213</v>
      </c>
      <c r="C268" s="60">
        <v>7.35</v>
      </c>
    </row>
    <row r="269" spans="1:6">
      <c r="A269" s="48" t="s">
        <v>876</v>
      </c>
      <c r="B269" s="164" t="s">
        <v>1228</v>
      </c>
      <c r="C269" s="60">
        <v>315</v>
      </c>
    </row>
    <row r="270" spans="1:6">
      <c r="A270" s="48" t="s">
        <v>180</v>
      </c>
      <c r="B270" s="164" t="s">
        <v>828</v>
      </c>
      <c r="C270" s="60">
        <v>330</v>
      </c>
    </row>
    <row r="271" spans="1:6">
      <c r="A271" s="48" t="s">
        <v>1354</v>
      </c>
      <c r="B271" s="164" t="s">
        <v>828</v>
      </c>
      <c r="C271" s="60">
        <v>330</v>
      </c>
    </row>
    <row r="272" spans="1:6">
      <c r="A272" s="48" t="s">
        <v>1613</v>
      </c>
      <c r="B272" s="164" t="s">
        <v>828</v>
      </c>
      <c r="C272" s="60">
        <v>900</v>
      </c>
    </row>
    <row r="273" spans="1:3">
      <c r="A273" s="48" t="s">
        <v>1614</v>
      </c>
      <c r="B273" s="164" t="s">
        <v>1228</v>
      </c>
      <c r="C273" s="60">
        <v>575</v>
      </c>
    </row>
    <row r="274" spans="1:3">
      <c r="A274" s="48" t="s">
        <v>1376</v>
      </c>
      <c r="B274" s="164" t="s">
        <v>1142</v>
      </c>
      <c r="C274" s="60">
        <v>210</v>
      </c>
    </row>
    <row r="275" spans="1:3">
      <c r="A275" s="48" t="s">
        <v>1430</v>
      </c>
      <c r="B275" s="164" t="s">
        <v>1228</v>
      </c>
      <c r="C275" s="60">
        <v>710</v>
      </c>
    </row>
    <row r="276" spans="1:3">
      <c r="A276" s="48" t="s">
        <v>1429</v>
      </c>
      <c r="B276" s="164" t="s">
        <v>1228</v>
      </c>
      <c r="C276" s="60">
        <v>415</v>
      </c>
    </row>
    <row r="277" spans="1:3">
      <c r="A277" s="48" t="s">
        <v>1428</v>
      </c>
      <c r="B277" s="164" t="s">
        <v>1228</v>
      </c>
      <c r="C277" s="60">
        <v>705</v>
      </c>
    </row>
    <row r="278" spans="1:3">
      <c r="A278" s="48" t="s">
        <v>1431</v>
      </c>
      <c r="B278" s="164" t="s">
        <v>1228</v>
      </c>
      <c r="C278" s="60">
        <v>475</v>
      </c>
    </row>
    <row r="279" spans="1:3" ht="16.5" thickBot="1">
      <c r="A279" s="48" t="s">
        <v>1444</v>
      </c>
      <c r="B279" s="164" t="s">
        <v>1228</v>
      </c>
      <c r="C279" s="60">
        <v>575</v>
      </c>
    </row>
    <row r="280" spans="1:3" ht="17.25" thickTop="1" thickBot="1">
      <c r="A280" s="496" t="s">
        <v>1386</v>
      </c>
    </row>
    <row r="281" spans="1:3" ht="16.5" thickTop="1">
      <c r="A281" s="48" t="s">
        <v>181</v>
      </c>
      <c r="B281" s="164" t="s">
        <v>1228</v>
      </c>
      <c r="C281" s="60">
        <v>600</v>
      </c>
    </row>
    <row r="282" spans="1:3">
      <c r="A282" s="48" t="s">
        <v>1438</v>
      </c>
      <c r="B282" s="164" t="s">
        <v>1439</v>
      </c>
      <c r="C282" s="60">
        <v>60</v>
      </c>
    </row>
    <row r="283" spans="1:3">
      <c r="A283" s="48" t="s">
        <v>1440</v>
      </c>
      <c r="B283" s="164" t="s">
        <v>476</v>
      </c>
      <c r="C283" s="60">
        <v>39.380000000000003</v>
      </c>
    </row>
    <row r="284" spans="1:3">
      <c r="A284" s="48" t="s">
        <v>1441</v>
      </c>
      <c r="B284" s="164" t="s">
        <v>218</v>
      </c>
      <c r="C284" s="60">
        <v>45</v>
      </c>
    </row>
    <row r="285" spans="1:3">
      <c r="A285" s="48" t="s">
        <v>884</v>
      </c>
      <c r="B285" s="164" t="s">
        <v>1228</v>
      </c>
      <c r="C285" s="60">
        <v>560</v>
      </c>
    </row>
    <row r="286" spans="1:3">
      <c r="A286" s="48" t="s">
        <v>1442</v>
      </c>
      <c r="C286" s="60">
        <v>129.99</v>
      </c>
    </row>
    <row r="287" spans="1:3">
      <c r="A287" s="48" t="s">
        <v>1443</v>
      </c>
      <c r="C287" s="60">
        <v>325.99</v>
      </c>
    </row>
    <row r="288" spans="1:3">
      <c r="A288" s="48" t="s">
        <v>1345</v>
      </c>
      <c r="B288" s="164" t="s">
        <v>1228</v>
      </c>
    </row>
    <row r="289" spans="1:5">
      <c r="A289" s="48" t="s">
        <v>1346</v>
      </c>
      <c r="B289" s="164" t="s">
        <v>1228</v>
      </c>
      <c r="C289" s="60">
        <v>400</v>
      </c>
    </row>
    <row r="290" spans="1:5">
      <c r="A290" s="48" t="s">
        <v>1276</v>
      </c>
      <c r="B290" s="164" t="s">
        <v>1228</v>
      </c>
      <c r="C290" s="60">
        <v>293.10000000000002</v>
      </c>
    </row>
    <row r="291" spans="1:5">
      <c r="A291" s="48" t="s">
        <v>1436</v>
      </c>
      <c r="B291" s="164" t="s">
        <v>1228</v>
      </c>
      <c r="C291" s="181">
        <v>1775</v>
      </c>
    </row>
    <row r="292" spans="1:5" s="86" customFormat="1" ht="16.5" thickBot="1">
      <c r="A292" s="103"/>
      <c r="B292" s="164"/>
      <c r="C292" s="60"/>
      <c r="D292" s="85"/>
      <c r="E292" s="85"/>
    </row>
    <row r="293" spans="1:5" s="86" customFormat="1" ht="17.25" thickTop="1" thickBot="1">
      <c r="A293" s="496" t="s">
        <v>2500</v>
      </c>
      <c r="B293" s="164"/>
      <c r="C293" s="60"/>
      <c r="D293" s="85"/>
      <c r="E293" s="85"/>
    </row>
    <row r="294" spans="1:5" s="86" customFormat="1" ht="16.5" thickTop="1">
      <c r="A294" s="103"/>
      <c r="B294" s="164"/>
      <c r="C294" s="60"/>
      <c r="D294" s="85"/>
      <c r="E294" s="85"/>
    </row>
    <row r="295" spans="1:5" s="86" customFormat="1">
      <c r="A295" s="103" t="s">
        <v>4144</v>
      </c>
      <c r="B295" s="164"/>
      <c r="C295" s="60"/>
      <c r="D295" s="85"/>
      <c r="E295" s="85"/>
    </row>
    <row r="296" spans="1:5" s="86" customFormat="1">
      <c r="A296" s="103" t="s">
        <v>4145</v>
      </c>
      <c r="B296" s="164" t="s">
        <v>211</v>
      </c>
      <c r="C296" s="60">
        <v>550</v>
      </c>
      <c r="D296" s="85"/>
      <c r="E296" s="85"/>
    </row>
    <row r="297" spans="1:5" s="86" customFormat="1">
      <c r="A297" s="103"/>
      <c r="B297" s="164"/>
      <c r="C297" s="60"/>
      <c r="D297" s="85"/>
      <c r="E297" s="85"/>
    </row>
    <row r="298" spans="1:5" s="86" customFormat="1">
      <c r="A298" s="103"/>
      <c r="B298" s="164"/>
      <c r="C298" s="60"/>
      <c r="D298" s="85"/>
      <c r="E298" s="85"/>
    </row>
    <row r="299" spans="1:5" ht="20.100000000000001" customHeight="1">
      <c r="A299" s="1739" t="s">
        <v>1542</v>
      </c>
      <c r="B299" s="1739"/>
      <c r="C299" s="1739"/>
      <c r="D299" s="85"/>
      <c r="E299" s="85"/>
    </row>
    <row r="300" spans="1:5" s="12" customFormat="1" ht="16.5" thickBot="1">
      <c r="A300" s="501"/>
      <c r="B300" s="501"/>
      <c r="C300" s="60"/>
      <c r="D300" s="85"/>
      <c r="E300" s="85"/>
    </row>
    <row r="301" spans="1:5" s="12" customFormat="1" ht="20.25" thickTop="1" thickBot="1">
      <c r="A301" s="502" t="s">
        <v>1335</v>
      </c>
      <c r="B301" s="501"/>
      <c r="C301" s="180">
        <v>1.1499999999999999</v>
      </c>
      <c r="D301" s="85"/>
      <c r="E301" s="85"/>
    </row>
    <row r="302" spans="1:5" ht="16.5" thickTop="1">
      <c r="A302" s="79" t="s">
        <v>1379</v>
      </c>
      <c r="B302" s="29" t="s">
        <v>209</v>
      </c>
      <c r="C302" s="145">
        <v>1.4999999999999999E-2</v>
      </c>
    </row>
    <row r="303" spans="1:5">
      <c r="A303" s="79" t="s">
        <v>1407</v>
      </c>
      <c r="B303" s="29" t="s">
        <v>209</v>
      </c>
      <c r="C303" s="60">
        <v>0.02</v>
      </c>
    </row>
    <row r="304" spans="1:5">
      <c r="A304" s="79" t="s">
        <v>1578</v>
      </c>
      <c r="B304" s="29" t="s">
        <v>213</v>
      </c>
      <c r="C304" s="60">
        <f>$C$301*D304</f>
        <v>13.225</v>
      </c>
      <c r="D304" s="60">
        <v>11.5</v>
      </c>
    </row>
    <row r="305" spans="1:6">
      <c r="A305" s="104" t="s">
        <v>1619</v>
      </c>
      <c r="B305" s="164" t="s">
        <v>1171</v>
      </c>
      <c r="C305" s="60">
        <f>$C$301*D305</f>
        <v>211.6</v>
      </c>
      <c r="D305" s="60">
        <v>184</v>
      </c>
    </row>
    <row r="306" spans="1:6">
      <c r="A306" s="104" t="s">
        <v>1620</v>
      </c>
      <c r="B306" s="164" t="s">
        <v>213</v>
      </c>
      <c r="C306" s="60">
        <f>$C$301*D306</f>
        <v>55.199999999999996</v>
      </c>
      <c r="D306" s="60">
        <v>48</v>
      </c>
    </row>
    <row r="307" spans="1:6" s="15" customFormat="1">
      <c r="A307" s="105" t="s">
        <v>727</v>
      </c>
      <c r="B307" s="164" t="s">
        <v>825</v>
      </c>
      <c r="C307" s="60">
        <f>$C$301*D307</f>
        <v>194.83299999999997</v>
      </c>
      <c r="D307" s="60">
        <v>169.42</v>
      </c>
    </row>
    <row r="308" spans="1:6" s="15" customFormat="1" ht="16.5" thickBot="1">
      <c r="A308" s="105" t="s">
        <v>847</v>
      </c>
      <c r="B308" s="164" t="s">
        <v>825</v>
      </c>
      <c r="C308" s="60">
        <f t="shared" ref="C308:C374" si="0">$C$301*D308</f>
        <v>70.333999999999989</v>
      </c>
      <c r="D308" s="58">
        <v>61.16</v>
      </c>
    </row>
    <row r="309" spans="1:6" s="156" customFormat="1" ht="20.25" thickTop="1" thickBot="1">
      <c r="A309" s="502" t="s">
        <v>1680</v>
      </c>
      <c r="B309" s="164"/>
      <c r="C309" s="60"/>
      <c r="D309" s="60"/>
    </row>
    <row r="310" spans="1:6" s="80" customFormat="1" ht="19.5" thickTop="1">
      <c r="A310" s="80" t="s">
        <v>1674</v>
      </c>
      <c r="B310" s="82" t="s">
        <v>1479</v>
      </c>
      <c r="C310" s="181">
        <v>659</v>
      </c>
      <c r="D310" s="162">
        <f>C310/8</f>
        <v>82.375</v>
      </c>
      <c r="E310" s="80" t="s">
        <v>2056</v>
      </c>
    </row>
    <row r="311" spans="1:6" s="80" customFormat="1" ht="18.75">
      <c r="A311" s="80" t="s">
        <v>1675</v>
      </c>
      <c r="B311" s="82" t="s">
        <v>1479</v>
      </c>
      <c r="C311" s="181">
        <v>721</v>
      </c>
      <c r="D311" s="162">
        <f t="shared" ref="D311:D316" si="1">C311/8</f>
        <v>90.125</v>
      </c>
      <c r="E311" s="80" t="s">
        <v>2056</v>
      </c>
      <c r="F311" s="152"/>
    </row>
    <row r="312" spans="1:6" s="80" customFormat="1" ht="18.75">
      <c r="A312" s="80" t="s">
        <v>1676</v>
      </c>
      <c r="B312" s="82" t="s">
        <v>1479</v>
      </c>
      <c r="C312" s="181">
        <v>847</v>
      </c>
      <c r="D312" s="162">
        <f t="shared" si="1"/>
        <v>105.875</v>
      </c>
      <c r="E312" s="80" t="s">
        <v>2056</v>
      </c>
      <c r="F312" s="152"/>
    </row>
    <row r="313" spans="1:6" s="80" customFormat="1" ht="18.75">
      <c r="A313" s="80" t="s">
        <v>1677</v>
      </c>
      <c r="B313" s="82" t="s">
        <v>1479</v>
      </c>
      <c r="C313" s="181">
        <v>1100</v>
      </c>
      <c r="D313" s="162">
        <f t="shared" si="1"/>
        <v>137.5</v>
      </c>
      <c r="E313" s="80" t="s">
        <v>2056</v>
      </c>
      <c r="F313" s="152"/>
    </row>
    <row r="314" spans="1:6" s="80" customFormat="1" ht="18.75">
      <c r="A314" s="80" t="s">
        <v>1678</v>
      </c>
      <c r="B314" s="82" t="s">
        <v>1479</v>
      </c>
      <c r="C314" s="181">
        <v>1255</v>
      </c>
      <c r="D314" s="162">
        <f t="shared" si="1"/>
        <v>156.875</v>
      </c>
      <c r="E314" s="80" t="s">
        <v>2056</v>
      </c>
      <c r="F314" s="152"/>
    </row>
    <row r="315" spans="1:6" s="80" customFormat="1" ht="18.75">
      <c r="A315" s="80" t="s">
        <v>1679</v>
      </c>
      <c r="B315" s="82" t="s">
        <v>1479</v>
      </c>
      <c r="C315" s="181">
        <v>1569</v>
      </c>
      <c r="D315" s="162">
        <f t="shared" si="1"/>
        <v>196.125</v>
      </c>
      <c r="E315" s="80" t="s">
        <v>2056</v>
      </c>
      <c r="F315" s="152"/>
    </row>
    <row r="316" spans="1:6" s="80" customFormat="1" ht="19.5" thickBot="1">
      <c r="A316" s="80" t="s">
        <v>880</v>
      </c>
      <c r="B316" s="82" t="s">
        <v>1479</v>
      </c>
      <c r="C316" s="181">
        <v>1977</v>
      </c>
      <c r="D316" s="162">
        <f t="shared" si="1"/>
        <v>247.125</v>
      </c>
      <c r="E316" s="80" t="s">
        <v>2056</v>
      </c>
      <c r="F316" s="152"/>
    </row>
    <row r="317" spans="1:6" ht="20.25" thickTop="1" thickBot="1">
      <c r="A317" s="502" t="s">
        <v>1387</v>
      </c>
      <c r="D317" s="60"/>
    </row>
    <row r="318" spans="1:6" ht="16.5" thickTop="1">
      <c r="A318" s="48" t="s">
        <v>603</v>
      </c>
      <c r="B318" s="164" t="s">
        <v>825</v>
      </c>
      <c r="C318" s="60">
        <f t="shared" si="0"/>
        <v>362.44549999999998</v>
      </c>
      <c r="D318" s="60">
        <v>315.17</v>
      </c>
    </row>
    <row r="319" spans="1:6">
      <c r="A319" s="48" t="s">
        <v>382</v>
      </c>
      <c r="B319" s="164" t="s">
        <v>825</v>
      </c>
      <c r="C319" s="60">
        <f t="shared" si="0"/>
        <v>378.93649999999997</v>
      </c>
      <c r="D319" s="60">
        <v>329.51</v>
      </c>
    </row>
    <row r="320" spans="1:6">
      <c r="A320" s="48" t="s">
        <v>1055</v>
      </c>
      <c r="B320" s="164" t="s">
        <v>825</v>
      </c>
      <c r="C320" s="60">
        <f t="shared" si="0"/>
        <v>524.8599999999999</v>
      </c>
      <c r="D320" s="60">
        <v>456.4</v>
      </c>
    </row>
    <row r="321" spans="1:5">
      <c r="A321" s="48" t="s">
        <v>1056</v>
      </c>
      <c r="B321" s="164" t="s">
        <v>825</v>
      </c>
      <c r="C321" s="60">
        <f>$C$301*D321</f>
        <v>1004.3984999999999</v>
      </c>
      <c r="D321" s="60">
        <v>873.39</v>
      </c>
    </row>
    <row r="322" spans="1:5">
      <c r="A322" s="48" t="s">
        <v>1057</v>
      </c>
      <c r="B322" s="164" t="s">
        <v>825</v>
      </c>
      <c r="C322" s="60">
        <f t="shared" si="0"/>
        <v>1437.3274999999999</v>
      </c>
      <c r="D322" s="60">
        <v>1249.8499999999999</v>
      </c>
      <c r="E322" s="1"/>
    </row>
    <row r="323" spans="1:5">
      <c r="A323" s="48" t="s">
        <v>1058</v>
      </c>
      <c r="B323" s="164" t="s">
        <v>825</v>
      </c>
      <c r="C323" s="60">
        <f t="shared" si="0"/>
        <v>2070</v>
      </c>
      <c r="D323" s="157">
        <v>1800</v>
      </c>
    </row>
    <row r="324" spans="1:5">
      <c r="A324" s="48" t="s">
        <v>1310</v>
      </c>
      <c r="B324" s="164" t="s">
        <v>825</v>
      </c>
      <c r="C324" s="60">
        <f t="shared" si="0"/>
        <v>396.74999999999994</v>
      </c>
      <c r="D324" s="60">
        <v>345</v>
      </c>
    </row>
    <row r="325" spans="1:5">
      <c r="A325" s="48" t="s">
        <v>1309</v>
      </c>
      <c r="B325" s="164" t="s">
        <v>825</v>
      </c>
      <c r="C325" s="60">
        <f>$C$301*D325</f>
        <v>90.677499999999981</v>
      </c>
      <c r="D325" s="60">
        <v>78.849999999999994</v>
      </c>
    </row>
    <row r="326" spans="1:5" ht="16.5" thickBot="1">
      <c r="A326" s="48" t="s">
        <v>602</v>
      </c>
      <c r="B326" s="164" t="s">
        <v>825</v>
      </c>
      <c r="C326" s="60">
        <f t="shared" si="0"/>
        <v>145.06099999999998</v>
      </c>
      <c r="D326" s="60">
        <v>126.14</v>
      </c>
    </row>
    <row r="327" spans="1:5" ht="20.25" thickTop="1" thickBot="1">
      <c r="A327" s="502" t="s">
        <v>1388</v>
      </c>
      <c r="D327" s="60"/>
    </row>
    <row r="328" spans="1:5" ht="16.5" thickTop="1">
      <c r="A328" s="48" t="s">
        <v>1626</v>
      </c>
      <c r="B328" s="164" t="s">
        <v>1017</v>
      </c>
      <c r="C328" s="181">
        <v>23.46</v>
      </c>
      <c r="D328" s="60"/>
    </row>
    <row r="329" spans="1:5">
      <c r="A329" s="48" t="s">
        <v>1627</v>
      </c>
      <c r="B329" s="164" t="s">
        <v>1017</v>
      </c>
      <c r="C329" s="181">
        <v>19.57</v>
      </c>
      <c r="D329" s="60"/>
    </row>
    <row r="330" spans="1:5">
      <c r="A330" s="48" t="s">
        <v>1628</v>
      </c>
      <c r="B330" s="164" t="s">
        <v>1017</v>
      </c>
      <c r="C330" s="181">
        <v>21.68</v>
      </c>
      <c r="D330" s="60"/>
    </row>
    <row r="331" spans="1:5">
      <c r="A331" s="48" t="s">
        <v>1629</v>
      </c>
      <c r="B331" s="164" t="s">
        <v>1017</v>
      </c>
      <c r="C331" s="181">
        <v>21.68</v>
      </c>
      <c r="D331" s="60"/>
    </row>
    <row r="332" spans="1:5">
      <c r="A332" s="48" t="s">
        <v>1630</v>
      </c>
      <c r="B332" s="164" t="s">
        <v>1017</v>
      </c>
      <c r="C332" s="181">
        <v>40.229999999999997</v>
      </c>
      <c r="D332" s="60"/>
    </row>
    <row r="333" spans="1:5" s="156" customFormat="1">
      <c r="A333" s="48" t="s">
        <v>1663</v>
      </c>
      <c r="B333" s="164" t="s">
        <v>1017</v>
      </c>
      <c r="C333" s="181">
        <v>33.44</v>
      </c>
      <c r="D333" s="60"/>
    </row>
    <row r="334" spans="1:5">
      <c r="A334" s="48" t="s">
        <v>1631</v>
      </c>
      <c r="B334" s="164" t="s">
        <v>1017</v>
      </c>
      <c r="C334" s="181">
        <v>44.02</v>
      </c>
      <c r="D334" s="60"/>
    </row>
    <row r="335" spans="1:5">
      <c r="A335" s="48" t="s">
        <v>1632</v>
      </c>
      <c r="B335" s="164" t="s">
        <v>1017</v>
      </c>
      <c r="C335" s="181">
        <v>43.27</v>
      </c>
      <c r="D335" s="60"/>
    </row>
    <row r="336" spans="1:5">
      <c r="A336" s="183" t="s">
        <v>168</v>
      </c>
      <c r="B336" s="164" t="s">
        <v>1017</v>
      </c>
      <c r="C336" s="181" t="s">
        <v>2032</v>
      </c>
      <c r="D336" s="60"/>
    </row>
    <row r="337" spans="1:7" s="156" customFormat="1">
      <c r="A337" s="183" t="s">
        <v>1481</v>
      </c>
      <c r="B337" s="164" t="s">
        <v>1017</v>
      </c>
      <c r="C337" s="60">
        <v>33.143000000000001</v>
      </c>
      <c r="D337" s="60"/>
    </row>
    <row r="338" spans="1:7">
      <c r="A338" s="183" t="s">
        <v>169</v>
      </c>
      <c r="B338" s="164" t="s">
        <v>213</v>
      </c>
      <c r="C338" s="60">
        <v>28.749999999999996</v>
      </c>
      <c r="D338" s="60"/>
    </row>
    <row r="339" spans="1:7" ht="32.25" thickBot="1">
      <c r="A339" s="109" t="s">
        <v>1634</v>
      </c>
      <c r="B339" s="164" t="s">
        <v>1017</v>
      </c>
      <c r="C339" s="181">
        <v>2.59</v>
      </c>
      <c r="D339" s="60"/>
    </row>
    <row r="340" spans="1:7" ht="20.25" thickTop="1" thickBot="1">
      <c r="A340" s="502" t="s">
        <v>1389</v>
      </c>
      <c r="D340" s="60"/>
    </row>
    <row r="341" spans="1:7" s="12" customFormat="1" ht="16.5" thickTop="1">
      <c r="A341" s="79" t="s">
        <v>1000</v>
      </c>
      <c r="B341" s="164" t="s">
        <v>216</v>
      </c>
      <c r="C341" s="60">
        <v>2.8388900000000001</v>
      </c>
      <c r="D341" s="60"/>
    </row>
    <row r="342" spans="1:7">
      <c r="A342" s="48" t="s">
        <v>1292</v>
      </c>
      <c r="B342" s="164" t="s">
        <v>4</v>
      </c>
      <c r="C342" s="181">
        <v>486.5</v>
      </c>
      <c r="D342" s="60"/>
    </row>
    <row r="343" spans="1:7" ht="16.5" thickBot="1">
      <c r="A343" s="48" t="s">
        <v>1633</v>
      </c>
      <c r="B343" s="164" t="s">
        <v>4</v>
      </c>
      <c r="C343" s="181">
        <v>514.03</v>
      </c>
      <c r="D343" s="60"/>
    </row>
    <row r="344" spans="1:7">
      <c r="A344" s="48" t="s">
        <v>1059</v>
      </c>
      <c r="B344" s="164" t="s">
        <v>4</v>
      </c>
      <c r="C344" s="181">
        <v>323.63</v>
      </c>
      <c r="D344" s="60"/>
      <c r="E344" s="112" t="s">
        <v>1468</v>
      </c>
      <c r="G344" s="113">
        <v>0.1</v>
      </c>
    </row>
    <row r="345" spans="1:7">
      <c r="A345" s="48" t="s">
        <v>1132</v>
      </c>
      <c r="B345" s="164" t="s">
        <v>4</v>
      </c>
      <c r="C345" s="181">
        <f>C344*1.1</f>
        <v>355.99300000000005</v>
      </c>
      <c r="D345" s="60"/>
      <c r="E345" s="114" t="s">
        <v>1469</v>
      </c>
      <c r="G345" s="113">
        <v>0.15</v>
      </c>
    </row>
    <row r="346" spans="1:7">
      <c r="A346" s="48" t="s">
        <v>1133</v>
      </c>
      <c r="B346" s="164" t="s">
        <v>4</v>
      </c>
      <c r="C346" s="181">
        <f>C344*1.15</f>
        <v>372.17449999999997</v>
      </c>
      <c r="D346" s="60"/>
      <c r="E346" s="114" t="s">
        <v>1470</v>
      </c>
      <c r="G346" s="113">
        <v>0.2</v>
      </c>
    </row>
    <row r="347" spans="1:7">
      <c r="A347" s="48" t="s">
        <v>1134</v>
      </c>
      <c r="B347" s="164" t="s">
        <v>4</v>
      </c>
      <c r="C347" s="181">
        <f>C344*1.2</f>
        <v>388.35599999999999</v>
      </c>
      <c r="D347" s="60"/>
      <c r="E347" s="114" t="s">
        <v>1471</v>
      </c>
      <c r="G347" s="113">
        <v>0.25</v>
      </c>
    </row>
    <row r="348" spans="1:7" ht="16.5" thickBot="1">
      <c r="A348" s="48" t="s">
        <v>1135</v>
      </c>
      <c r="B348" s="164" t="s">
        <v>4</v>
      </c>
      <c r="C348" s="181">
        <f>C344*1.25</f>
        <v>404.53750000000002</v>
      </c>
      <c r="D348" s="60"/>
      <c r="E348" s="115" t="s">
        <v>1472</v>
      </c>
      <c r="G348" s="113">
        <v>0.3</v>
      </c>
    </row>
    <row r="349" spans="1:7">
      <c r="A349" s="48" t="s">
        <v>339</v>
      </c>
      <c r="B349" s="164" t="s">
        <v>4</v>
      </c>
      <c r="C349" s="181">
        <f>C344*1.3</f>
        <v>420.71899999999999</v>
      </c>
      <c r="D349" s="60"/>
    </row>
    <row r="350" spans="1:7">
      <c r="A350" s="48" t="s">
        <v>340</v>
      </c>
      <c r="B350" s="164" t="s">
        <v>4</v>
      </c>
      <c r="C350" s="181">
        <v>486.5</v>
      </c>
      <c r="D350" s="60"/>
    </row>
    <row r="351" spans="1:7">
      <c r="A351" s="48" t="s">
        <v>480</v>
      </c>
      <c r="B351" s="164" t="s">
        <v>4</v>
      </c>
      <c r="C351" s="181">
        <f>C350*1.1</f>
        <v>535.15000000000009</v>
      </c>
      <c r="D351" s="60"/>
    </row>
    <row r="352" spans="1:7">
      <c r="A352" s="48" t="s">
        <v>1053</v>
      </c>
      <c r="B352" s="164" t="s">
        <v>4</v>
      </c>
      <c r="C352" s="181">
        <f>C350*1.15</f>
        <v>559.47499999999991</v>
      </c>
      <c r="D352" s="60"/>
    </row>
    <row r="353" spans="1:4">
      <c r="A353" s="48" t="s">
        <v>341</v>
      </c>
      <c r="B353" s="164" t="s">
        <v>4</v>
      </c>
      <c r="C353" s="181">
        <f>C350*1.2</f>
        <v>583.79999999999995</v>
      </c>
      <c r="D353" s="60"/>
    </row>
    <row r="354" spans="1:4">
      <c r="A354" s="48" t="s">
        <v>342</v>
      </c>
      <c r="B354" s="164" t="s">
        <v>4</v>
      </c>
      <c r="C354" s="181">
        <f>C350*1.25</f>
        <v>608.125</v>
      </c>
      <c r="D354" s="60"/>
    </row>
    <row r="355" spans="1:4">
      <c r="A355" s="48" t="s">
        <v>343</v>
      </c>
      <c r="B355" s="164" t="s">
        <v>4</v>
      </c>
      <c r="C355" s="181">
        <f>C350*1.3</f>
        <v>632.45000000000005</v>
      </c>
      <c r="D355" s="60"/>
    </row>
    <row r="356" spans="1:4" s="156" customFormat="1">
      <c r="A356" s="48" t="s">
        <v>1664</v>
      </c>
      <c r="B356" s="164" t="s">
        <v>1171</v>
      </c>
      <c r="C356" s="181">
        <v>107.87</v>
      </c>
      <c r="D356" s="60"/>
    </row>
    <row r="357" spans="1:4" s="156" customFormat="1">
      <c r="A357" s="48" t="s">
        <v>1665</v>
      </c>
      <c r="B357" s="164" t="s">
        <v>1171</v>
      </c>
      <c r="C357" s="181">
        <v>161.66</v>
      </c>
      <c r="D357" s="60"/>
    </row>
    <row r="358" spans="1:4">
      <c r="A358" s="48" t="s">
        <v>1044</v>
      </c>
      <c r="B358" s="164" t="s">
        <v>1171</v>
      </c>
      <c r="C358" s="181">
        <v>107.87</v>
      </c>
      <c r="D358" s="60"/>
    </row>
    <row r="359" spans="1:4">
      <c r="A359" s="48" t="s">
        <v>431</v>
      </c>
      <c r="B359" s="164" t="s">
        <v>1171</v>
      </c>
      <c r="C359" s="181">
        <f>C358*1.1</f>
        <v>118.65700000000001</v>
      </c>
      <c r="D359" s="60"/>
    </row>
    <row r="360" spans="1:4">
      <c r="A360" s="48" t="s">
        <v>344</v>
      </c>
      <c r="B360" s="164" t="s">
        <v>1171</v>
      </c>
      <c r="C360" s="181">
        <f>C358*1.15</f>
        <v>124.0505</v>
      </c>
      <c r="D360" s="60"/>
    </row>
    <row r="361" spans="1:4">
      <c r="A361" s="48" t="s">
        <v>345</v>
      </c>
      <c r="B361" s="164" t="s">
        <v>1171</v>
      </c>
      <c r="C361" s="181">
        <f>C358*1.2</f>
        <v>129.44399999999999</v>
      </c>
      <c r="D361" s="60"/>
    </row>
    <row r="362" spans="1:4">
      <c r="A362" s="48" t="s">
        <v>346</v>
      </c>
      <c r="B362" s="164" t="s">
        <v>1171</v>
      </c>
      <c r="C362" s="181">
        <f>C358*1.25</f>
        <v>134.83750000000001</v>
      </c>
      <c r="D362" s="60"/>
    </row>
    <row r="363" spans="1:4" ht="16.5" thickBot="1">
      <c r="A363" s="48" t="s">
        <v>347</v>
      </c>
      <c r="B363" s="164" t="s">
        <v>1171</v>
      </c>
      <c r="C363" s="181">
        <f>C358*1.3</f>
        <v>140.23100000000002</v>
      </c>
      <c r="D363" s="60"/>
    </row>
    <row r="364" spans="1:4" ht="20.25" thickTop="1" thickBot="1">
      <c r="A364" s="502" t="s">
        <v>1336</v>
      </c>
      <c r="D364" s="60"/>
    </row>
    <row r="365" spans="1:4" ht="17.25" thickTop="1" thickBot="1">
      <c r="A365" s="48" t="s">
        <v>1536</v>
      </c>
      <c r="B365" s="164" t="s">
        <v>463</v>
      </c>
      <c r="C365" s="181">
        <v>2836.49</v>
      </c>
      <c r="D365" s="158">
        <v>2163.61</v>
      </c>
    </row>
    <row r="366" spans="1:4" ht="20.25" thickTop="1" thickBot="1">
      <c r="A366" s="502" t="s">
        <v>1390</v>
      </c>
      <c r="D366" s="60"/>
    </row>
    <row r="367" spans="1:4" ht="16.5" thickTop="1">
      <c r="A367" s="48" t="s">
        <v>196</v>
      </c>
      <c r="B367" s="164" t="s">
        <v>216</v>
      </c>
      <c r="C367" s="60">
        <f t="shared" si="0"/>
        <v>0</v>
      </c>
      <c r="D367" s="158">
        <f>D344/10</f>
        <v>0</v>
      </c>
    </row>
    <row r="368" spans="1:4">
      <c r="A368" s="48" t="s">
        <v>656</v>
      </c>
      <c r="B368" s="164" t="s">
        <v>216</v>
      </c>
      <c r="C368" s="60">
        <f t="shared" si="0"/>
        <v>0</v>
      </c>
      <c r="D368" s="158">
        <f>D350/10</f>
        <v>0</v>
      </c>
    </row>
    <row r="369" spans="1:4">
      <c r="A369" s="48" t="s">
        <v>1045</v>
      </c>
      <c r="B369" s="164" t="s">
        <v>825</v>
      </c>
      <c r="C369" s="60">
        <f t="shared" si="0"/>
        <v>126.9485</v>
      </c>
      <c r="D369" s="158">
        <v>110.39</v>
      </c>
    </row>
    <row r="370" spans="1:4">
      <c r="A370" s="48" t="s">
        <v>1046</v>
      </c>
      <c r="B370" s="164" t="s">
        <v>825</v>
      </c>
      <c r="C370" s="60">
        <f t="shared" si="0"/>
        <v>169.26849999999999</v>
      </c>
      <c r="D370" s="158">
        <v>147.19</v>
      </c>
    </row>
    <row r="371" spans="1:4" ht="16.5" thickBot="1">
      <c r="A371" s="48" t="s">
        <v>1047</v>
      </c>
      <c r="B371" s="164" t="s">
        <v>823</v>
      </c>
      <c r="C371" s="60">
        <f t="shared" si="0"/>
        <v>8.7054999999999989</v>
      </c>
      <c r="D371" s="158">
        <v>7.57</v>
      </c>
    </row>
    <row r="372" spans="1:4" ht="20.25" thickTop="1" thickBot="1">
      <c r="A372" s="502" t="s">
        <v>1391</v>
      </c>
      <c r="D372" s="60"/>
    </row>
    <row r="373" spans="1:4" ht="16.5" thickTop="1">
      <c r="A373" s="48" t="s">
        <v>197</v>
      </c>
      <c r="B373" s="164" t="s">
        <v>215</v>
      </c>
      <c r="C373" s="60">
        <f t="shared" si="0"/>
        <v>1.6789999999999998</v>
      </c>
      <c r="D373" s="158">
        <v>1.46</v>
      </c>
    </row>
    <row r="374" spans="1:4">
      <c r="A374" s="48" t="s">
        <v>467</v>
      </c>
      <c r="B374" s="164" t="s">
        <v>215</v>
      </c>
      <c r="C374" s="60">
        <f t="shared" si="0"/>
        <v>1.3569999999999998</v>
      </c>
      <c r="D374" s="158">
        <v>1.18</v>
      </c>
    </row>
    <row r="375" spans="1:4" ht="16.5" thickBot="1">
      <c r="A375" s="48" t="s">
        <v>468</v>
      </c>
      <c r="B375" s="164" t="s">
        <v>215</v>
      </c>
      <c r="C375" s="60">
        <f t="shared" ref="C375:C428" si="2">$C$301*D375</f>
        <v>1.8514999999999999</v>
      </c>
      <c r="D375" s="158">
        <v>1.61</v>
      </c>
    </row>
    <row r="376" spans="1:4" ht="20.25" thickTop="1" thickBot="1">
      <c r="A376" s="502" t="s">
        <v>1543</v>
      </c>
      <c r="D376" s="60"/>
    </row>
    <row r="377" spans="1:4" ht="16.5" thickTop="1">
      <c r="A377" s="48" t="s">
        <v>1048</v>
      </c>
      <c r="B377" s="164" t="s">
        <v>825</v>
      </c>
      <c r="C377" s="60">
        <f t="shared" si="2"/>
        <v>126.9485</v>
      </c>
      <c r="D377" s="158">
        <v>110.39</v>
      </c>
    </row>
    <row r="378" spans="1:4">
      <c r="A378" s="48" t="s">
        <v>1049</v>
      </c>
      <c r="B378" s="164" t="s">
        <v>825</v>
      </c>
      <c r="C378" s="60">
        <f t="shared" si="2"/>
        <v>253.89699999999999</v>
      </c>
      <c r="D378" s="158">
        <v>220.78</v>
      </c>
    </row>
    <row r="379" spans="1:4">
      <c r="A379" s="48" t="s">
        <v>19</v>
      </c>
      <c r="B379" s="164" t="s">
        <v>825</v>
      </c>
      <c r="C379" s="60">
        <f t="shared" si="2"/>
        <v>380.84550000000002</v>
      </c>
      <c r="D379" s="158">
        <v>331.17</v>
      </c>
    </row>
    <row r="380" spans="1:4">
      <c r="A380" s="48" t="s">
        <v>410</v>
      </c>
      <c r="B380" s="164" t="s">
        <v>825</v>
      </c>
      <c r="C380" s="60">
        <f t="shared" si="2"/>
        <v>507.79399999999998</v>
      </c>
      <c r="D380" s="158">
        <v>441.56</v>
      </c>
    </row>
    <row r="381" spans="1:4">
      <c r="A381" s="48" t="s">
        <v>411</v>
      </c>
      <c r="B381" s="164" t="s">
        <v>825</v>
      </c>
      <c r="C381" s="60">
        <f t="shared" si="2"/>
        <v>634.74249999999995</v>
      </c>
      <c r="D381" s="158">
        <v>551.95000000000005</v>
      </c>
    </row>
    <row r="382" spans="1:4" ht="16.5" thickBot="1">
      <c r="A382" s="79" t="s">
        <v>589</v>
      </c>
      <c r="B382" s="164" t="s">
        <v>825</v>
      </c>
      <c r="C382" s="60">
        <f t="shared" si="2"/>
        <v>761.69100000000003</v>
      </c>
      <c r="D382" s="158">
        <v>662.34</v>
      </c>
    </row>
    <row r="383" spans="1:4" ht="20.25" thickTop="1" thickBot="1">
      <c r="A383" s="502" t="s">
        <v>1392</v>
      </c>
      <c r="D383" s="60"/>
    </row>
    <row r="384" spans="1:4" ht="16.5" thickTop="1">
      <c r="A384" s="48" t="s">
        <v>1051</v>
      </c>
      <c r="B384" s="164" t="s">
        <v>825</v>
      </c>
      <c r="C384" s="60">
        <f t="shared" si="2"/>
        <v>169.38349999999997</v>
      </c>
      <c r="D384" s="158">
        <v>147.29</v>
      </c>
    </row>
    <row r="385" spans="1:5">
      <c r="A385" s="48" t="s">
        <v>78</v>
      </c>
      <c r="B385" s="164" t="s">
        <v>825</v>
      </c>
      <c r="C385" s="60">
        <f t="shared" si="2"/>
        <v>338.52549999999997</v>
      </c>
      <c r="D385" s="158">
        <v>294.37</v>
      </c>
    </row>
    <row r="386" spans="1:5">
      <c r="A386" s="48" t="s">
        <v>18</v>
      </c>
      <c r="B386" s="164" t="s">
        <v>825</v>
      </c>
      <c r="C386" s="60">
        <f>$C$301*D386</f>
        <v>507.79399999999998</v>
      </c>
      <c r="D386" s="158">
        <v>441.56</v>
      </c>
    </row>
    <row r="387" spans="1:5">
      <c r="A387" s="48" t="s">
        <v>412</v>
      </c>
      <c r="B387" s="164" t="s">
        <v>825</v>
      </c>
      <c r="C387" s="60">
        <f t="shared" si="2"/>
        <v>677.05099999999993</v>
      </c>
      <c r="D387" s="158">
        <v>588.74</v>
      </c>
    </row>
    <row r="388" spans="1:5" ht="16.5" thickBot="1">
      <c r="A388" s="48" t="s">
        <v>413</v>
      </c>
      <c r="B388" s="164" t="s">
        <v>825</v>
      </c>
      <c r="C388" s="60">
        <f t="shared" si="2"/>
        <v>846.31949999999983</v>
      </c>
      <c r="D388" s="158">
        <v>735.93</v>
      </c>
    </row>
    <row r="389" spans="1:5" ht="20.25" thickTop="1" thickBot="1">
      <c r="A389" s="502" t="s">
        <v>1393</v>
      </c>
      <c r="D389" s="60"/>
    </row>
    <row r="390" spans="1:5" ht="16.5" thickTop="1">
      <c r="A390" s="48" t="s">
        <v>79</v>
      </c>
      <c r="B390" s="164" t="s">
        <v>823</v>
      </c>
      <c r="C390" s="60">
        <f t="shared" si="2"/>
        <v>8.7054999999999989</v>
      </c>
      <c r="D390" s="158">
        <v>7.57</v>
      </c>
      <c r="E390" s="160"/>
    </row>
    <row r="391" spans="1:5">
      <c r="A391" s="48" t="s">
        <v>1034</v>
      </c>
      <c r="B391" s="164" t="s">
        <v>823</v>
      </c>
      <c r="C391" s="60">
        <f t="shared" si="2"/>
        <v>13.845999999999998</v>
      </c>
      <c r="D391" s="158">
        <v>12.04</v>
      </c>
      <c r="E391" s="160"/>
    </row>
    <row r="392" spans="1:5">
      <c r="A392" s="48" t="s">
        <v>17</v>
      </c>
      <c r="B392" s="164" t="s">
        <v>823</v>
      </c>
      <c r="C392" s="60">
        <f t="shared" si="2"/>
        <v>17.916999999999998</v>
      </c>
      <c r="D392" s="158">
        <v>15.58</v>
      </c>
      <c r="E392" s="160"/>
    </row>
    <row r="393" spans="1:5">
      <c r="A393" s="48" t="s">
        <v>414</v>
      </c>
      <c r="B393" s="164" t="s">
        <v>823</v>
      </c>
      <c r="C393" s="60">
        <f t="shared" si="2"/>
        <v>23.436999999999998</v>
      </c>
      <c r="D393" s="158">
        <v>20.38</v>
      </c>
      <c r="E393" s="160"/>
    </row>
    <row r="394" spans="1:5">
      <c r="A394" s="48" t="s">
        <v>415</v>
      </c>
      <c r="B394" s="164" t="s">
        <v>823</v>
      </c>
      <c r="C394" s="60">
        <f t="shared" si="2"/>
        <v>30.463499999999996</v>
      </c>
      <c r="D394" s="158">
        <v>26.49</v>
      </c>
      <c r="E394" s="160"/>
    </row>
    <row r="395" spans="1:5" ht="16.5" thickBot="1">
      <c r="A395" s="79" t="s">
        <v>590</v>
      </c>
      <c r="B395" s="164" t="s">
        <v>823</v>
      </c>
      <c r="C395" s="60">
        <f t="shared" si="2"/>
        <v>34.522999999999996</v>
      </c>
      <c r="D395" s="158">
        <v>30.02</v>
      </c>
      <c r="E395" s="160"/>
    </row>
    <row r="396" spans="1:5" ht="20.25" thickTop="1" thickBot="1">
      <c r="A396" s="502" t="s">
        <v>1394</v>
      </c>
      <c r="D396" s="60"/>
    </row>
    <row r="397" spans="1:5" ht="19.5" thickTop="1">
      <c r="A397" s="48" t="s">
        <v>1035</v>
      </c>
      <c r="B397" s="164" t="s">
        <v>1017</v>
      </c>
      <c r="C397" s="60">
        <f>$C$301*D397</f>
        <v>1.6789999999999998</v>
      </c>
      <c r="D397" s="158">
        <v>1.46</v>
      </c>
      <c r="E397" s="152"/>
    </row>
    <row r="398" spans="1:5">
      <c r="A398" s="48" t="s">
        <v>1115</v>
      </c>
      <c r="B398" s="164" t="s">
        <v>1017</v>
      </c>
      <c r="C398" s="60">
        <f t="shared" si="2"/>
        <v>2.5414999999999996</v>
      </c>
      <c r="D398" s="158">
        <v>2.21</v>
      </c>
    </row>
    <row r="399" spans="1:5">
      <c r="A399" s="48" t="s">
        <v>20</v>
      </c>
      <c r="B399" s="164" t="s">
        <v>1017</v>
      </c>
      <c r="C399" s="60">
        <f t="shared" si="2"/>
        <v>3.3925000000000001</v>
      </c>
      <c r="D399" s="158">
        <v>2.95</v>
      </c>
    </row>
    <row r="400" spans="1:5">
      <c r="A400" s="48" t="s">
        <v>416</v>
      </c>
      <c r="B400" s="164" t="s">
        <v>1017</v>
      </c>
      <c r="C400" s="60">
        <f t="shared" si="2"/>
        <v>4.2204999999999995</v>
      </c>
      <c r="D400" s="158">
        <v>3.67</v>
      </c>
    </row>
    <row r="401" spans="1:7">
      <c r="A401" s="48" t="s">
        <v>417</v>
      </c>
      <c r="B401" s="164" t="s">
        <v>1017</v>
      </c>
      <c r="C401" s="60">
        <f t="shared" si="2"/>
        <v>5.0714999999999995</v>
      </c>
      <c r="D401" s="158">
        <v>4.41</v>
      </c>
    </row>
    <row r="402" spans="1:7">
      <c r="A402" s="48" t="s">
        <v>388</v>
      </c>
      <c r="B402" s="164" t="s">
        <v>1017</v>
      </c>
      <c r="C402" s="60">
        <f t="shared" si="2"/>
        <v>1.3569999999999998</v>
      </c>
      <c r="D402" s="158">
        <v>1.18</v>
      </c>
    </row>
    <row r="403" spans="1:7">
      <c r="A403" s="48" t="s">
        <v>389</v>
      </c>
      <c r="B403" s="164" t="s">
        <v>1017</v>
      </c>
      <c r="C403" s="60">
        <f t="shared" si="2"/>
        <v>2.0354999999999999</v>
      </c>
      <c r="D403" s="158">
        <v>1.77</v>
      </c>
      <c r="G403" s="45"/>
    </row>
    <row r="404" spans="1:7">
      <c r="A404" s="48" t="s">
        <v>21</v>
      </c>
      <c r="B404" s="164" t="s">
        <v>1017</v>
      </c>
      <c r="C404" s="60">
        <f t="shared" si="2"/>
        <v>2.7024999999999997</v>
      </c>
      <c r="D404" s="158">
        <v>2.35</v>
      </c>
    </row>
    <row r="405" spans="1:7">
      <c r="A405" s="48" t="s">
        <v>167</v>
      </c>
      <c r="B405" s="164" t="s">
        <v>1017</v>
      </c>
      <c r="C405" s="60">
        <f t="shared" si="2"/>
        <v>3.3925000000000001</v>
      </c>
      <c r="D405" s="158">
        <v>2.95</v>
      </c>
    </row>
    <row r="406" spans="1:7">
      <c r="A406" s="48" t="s">
        <v>639</v>
      </c>
      <c r="B406" s="164" t="s">
        <v>1017</v>
      </c>
      <c r="C406" s="60">
        <f t="shared" si="2"/>
        <v>4.0594999999999999</v>
      </c>
      <c r="D406" s="158">
        <v>3.53</v>
      </c>
    </row>
    <row r="407" spans="1:7">
      <c r="A407" s="48" t="s">
        <v>390</v>
      </c>
      <c r="B407" s="164" t="s">
        <v>1017</v>
      </c>
      <c r="C407" s="60">
        <f t="shared" si="2"/>
        <v>1.8514999999999999</v>
      </c>
      <c r="D407" s="158">
        <v>1.61</v>
      </c>
    </row>
    <row r="408" spans="1:7">
      <c r="A408" s="48" t="s">
        <v>1116</v>
      </c>
      <c r="B408" s="164" t="s">
        <v>1017</v>
      </c>
      <c r="C408" s="60">
        <f t="shared" si="2"/>
        <v>3.1395</v>
      </c>
      <c r="D408" s="158">
        <v>2.73</v>
      </c>
    </row>
    <row r="409" spans="1:7">
      <c r="A409" s="48" t="s">
        <v>400</v>
      </c>
      <c r="B409" s="164" t="s">
        <v>1017</v>
      </c>
      <c r="C409" s="60">
        <f t="shared" si="2"/>
        <v>4.0594999999999999</v>
      </c>
      <c r="D409" s="158">
        <v>3.53</v>
      </c>
    </row>
    <row r="410" spans="1:7">
      <c r="A410" s="48" t="s">
        <v>640</v>
      </c>
      <c r="B410" s="164" t="s">
        <v>1017</v>
      </c>
      <c r="C410" s="60">
        <f t="shared" si="2"/>
        <v>6.7734999999999994</v>
      </c>
      <c r="D410" s="158">
        <v>5.89</v>
      </c>
    </row>
    <row r="411" spans="1:7" ht="16.5" thickBot="1">
      <c r="A411" s="48" t="s">
        <v>778</v>
      </c>
      <c r="B411" s="164" t="s">
        <v>1017</v>
      </c>
      <c r="C411" s="60">
        <f t="shared" si="2"/>
        <v>7.2679999999999998</v>
      </c>
      <c r="D411" s="158">
        <v>6.32</v>
      </c>
    </row>
    <row r="412" spans="1:7" ht="20.25" thickTop="1" thickBot="1">
      <c r="A412" s="502" t="s">
        <v>1395</v>
      </c>
      <c r="D412" s="60"/>
    </row>
    <row r="413" spans="1:7" ht="16.5" thickTop="1">
      <c r="A413" s="48" t="s">
        <v>391</v>
      </c>
      <c r="B413" s="164" t="s">
        <v>213</v>
      </c>
      <c r="C413" s="181">
        <v>157.1</v>
      </c>
      <c r="D413" s="60"/>
    </row>
    <row r="414" spans="1:7">
      <c r="A414" s="48" t="s">
        <v>392</v>
      </c>
      <c r="B414" s="164" t="s">
        <v>213</v>
      </c>
      <c r="C414" s="181">
        <v>199.95</v>
      </c>
      <c r="D414" s="60"/>
    </row>
    <row r="415" spans="1:7">
      <c r="A415" s="48" t="s">
        <v>990</v>
      </c>
      <c r="B415" s="164" t="s">
        <v>213</v>
      </c>
      <c r="C415" s="181">
        <f>C414*1.1</f>
        <v>219.94499999999999</v>
      </c>
      <c r="D415" s="60"/>
    </row>
    <row r="416" spans="1:7">
      <c r="A416" s="48" t="s">
        <v>991</v>
      </c>
      <c r="B416" s="164" t="s">
        <v>213</v>
      </c>
      <c r="C416" s="181">
        <f>C414*1.15</f>
        <v>229.94249999999997</v>
      </c>
      <c r="D416" s="60"/>
    </row>
    <row r="417" spans="1:4">
      <c r="A417" s="48" t="s">
        <v>401</v>
      </c>
      <c r="B417" s="164" t="s">
        <v>213</v>
      </c>
      <c r="C417" s="181">
        <f>C414*1.2</f>
        <v>239.93999999999997</v>
      </c>
      <c r="D417" s="60"/>
    </row>
    <row r="418" spans="1:4">
      <c r="A418" s="48" t="s">
        <v>449</v>
      </c>
      <c r="B418" s="164" t="s">
        <v>213</v>
      </c>
      <c r="C418" s="181">
        <f>C414*1.25</f>
        <v>249.9375</v>
      </c>
      <c r="D418" s="60"/>
    </row>
    <row r="419" spans="1:4">
      <c r="A419" s="48" t="s">
        <v>996</v>
      </c>
      <c r="B419" s="164" t="s">
        <v>213</v>
      </c>
      <c r="C419" s="181">
        <f>C414*1.3</f>
        <v>259.935</v>
      </c>
      <c r="D419" s="60"/>
    </row>
    <row r="420" spans="1:4">
      <c r="A420" s="183" t="s">
        <v>22</v>
      </c>
      <c r="B420" s="164" t="s">
        <v>213</v>
      </c>
      <c r="C420" s="181">
        <v>203.67</v>
      </c>
      <c r="D420" s="60"/>
    </row>
    <row r="421" spans="1:4">
      <c r="A421" s="48" t="s">
        <v>1306</v>
      </c>
      <c r="B421" s="164" t="s">
        <v>213</v>
      </c>
      <c r="C421" s="181">
        <v>293.32</v>
      </c>
      <c r="D421" s="60"/>
    </row>
    <row r="422" spans="1:4" s="156" customFormat="1">
      <c r="A422" s="48" t="s">
        <v>1667</v>
      </c>
      <c r="B422" s="164" t="s">
        <v>213</v>
      </c>
      <c r="C422" s="181">
        <v>224.72</v>
      </c>
      <c r="D422" s="60"/>
    </row>
    <row r="423" spans="1:4">
      <c r="A423" s="48" t="s">
        <v>461</v>
      </c>
      <c r="B423" s="164" t="s">
        <v>213</v>
      </c>
      <c r="C423" s="181">
        <v>118.96</v>
      </c>
      <c r="D423" s="60"/>
    </row>
    <row r="424" spans="1:4">
      <c r="A424" s="48" t="s">
        <v>977</v>
      </c>
      <c r="B424" s="164" t="s">
        <v>213</v>
      </c>
      <c r="C424" s="181">
        <v>171.57</v>
      </c>
      <c r="D424" s="60"/>
    </row>
    <row r="425" spans="1:4" s="156" customFormat="1">
      <c r="A425" s="48" t="s">
        <v>1666</v>
      </c>
      <c r="B425" s="164" t="s">
        <v>213</v>
      </c>
      <c r="C425" s="181">
        <v>191.67</v>
      </c>
      <c r="D425" s="60"/>
    </row>
    <row r="426" spans="1:4" s="12" customFormat="1">
      <c r="A426" s="48" t="s">
        <v>1635</v>
      </c>
      <c r="B426" s="164" t="s">
        <v>213</v>
      </c>
      <c r="C426" s="181">
        <v>69.790000000000006</v>
      </c>
      <c r="D426" s="60"/>
    </row>
    <row r="427" spans="1:4" s="12" customFormat="1">
      <c r="A427" s="79" t="s">
        <v>1266</v>
      </c>
      <c r="B427" s="164" t="s">
        <v>213</v>
      </c>
      <c r="C427" s="181">
        <v>271.58</v>
      </c>
      <c r="D427" s="60"/>
    </row>
    <row r="428" spans="1:4" s="12" customFormat="1">
      <c r="A428" s="182" t="s">
        <v>1230</v>
      </c>
      <c r="B428" s="164" t="s">
        <v>213</v>
      </c>
      <c r="C428" s="60">
        <f t="shared" si="2"/>
        <v>103.49999999999999</v>
      </c>
      <c r="D428" s="157">
        <v>90</v>
      </c>
    </row>
    <row r="429" spans="1:4" s="12" customFormat="1">
      <c r="A429" s="79" t="s">
        <v>1096</v>
      </c>
      <c r="B429" s="164" t="s">
        <v>213</v>
      </c>
      <c r="C429" s="181">
        <v>325.88</v>
      </c>
      <c r="D429" s="60"/>
    </row>
    <row r="430" spans="1:4" s="12" customFormat="1">
      <c r="A430" s="79" t="s">
        <v>369</v>
      </c>
      <c r="B430" s="164" t="s">
        <v>213</v>
      </c>
      <c r="C430" s="181">
        <v>23.58</v>
      </c>
      <c r="D430" s="60"/>
    </row>
    <row r="431" spans="1:4" s="12" customFormat="1">
      <c r="A431" s="79" t="s">
        <v>633</v>
      </c>
      <c r="B431" s="164" t="s">
        <v>213</v>
      </c>
      <c r="C431" s="181">
        <v>23.58</v>
      </c>
      <c r="D431" s="60"/>
    </row>
    <row r="432" spans="1:4" s="12" customFormat="1">
      <c r="A432" s="79" t="s">
        <v>1636</v>
      </c>
      <c r="B432" s="164" t="s">
        <v>213</v>
      </c>
      <c r="C432" s="181">
        <v>93.35</v>
      </c>
      <c r="D432" s="60"/>
    </row>
    <row r="433" spans="1:8" s="12" customFormat="1">
      <c r="A433" s="79" t="s">
        <v>1637</v>
      </c>
      <c r="B433" s="164" t="s">
        <v>213</v>
      </c>
      <c r="C433" s="181">
        <v>156.81</v>
      </c>
      <c r="D433" s="60"/>
    </row>
    <row r="434" spans="1:8" s="12" customFormat="1">
      <c r="A434" s="79" t="s">
        <v>1668</v>
      </c>
      <c r="B434" s="164" t="s">
        <v>213</v>
      </c>
      <c r="C434" s="181">
        <v>44.64</v>
      </c>
      <c r="D434" s="60"/>
    </row>
    <row r="435" spans="1:8" s="12" customFormat="1">
      <c r="A435" s="79" t="s">
        <v>1669</v>
      </c>
      <c r="B435" s="164" t="s">
        <v>213</v>
      </c>
      <c r="C435" s="181">
        <v>325.88</v>
      </c>
      <c r="D435" s="60"/>
    </row>
    <row r="436" spans="1:8" s="12" customFormat="1">
      <c r="A436" s="79" t="s">
        <v>634</v>
      </c>
      <c r="B436" s="164" t="s">
        <v>213</v>
      </c>
      <c r="C436" s="181">
        <v>35.39</v>
      </c>
      <c r="D436" s="60"/>
    </row>
    <row r="437" spans="1:8" s="12" customFormat="1">
      <c r="A437" s="79" t="s">
        <v>297</v>
      </c>
      <c r="B437" s="164" t="s">
        <v>213</v>
      </c>
      <c r="C437" s="181">
        <v>56.36</v>
      </c>
      <c r="D437" s="60"/>
    </row>
    <row r="438" spans="1:8" s="12" customFormat="1">
      <c r="A438" s="79" t="s">
        <v>1170</v>
      </c>
      <c r="B438" s="164" t="s">
        <v>1171</v>
      </c>
      <c r="C438" s="181">
        <v>68.430000000000007</v>
      </c>
      <c r="D438" s="60"/>
    </row>
    <row r="439" spans="1:8" s="12" customFormat="1">
      <c r="A439" s="79" t="s">
        <v>635</v>
      </c>
      <c r="B439" s="164" t="s">
        <v>1171</v>
      </c>
      <c r="C439" s="181">
        <v>128.37</v>
      </c>
      <c r="D439" s="60"/>
    </row>
    <row r="440" spans="1:8" s="12" customFormat="1">
      <c r="A440" s="79" t="s">
        <v>636</v>
      </c>
      <c r="B440" s="164" t="s">
        <v>1171</v>
      </c>
      <c r="C440" s="181">
        <v>157.91</v>
      </c>
      <c r="D440" s="60"/>
    </row>
    <row r="441" spans="1:8" s="12" customFormat="1">
      <c r="A441" s="79" t="s">
        <v>1264</v>
      </c>
      <c r="B441" s="164" t="s">
        <v>1171</v>
      </c>
      <c r="C441" s="181">
        <v>136.9</v>
      </c>
      <c r="D441" s="60"/>
    </row>
    <row r="442" spans="1:8" s="12" customFormat="1" ht="16.5" thickBot="1">
      <c r="A442" s="79" t="s">
        <v>1604</v>
      </c>
      <c r="B442" s="164" t="s">
        <v>1171</v>
      </c>
      <c r="C442" s="181">
        <v>273.76</v>
      </c>
      <c r="D442" s="60"/>
    </row>
    <row r="443" spans="1:8" s="12" customFormat="1" ht="20.25" thickTop="1" thickBot="1">
      <c r="A443" s="502" t="s">
        <v>1396</v>
      </c>
      <c r="B443" s="164"/>
      <c r="C443" s="60"/>
      <c r="D443" s="60"/>
      <c r="F443" s="150"/>
      <c r="G443" s="29"/>
      <c r="H443" s="58"/>
    </row>
    <row r="444" spans="1:8" s="12" customFormat="1" ht="16.5" thickTop="1">
      <c r="A444" s="79" t="s">
        <v>746</v>
      </c>
      <c r="B444" s="164" t="s">
        <v>213</v>
      </c>
      <c r="C444" s="60">
        <f t="shared" ref="C444:C500" si="3">$C$301*D444</f>
        <v>184.09200000000001</v>
      </c>
      <c r="D444" s="60">
        <v>160.08000000000001</v>
      </c>
      <c r="F444" s="79"/>
      <c r="G444" s="29"/>
      <c r="H444" s="116"/>
    </row>
    <row r="445" spans="1:8" s="12" customFormat="1">
      <c r="A445" s="79" t="s">
        <v>1223</v>
      </c>
      <c r="B445" s="164" t="s">
        <v>213</v>
      </c>
      <c r="C445" s="60">
        <v>82</v>
      </c>
      <c r="D445" s="60">
        <f>D444</f>
        <v>160.08000000000001</v>
      </c>
      <c r="F445" s="79"/>
      <c r="G445" s="29"/>
      <c r="H445" s="116"/>
    </row>
    <row r="446" spans="1:8" s="12" customFormat="1">
      <c r="A446" s="79" t="s">
        <v>1112</v>
      </c>
      <c r="B446" s="164" t="s">
        <v>213</v>
      </c>
      <c r="C446" s="60">
        <f t="shared" si="3"/>
        <v>300.14999999999998</v>
      </c>
      <c r="D446" s="60">
        <v>261</v>
      </c>
      <c r="F446" s="79"/>
      <c r="G446" s="29"/>
      <c r="H446" s="116"/>
    </row>
    <row r="447" spans="1:8" s="12" customFormat="1">
      <c r="A447" s="79" t="s">
        <v>1226</v>
      </c>
      <c r="B447" s="164" t="s">
        <v>213</v>
      </c>
      <c r="C447" s="60">
        <f t="shared" si="3"/>
        <v>300.14999999999998</v>
      </c>
      <c r="D447" s="60">
        <f>D446</f>
        <v>261</v>
      </c>
      <c r="F447" s="79"/>
      <c r="G447" s="29"/>
      <c r="H447" s="116"/>
    </row>
    <row r="448" spans="1:8" s="12" customFormat="1" ht="16.5" thickBot="1">
      <c r="A448" s="79" t="s">
        <v>1484</v>
      </c>
      <c r="B448" s="164" t="s">
        <v>213</v>
      </c>
      <c r="C448" s="60">
        <f t="shared" si="3"/>
        <v>158.69999999999999</v>
      </c>
      <c r="D448" s="60">
        <v>138</v>
      </c>
      <c r="F448" s="79"/>
      <c r="G448" s="29"/>
      <c r="H448" s="116"/>
    </row>
    <row r="449" spans="1:4" s="12" customFormat="1" ht="20.25" thickTop="1" thickBot="1">
      <c r="A449" s="502" t="s">
        <v>1622</v>
      </c>
      <c r="B449" s="164"/>
      <c r="C449" s="60"/>
      <c r="D449" s="60"/>
    </row>
    <row r="450" spans="1:4" s="12" customFormat="1" ht="16.5" thickTop="1">
      <c r="A450" s="79" t="s">
        <v>1126</v>
      </c>
      <c r="B450" s="164" t="s">
        <v>213</v>
      </c>
      <c r="C450" s="181">
        <v>150.75</v>
      </c>
      <c r="D450" s="60"/>
    </row>
    <row r="451" spans="1:4" s="12" customFormat="1">
      <c r="A451" s="79" t="s">
        <v>600</v>
      </c>
      <c r="B451" s="164" t="s">
        <v>213</v>
      </c>
      <c r="C451" s="181">
        <v>200.94</v>
      </c>
      <c r="D451" s="60"/>
    </row>
    <row r="452" spans="1:4" s="12" customFormat="1">
      <c r="A452" s="79" t="s">
        <v>601</v>
      </c>
      <c r="B452" s="164" t="s">
        <v>213</v>
      </c>
      <c r="C452" s="181">
        <v>212.8</v>
      </c>
      <c r="D452" s="60"/>
    </row>
    <row r="453" spans="1:4" s="12" customFormat="1">
      <c r="A453" s="79" t="s">
        <v>1638</v>
      </c>
      <c r="B453" s="164" t="s">
        <v>213</v>
      </c>
      <c r="C453" s="181">
        <v>93.35</v>
      </c>
      <c r="D453" s="60"/>
    </row>
    <row r="454" spans="1:4" s="12" customFormat="1">
      <c r="A454" s="182" t="s">
        <v>243</v>
      </c>
      <c r="B454" s="164" t="s">
        <v>213</v>
      </c>
      <c r="C454" s="60">
        <f t="shared" si="3"/>
        <v>287.5</v>
      </c>
      <c r="D454" s="146">
        <v>250</v>
      </c>
    </row>
    <row r="455" spans="1:4" s="12" customFormat="1">
      <c r="A455" s="184" t="s">
        <v>955</v>
      </c>
      <c r="B455" s="164" t="s">
        <v>213</v>
      </c>
      <c r="C455" s="60">
        <f t="shared" si="3"/>
        <v>1265</v>
      </c>
      <c r="D455" s="157">
        <v>1100</v>
      </c>
    </row>
    <row r="456" spans="1:4" s="12" customFormat="1">
      <c r="A456" s="182" t="s">
        <v>1551</v>
      </c>
      <c r="B456" s="164" t="s">
        <v>213</v>
      </c>
      <c r="C456" s="60">
        <f t="shared" si="3"/>
        <v>345</v>
      </c>
      <c r="D456" s="157">
        <v>300</v>
      </c>
    </row>
    <row r="457" spans="1:4" s="12" customFormat="1">
      <c r="A457" s="79" t="s">
        <v>1311</v>
      </c>
      <c r="B457" s="164" t="s">
        <v>213</v>
      </c>
      <c r="C457" s="181">
        <v>296.23</v>
      </c>
    </row>
    <row r="458" spans="1:4" s="12" customFormat="1">
      <c r="A458" s="79" t="s">
        <v>1019</v>
      </c>
      <c r="B458" s="164" t="s">
        <v>213</v>
      </c>
      <c r="C458" s="181">
        <v>250.67</v>
      </c>
    </row>
    <row r="459" spans="1:4" s="12" customFormat="1" ht="31.5">
      <c r="A459" s="100" t="s">
        <v>1670</v>
      </c>
      <c r="B459" s="164" t="s">
        <v>213</v>
      </c>
      <c r="C459" s="181">
        <v>553.25</v>
      </c>
    </row>
    <row r="460" spans="1:4" s="12" customFormat="1">
      <c r="A460" s="79" t="s">
        <v>1602</v>
      </c>
      <c r="B460" s="164" t="s">
        <v>213</v>
      </c>
      <c r="C460" s="181">
        <v>594.73</v>
      </c>
    </row>
    <row r="461" spans="1:4" s="12" customFormat="1" ht="31.5">
      <c r="A461" s="100" t="s">
        <v>1603</v>
      </c>
      <c r="B461" s="164" t="s">
        <v>213</v>
      </c>
      <c r="C461" s="60">
        <f t="shared" si="3"/>
        <v>769.92499999999995</v>
      </c>
      <c r="D461" s="157">
        <v>669.5</v>
      </c>
    </row>
    <row r="462" spans="1:4" s="12" customFormat="1">
      <c r="A462" s="79" t="s">
        <v>1639</v>
      </c>
      <c r="B462" s="164" t="s">
        <v>213</v>
      </c>
      <c r="C462" s="60">
        <f t="shared" si="3"/>
        <v>358.21350000000001</v>
      </c>
      <c r="D462" s="158">
        <v>311.49</v>
      </c>
    </row>
    <row r="463" spans="1:4" s="12" customFormat="1">
      <c r="A463" s="79" t="s">
        <v>1640</v>
      </c>
      <c r="B463" s="164" t="s">
        <v>213</v>
      </c>
      <c r="C463" s="181">
        <v>500.84</v>
      </c>
      <c r="D463" s="158"/>
    </row>
    <row r="464" spans="1:4" s="12" customFormat="1">
      <c r="A464" s="79" t="s">
        <v>1671</v>
      </c>
      <c r="B464" s="164" t="s">
        <v>213</v>
      </c>
      <c r="C464" s="181">
        <v>570.29999999999995</v>
      </c>
      <c r="D464" s="158"/>
    </row>
    <row r="465" spans="1:4" s="12" customFormat="1">
      <c r="A465" s="79" t="s">
        <v>565</v>
      </c>
      <c r="B465" s="164" t="s">
        <v>213</v>
      </c>
      <c r="C465" s="181">
        <v>660.39</v>
      </c>
      <c r="D465" s="158"/>
    </row>
    <row r="466" spans="1:4" s="12" customFormat="1">
      <c r="A466" s="100" t="s">
        <v>761</v>
      </c>
      <c r="B466" s="164" t="s">
        <v>213</v>
      </c>
      <c r="C466" s="60">
        <f t="shared" si="3"/>
        <v>855.20899999999995</v>
      </c>
      <c r="D466" s="158">
        <v>743.66</v>
      </c>
    </row>
    <row r="467" spans="1:4" s="12" customFormat="1">
      <c r="A467" s="79" t="s">
        <v>1218</v>
      </c>
      <c r="B467" s="164" t="s">
        <v>213</v>
      </c>
      <c r="C467" s="181">
        <v>179.57</v>
      </c>
      <c r="D467" s="158"/>
    </row>
    <row r="468" spans="1:4" s="12" customFormat="1" ht="31.5">
      <c r="A468" s="107" t="s">
        <v>1483</v>
      </c>
      <c r="B468" s="164" t="s">
        <v>213</v>
      </c>
      <c r="C468" s="181">
        <v>349.85</v>
      </c>
      <c r="D468" s="158"/>
    </row>
    <row r="469" spans="1:4" s="12" customFormat="1">
      <c r="A469" s="79" t="s">
        <v>1225</v>
      </c>
      <c r="B469" s="164" t="s">
        <v>213</v>
      </c>
      <c r="C469" s="60">
        <f t="shared" si="3"/>
        <v>263.39599999999996</v>
      </c>
      <c r="D469" s="158">
        <v>229.04</v>
      </c>
    </row>
    <row r="470" spans="1:4" s="12" customFormat="1">
      <c r="A470" s="79" t="s">
        <v>1224</v>
      </c>
      <c r="B470" s="164" t="s">
        <v>213</v>
      </c>
      <c r="C470" s="60">
        <f t="shared" si="3"/>
        <v>203.54999999999998</v>
      </c>
      <c r="D470" s="158">
        <v>177</v>
      </c>
    </row>
    <row r="471" spans="1:4" s="12" customFormat="1">
      <c r="A471" s="79" t="s">
        <v>1131</v>
      </c>
      <c r="B471" s="164" t="s">
        <v>213</v>
      </c>
      <c r="C471" s="60">
        <f t="shared" si="3"/>
        <v>14.938499999999999</v>
      </c>
      <c r="D471" s="158">
        <v>12.99</v>
      </c>
    </row>
    <row r="472" spans="1:4" s="12" customFormat="1">
      <c r="A472" s="79" t="s">
        <v>571</v>
      </c>
      <c r="B472" s="164" t="s">
        <v>213</v>
      </c>
      <c r="C472" s="60">
        <f t="shared" si="3"/>
        <v>100.17649999999999</v>
      </c>
      <c r="D472" s="158">
        <v>87.11</v>
      </c>
    </row>
    <row r="473" spans="1:4" s="12" customFormat="1" ht="16.5" thickBot="1">
      <c r="A473" s="183" t="s">
        <v>1482</v>
      </c>
      <c r="B473" s="164" t="s">
        <v>213</v>
      </c>
      <c r="C473" s="181">
        <v>260.72000000000003</v>
      </c>
      <c r="D473" s="158">
        <v>170.68</v>
      </c>
    </row>
    <row r="474" spans="1:4" s="12" customFormat="1" ht="20.25" thickTop="1" thickBot="1">
      <c r="A474" s="502" t="s">
        <v>1397</v>
      </c>
      <c r="B474" s="164"/>
      <c r="C474" s="60"/>
      <c r="D474" s="60"/>
    </row>
    <row r="475" spans="1:4" s="12" customFormat="1" ht="16.5" thickTop="1">
      <c r="A475" s="79" t="s">
        <v>881</v>
      </c>
      <c r="B475" s="164" t="s">
        <v>213</v>
      </c>
      <c r="C475" s="181">
        <v>136.5</v>
      </c>
      <c r="D475" s="60"/>
    </row>
    <row r="476" spans="1:4" s="12" customFormat="1">
      <c r="A476" s="79" t="s">
        <v>262</v>
      </c>
      <c r="B476" s="164" t="s">
        <v>213</v>
      </c>
      <c r="C476" s="181">
        <v>83.98</v>
      </c>
      <c r="D476" s="60"/>
    </row>
    <row r="477" spans="1:4" s="12" customFormat="1">
      <c r="A477" s="79" t="s">
        <v>263</v>
      </c>
      <c r="B477" s="164" t="s">
        <v>213</v>
      </c>
      <c r="C477" s="60">
        <f t="shared" si="3"/>
        <v>63.22699999999999</v>
      </c>
      <c r="D477" s="158">
        <v>54.98</v>
      </c>
    </row>
    <row r="478" spans="1:4" s="12" customFormat="1">
      <c r="A478" s="79" t="s">
        <v>264</v>
      </c>
      <c r="B478" s="164" t="s">
        <v>213</v>
      </c>
      <c r="C478" s="181">
        <v>340.2</v>
      </c>
    </row>
    <row r="479" spans="1:4" s="12" customFormat="1">
      <c r="A479" s="79" t="s">
        <v>407</v>
      </c>
      <c r="B479" s="164" t="s">
        <v>408</v>
      </c>
      <c r="C479" s="60">
        <f t="shared" si="3"/>
        <v>116.89749999999999</v>
      </c>
      <c r="D479" s="158">
        <v>101.65</v>
      </c>
    </row>
    <row r="480" spans="1:4" s="12" customFormat="1">
      <c r="A480" s="79" t="s">
        <v>1193</v>
      </c>
      <c r="B480" s="164" t="s">
        <v>213</v>
      </c>
      <c r="C480" s="60">
        <f t="shared" si="3"/>
        <v>262.13099999999997</v>
      </c>
      <c r="D480" s="157">
        <v>227.94</v>
      </c>
    </row>
    <row r="481" spans="1:5" s="12" customFormat="1">
      <c r="A481" s="79" t="s">
        <v>1194</v>
      </c>
      <c r="B481" s="164" t="s">
        <v>1171</v>
      </c>
      <c r="C481" s="60">
        <f t="shared" si="3"/>
        <v>209.714</v>
      </c>
      <c r="D481" s="157">
        <v>182.36</v>
      </c>
    </row>
    <row r="482" spans="1:5" s="12" customFormat="1" ht="30.75" customHeight="1">
      <c r="A482" s="100" t="s">
        <v>1587</v>
      </c>
      <c r="B482" s="164" t="s">
        <v>213</v>
      </c>
      <c r="C482" s="60">
        <f t="shared" si="3"/>
        <v>32.096499999999999</v>
      </c>
      <c r="D482" s="158">
        <v>27.91</v>
      </c>
    </row>
    <row r="483" spans="1:5" s="12" customFormat="1" ht="16.5" customHeight="1">
      <c r="A483" s="100" t="s">
        <v>1588</v>
      </c>
      <c r="B483" s="164" t="s">
        <v>213</v>
      </c>
      <c r="C483" s="60">
        <f t="shared" si="3"/>
        <v>18.871499999999997</v>
      </c>
      <c r="D483" s="158">
        <v>16.41</v>
      </c>
    </row>
    <row r="484" spans="1:5" s="12" customFormat="1" ht="31.5">
      <c r="A484" s="100" t="s">
        <v>199</v>
      </c>
      <c r="B484" s="164" t="s">
        <v>213</v>
      </c>
      <c r="C484" s="60">
        <f t="shared" si="3"/>
        <v>27.910499999999999</v>
      </c>
      <c r="D484" s="60">
        <v>24.27</v>
      </c>
    </row>
    <row r="485" spans="1:5" s="12" customFormat="1">
      <c r="A485" s="79" t="s">
        <v>882</v>
      </c>
      <c r="B485" s="164" t="s">
        <v>1171</v>
      </c>
      <c r="C485" s="181">
        <v>72.819999999999993</v>
      </c>
      <c r="D485" s="60"/>
    </row>
    <row r="486" spans="1:5" s="12" customFormat="1" ht="16.5" thickBot="1">
      <c r="A486" s="79" t="s">
        <v>883</v>
      </c>
      <c r="B486" s="164" t="s">
        <v>1171</v>
      </c>
      <c r="C486" s="181">
        <v>48.5</v>
      </c>
      <c r="D486" s="60"/>
    </row>
    <row r="487" spans="1:5" s="12" customFormat="1" ht="20.25" thickTop="1" thickBot="1">
      <c r="A487" s="502" t="s">
        <v>1398</v>
      </c>
      <c r="B487" s="164"/>
      <c r="C487" s="60"/>
      <c r="D487" s="60"/>
    </row>
    <row r="488" spans="1:5" s="12" customFormat="1" ht="16.5" thickTop="1">
      <c r="A488" s="79" t="s">
        <v>1544</v>
      </c>
      <c r="B488" s="164" t="s">
        <v>1017</v>
      </c>
      <c r="C488" s="60">
        <f t="shared" si="3"/>
        <v>6.865499999999999</v>
      </c>
      <c r="D488" s="158">
        <v>5.97</v>
      </c>
      <c r="E488" s="160"/>
    </row>
    <row r="489" spans="1:5" s="12" customFormat="1">
      <c r="A489" s="79" t="s">
        <v>1545</v>
      </c>
      <c r="B489" s="164" t="s">
        <v>1017</v>
      </c>
      <c r="C489" s="60">
        <f t="shared" si="3"/>
        <v>8.234</v>
      </c>
      <c r="D489" s="158">
        <v>7.16</v>
      </c>
      <c r="E489" s="160"/>
    </row>
    <row r="490" spans="1:5" s="12" customFormat="1">
      <c r="A490" s="79" t="s">
        <v>1546</v>
      </c>
      <c r="B490" s="164" t="s">
        <v>1017</v>
      </c>
      <c r="C490" s="60">
        <f t="shared" si="3"/>
        <v>13.719499999999998</v>
      </c>
      <c r="D490" s="158">
        <v>11.93</v>
      </c>
      <c r="E490" s="160"/>
    </row>
    <row r="491" spans="1:5" s="12" customFormat="1">
      <c r="A491" s="79" t="s">
        <v>1547</v>
      </c>
      <c r="B491" s="164" t="s">
        <v>1017</v>
      </c>
      <c r="C491" s="60">
        <f t="shared" si="3"/>
        <v>13.719499999999998</v>
      </c>
      <c r="D491" s="158">
        <f>D490</f>
        <v>11.93</v>
      </c>
      <c r="E491" s="160"/>
    </row>
    <row r="492" spans="1:5" s="12" customFormat="1">
      <c r="A492" s="79" t="s">
        <v>1548</v>
      </c>
      <c r="B492" s="164" t="s">
        <v>1017</v>
      </c>
      <c r="C492" s="60">
        <f t="shared" si="3"/>
        <v>20.584999999999997</v>
      </c>
      <c r="D492" s="158">
        <v>17.899999999999999</v>
      </c>
      <c r="E492" s="160"/>
    </row>
    <row r="493" spans="1:5" s="12" customFormat="1">
      <c r="A493" s="79" t="s">
        <v>1549</v>
      </c>
      <c r="B493" s="164" t="s">
        <v>1017</v>
      </c>
      <c r="C493" s="60">
        <f t="shared" si="3"/>
        <v>0</v>
      </c>
      <c r="D493" s="159"/>
      <c r="E493" s="161"/>
    </row>
    <row r="494" spans="1:5" s="12" customFormat="1">
      <c r="A494" s="79" t="s">
        <v>1579</v>
      </c>
      <c r="B494" s="164" t="s">
        <v>1017</v>
      </c>
      <c r="C494" s="60">
        <f t="shared" si="3"/>
        <v>13.719499999999998</v>
      </c>
      <c r="D494" s="158">
        <f>D490</f>
        <v>11.93</v>
      </c>
      <c r="E494" s="160"/>
    </row>
    <row r="495" spans="1:5" s="12" customFormat="1" ht="16.5" thickBot="1">
      <c r="A495" s="79" t="s">
        <v>1550</v>
      </c>
      <c r="B495" s="164" t="s">
        <v>1017</v>
      </c>
      <c r="C495" s="60">
        <f t="shared" si="3"/>
        <v>10.9825</v>
      </c>
      <c r="D495" s="158">
        <v>9.5500000000000007</v>
      </c>
      <c r="E495" s="160"/>
    </row>
    <row r="496" spans="1:5" s="12" customFormat="1" ht="20.25" thickTop="1" thickBot="1">
      <c r="A496" s="502" t="s">
        <v>1399</v>
      </c>
      <c r="B496" s="164"/>
      <c r="C496" s="60"/>
      <c r="D496" s="60"/>
    </row>
    <row r="497" spans="1:4" s="12" customFormat="1" ht="16.5" thickTop="1">
      <c r="A497" s="79" t="s">
        <v>686</v>
      </c>
      <c r="B497" s="164" t="s">
        <v>1171</v>
      </c>
      <c r="C497" s="181">
        <v>108.15</v>
      </c>
      <c r="D497" s="60"/>
    </row>
    <row r="498" spans="1:4" s="12" customFormat="1">
      <c r="A498" s="79" t="s">
        <v>901</v>
      </c>
      <c r="B498" s="164" t="s">
        <v>1171</v>
      </c>
      <c r="C498" s="181">
        <v>83.5</v>
      </c>
      <c r="D498" s="60"/>
    </row>
    <row r="499" spans="1:4" s="12" customFormat="1">
      <c r="A499" s="79" t="s">
        <v>0</v>
      </c>
      <c r="B499" s="164" t="s">
        <v>1171</v>
      </c>
      <c r="C499" s="60">
        <f>$C$301*D499</f>
        <v>107.2375</v>
      </c>
      <c r="D499" s="158">
        <v>93.25</v>
      </c>
    </row>
    <row r="500" spans="1:4" s="12" customFormat="1" ht="16.5" thickBot="1">
      <c r="A500" s="79" t="s">
        <v>609</v>
      </c>
      <c r="B500" s="164" t="s">
        <v>1171</v>
      </c>
      <c r="C500" s="60">
        <f t="shared" si="3"/>
        <v>67.401499999999999</v>
      </c>
      <c r="D500" s="158">
        <v>58.61</v>
      </c>
    </row>
    <row r="501" spans="1:4" s="12" customFormat="1" ht="20.25" thickTop="1" thickBot="1">
      <c r="A501" s="502" t="s">
        <v>1400</v>
      </c>
      <c r="B501" s="164"/>
      <c r="C501" s="60"/>
      <c r="D501" s="60"/>
    </row>
    <row r="502" spans="1:4" s="12" customFormat="1" ht="16.5" thickTop="1">
      <c r="A502" s="79" t="s">
        <v>689</v>
      </c>
      <c r="B502" s="164" t="s">
        <v>1171</v>
      </c>
      <c r="C502" s="181">
        <v>256.64999999999998</v>
      </c>
      <c r="D502" s="60"/>
    </row>
    <row r="503" spans="1:4" s="12" customFormat="1">
      <c r="A503" s="79" t="s">
        <v>479</v>
      </c>
      <c r="B503" s="164" t="s">
        <v>1171</v>
      </c>
      <c r="C503" s="181">
        <v>152.03</v>
      </c>
      <c r="D503" s="60"/>
    </row>
    <row r="504" spans="1:4" s="12" customFormat="1">
      <c r="A504" s="79" t="s">
        <v>1641</v>
      </c>
      <c r="B504" s="164" t="s">
        <v>1171</v>
      </c>
      <c r="C504" s="181">
        <v>297.32</v>
      </c>
      <c r="D504" s="60"/>
    </row>
    <row r="505" spans="1:4" s="12" customFormat="1">
      <c r="A505" s="79" t="s">
        <v>606</v>
      </c>
      <c r="B505" s="164" t="s">
        <v>1171</v>
      </c>
      <c r="C505" s="181">
        <v>250.42</v>
      </c>
      <c r="D505" s="60"/>
    </row>
    <row r="506" spans="1:4" s="12" customFormat="1">
      <c r="A506" s="79" t="s">
        <v>997</v>
      </c>
      <c r="B506" s="164" t="s">
        <v>1171</v>
      </c>
      <c r="C506" s="181">
        <v>340.11</v>
      </c>
      <c r="D506" s="60"/>
    </row>
    <row r="507" spans="1:4" s="12" customFormat="1">
      <c r="A507" s="100" t="s">
        <v>1485</v>
      </c>
      <c r="B507" s="164" t="s">
        <v>1171</v>
      </c>
      <c r="C507" s="181">
        <v>485.52</v>
      </c>
      <c r="D507" s="60"/>
    </row>
    <row r="508" spans="1:4" s="12" customFormat="1">
      <c r="A508" s="100" t="s">
        <v>224</v>
      </c>
      <c r="B508" s="164" t="s">
        <v>1171</v>
      </c>
      <c r="C508" s="181">
        <v>594.73</v>
      </c>
      <c r="D508" s="60"/>
    </row>
    <row r="509" spans="1:4" s="12" customFormat="1">
      <c r="A509" s="79" t="s">
        <v>244</v>
      </c>
      <c r="B509" s="164" t="s">
        <v>1171</v>
      </c>
      <c r="C509" s="181">
        <v>610.03</v>
      </c>
      <c r="D509" s="60"/>
    </row>
    <row r="510" spans="1:4" s="12" customFormat="1">
      <c r="A510" s="79" t="s">
        <v>225</v>
      </c>
      <c r="B510" s="164" t="s">
        <v>1171</v>
      </c>
      <c r="C510" s="181">
        <v>500.84</v>
      </c>
      <c r="D510" s="60"/>
    </row>
    <row r="511" spans="1:4" s="12" customFormat="1">
      <c r="A511" s="79" t="s">
        <v>605</v>
      </c>
      <c r="B511" s="164" t="s">
        <v>1171</v>
      </c>
      <c r="C511" s="60">
        <f t="shared" ref="C511:C571" si="4">$C$301*D511</f>
        <v>447.7525</v>
      </c>
      <c r="D511" s="158">
        <v>389.35</v>
      </c>
    </row>
    <row r="512" spans="1:4" s="12" customFormat="1">
      <c r="A512" s="79" t="s">
        <v>458</v>
      </c>
      <c r="B512" s="164" t="s">
        <v>1171</v>
      </c>
      <c r="C512" s="60">
        <f t="shared" si="4"/>
        <v>551.09149999999988</v>
      </c>
      <c r="D512" s="158">
        <v>479.21</v>
      </c>
    </row>
    <row r="513" spans="1:4" s="12" customFormat="1">
      <c r="A513" s="79" t="s">
        <v>546</v>
      </c>
      <c r="B513" s="164" t="s">
        <v>1171</v>
      </c>
      <c r="C513" s="60">
        <f t="shared" si="4"/>
        <v>327.75</v>
      </c>
      <c r="D513" s="157">
        <v>285</v>
      </c>
    </row>
    <row r="514" spans="1:4" s="12" customFormat="1">
      <c r="A514" s="79" t="s">
        <v>1642</v>
      </c>
      <c r="B514" s="164" t="s">
        <v>1017</v>
      </c>
      <c r="C514" s="181">
        <v>139.94</v>
      </c>
      <c r="D514" s="60"/>
    </row>
    <row r="515" spans="1:4" s="12" customFormat="1" ht="16.5" thickBot="1">
      <c r="A515" s="79" t="s">
        <v>576</v>
      </c>
      <c r="B515" s="164" t="s">
        <v>1017</v>
      </c>
      <c r="C515" s="181">
        <v>183.01</v>
      </c>
      <c r="D515" s="60"/>
    </row>
    <row r="516" spans="1:4" s="12" customFormat="1" ht="20.25" thickTop="1" thickBot="1">
      <c r="A516" s="502" t="s">
        <v>1401</v>
      </c>
      <c r="B516" s="164"/>
      <c r="C516" s="60"/>
      <c r="D516" s="60"/>
    </row>
    <row r="517" spans="1:4" s="12" customFormat="1" ht="16.5" thickTop="1">
      <c r="A517" s="79" t="s">
        <v>1672</v>
      </c>
      <c r="B517" s="164" t="s">
        <v>213</v>
      </c>
      <c r="C517" s="181">
        <v>453.12</v>
      </c>
      <c r="D517" s="60"/>
    </row>
    <row r="518" spans="1:4" s="12" customFormat="1">
      <c r="A518" s="79" t="s">
        <v>1673</v>
      </c>
      <c r="B518" s="164" t="s">
        <v>213</v>
      </c>
      <c r="C518" s="181">
        <v>500.84</v>
      </c>
      <c r="D518" s="60"/>
    </row>
    <row r="519" spans="1:4" s="12" customFormat="1">
      <c r="A519" s="79" t="s">
        <v>1486</v>
      </c>
      <c r="B519" s="164" t="s">
        <v>213</v>
      </c>
      <c r="C519" s="60">
        <f t="shared" si="4"/>
        <v>447.7525</v>
      </c>
      <c r="D519" s="158">
        <v>389.35</v>
      </c>
    </row>
    <row r="520" spans="1:4" s="12" customFormat="1">
      <c r="A520" s="79" t="s">
        <v>1487</v>
      </c>
      <c r="B520" s="164" t="s">
        <v>213</v>
      </c>
      <c r="C520" s="60">
        <f t="shared" si="4"/>
        <v>511.77299999999997</v>
      </c>
      <c r="D520" s="158">
        <v>445.02</v>
      </c>
    </row>
    <row r="521" spans="1:4" s="12" customFormat="1">
      <c r="A521" s="79" t="s">
        <v>964</v>
      </c>
      <c r="B521" s="164" t="s">
        <v>1017</v>
      </c>
      <c r="C521" s="60">
        <f t="shared" si="4"/>
        <v>8.9814999999999987</v>
      </c>
      <c r="D521" s="158">
        <v>7.81</v>
      </c>
    </row>
    <row r="522" spans="1:4" s="12" customFormat="1">
      <c r="A522" s="79" t="s">
        <v>1101</v>
      </c>
      <c r="B522" s="164" t="s">
        <v>213</v>
      </c>
      <c r="C522" s="60">
        <f t="shared" si="4"/>
        <v>688.42449999999997</v>
      </c>
      <c r="D522" s="158">
        <v>598.63</v>
      </c>
    </row>
    <row r="523" spans="1:4" s="12" customFormat="1">
      <c r="A523" s="79" t="s">
        <v>1488</v>
      </c>
      <c r="B523" s="164" t="s">
        <v>213</v>
      </c>
      <c r="C523" s="60">
        <f t="shared" si="4"/>
        <v>716.42700000000002</v>
      </c>
      <c r="D523" s="158">
        <v>622.98</v>
      </c>
    </row>
    <row r="524" spans="1:4" s="12" customFormat="1" ht="16.5" thickBot="1">
      <c r="A524" s="79" t="s">
        <v>1489</v>
      </c>
      <c r="B524" s="164" t="s">
        <v>213</v>
      </c>
      <c r="C524" s="60">
        <f t="shared" si="4"/>
        <v>829.19599999999991</v>
      </c>
      <c r="D524" s="158">
        <v>721.04</v>
      </c>
    </row>
    <row r="525" spans="1:4" s="12" customFormat="1" ht="20.25" thickTop="1" thickBot="1">
      <c r="A525" s="502" t="s">
        <v>1532</v>
      </c>
      <c r="B525" s="29"/>
      <c r="C525" s="60"/>
      <c r="D525" s="60"/>
    </row>
    <row r="526" spans="1:4" s="12" customFormat="1" ht="16.5" thickTop="1">
      <c r="A526" s="79" t="s">
        <v>1533</v>
      </c>
      <c r="B526" s="164" t="s">
        <v>213</v>
      </c>
      <c r="C526" s="181">
        <v>914.4</v>
      </c>
      <c r="D526" s="60"/>
    </row>
    <row r="527" spans="1:4" s="12" customFormat="1">
      <c r="A527" s="79" t="s">
        <v>1136</v>
      </c>
      <c r="B527" s="164" t="s">
        <v>213</v>
      </c>
      <c r="C527" s="181">
        <v>594.73</v>
      </c>
      <c r="D527" s="60"/>
    </row>
    <row r="528" spans="1:4" s="12" customFormat="1">
      <c r="A528" s="107" t="s">
        <v>373</v>
      </c>
      <c r="B528" s="164" t="s">
        <v>213</v>
      </c>
      <c r="C528" s="181">
        <v>681.27</v>
      </c>
      <c r="D528" s="60"/>
    </row>
    <row r="529" spans="1:5" s="12" customFormat="1" ht="31.5">
      <c r="A529" s="107" t="s">
        <v>1534</v>
      </c>
      <c r="B529" s="164" t="s">
        <v>213</v>
      </c>
      <c r="C529" s="181">
        <v>617.92999999999995</v>
      </c>
      <c r="D529" s="60"/>
    </row>
    <row r="530" spans="1:5" s="12" customFormat="1" ht="45" customHeight="1">
      <c r="A530" s="107" t="s">
        <v>1643</v>
      </c>
      <c r="B530" s="164" t="s">
        <v>213</v>
      </c>
      <c r="C530" s="181">
        <v>233.35</v>
      </c>
      <c r="D530" s="60"/>
    </row>
    <row r="531" spans="1:5" s="12" customFormat="1" ht="31.5">
      <c r="A531" s="107" t="s">
        <v>1535</v>
      </c>
      <c r="B531" s="164" t="s">
        <v>825</v>
      </c>
      <c r="C531" s="181">
        <v>2504.17</v>
      </c>
      <c r="D531" s="60"/>
    </row>
    <row r="532" spans="1:5" s="12" customFormat="1" ht="16.5" thickBot="1">
      <c r="A532" s="79" t="s">
        <v>59</v>
      </c>
      <c r="B532" s="164" t="s">
        <v>825</v>
      </c>
      <c r="C532" s="181">
        <v>873.68</v>
      </c>
      <c r="D532" s="60"/>
    </row>
    <row r="533" spans="1:5" s="12" customFormat="1" ht="20.25" thickTop="1" thickBot="1">
      <c r="A533" s="502" t="s">
        <v>1402</v>
      </c>
      <c r="B533" s="164"/>
      <c r="C533" s="60"/>
      <c r="D533" s="60"/>
    </row>
    <row r="534" spans="1:5" s="12" customFormat="1" ht="16.5" thickTop="1">
      <c r="A534" s="79" t="s">
        <v>775</v>
      </c>
      <c r="B534" s="164" t="s">
        <v>1171</v>
      </c>
      <c r="C534" s="60">
        <f t="shared" si="4"/>
        <v>42.170499999999997</v>
      </c>
      <c r="D534" s="158">
        <v>36.67</v>
      </c>
    </row>
    <row r="535" spans="1:5" s="12" customFormat="1">
      <c r="A535" s="79" t="s">
        <v>958</v>
      </c>
      <c r="B535" s="164" t="s">
        <v>1171</v>
      </c>
      <c r="C535" s="60">
        <f t="shared" si="4"/>
        <v>42.170499999999997</v>
      </c>
      <c r="D535" s="158">
        <f>D534</f>
        <v>36.67</v>
      </c>
    </row>
    <row r="536" spans="1:5" s="12" customFormat="1">
      <c r="A536" s="79" t="s">
        <v>959</v>
      </c>
      <c r="B536" s="164" t="s">
        <v>1171</v>
      </c>
      <c r="C536" s="60">
        <f t="shared" si="4"/>
        <v>50.599999999999994</v>
      </c>
      <c r="D536" s="158">
        <v>44</v>
      </c>
    </row>
    <row r="537" spans="1:5" s="12" customFormat="1" ht="16.5" thickBot="1">
      <c r="A537" s="79" t="s">
        <v>960</v>
      </c>
      <c r="B537" s="164" t="s">
        <v>213</v>
      </c>
      <c r="C537" s="60">
        <f t="shared" si="4"/>
        <v>42.170499999999997</v>
      </c>
      <c r="D537" s="158">
        <f>D534</f>
        <v>36.67</v>
      </c>
    </row>
    <row r="538" spans="1:5" s="12" customFormat="1" ht="20.25" thickTop="1" thickBot="1">
      <c r="A538" s="502" t="s">
        <v>1403</v>
      </c>
      <c r="B538" s="164"/>
      <c r="C538" s="60"/>
      <c r="D538" s="60"/>
    </row>
    <row r="539" spans="1:5" s="12" customFormat="1" ht="16.5" thickTop="1">
      <c r="A539" s="79" t="s">
        <v>370</v>
      </c>
      <c r="B539" s="164" t="s">
        <v>1017</v>
      </c>
      <c r="C539" s="60">
        <f>$C$301*D539</f>
        <v>1.9549999999999998</v>
      </c>
      <c r="D539" s="158">
        <v>1.7</v>
      </c>
      <c r="E539" s="160"/>
    </row>
    <row r="540" spans="1:5" s="12" customFormat="1">
      <c r="A540" s="79" t="s">
        <v>1003</v>
      </c>
      <c r="B540" s="164" t="s">
        <v>1017</v>
      </c>
      <c r="C540" s="60">
        <f t="shared" si="4"/>
        <v>1.3224999999999998</v>
      </c>
      <c r="D540" s="158">
        <v>1.1499999999999999</v>
      </c>
      <c r="E540" s="160"/>
    </row>
    <row r="541" spans="1:5" s="12" customFormat="1">
      <c r="A541" s="79" t="s">
        <v>608</v>
      </c>
      <c r="B541" s="164" t="s">
        <v>1017</v>
      </c>
      <c r="C541" s="60">
        <f t="shared" si="4"/>
        <v>0.97749999999999992</v>
      </c>
      <c r="D541" s="158">
        <v>0.85</v>
      </c>
      <c r="E541" s="160"/>
    </row>
    <row r="542" spans="1:5" s="12" customFormat="1" ht="16.5" thickBot="1">
      <c r="A542" s="79" t="s">
        <v>1005</v>
      </c>
      <c r="B542" s="164" t="s">
        <v>1017</v>
      </c>
      <c r="C542" s="60">
        <f t="shared" si="4"/>
        <v>0.63249999999999995</v>
      </c>
      <c r="D542" s="158">
        <v>0.55000000000000004</v>
      </c>
      <c r="E542" s="160"/>
    </row>
    <row r="543" spans="1:5" s="12" customFormat="1" ht="20.25" thickTop="1" thickBot="1">
      <c r="A543" s="502" t="s">
        <v>1404</v>
      </c>
      <c r="B543" s="164"/>
      <c r="C543" s="60"/>
      <c r="D543" s="60"/>
      <c r="E543" s="160"/>
    </row>
    <row r="544" spans="1:5" s="12" customFormat="1" ht="16.5" thickTop="1">
      <c r="A544" s="79" t="s">
        <v>478</v>
      </c>
      <c r="B544" s="164" t="s">
        <v>1017</v>
      </c>
      <c r="C544" s="60">
        <f t="shared" si="4"/>
        <v>4.910499999999999</v>
      </c>
      <c r="D544" s="158">
        <v>4.2699999999999996</v>
      </c>
      <c r="E544" s="160"/>
    </row>
    <row r="545" spans="1:5" s="12" customFormat="1">
      <c r="A545" s="79" t="s">
        <v>1004</v>
      </c>
      <c r="B545" s="164" t="s">
        <v>1017</v>
      </c>
      <c r="C545" s="60">
        <f t="shared" si="4"/>
        <v>2.6795</v>
      </c>
      <c r="D545" s="158">
        <v>2.33</v>
      </c>
      <c r="E545" s="160"/>
    </row>
    <row r="546" spans="1:5" s="12" customFormat="1">
      <c r="A546" s="79" t="s">
        <v>166</v>
      </c>
      <c r="B546" s="164" t="s">
        <v>1017</v>
      </c>
      <c r="C546" s="60">
        <f t="shared" si="4"/>
        <v>1.9549999999999998</v>
      </c>
      <c r="D546" s="158">
        <v>1.7</v>
      </c>
      <c r="E546" s="160"/>
    </row>
    <row r="547" spans="1:5" s="12" customFormat="1" ht="16.5" thickBot="1">
      <c r="A547" s="79" t="s">
        <v>1166</v>
      </c>
      <c r="B547" s="164" t="s">
        <v>1017</v>
      </c>
      <c r="C547" s="60">
        <f t="shared" si="4"/>
        <v>1.3224999999999998</v>
      </c>
      <c r="D547" s="158">
        <v>1.1499999999999999</v>
      </c>
      <c r="E547" s="160"/>
    </row>
    <row r="548" spans="1:5" s="12" customFormat="1" ht="20.25" thickTop="1" thickBot="1">
      <c r="A548" s="502" t="s">
        <v>1405</v>
      </c>
      <c r="B548" s="164"/>
      <c r="C548" s="60"/>
      <c r="D548" s="60"/>
      <c r="E548" s="160"/>
    </row>
    <row r="549" spans="1:5" s="12" customFormat="1" ht="16.5" thickTop="1">
      <c r="A549" s="79" t="s">
        <v>459</v>
      </c>
      <c r="B549" s="164" t="s">
        <v>213</v>
      </c>
      <c r="C549" s="60">
        <f t="shared" si="4"/>
        <v>9.5909999999999993</v>
      </c>
      <c r="D549" s="158">
        <v>8.34</v>
      </c>
      <c r="E549" s="160"/>
    </row>
    <row r="550" spans="1:5" s="12" customFormat="1">
      <c r="A550" s="79" t="s">
        <v>375</v>
      </c>
      <c r="B550" s="164" t="s">
        <v>213</v>
      </c>
      <c r="C550" s="60">
        <f t="shared" si="4"/>
        <v>15.501999999999999</v>
      </c>
      <c r="D550" s="158">
        <v>13.48</v>
      </c>
      <c r="E550" s="160"/>
    </row>
    <row r="551" spans="1:5" s="12" customFormat="1">
      <c r="A551" s="79" t="s">
        <v>460</v>
      </c>
      <c r="B551" s="164" t="s">
        <v>213</v>
      </c>
      <c r="C551" s="60">
        <f t="shared" si="4"/>
        <v>23.367999999999999</v>
      </c>
      <c r="D551" s="158">
        <v>20.32</v>
      </c>
      <c r="E551" s="160"/>
    </row>
    <row r="552" spans="1:5" s="12" customFormat="1">
      <c r="A552" s="79" t="s">
        <v>472</v>
      </c>
      <c r="B552" s="164" t="s">
        <v>213</v>
      </c>
      <c r="C552" s="60">
        <f t="shared" si="4"/>
        <v>32.027499999999996</v>
      </c>
      <c r="D552" s="158">
        <v>27.85</v>
      </c>
      <c r="E552" s="160"/>
    </row>
    <row r="553" spans="1:5" s="12" customFormat="1">
      <c r="A553" s="79" t="s">
        <v>374</v>
      </c>
      <c r="B553" s="164" t="s">
        <v>213</v>
      </c>
      <c r="C553" s="60">
        <f t="shared" si="4"/>
        <v>40.675499999999992</v>
      </c>
      <c r="D553" s="158">
        <v>35.369999999999997</v>
      </c>
      <c r="E553" s="160"/>
    </row>
    <row r="554" spans="1:5" s="12" customFormat="1" ht="16.5" thickBot="1">
      <c r="A554" s="79" t="s">
        <v>584</v>
      </c>
      <c r="B554" s="164" t="s">
        <v>213</v>
      </c>
      <c r="C554" s="60">
        <f t="shared" si="4"/>
        <v>48.783000000000001</v>
      </c>
      <c r="D554" s="158">
        <v>42.42</v>
      </c>
      <c r="E554" s="160"/>
    </row>
    <row r="555" spans="1:5" s="12" customFormat="1" ht="20.25" thickTop="1" thickBot="1">
      <c r="A555" s="502" t="s">
        <v>1586</v>
      </c>
      <c r="B555" s="164"/>
      <c r="C555" s="60"/>
      <c r="D555" s="60"/>
      <c r="E555" s="160"/>
    </row>
    <row r="556" spans="1:5" s="12" customFormat="1" ht="16.5" thickTop="1">
      <c r="A556" s="79" t="s">
        <v>1157</v>
      </c>
      <c r="B556" s="164" t="s">
        <v>1171</v>
      </c>
      <c r="C556" s="60">
        <f t="shared" si="4"/>
        <v>0.77049999999999996</v>
      </c>
      <c r="D556" s="158">
        <v>0.67</v>
      </c>
      <c r="E556" s="160"/>
    </row>
    <row r="557" spans="1:5" s="12" customFormat="1">
      <c r="A557" s="79" t="s">
        <v>1158</v>
      </c>
      <c r="B557" s="164" t="s">
        <v>1171</v>
      </c>
      <c r="C557" s="60">
        <f t="shared" si="4"/>
        <v>1.4029999999999998</v>
      </c>
      <c r="D557" s="158">
        <v>1.22</v>
      </c>
      <c r="E557" s="160"/>
    </row>
    <row r="558" spans="1:5" s="12" customFormat="1">
      <c r="A558" s="79" t="s">
        <v>112</v>
      </c>
      <c r="B558" s="164" t="s">
        <v>1171</v>
      </c>
      <c r="C558" s="60">
        <f t="shared" si="4"/>
        <v>2.0814999999999997</v>
      </c>
      <c r="D558" s="158">
        <v>1.81</v>
      </c>
      <c r="E558" s="160"/>
    </row>
    <row r="559" spans="1:5" s="12" customFormat="1">
      <c r="A559" s="79" t="s">
        <v>113</v>
      </c>
      <c r="B559" s="164" t="s">
        <v>1171</v>
      </c>
      <c r="C559" s="60">
        <f t="shared" si="4"/>
        <v>3.1969999999999996</v>
      </c>
      <c r="D559" s="158">
        <v>2.78</v>
      </c>
      <c r="E559" s="160"/>
    </row>
    <row r="560" spans="1:5" s="12" customFormat="1" ht="16.5" thickBot="1">
      <c r="A560" s="79" t="s">
        <v>469</v>
      </c>
      <c r="B560" s="164" t="s">
        <v>1171</v>
      </c>
      <c r="C560" s="60">
        <f t="shared" si="4"/>
        <v>4.3354999999999997</v>
      </c>
      <c r="D560" s="158">
        <v>3.77</v>
      </c>
      <c r="E560" s="160"/>
    </row>
    <row r="561" spans="1:5" s="12" customFormat="1" ht="20.25" thickTop="1" thickBot="1">
      <c r="A561" s="502" t="s">
        <v>1406</v>
      </c>
      <c r="B561" s="164"/>
      <c r="C561" s="60"/>
      <c r="D561" s="60"/>
      <c r="E561" s="160"/>
    </row>
    <row r="562" spans="1:5" s="12" customFormat="1" ht="16.5" thickTop="1">
      <c r="A562" s="79" t="s">
        <v>512</v>
      </c>
      <c r="B562" s="164" t="s">
        <v>1172</v>
      </c>
      <c r="C562" s="60">
        <f t="shared" si="4"/>
        <v>8.7054999999999989</v>
      </c>
      <c r="D562" s="158">
        <f>D390</f>
        <v>7.57</v>
      </c>
    </row>
    <row r="563" spans="1:5" s="12" customFormat="1">
      <c r="A563" s="79" t="s">
        <v>513</v>
      </c>
      <c r="B563" s="164" t="s">
        <v>1172</v>
      </c>
      <c r="C563" s="60">
        <f t="shared" si="4"/>
        <v>13.845999999999998</v>
      </c>
      <c r="D563" s="158">
        <f>D391</f>
        <v>12.04</v>
      </c>
    </row>
    <row r="564" spans="1:5" s="12" customFormat="1">
      <c r="A564" s="79" t="s">
        <v>402</v>
      </c>
      <c r="B564" s="164" t="s">
        <v>1172</v>
      </c>
      <c r="C564" s="60">
        <f t="shared" si="4"/>
        <v>17.916999999999998</v>
      </c>
      <c r="D564" s="158">
        <f>D392</f>
        <v>15.58</v>
      </c>
    </row>
    <row r="565" spans="1:5" s="12" customFormat="1">
      <c r="A565" s="79" t="s">
        <v>314</v>
      </c>
      <c r="B565" s="164" t="s">
        <v>1172</v>
      </c>
      <c r="C565" s="60">
        <f t="shared" si="4"/>
        <v>23.436999999999998</v>
      </c>
      <c r="D565" s="158">
        <f>D393</f>
        <v>20.38</v>
      </c>
    </row>
    <row r="566" spans="1:5" s="12" customFormat="1" ht="16.5" thickBot="1">
      <c r="A566" s="79" t="s">
        <v>315</v>
      </c>
      <c r="B566" s="164" t="s">
        <v>1172</v>
      </c>
      <c r="C566" s="60">
        <f t="shared" si="4"/>
        <v>30.463499999999996</v>
      </c>
      <c r="D566" s="158">
        <f>D394</f>
        <v>26.49</v>
      </c>
    </row>
    <row r="567" spans="1:5" s="12" customFormat="1" ht="20.25" thickTop="1" thickBot="1">
      <c r="A567" s="502" t="s">
        <v>1449</v>
      </c>
      <c r="B567" s="164"/>
      <c r="C567" s="60"/>
      <c r="D567" s="60"/>
    </row>
    <row r="568" spans="1:5" s="12" customFormat="1" ht="16.5" thickTop="1">
      <c r="A568" s="79" t="s">
        <v>300</v>
      </c>
      <c r="B568" s="164" t="s">
        <v>1171</v>
      </c>
      <c r="C568" s="60">
        <f>$C$301*D568</f>
        <v>13.546999999999999</v>
      </c>
      <c r="D568" s="158">
        <v>11.78</v>
      </c>
    </row>
    <row r="569" spans="1:5" s="12" customFormat="1">
      <c r="A569" s="79" t="s">
        <v>301</v>
      </c>
      <c r="B569" s="164" t="s">
        <v>1171</v>
      </c>
      <c r="C569" s="60">
        <f t="shared" si="4"/>
        <v>18.940499999999997</v>
      </c>
      <c r="D569" s="158">
        <v>16.47</v>
      </c>
    </row>
    <row r="570" spans="1:5" s="12" customFormat="1">
      <c r="A570" s="79" t="s">
        <v>403</v>
      </c>
      <c r="B570" s="164" t="s">
        <v>1171</v>
      </c>
      <c r="C570" s="60">
        <f t="shared" si="4"/>
        <v>22.861999999999998</v>
      </c>
      <c r="D570" s="158">
        <v>19.88</v>
      </c>
    </row>
    <row r="571" spans="1:5" s="12" customFormat="1">
      <c r="A571" s="79" t="s">
        <v>316</v>
      </c>
      <c r="B571" s="164" t="s">
        <v>1171</v>
      </c>
      <c r="C571" s="60">
        <f t="shared" si="4"/>
        <v>38.133999999999993</v>
      </c>
      <c r="D571" s="158">
        <v>33.159999999999997</v>
      </c>
    </row>
    <row r="572" spans="1:5" s="12" customFormat="1" ht="16.5" thickBot="1">
      <c r="A572" s="79" t="s">
        <v>38</v>
      </c>
      <c r="B572" s="164" t="s">
        <v>1171</v>
      </c>
      <c r="C572" s="60">
        <f t="shared" ref="C572:C633" si="5">$C$301*D572</f>
        <v>49.576499999999996</v>
      </c>
      <c r="D572" s="158">
        <v>43.11</v>
      </c>
    </row>
    <row r="573" spans="1:5" s="12" customFormat="1" ht="20.25" thickTop="1" thickBot="1">
      <c r="A573" s="502" t="s">
        <v>1585</v>
      </c>
      <c r="B573" s="164"/>
      <c r="C573" s="60"/>
      <c r="D573" s="60"/>
    </row>
    <row r="574" spans="1:5" s="12" customFormat="1" ht="16.5" thickTop="1">
      <c r="A574" s="79" t="s">
        <v>849</v>
      </c>
      <c r="B574" s="164" t="s">
        <v>1017</v>
      </c>
      <c r="C574" s="60">
        <f t="shared" si="5"/>
        <v>0.34499999999999997</v>
      </c>
      <c r="D574" s="158">
        <v>0.3</v>
      </c>
    </row>
    <row r="575" spans="1:5" s="12" customFormat="1">
      <c r="A575" s="79" t="s">
        <v>850</v>
      </c>
      <c r="B575" s="164" t="s">
        <v>1017</v>
      </c>
      <c r="C575" s="60">
        <f t="shared" si="5"/>
        <v>0.52900000000000003</v>
      </c>
      <c r="D575" s="158">
        <v>0.46</v>
      </c>
    </row>
    <row r="576" spans="1:5" s="12" customFormat="1">
      <c r="A576" s="79" t="s">
        <v>404</v>
      </c>
      <c r="B576" s="164" t="s">
        <v>1017</v>
      </c>
      <c r="C576" s="60">
        <f t="shared" si="5"/>
        <v>0.87399999999999989</v>
      </c>
      <c r="D576" s="158">
        <v>0.76</v>
      </c>
    </row>
    <row r="577" spans="1:4" s="12" customFormat="1">
      <c r="A577" s="79" t="s">
        <v>39</v>
      </c>
      <c r="B577" s="164" t="s">
        <v>1017</v>
      </c>
      <c r="C577" s="60">
        <f t="shared" si="5"/>
        <v>1.196</v>
      </c>
      <c r="D577" s="158">
        <v>1.04</v>
      </c>
    </row>
    <row r="578" spans="1:4" s="12" customFormat="1" ht="16.5" thickBot="1">
      <c r="A578" s="79" t="s">
        <v>855</v>
      </c>
      <c r="B578" s="164" t="s">
        <v>1017</v>
      </c>
      <c r="C578" s="60">
        <f t="shared" si="5"/>
        <v>1.7249999999999999</v>
      </c>
      <c r="D578" s="158">
        <v>1.5</v>
      </c>
    </row>
    <row r="579" spans="1:4" s="12" customFormat="1" ht="20.25" thickTop="1" thickBot="1">
      <c r="A579" s="502" t="s">
        <v>1450</v>
      </c>
      <c r="B579" s="164"/>
      <c r="C579" s="60"/>
      <c r="D579" s="60"/>
    </row>
    <row r="580" spans="1:4" s="12" customFormat="1" ht="16.5" thickTop="1">
      <c r="A580" s="79" t="s">
        <v>292</v>
      </c>
      <c r="B580" s="164" t="s">
        <v>1017</v>
      </c>
      <c r="C580" s="60">
        <f t="shared" si="5"/>
        <v>0.34499999999999997</v>
      </c>
      <c r="D580" s="158">
        <f>D574</f>
        <v>0.3</v>
      </c>
    </row>
    <row r="581" spans="1:4" s="12" customFormat="1">
      <c r="A581" s="79" t="s">
        <v>723</v>
      </c>
      <c r="B581" s="164" t="s">
        <v>1017</v>
      </c>
      <c r="C581" s="60">
        <f t="shared" si="5"/>
        <v>0.52900000000000003</v>
      </c>
      <c r="D581" s="158">
        <f>D575</f>
        <v>0.46</v>
      </c>
    </row>
    <row r="582" spans="1:4" s="12" customFormat="1">
      <c r="A582" s="79" t="s">
        <v>787</v>
      </c>
      <c r="B582" s="164" t="s">
        <v>1017</v>
      </c>
      <c r="C582" s="60">
        <f t="shared" si="5"/>
        <v>0.87399999999999989</v>
      </c>
      <c r="D582" s="158">
        <f>D576</f>
        <v>0.76</v>
      </c>
    </row>
    <row r="583" spans="1:4" s="12" customFormat="1">
      <c r="A583" s="79" t="s">
        <v>788</v>
      </c>
      <c r="B583" s="164" t="s">
        <v>1017</v>
      </c>
      <c r="C583" s="60">
        <f t="shared" si="5"/>
        <v>1.196</v>
      </c>
      <c r="D583" s="158">
        <f>D577</f>
        <v>1.04</v>
      </c>
    </row>
    <row r="584" spans="1:4" s="12" customFormat="1" ht="16.5" thickBot="1">
      <c r="A584" s="79" t="s">
        <v>595</v>
      </c>
      <c r="B584" s="164" t="s">
        <v>1017</v>
      </c>
      <c r="C584" s="60">
        <f t="shared" si="5"/>
        <v>1.7249999999999999</v>
      </c>
      <c r="D584" s="158">
        <f>D578</f>
        <v>1.5</v>
      </c>
    </row>
    <row r="585" spans="1:4" s="12" customFormat="1" ht="20.25" thickTop="1" thickBot="1">
      <c r="A585" s="502" t="s">
        <v>1451</v>
      </c>
      <c r="B585" s="164"/>
      <c r="C585" s="60"/>
      <c r="D585" s="60"/>
    </row>
    <row r="586" spans="1:4" s="12" customFormat="1" ht="16.5" thickTop="1">
      <c r="A586" s="79" t="s">
        <v>497</v>
      </c>
      <c r="B586" s="164" t="s">
        <v>213</v>
      </c>
      <c r="C586" s="60">
        <f t="shared" si="5"/>
        <v>9.5909999999999993</v>
      </c>
      <c r="D586" s="158">
        <f>D549</f>
        <v>8.34</v>
      </c>
    </row>
    <row r="587" spans="1:4" s="12" customFormat="1">
      <c r="A587" s="79" t="s">
        <v>1102</v>
      </c>
      <c r="B587" s="164" t="s">
        <v>213</v>
      </c>
      <c r="C587" s="60">
        <f t="shared" si="5"/>
        <v>15.501999999999999</v>
      </c>
      <c r="D587" s="158">
        <f>D550</f>
        <v>13.48</v>
      </c>
    </row>
    <row r="588" spans="1:4" s="12" customFormat="1">
      <c r="A588" s="79" t="s">
        <v>1086</v>
      </c>
      <c r="B588" s="164" t="s">
        <v>213</v>
      </c>
      <c r="C588" s="60">
        <f t="shared" si="5"/>
        <v>23.367999999999999</v>
      </c>
      <c r="D588" s="158">
        <f>D551</f>
        <v>20.32</v>
      </c>
    </row>
    <row r="589" spans="1:4" s="12" customFormat="1">
      <c r="A589" s="79" t="s">
        <v>1087</v>
      </c>
      <c r="B589" s="164" t="s">
        <v>213</v>
      </c>
      <c r="C589" s="60">
        <f t="shared" si="5"/>
        <v>32.027499999999996</v>
      </c>
      <c r="D589" s="158">
        <f>D552</f>
        <v>27.85</v>
      </c>
    </row>
    <row r="590" spans="1:4" s="12" customFormat="1" ht="16.5" thickBot="1">
      <c r="A590" s="79" t="s">
        <v>498</v>
      </c>
      <c r="B590" s="164" t="s">
        <v>213</v>
      </c>
      <c r="C590" s="60">
        <f t="shared" si="5"/>
        <v>40.675499999999992</v>
      </c>
      <c r="D590" s="158">
        <f>D553</f>
        <v>35.369999999999997</v>
      </c>
    </row>
    <row r="591" spans="1:4" s="12" customFormat="1" ht="20.25" thickTop="1" thickBot="1">
      <c r="A591" s="502" t="s">
        <v>1453</v>
      </c>
      <c r="B591" s="164"/>
      <c r="C591" s="60"/>
      <c r="D591" s="60"/>
    </row>
    <row r="592" spans="1:4" s="12" customFormat="1" ht="16.5" thickTop="1">
      <c r="A592" s="79" t="s">
        <v>1452</v>
      </c>
      <c r="B592" s="164" t="s">
        <v>213</v>
      </c>
      <c r="C592" s="60">
        <f t="shared" si="5"/>
        <v>236.11799999999997</v>
      </c>
      <c r="D592" s="158">
        <v>205.32</v>
      </c>
    </row>
    <row r="593" spans="1:4" s="12" customFormat="1">
      <c r="A593" s="79" t="s">
        <v>1490</v>
      </c>
      <c r="B593" s="164" t="s">
        <v>811</v>
      </c>
      <c r="C593" s="60">
        <f t="shared" si="5"/>
        <v>28.565999999999999</v>
      </c>
      <c r="D593" s="158">
        <v>24.84</v>
      </c>
    </row>
    <row r="594" spans="1:4" s="12" customFormat="1">
      <c r="A594" s="79" t="s">
        <v>1491</v>
      </c>
      <c r="B594" s="164" t="s">
        <v>811</v>
      </c>
      <c r="C594" s="60">
        <f t="shared" si="5"/>
        <v>49.507499999999993</v>
      </c>
      <c r="D594" s="158">
        <v>43.05</v>
      </c>
    </row>
    <row r="595" spans="1:4" s="12" customFormat="1">
      <c r="A595" s="79" t="s">
        <v>1493</v>
      </c>
      <c r="B595" s="164" t="s">
        <v>811</v>
      </c>
      <c r="C595" s="60">
        <f t="shared" si="5"/>
        <v>28.565999999999999</v>
      </c>
      <c r="D595" s="158">
        <v>24.84</v>
      </c>
    </row>
    <row r="596" spans="1:4" s="12" customFormat="1">
      <c r="A596" s="79" t="s">
        <v>1494</v>
      </c>
      <c r="B596" s="164" t="s">
        <v>811</v>
      </c>
      <c r="C596" s="60">
        <f t="shared" si="5"/>
        <v>56.004999999999995</v>
      </c>
      <c r="D596" s="158">
        <v>48.7</v>
      </c>
    </row>
    <row r="597" spans="1:4" s="12" customFormat="1">
      <c r="A597" s="79" t="s">
        <v>1466</v>
      </c>
      <c r="B597" s="164" t="s">
        <v>811</v>
      </c>
      <c r="C597" s="60">
        <f t="shared" si="5"/>
        <v>70.448999999999998</v>
      </c>
      <c r="D597" s="158">
        <v>61.26</v>
      </c>
    </row>
    <row r="598" spans="1:4" s="12" customFormat="1">
      <c r="A598" s="79" t="s">
        <v>1495</v>
      </c>
      <c r="B598" s="164" t="s">
        <v>811</v>
      </c>
      <c r="C598" s="60">
        <f t="shared" si="5"/>
        <v>56.004999999999995</v>
      </c>
      <c r="D598" s="158">
        <f>D596</f>
        <v>48.7</v>
      </c>
    </row>
    <row r="599" spans="1:4" s="12" customFormat="1">
      <c r="A599" s="79" t="s">
        <v>1506</v>
      </c>
      <c r="B599" s="164"/>
      <c r="C599" s="60" t="s">
        <v>48</v>
      </c>
      <c r="D599" s="60" t="s">
        <v>1038</v>
      </c>
    </row>
    <row r="600" spans="1:4" s="12" customFormat="1">
      <c r="A600" s="79" t="s">
        <v>1507</v>
      </c>
      <c r="B600" s="164" t="s">
        <v>213</v>
      </c>
      <c r="C600" s="60">
        <f t="shared" si="5"/>
        <v>163.76</v>
      </c>
      <c r="D600" s="158">
        <v>142.4</v>
      </c>
    </row>
    <row r="601" spans="1:4" s="12" customFormat="1">
      <c r="A601" s="79" t="s">
        <v>1508</v>
      </c>
      <c r="B601" s="164" t="s">
        <v>213</v>
      </c>
      <c r="C601" s="60">
        <f t="shared" si="5"/>
        <v>236.11799999999997</v>
      </c>
      <c r="D601" s="158">
        <f>D592</f>
        <v>205.32</v>
      </c>
    </row>
    <row r="602" spans="1:4" s="12" customFormat="1" ht="31.5">
      <c r="A602" s="107" t="s">
        <v>1509</v>
      </c>
      <c r="B602" s="164"/>
      <c r="C602" s="60" t="s">
        <v>48</v>
      </c>
      <c r="D602" s="60" t="s">
        <v>1038</v>
      </c>
    </row>
    <row r="603" spans="1:4" s="12" customFormat="1" ht="32.25" thickBot="1">
      <c r="A603" s="107" t="s">
        <v>1510</v>
      </c>
      <c r="B603" s="164"/>
      <c r="C603" s="60" t="s">
        <v>48</v>
      </c>
      <c r="D603" s="60" t="s">
        <v>1038</v>
      </c>
    </row>
    <row r="604" spans="1:4" s="12" customFormat="1" ht="20.25" thickTop="1" thickBot="1">
      <c r="A604" s="502" t="s">
        <v>1463</v>
      </c>
      <c r="B604" s="164"/>
      <c r="C604" s="60"/>
      <c r="D604" s="60"/>
    </row>
    <row r="605" spans="1:4" s="12" customFormat="1" ht="16.5" thickTop="1">
      <c r="A605" s="79" t="s">
        <v>809</v>
      </c>
      <c r="B605" s="164" t="s">
        <v>1017</v>
      </c>
      <c r="C605" s="60">
        <f t="shared" si="5"/>
        <v>38.087999999999994</v>
      </c>
      <c r="D605" s="158">
        <v>33.119999999999997</v>
      </c>
    </row>
    <row r="606" spans="1:4" s="12" customFormat="1">
      <c r="A606" s="79" t="s">
        <v>1492</v>
      </c>
      <c r="B606" s="164" t="s">
        <v>1017</v>
      </c>
      <c r="C606" s="60">
        <f t="shared" si="5"/>
        <v>62.835999999999999</v>
      </c>
      <c r="D606" s="158">
        <v>54.64</v>
      </c>
    </row>
    <row r="607" spans="1:4" s="12" customFormat="1">
      <c r="A607" s="79" t="s">
        <v>810</v>
      </c>
      <c r="B607" s="164" t="s">
        <v>1017</v>
      </c>
      <c r="C607" s="60">
        <f t="shared" si="5"/>
        <v>49.507499999999993</v>
      </c>
      <c r="D607" s="158">
        <v>43.05</v>
      </c>
    </row>
    <row r="608" spans="1:4" s="12" customFormat="1" ht="16.5" thickBot="1">
      <c r="A608" s="79" t="s">
        <v>966</v>
      </c>
      <c r="B608" s="164" t="s">
        <v>1171</v>
      </c>
      <c r="C608" s="60">
        <f t="shared" si="5"/>
        <v>245.364</v>
      </c>
      <c r="D608" s="158">
        <v>213.36</v>
      </c>
    </row>
    <row r="609" spans="1:4" s="12" customFormat="1" ht="20.25" thickTop="1" thickBot="1">
      <c r="A609" s="502" t="s">
        <v>1464</v>
      </c>
      <c r="B609" s="29"/>
      <c r="C609" s="60"/>
      <c r="D609" s="60"/>
    </row>
    <row r="610" spans="1:4" s="12" customFormat="1" ht="16.5" thickTop="1">
      <c r="A610" s="79" t="s">
        <v>1531</v>
      </c>
      <c r="B610" s="29" t="s">
        <v>213</v>
      </c>
      <c r="C610" s="60"/>
      <c r="D610" s="60"/>
    </row>
    <row r="611" spans="1:4" s="12" customFormat="1">
      <c r="A611" s="79" t="s">
        <v>1496</v>
      </c>
      <c r="B611" s="164" t="s">
        <v>1017</v>
      </c>
      <c r="C611" s="60">
        <f t="shared" si="5"/>
        <v>468.41799999999995</v>
      </c>
      <c r="D611" s="158">
        <v>407.32</v>
      </c>
    </row>
    <row r="612" spans="1:4" s="12" customFormat="1">
      <c r="A612" s="79" t="s">
        <v>1180</v>
      </c>
      <c r="B612" s="164" t="s">
        <v>1017</v>
      </c>
      <c r="C612" s="60">
        <f t="shared" si="5"/>
        <v>704.53599999999994</v>
      </c>
      <c r="D612" s="158">
        <v>612.64</v>
      </c>
    </row>
    <row r="613" spans="1:4" s="12" customFormat="1">
      <c r="A613" s="79" t="s">
        <v>1497</v>
      </c>
      <c r="B613" s="164" t="s">
        <v>1017</v>
      </c>
      <c r="C613" s="60">
        <f t="shared" si="5"/>
        <v>586.47699999999998</v>
      </c>
      <c r="D613" s="158">
        <v>509.98</v>
      </c>
    </row>
    <row r="614" spans="1:4" s="12" customFormat="1">
      <c r="A614" s="79" t="s">
        <v>1181</v>
      </c>
      <c r="B614" s="164" t="s">
        <v>1017</v>
      </c>
      <c r="C614" s="60">
        <f t="shared" si="5"/>
        <v>704.53599999999994</v>
      </c>
      <c r="D614" s="158">
        <f>D612</f>
        <v>612.64</v>
      </c>
    </row>
    <row r="615" spans="1:4" s="12" customFormat="1">
      <c r="A615" s="79" t="s">
        <v>1498</v>
      </c>
      <c r="B615" s="164" t="s">
        <v>1017</v>
      </c>
      <c r="C615" s="60">
        <f t="shared" si="5"/>
        <v>938.74499999999989</v>
      </c>
      <c r="D615" s="158">
        <v>816.3</v>
      </c>
    </row>
    <row r="616" spans="1:4" s="12" customFormat="1">
      <c r="A616" s="79" t="s">
        <v>1499</v>
      </c>
      <c r="B616" s="164" t="s">
        <v>1017</v>
      </c>
      <c r="C616" s="60">
        <f t="shared" si="5"/>
        <v>938.74499999999989</v>
      </c>
      <c r="D616" s="158">
        <f>D615</f>
        <v>816.3</v>
      </c>
    </row>
    <row r="617" spans="1:4" s="12" customFormat="1">
      <c r="A617" s="79" t="s">
        <v>1500</v>
      </c>
      <c r="B617" s="164" t="s">
        <v>1017</v>
      </c>
      <c r="C617" s="60">
        <f t="shared" si="5"/>
        <v>468.41799999999995</v>
      </c>
      <c r="D617" s="158">
        <f>D611</f>
        <v>407.32</v>
      </c>
    </row>
    <row r="618" spans="1:4" s="12" customFormat="1">
      <c r="A618" s="79" t="s">
        <v>1501</v>
      </c>
      <c r="B618" s="164" t="s">
        <v>1017</v>
      </c>
      <c r="C618" s="60">
        <f t="shared" si="5"/>
        <v>350.35899999999998</v>
      </c>
      <c r="D618" s="158">
        <v>304.66000000000003</v>
      </c>
    </row>
    <row r="619" spans="1:4" s="12" customFormat="1">
      <c r="A619" s="79" t="s">
        <v>1502</v>
      </c>
      <c r="B619" s="164" t="s">
        <v>1038</v>
      </c>
      <c r="C619" s="60" t="s">
        <v>48</v>
      </c>
      <c r="D619" s="60" t="s">
        <v>1503</v>
      </c>
    </row>
    <row r="620" spans="1:4" s="12" customFormat="1">
      <c r="A620" s="79" t="s">
        <v>1504</v>
      </c>
      <c r="B620" s="164" t="s">
        <v>1017</v>
      </c>
      <c r="C620" s="60">
        <f t="shared" si="5"/>
        <v>938.74499999999989</v>
      </c>
      <c r="D620" s="158">
        <f>D615</f>
        <v>816.3</v>
      </c>
    </row>
    <row r="621" spans="1:4" s="12" customFormat="1">
      <c r="A621" s="79" t="s">
        <v>150</v>
      </c>
      <c r="B621" s="164" t="s">
        <v>1017</v>
      </c>
      <c r="C621" s="60">
        <f t="shared" si="5"/>
        <v>468.41799999999995</v>
      </c>
      <c r="D621" s="158">
        <f>D617</f>
        <v>407.32</v>
      </c>
    </row>
    <row r="622" spans="1:4" s="12" customFormat="1">
      <c r="A622" s="79" t="s">
        <v>1505</v>
      </c>
      <c r="B622" s="164" t="s">
        <v>1017</v>
      </c>
      <c r="C622" s="60">
        <f t="shared" si="5"/>
        <v>55.211499999999994</v>
      </c>
      <c r="D622" s="158">
        <v>48.01</v>
      </c>
    </row>
    <row r="623" spans="1:4" s="12" customFormat="1">
      <c r="A623" s="79" t="s">
        <v>580</v>
      </c>
      <c r="B623" s="164" t="s">
        <v>1017</v>
      </c>
      <c r="C623" s="60">
        <f t="shared" si="5"/>
        <v>70.448999999999998</v>
      </c>
      <c r="D623" s="158">
        <v>61.26</v>
      </c>
    </row>
    <row r="624" spans="1:4" s="12" customFormat="1">
      <c r="A624" s="79" t="s">
        <v>581</v>
      </c>
      <c r="B624" s="164" t="s">
        <v>1017</v>
      </c>
      <c r="C624" s="60">
        <f t="shared" si="5"/>
        <v>93.299499999999981</v>
      </c>
      <c r="D624" s="158">
        <v>81.13</v>
      </c>
    </row>
    <row r="625" spans="1:4" s="12" customFormat="1" ht="78.75">
      <c r="A625" s="108" t="s">
        <v>1511</v>
      </c>
      <c r="B625" s="164"/>
      <c r="C625" s="60"/>
      <c r="D625" s="60"/>
    </row>
    <row r="626" spans="1:4" s="12" customFormat="1">
      <c r="A626" s="48" t="s">
        <v>856</v>
      </c>
      <c r="B626" s="164" t="s">
        <v>1017</v>
      </c>
      <c r="C626" s="60">
        <f t="shared" si="5"/>
        <v>199.00749999999999</v>
      </c>
      <c r="D626" s="158">
        <v>173.05</v>
      </c>
    </row>
    <row r="627" spans="1:4" s="12" customFormat="1">
      <c r="A627" s="48" t="s">
        <v>857</v>
      </c>
      <c r="B627" s="164" t="s">
        <v>1017</v>
      </c>
      <c r="C627" s="60">
        <f t="shared" si="5"/>
        <v>716.42700000000002</v>
      </c>
      <c r="D627" s="158">
        <v>622.98</v>
      </c>
    </row>
    <row r="628" spans="1:4" s="12" customFormat="1">
      <c r="A628" s="48" t="s">
        <v>30</v>
      </c>
      <c r="B628" s="164" t="s">
        <v>1017</v>
      </c>
      <c r="C628" s="60">
        <f t="shared" si="5"/>
        <v>1194.0104999999999</v>
      </c>
      <c r="D628" s="158">
        <v>1038.27</v>
      </c>
    </row>
    <row r="629" spans="1:4" s="12" customFormat="1">
      <c r="A629" s="48" t="s">
        <v>31</v>
      </c>
      <c r="B629" s="164" t="s">
        <v>1017</v>
      </c>
      <c r="C629" s="60">
        <f t="shared" si="5"/>
        <v>1791.0904999999998</v>
      </c>
      <c r="D629" s="158">
        <v>1557.47</v>
      </c>
    </row>
    <row r="630" spans="1:4" s="12" customFormat="1">
      <c r="A630" s="48" t="s">
        <v>32</v>
      </c>
      <c r="B630" s="164" t="s">
        <v>1017</v>
      </c>
      <c r="C630" s="60">
        <f t="shared" si="5"/>
        <v>255.33449999999999</v>
      </c>
      <c r="D630" s="158">
        <v>222.03</v>
      </c>
    </row>
    <row r="631" spans="1:4" s="12" customFormat="1">
      <c r="A631" s="48" t="s">
        <v>579</v>
      </c>
      <c r="B631" s="164" t="s">
        <v>1017</v>
      </c>
      <c r="C631" s="60">
        <f t="shared" si="5"/>
        <v>179.11249999999998</v>
      </c>
      <c r="D631" s="158">
        <v>155.75</v>
      </c>
    </row>
    <row r="632" spans="1:4" s="12" customFormat="1">
      <c r="A632" s="48" t="s">
        <v>859</v>
      </c>
      <c r="B632" s="164" t="s">
        <v>1017</v>
      </c>
      <c r="C632" s="60">
        <f t="shared" si="5"/>
        <v>179.101</v>
      </c>
      <c r="D632" s="158">
        <v>155.74</v>
      </c>
    </row>
    <row r="633" spans="1:4" s="12" customFormat="1" ht="16.5" thickBot="1">
      <c r="A633" s="48" t="s">
        <v>858</v>
      </c>
      <c r="B633" s="164" t="s">
        <v>1017</v>
      </c>
      <c r="C633" s="60">
        <f t="shared" si="5"/>
        <v>298.48250000000002</v>
      </c>
      <c r="D633" s="158">
        <v>259.55</v>
      </c>
    </row>
    <row r="634" spans="1:4" s="12" customFormat="1" ht="20.25" thickTop="1" thickBot="1">
      <c r="A634" s="502" t="s">
        <v>1623</v>
      </c>
      <c r="B634" s="164"/>
      <c r="C634" s="60"/>
      <c r="D634" s="60"/>
    </row>
    <row r="635" spans="1:4" s="12" customFormat="1" ht="16.5" thickTop="1">
      <c r="A635" s="79" t="s">
        <v>1512</v>
      </c>
      <c r="B635" s="164" t="s">
        <v>213</v>
      </c>
      <c r="C635" s="181">
        <v>32.56</v>
      </c>
      <c r="D635" s="158"/>
    </row>
    <row r="636" spans="1:4" s="12" customFormat="1">
      <c r="A636" s="79" t="s">
        <v>1513</v>
      </c>
      <c r="B636" s="164" t="s">
        <v>213</v>
      </c>
      <c r="C636" s="181">
        <v>21.7</v>
      </c>
      <c r="D636" s="158"/>
    </row>
    <row r="637" spans="1:4" s="12" customFormat="1">
      <c r="A637" s="79" t="s">
        <v>499</v>
      </c>
      <c r="B637" s="164" t="s">
        <v>213</v>
      </c>
      <c r="C637" s="181">
        <v>34.74</v>
      </c>
      <c r="D637" s="158"/>
    </row>
    <row r="638" spans="1:4" s="12" customFormat="1">
      <c r="A638" s="79" t="s">
        <v>435</v>
      </c>
      <c r="B638" s="164" t="s">
        <v>213</v>
      </c>
      <c r="C638" s="181">
        <v>32.56</v>
      </c>
      <c r="D638" s="158"/>
    </row>
    <row r="639" spans="1:4" s="12" customFormat="1">
      <c r="A639" s="79" t="s">
        <v>436</v>
      </c>
      <c r="B639" s="164" t="s">
        <v>213</v>
      </c>
      <c r="C639" s="181">
        <v>54.26</v>
      </c>
      <c r="D639" s="158"/>
    </row>
    <row r="640" spans="1:4" s="12" customFormat="1">
      <c r="A640" s="79" t="s">
        <v>437</v>
      </c>
      <c r="B640" s="164" t="s">
        <v>213</v>
      </c>
      <c r="C640" s="181">
        <v>45.6</v>
      </c>
      <c r="D640" s="158"/>
    </row>
    <row r="641" spans="1:5" s="12" customFormat="1">
      <c r="A641" s="79" t="s">
        <v>438</v>
      </c>
      <c r="B641" s="164" t="s">
        <v>213</v>
      </c>
      <c r="C641" s="181">
        <v>34.74</v>
      </c>
      <c r="D641" s="158"/>
    </row>
    <row r="642" spans="1:5" s="12" customFormat="1">
      <c r="A642" s="79" t="s">
        <v>383</v>
      </c>
      <c r="B642" s="164" t="s">
        <v>213</v>
      </c>
      <c r="C642" s="181">
        <v>34.74</v>
      </c>
      <c r="D642" s="158"/>
    </row>
    <row r="643" spans="1:5" s="12" customFormat="1">
      <c r="A643" s="79" t="s">
        <v>240</v>
      </c>
      <c r="B643" s="164" t="s">
        <v>213</v>
      </c>
      <c r="C643" s="181">
        <v>19.55</v>
      </c>
      <c r="D643" s="158"/>
    </row>
    <row r="644" spans="1:5" s="12" customFormat="1">
      <c r="A644" s="79" t="s">
        <v>241</v>
      </c>
      <c r="B644" s="164" t="s">
        <v>213</v>
      </c>
      <c r="C644" s="181">
        <v>13.02</v>
      </c>
      <c r="D644" s="158"/>
    </row>
    <row r="645" spans="1:5" s="12" customFormat="1">
      <c r="A645" s="79" t="s">
        <v>860</v>
      </c>
      <c r="B645" s="164" t="s">
        <v>213</v>
      </c>
      <c r="C645" s="181">
        <v>26.05</v>
      </c>
      <c r="D645" s="158"/>
    </row>
    <row r="646" spans="1:5" s="12" customFormat="1">
      <c r="A646" s="79" t="s">
        <v>861</v>
      </c>
      <c r="B646" s="164" t="s">
        <v>213</v>
      </c>
      <c r="C646" s="181">
        <v>19.55</v>
      </c>
      <c r="D646" s="158"/>
    </row>
    <row r="647" spans="1:5" s="12" customFormat="1">
      <c r="A647" s="79" t="s">
        <v>384</v>
      </c>
      <c r="B647" s="164" t="s">
        <v>213</v>
      </c>
      <c r="C647" s="181">
        <v>43.41</v>
      </c>
      <c r="D647" s="158"/>
    </row>
    <row r="648" spans="1:5" s="12" customFormat="1">
      <c r="A648" s="79" t="s">
        <v>385</v>
      </c>
      <c r="B648" s="164" t="s">
        <v>213</v>
      </c>
      <c r="C648" s="60">
        <f t="shared" ref="C648:C689" si="6">$C$301*D648</f>
        <v>125.63749999999999</v>
      </c>
      <c r="D648" s="158">
        <v>109.25</v>
      </c>
    </row>
    <row r="649" spans="1:5" s="12" customFormat="1">
      <c r="A649" s="79" t="s">
        <v>1514</v>
      </c>
      <c r="B649" s="164" t="s">
        <v>1171</v>
      </c>
      <c r="C649" s="181">
        <v>43.42</v>
      </c>
      <c r="D649" s="158"/>
    </row>
    <row r="650" spans="1:5" s="12" customFormat="1" ht="16.5" thickBot="1">
      <c r="A650" s="79" t="s">
        <v>1515</v>
      </c>
      <c r="B650" s="164" t="s">
        <v>1171</v>
      </c>
      <c r="C650" s="181">
        <v>36.909999999999997</v>
      </c>
      <c r="D650" s="158"/>
    </row>
    <row r="651" spans="1:5" s="12" customFormat="1" ht="20.25" thickTop="1" thickBot="1">
      <c r="A651" s="502" t="s">
        <v>1454</v>
      </c>
      <c r="B651" s="164"/>
      <c r="C651" s="60"/>
      <c r="D651" s="60"/>
    </row>
    <row r="652" spans="1:5" s="12" customFormat="1" ht="16.5" thickTop="1">
      <c r="A652" s="79" t="s">
        <v>1195</v>
      </c>
      <c r="B652" s="164" t="s">
        <v>828</v>
      </c>
      <c r="C652" s="60">
        <f t="shared" si="6"/>
        <v>1.8859999999999997</v>
      </c>
      <c r="D652" s="158">
        <v>1.64</v>
      </c>
      <c r="E652" s="60"/>
    </row>
    <row r="653" spans="1:5" s="12" customFormat="1">
      <c r="A653" s="79" t="s">
        <v>999</v>
      </c>
      <c r="B653" s="164" t="s">
        <v>828</v>
      </c>
      <c r="C653" s="60">
        <f t="shared" si="6"/>
        <v>3.3234999999999997</v>
      </c>
      <c r="D653" s="158">
        <v>2.89</v>
      </c>
      <c r="E653" s="60"/>
    </row>
    <row r="654" spans="1:5" s="12" customFormat="1">
      <c r="A654" s="79" t="s">
        <v>1088</v>
      </c>
      <c r="B654" s="164" t="s">
        <v>828</v>
      </c>
      <c r="C654" s="60">
        <f t="shared" si="6"/>
        <v>4.7379999999999995</v>
      </c>
      <c r="D654" s="158">
        <v>4.12</v>
      </c>
      <c r="E654" s="60"/>
    </row>
    <row r="655" spans="1:5" s="12" customFormat="1">
      <c r="A655" s="79" t="s">
        <v>1089</v>
      </c>
      <c r="B655" s="164" t="s">
        <v>828</v>
      </c>
      <c r="C655" s="60">
        <f t="shared" si="6"/>
        <v>6.1639999999999997</v>
      </c>
      <c r="D655" s="158">
        <v>5.36</v>
      </c>
      <c r="E655" s="60"/>
    </row>
    <row r="656" spans="1:5" s="12" customFormat="1" ht="16.5" thickBot="1">
      <c r="A656" s="79" t="s">
        <v>1090</v>
      </c>
      <c r="B656" s="164" t="s">
        <v>828</v>
      </c>
      <c r="C656" s="60">
        <f t="shared" si="6"/>
        <v>7.5669999999999993</v>
      </c>
      <c r="D656" s="158">
        <v>6.58</v>
      </c>
      <c r="E656" s="60"/>
    </row>
    <row r="657" spans="1:5" s="12" customFormat="1" ht="20.25" thickTop="1" thickBot="1">
      <c r="A657" s="502" t="s">
        <v>1460</v>
      </c>
      <c r="B657" s="164"/>
      <c r="C657" s="60"/>
      <c r="D657" s="60"/>
      <c r="E657" s="160"/>
    </row>
    <row r="658" spans="1:5" s="12" customFormat="1" ht="16.5" thickTop="1">
      <c r="A658" s="79" t="s">
        <v>899</v>
      </c>
      <c r="B658" s="164" t="s">
        <v>211</v>
      </c>
      <c r="C658" s="60">
        <f t="shared" si="6"/>
        <v>2.4034999999999997</v>
      </c>
      <c r="D658" s="158">
        <v>2.09</v>
      </c>
      <c r="E658" s="160"/>
    </row>
    <row r="659" spans="1:5" s="12" customFormat="1">
      <c r="A659" s="79" t="s">
        <v>900</v>
      </c>
      <c r="B659" s="164" t="s">
        <v>211</v>
      </c>
      <c r="C659" s="60">
        <f t="shared" si="6"/>
        <v>3.8294999999999999</v>
      </c>
      <c r="D659" s="158">
        <v>3.33</v>
      </c>
      <c r="E659" s="160"/>
    </row>
    <row r="660" spans="1:5" s="12" customFormat="1">
      <c r="A660" s="79" t="s">
        <v>1091</v>
      </c>
      <c r="B660" s="164" t="s">
        <v>211</v>
      </c>
      <c r="C660" s="60">
        <f t="shared" si="6"/>
        <v>5.2554999999999996</v>
      </c>
      <c r="D660" s="158">
        <v>4.57</v>
      </c>
      <c r="E660" s="160"/>
    </row>
    <row r="661" spans="1:5" s="12" customFormat="1">
      <c r="A661" s="79" t="s">
        <v>477</v>
      </c>
      <c r="B661" s="164" t="s">
        <v>211</v>
      </c>
      <c r="C661" s="60">
        <f t="shared" si="6"/>
        <v>6.6814999999999989</v>
      </c>
      <c r="D661" s="158">
        <v>5.81</v>
      </c>
      <c r="E661" s="160"/>
    </row>
    <row r="662" spans="1:5" s="12" customFormat="1" ht="16.5" thickBot="1">
      <c r="A662" s="79" t="s">
        <v>195</v>
      </c>
      <c r="B662" s="164" t="s">
        <v>211</v>
      </c>
      <c r="C662" s="60">
        <f t="shared" si="6"/>
        <v>8.1189999999999998</v>
      </c>
      <c r="D662" s="158">
        <v>7.06</v>
      </c>
      <c r="E662" s="160"/>
    </row>
    <row r="663" spans="1:5" s="12" customFormat="1" ht="20.25" thickTop="1" thickBot="1">
      <c r="A663" s="502" t="s">
        <v>1516</v>
      </c>
      <c r="B663" s="164"/>
      <c r="C663" s="60"/>
      <c r="D663" s="60"/>
    </row>
    <row r="664" spans="1:5" s="12" customFormat="1" ht="16.5" thickTop="1">
      <c r="A664" s="79" t="s">
        <v>1247</v>
      </c>
      <c r="B664" s="164" t="s">
        <v>282</v>
      </c>
      <c r="C664" s="60">
        <f t="shared" si="6"/>
        <v>9.4299999999999979</v>
      </c>
      <c r="D664" s="158">
        <f>D652*5</f>
        <v>8.1999999999999993</v>
      </c>
    </row>
    <row r="665" spans="1:5" s="12" customFormat="1">
      <c r="A665" s="79" t="s">
        <v>1248</v>
      </c>
      <c r="B665" s="164" t="s">
        <v>282</v>
      </c>
      <c r="C665" s="60">
        <f t="shared" si="6"/>
        <v>16.6175</v>
      </c>
      <c r="D665" s="158">
        <f>D653*5</f>
        <v>14.450000000000001</v>
      </c>
      <c r="E665" s="178">
        <f>C665-C664</f>
        <v>7.1875000000000018</v>
      </c>
    </row>
    <row r="666" spans="1:5" s="12" customFormat="1">
      <c r="A666" s="79" t="s">
        <v>1249</v>
      </c>
      <c r="B666" s="164" t="s">
        <v>282</v>
      </c>
      <c r="C666" s="60">
        <f t="shared" si="6"/>
        <v>23.69</v>
      </c>
      <c r="D666" s="158">
        <f>D654*5</f>
        <v>20.6</v>
      </c>
      <c r="E666" s="178">
        <f>C666-E665</f>
        <v>16.502499999999998</v>
      </c>
    </row>
    <row r="667" spans="1:5" s="12" customFormat="1">
      <c r="A667" s="79" t="s">
        <v>1250</v>
      </c>
      <c r="B667" s="164" t="s">
        <v>282</v>
      </c>
      <c r="C667" s="60">
        <f t="shared" si="6"/>
        <v>30.819999999999997</v>
      </c>
      <c r="D667" s="158">
        <f>D655*5</f>
        <v>26.8</v>
      </c>
    </row>
    <row r="668" spans="1:5" s="12" customFormat="1">
      <c r="A668" s="79" t="s">
        <v>1251</v>
      </c>
      <c r="B668" s="164" t="s">
        <v>282</v>
      </c>
      <c r="C668" s="60">
        <f t="shared" si="6"/>
        <v>37.834999999999994</v>
      </c>
      <c r="D668" s="158">
        <f>D656*5</f>
        <v>32.9</v>
      </c>
    </row>
    <row r="669" spans="1:5" s="12" customFormat="1" ht="16.5" thickBot="1">
      <c r="A669" s="79" t="s">
        <v>1252</v>
      </c>
      <c r="B669" s="164" t="s">
        <v>282</v>
      </c>
      <c r="C669" s="60">
        <f t="shared" si="6"/>
        <v>38.893000000000001</v>
      </c>
      <c r="D669" s="158">
        <f>D668+0.92</f>
        <v>33.82</v>
      </c>
    </row>
    <row r="670" spans="1:5" s="12" customFormat="1" ht="19.5" thickBot="1">
      <c r="A670" s="1734" t="s">
        <v>1621</v>
      </c>
      <c r="B670" s="1735"/>
      <c r="C670" s="60">
        <f t="shared" si="6"/>
        <v>0</v>
      </c>
      <c r="D670" s="60"/>
    </row>
    <row r="671" spans="1:5" s="12" customFormat="1">
      <c r="A671" s="79" t="s">
        <v>1190</v>
      </c>
      <c r="B671" s="164" t="s">
        <v>211</v>
      </c>
      <c r="C671" s="60">
        <f t="shared" si="6"/>
        <v>6.1409999999999991</v>
      </c>
      <c r="D671" s="158">
        <v>5.34</v>
      </c>
    </row>
    <row r="672" spans="1:5" s="12" customFormat="1">
      <c r="A672" s="48" t="s">
        <v>193</v>
      </c>
      <c r="B672" s="164" t="s">
        <v>211</v>
      </c>
      <c r="C672" s="60">
        <f t="shared" si="6"/>
        <v>3.0704999999999996</v>
      </c>
      <c r="D672" s="158">
        <f>D671/2</f>
        <v>2.67</v>
      </c>
    </row>
    <row r="673" spans="1:4" s="12" customFormat="1" ht="16.5" thickBot="1">
      <c r="A673" s="48" t="s">
        <v>194</v>
      </c>
      <c r="B673" s="164" t="s">
        <v>213</v>
      </c>
      <c r="C673" s="60">
        <f t="shared" si="6"/>
        <v>12.258999999999999</v>
      </c>
      <c r="D673" s="158">
        <v>10.66</v>
      </c>
    </row>
    <row r="674" spans="1:4" s="12" customFormat="1" ht="20.25" thickTop="1" thickBot="1">
      <c r="A674" s="502" t="s">
        <v>1461</v>
      </c>
      <c r="B674" s="164"/>
      <c r="C674" s="60"/>
      <c r="D674" s="60"/>
    </row>
    <row r="675" spans="1:4" s="12" customFormat="1" ht="16.5" thickTop="1">
      <c r="A675" s="79" t="s">
        <v>12</v>
      </c>
      <c r="B675" s="164" t="s">
        <v>825</v>
      </c>
      <c r="C675" s="60">
        <f t="shared" si="6"/>
        <v>600.29999999999995</v>
      </c>
      <c r="D675" s="157">
        <v>522</v>
      </c>
    </row>
    <row r="676" spans="1:4" s="12" customFormat="1">
      <c r="A676" s="79" t="s">
        <v>1517</v>
      </c>
      <c r="B676" s="164" t="s">
        <v>825</v>
      </c>
      <c r="C676" s="60">
        <f>$C$301*D676</f>
        <v>698.01549999999997</v>
      </c>
      <c r="D676" s="158">
        <v>606.97</v>
      </c>
    </row>
    <row r="677" spans="1:4" s="12" customFormat="1">
      <c r="A677" s="79" t="s">
        <v>1518</v>
      </c>
      <c r="B677" s="164" t="s">
        <v>825</v>
      </c>
      <c r="C677" s="60">
        <f t="shared" si="6"/>
        <v>975.67149999999992</v>
      </c>
      <c r="D677" s="158">
        <v>848.41</v>
      </c>
    </row>
    <row r="678" spans="1:4" s="12" customFormat="1" ht="15.75" customHeight="1">
      <c r="A678" s="79" t="s">
        <v>1519</v>
      </c>
      <c r="B678" s="164" t="s">
        <v>825</v>
      </c>
      <c r="C678" s="60" t="e">
        <f t="shared" si="6"/>
        <v>#REF!</v>
      </c>
      <c r="D678" s="158" t="e">
        <f>#REF!</f>
        <v>#REF!</v>
      </c>
    </row>
    <row r="679" spans="1:4" s="12" customFormat="1" ht="16.5" customHeight="1" thickBot="1">
      <c r="A679" s="79" t="s">
        <v>1520</v>
      </c>
      <c r="B679" s="164" t="s">
        <v>825</v>
      </c>
      <c r="C679" s="60" t="e">
        <f t="shared" si="6"/>
        <v>#REF!</v>
      </c>
      <c r="D679" s="158" t="e">
        <f>#REF!</f>
        <v>#REF!</v>
      </c>
    </row>
    <row r="680" spans="1:4" s="12" customFormat="1" ht="20.25" thickTop="1" thickBot="1">
      <c r="A680" s="502" t="s">
        <v>1465</v>
      </c>
      <c r="B680" s="164"/>
      <c r="C680" s="60"/>
      <c r="D680" s="60"/>
    </row>
    <row r="681" spans="1:4" s="12" customFormat="1" ht="16.5" thickTop="1">
      <c r="A681" s="79" t="s">
        <v>1001</v>
      </c>
      <c r="B681" s="164" t="s">
        <v>825</v>
      </c>
      <c r="C681" s="60">
        <f>$C$301*D681</f>
        <v>1448.1834999999999</v>
      </c>
      <c r="D681" s="158">
        <v>1259.29</v>
      </c>
    </row>
    <row r="682" spans="1:4" s="12" customFormat="1">
      <c r="A682" s="79" t="s">
        <v>1002</v>
      </c>
      <c r="B682" s="164" t="s">
        <v>1171</v>
      </c>
      <c r="C682" s="60">
        <f t="shared" si="6"/>
        <v>150.68449999999999</v>
      </c>
      <c r="D682" s="158">
        <v>131.03</v>
      </c>
    </row>
    <row r="683" spans="1:4" s="12" customFormat="1">
      <c r="A683" s="79" t="s">
        <v>1109</v>
      </c>
      <c r="B683" s="164" t="s">
        <v>1171</v>
      </c>
      <c r="C683" s="60">
        <f t="shared" si="6"/>
        <v>92.781999999999996</v>
      </c>
      <c r="D683" s="158">
        <v>80.680000000000007</v>
      </c>
    </row>
    <row r="684" spans="1:4" s="12" customFormat="1">
      <c r="A684" s="79" t="s">
        <v>1052</v>
      </c>
      <c r="B684" s="164" t="s">
        <v>1171</v>
      </c>
      <c r="C684" s="60">
        <f t="shared" si="6"/>
        <v>59.259499999999996</v>
      </c>
      <c r="D684" s="158">
        <v>51.53</v>
      </c>
    </row>
    <row r="685" spans="1:4" s="12" customFormat="1">
      <c r="A685" s="79" t="s">
        <v>44</v>
      </c>
      <c r="B685" s="164" t="s">
        <v>1017</v>
      </c>
      <c r="C685" s="60">
        <f t="shared" si="6"/>
        <v>1030.4804999999999</v>
      </c>
      <c r="D685" s="158">
        <v>896.07</v>
      </c>
    </row>
    <row r="686" spans="1:4" s="12" customFormat="1">
      <c r="A686" s="79" t="s">
        <v>43</v>
      </c>
      <c r="B686" s="164" t="s">
        <v>1017</v>
      </c>
      <c r="C686" s="60">
        <f t="shared" si="6"/>
        <v>1236.5835</v>
      </c>
      <c r="D686" s="158">
        <v>1075.29</v>
      </c>
    </row>
    <row r="687" spans="1:4" s="12" customFormat="1" ht="16.5" thickBot="1">
      <c r="A687" s="79" t="s">
        <v>651</v>
      </c>
      <c r="B687" s="164" t="s">
        <v>1017</v>
      </c>
      <c r="C687" s="60">
        <f t="shared" si="6"/>
        <v>2060.9609999999998</v>
      </c>
      <c r="D687" s="158">
        <v>1792.14</v>
      </c>
    </row>
    <row r="688" spans="1:4" s="12" customFormat="1" ht="20.25" thickTop="1" thickBot="1">
      <c r="A688" s="502" t="s">
        <v>1462</v>
      </c>
      <c r="B688" s="164"/>
      <c r="C688" s="60"/>
      <c r="D688" s="60"/>
    </row>
    <row r="689" spans="1:4" s="12" customFormat="1" ht="16.5" thickTop="1">
      <c r="A689" s="79" t="s">
        <v>1242</v>
      </c>
      <c r="B689" s="164" t="s">
        <v>1171</v>
      </c>
      <c r="C689" s="60">
        <f t="shared" si="6"/>
        <v>57.499999999999993</v>
      </c>
      <c r="D689" s="158">
        <v>50</v>
      </c>
    </row>
    <row r="690" spans="1:4" ht="16.5" thickBot="1">
      <c r="D690" s="60"/>
    </row>
    <row r="691" spans="1:4" s="54" customFormat="1" ht="19.5" thickBot="1">
      <c r="A691" s="1731" t="s">
        <v>1445</v>
      </c>
      <c r="B691" s="1732"/>
      <c r="C691" s="1733"/>
      <c r="D691" s="59"/>
    </row>
    <row r="692" spans="1:4" s="56" customFormat="1" ht="13.5" thickBot="1">
      <c r="A692" s="166"/>
      <c r="B692" s="164"/>
      <c r="C692" s="60"/>
      <c r="D692" s="81"/>
    </row>
    <row r="693" spans="1:4" s="54" customFormat="1" ht="20.25" thickTop="1" thickBot="1">
      <c r="A693" s="502" t="s">
        <v>184</v>
      </c>
      <c r="B693" s="164"/>
      <c r="C693" s="180">
        <v>1.17</v>
      </c>
      <c r="D693" s="59"/>
    </row>
    <row r="694" spans="1:4" s="48" customFormat="1" ht="16.5" thickTop="1">
      <c r="A694" s="48" t="s">
        <v>318</v>
      </c>
      <c r="B694" s="164" t="s">
        <v>213</v>
      </c>
      <c r="C694" s="60">
        <f>$C$693*D694</f>
        <v>245.7</v>
      </c>
      <c r="D694" s="60">
        <v>210</v>
      </c>
    </row>
    <row r="695" spans="1:4" s="48" customFormat="1">
      <c r="A695" s="48" t="s">
        <v>1351</v>
      </c>
      <c r="B695" s="164" t="s">
        <v>213</v>
      </c>
      <c r="C695" s="60">
        <f t="shared" ref="C695:C731" si="7">$C$693*D695</f>
        <v>87.75</v>
      </c>
      <c r="D695" s="60">
        <v>75</v>
      </c>
    </row>
    <row r="696" spans="1:4" s="48" customFormat="1">
      <c r="A696" s="48" t="s">
        <v>1259</v>
      </c>
      <c r="B696" s="164" t="s">
        <v>213</v>
      </c>
      <c r="C696" s="60">
        <f t="shared" si="7"/>
        <v>87.75</v>
      </c>
      <c r="D696" s="60">
        <v>75</v>
      </c>
    </row>
    <row r="697" spans="1:4" s="48" customFormat="1">
      <c r="A697" s="48" t="s">
        <v>296</v>
      </c>
      <c r="B697" s="164" t="s">
        <v>1171</v>
      </c>
      <c r="C697" s="60">
        <f t="shared" si="7"/>
        <v>46.8</v>
      </c>
      <c r="D697" s="60">
        <v>40</v>
      </c>
    </row>
    <row r="698" spans="1:4" s="48" customFormat="1">
      <c r="A698" s="48" t="s">
        <v>1260</v>
      </c>
      <c r="B698" s="164" t="s">
        <v>825</v>
      </c>
      <c r="C698" s="60">
        <f>$C$693*D698</f>
        <v>508.95</v>
      </c>
      <c r="D698" s="60">
        <v>435</v>
      </c>
    </row>
    <row r="699" spans="1:4" s="48" customFormat="1">
      <c r="A699" s="48" t="s">
        <v>1261</v>
      </c>
      <c r="B699" s="164" t="s">
        <v>825</v>
      </c>
      <c r="C699" s="60">
        <f t="shared" si="7"/>
        <v>988.65</v>
      </c>
      <c r="D699" s="60">
        <v>845</v>
      </c>
    </row>
    <row r="700" spans="1:4" s="48" customFormat="1">
      <c r="A700" s="48" t="s">
        <v>1262</v>
      </c>
      <c r="B700" s="164" t="s">
        <v>1171</v>
      </c>
      <c r="C700" s="60">
        <f t="shared" si="7"/>
        <v>52.65</v>
      </c>
      <c r="D700" s="60">
        <v>45</v>
      </c>
    </row>
    <row r="701" spans="1:4" s="48" customFormat="1">
      <c r="A701" s="48" t="s">
        <v>386</v>
      </c>
      <c r="B701" s="164" t="s">
        <v>1171</v>
      </c>
      <c r="C701" s="60">
        <f t="shared" si="7"/>
        <v>64.349999999999994</v>
      </c>
      <c r="D701" s="60">
        <v>55</v>
      </c>
    </row>
    <row r="702" spans="1:4" s="48" customFormat="1">
      <c r="A702" s="48" t="s">
        <v>387</v>
      </c>
      <c r="B702" s="164" t="s">
        <v>213</v>
      </c>
      <c r="C702" s="60">
        <f t="shared" si="7"/>
        <v>81.899999999999991</v>
      </c>
      <c r="D702" s="60">
        <v>70</v>
      </c>
    </row>
    <row r="703" spans="1:4" s="48" customFormat="1">
      <c r="A703" s="48" t="s">
        <v>319</v>
      </c>
      <c r="B703" s="164" t="s">
        <v>213</v>
      </c>
      <c r="C703" s="60">
        <f t="shared" si="7"/>
        <v>46.8</v>
      </c>
      <c r="D703" s="60">
        <v>40</v>
      </c>
    </row>
    <row r="704" spans="1:4" s="48" customFormat="1">
      <c r="A704" s="48" t="s">
        <v>320</v>
      </c>
      <c r="B704" s="164" t="s">
        <v>213</v>
      </c>
      <c r="C704" s="60">
        <f t="shared" si="7"/>
        <v>64.349999999999994</v>
      </c>
      <c r="D704" s="60">
        <v>55</v>
      </c>
    </row>
    <row r="705" spans="1:4" s="48" customFormat="1">
      <c r="A705" s="48" t="s">
        <v>614</v>
      </c>
      <c r="B705" s="164" t="s">
        <v>1171</v>
      </c>
      <c r="C705" s="60">
        <f t="shared" si="7"/>
        <v>35.099999999999994</v>
      </c>
      <c r="D705" s="60">
        <v>30</v>
      </c>
    </row>
    <row r="706" spans="1:4" s="48" customFormat="1">
      <c r="A706" s="48" t="s">
        <v>1111</v>
      </c>
      <c r="B706" s="164" t="s">
        <v>213</v>
      </c>
      <c r="C706" s="60">
        <f t="shared" si="7"/>
        <v>64.349999999999994</v>
      </c>
      <c r="D706" s="60">
        <v>55</v>
      </c>
    </row>
    <row r="707" spans="1:4" s="53" customFormat="1" ht="19.5" customHeight="1">
      <c r="A707" s="48" t="s">
        <v>1521</v>
      </c>
      <c r="B707" s="164" t="s">
        <v>213</v>
      </c>
      <c r="C707" s="60">
        <f t="shared" si="7"/>
        <v>111.14999999999999</v>
      </c>
      <c r="D707" s="60">
        <v>95</v>
      </c>
    </row>
    <row r="708" spans="1:4" s="53" customFormat="1" ht="18.75">
      <c r="A708" s="48" t="s">
        <v>1522</v>
      </c>
      <c r="B708" s="164" t="s">
        <v>1171</v>
      </c>
      <c r="C708" s="60">
        <f t="shared" si="7"/>
        <v>111.14999999999999</v>
      </c>
      <c r="D708" s="60">
        <v>95</v>
      </c>
    </row>
    <row r="709" spans="1:4" s="53" customFormat="1" ht="18.75">
      <c r="A709" s="48" t="s">
        <v>1523</v>
      </c>
      <c r="B709" s="164" t="s">
        <v>825</v>
      </c>
      <c r="C709" s="60">
        <f t="shared" si="7"/>
        <v>1111.5</v>
      </c>
      <c r="D709" s="60">
        <v>950</v>
      </c>
    </row>
    <row r="710" spans="1:4" s="53" customFormat="1" ht="18.75">
      <c r="A710" s="48" t="s">
        <v>1524</v>
      </c>
      <c r="B710" s="164" t="s">
        <v>213</v>
      </c>
      <c r="C710" s="60">
        <f t="shared" si="7"/>
        <v>56.464199999999991</v>
      </c>
      <c r="D710" s="60">
        <v>48.26</v>
      </c>
    </row>
    <row r="711" spans="1:4" s="48" customFormat="1" ht="16.5" thickBot="1">
      <c r="A711" s="48" t="s">
        <v>1467</v>
      </c>
      <c r="B711" s="164" t="s">
        <v>213</v>
      </c>
      <c r="C711" s="60">
        <f t="shared" si="7"/>
        <v>40.949999999999996</v>
      </c>
      <c r="D711" s="60">
        <v>35</v>
      </c>
    </row>
    <row r="712" spans="1:4" s="48" customFormat="1" ht="20.25" thickTop="1" thickBot="1">
      <c r="A712" s="502" t="s">
        <v>1446</v>
      </c>
      <c r="B712" s="164"/>
      <c r="C712" s="60"/>
      <c r="D712" s="60"/>
    </row>
    <row r="713" spans="1:4" s="48" customFormat="1" ht="16.5" thickTop="1">
      <c r="A713" s="48" t="s">
        <v>1525</v>
      </c>
      <c r="B713" s="164" t="s">
        <v>1017</v>
      </c>
      <c r="C713" s="60">
        <f t="shared" si="7"/>
        <v>292.5</v>
      </c>
      <c r="D713" s="60">
        <v>250</v>
      </c>
    </row>
    <row r="714" spans="1:4" s="48" customFormat="1">
      <c r="A714" s="48" t="s">
        <v>1526</v>
      </c>
      <c r="B714" s="164" t="s">
        <v>213</v>
      </c>
      <c r="C714" s="60">
        <f t="shared" si="7"/>
        <v>468</v>
      </c>
      <c r="D714" s="60">
        <v>400</v>
      </c>
    </row>
    <row r="715" spans="1:4" s="48" customFormat="1">
      <c r="A715" s="48" t="s">
        <v>1527</v>
      </c>
      <c r="B715" s="164" t="s">
        <v>213</v>
      </c>
      <c r="C715" s="60">
        <f t="shared" si="7"/>
        <v>468</v>
      </c>
      <c r="D715" s="60">
        <f>D714</f>
        <v>400</v>
      </c>
    </row>
    <row r="716" spans="1:4" s="48" customFormat="1">
      <c r="A716" s="48" t="s">
        <v>1528</v>
      </c>
      <c r="B716" s="164" t="s">
        <v>213</v>
      </c>
      <c r="C716" s="60">
        <f t="shared" si="7"/>
        <v>391.95</v>
      </c>
      <c r="D716" s="60">
        <v>335</v>
      </c>
    </row>
    <row r="717" spans="1:4" s="48" customFormat="1">
      <c r="A717" s="48" t="s">
        <v>1337</v>
      </c>
      <c r="B717" s="164" t="s">
        <v>213</v>
      </c>
      <c r="C717" s="60">
        <f t="shared" si="7"/>
        <v>29.25</v>
      </c>
      <c r="D717" s="60">
        <v>25</v>
      </c>
    </row>
    <row r="718" spans="1:4" s="48" customFormat="1">
      <c r="A718" s="48" t="s">
        <v>106</v>
      </c>
      <c r="B718" s="164" t="s">
        <v>213</v>
      </c>
      <c r="C718" s="60">
        <f t="shared" si="7"/>
        <v>175.5</v>
      </c>
      <c r="D718" s="60">
        <v>150</v>
      </c>
    </row>
    <row r="719" spans="1:4" s="48" customFormat="1">
      <c r="A719" s="48" t="s">
        <v>106</v>
      </c>
      <c r="B719" s="164" t="s">
        <v>1017</v>
      </c>
      <c r="C719" s="60">
        <f t="shared" si="7"/>
        <v>204.75</v>
      </c>
      <c r="D719" s="60">
        <v>175</v>
      </c>
    </row>
    <row r="720" spans="1:4" s="48" customFormat="1">
      <c r="A720" s="48" t="s">
        <v>1529</v>
      </c>
      <c r="B720" s="164" t="s">
        <v>213</v>
      </c>
      <c r="C720" s="60">
        <f t="shared" si="7"/>
        <v>175.5</v>
      </c>
      <c r="D720" s="60">
        <v>150</v>
      </c>
    </row>
    <row r="721" spans="1:4" s="48" customFormat="1" ht="16.5" thickBot="1">
      <c r="A721" s="48" t="s">
        <v>1530</v>
      </c>
      <c r="B721" s="164" t="s">
        <v>213</v>
      </c>
      <c r="C721" s="60">
        <f t="shared" si="7"/>
        <v>146.25</v>
      </c>
      <c r="D721" s="60">
        <v>125</v>
      </c>
    </row>
    <row r="722" spans="1:4" ht="20.25" thickTop="1" thickBot="1">
      <c r="A722" s="502" t="s">
        <v>1447</v>
      </c>
      <c r="D722" s="60"/>
    </row>
    <row r="723" spans="1:4" s="48" customFormat="1" ht="16.5" thickTop="1">
      <c r="A723" s="48" t="s">
        <v>615</v>
      </c>
      <c r="B723" s="164" t="s">
        <v>1171</v>
      </c>
      <c r="C723" s="60">
        <f t="shared" si="7"/>
        <v>99.449999999999989</v>
      </c>
      <c r="D723" s="60">
        <v>85</v>
      </c>
    </row>
    <row r="724" spans="1:4" s="48" customFormat="1">
      <c r="A724" s="48" t="s">
        <v>616</v>
      </c>
      <c r="B724" s="164" t="s">
        <v>1171</v>
      </c>
      <c r="C724" s="60">
        <f t="shared" si="7"/>
        <v>234</v>
      </c>
      <c r="D724" s="60">
        <v>200</v>
      </c>
    </row>
    <row r="725" spans="1:4" s="48" customFormat="1" ht="32.25" thickBot="1">
      <c r="A725" s="109" t="s">
        <v>1340</v>
      </c>
      <c r="B725" s="164" t="s">
        <v>213</v>
      </c>
      <c r="C725" s="60">
        <f t="shared" si="7"/>
        <v>713.69999999999993</v>
      </c>
      <c r="D725" s="60">
        <v>610</v>
      </c>
    </row>
    <row r="726" spans="1:4" s="48" customFormat="1" ht="20.25" thickTop="1" thickBot="1">
      <c r="A726" s="502" t="s">
        <v>1338</v>
      </c>
      <c r="B726" s="164"/>
      <c r="C726" s="60"/>
      <c r="D726" s="60"/>
    </row>
    <row r="727" spans="1:4" s="48" customFormat="1" ht="16.5" thickTop="1">
      <c r="A727" s="48" t="s">
        <v>105</v>
      </c>
      <c r="B727" s="164" t="s">
        <v>213</v>
      </c>
      <c r="C727" s="60">
        <f t="shared" si="7"/>
        <v>234</v>
      </c>
      <c r="D727" s="60">
        <v>200</v>
      </c>
    </row>
    <row r="728" spans="1:4" s="48" customFormat="1" ht="16.5" thickBot="1">
      <c r="A728" s="48" t="s">
        <v>1007</v>
      </c>
      <c r="B728" s="164" t="s">
        <v>1017</v>
      </c>
      <c r="C728" s="60">
        <f t="shared" si="7"/>
        <v>760.5</v>
      </c>
      <c r="D728" s="60">
        <v>650</v>
      </c>
    </row>
    <row r="729" spans="1:4" ht="20.25" thickTop="1" thickBot="1">
      <c r="A729" s="502" t="s">
        <v>1448</v>
      </c>
      <c r="D729" s="60"/>
    </row>
    <row r="730" spans="1:4" s="48" customFormat="1" ht="16.5" thickTop="1">
      <c r="A730" s="48" t="s">
        <v>617</v>
      </c>
      <c r="B730" s="164" t="s">
        <v>1017</v>
      </c>
      <c r="C730" s="60">
        <f t="shared" si="7"/>
        <v>99.449999999999989</v>
      </c>
      <c r="D730" s="60">
        <v>85</v>
      </c>
    </row>
    <row r="731" spans="1:4" s="48" customFormat="1">
      <c r="A731" s="48" t="s">
        <v>289</v>
      </c>
      <c r="B731" s="164" t="s">
        <v>213</v>
      </c>
      <c r="C731" s="60">
        <f t="shared" si="7"/>
        <v>35.099999999999994</v>
      </c>
      <c r="D731" s="60">
        <v>30</v>
      </c>
    </row>
  </sheetData>
  <sheetProtection selectLockedCells="1" selectUnlockedCells="1"/>
  <mergeCells count="4">
    <mergeCell ref="A691:C691"/>
    <mergeCell ref="A670:B670"/>
    <mergeCell ref="A1:C1"/>
    <mergeCell ref="A299:C299"/>
  </mergeCells>
  <phoneticPr fontId="0" type="noConversion"/>
  <pageMargins left="0.61" right="0.75" top="1" bottom="1" header="0.5" footer="0.5"/>
  <pageSetup orientation="portrait" r:id="rId1"/>
  <headerFooter alignWithMargins="0">
    <oddFooter>Página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F0"/>
  </sheetPr>
  <dimension ref="A1:GR11041"/>
  <sheetViews>
    <sheetView view="pageBreakPreview" topLeftCell="A18" zoomScale="120" zoomScaleSheetLayoutView="120" workbookViewId="0">
      <selection activeCell="D56" sqref="D56:D60"/>
    </sheetView>
  </sheetViews>
  <sheetFormatPr baseColWidth="10" defaultColWidth="9.28515625" defaultRowHeight="12.75" customHeight="1"/>
  <cols>
    <col min="1" max="1" width="33.7109375" style="4" customWidth="1"/>
    <col min="2" max="2" width="11.28515625" style="8" customWidth="1"/>
    <col min="3" max="3" width="7" style="6" customWidth="1"/>
    <col min="4" max="4" width="12.7109375" style="37" customWidth="1"/>
    <col min="5" max="5" width="13.7109375" style="25" customWidth="1"/>
    <col min="6" max="6" width="13.7109375" style="26" customWidth="1"/>
    <col min="7" max="7" width="23" style="15" customWidth="1"/>
    <col min="8" max="8" width="9.28515625" style="21"/>
    <col min="9" max="11" width="9.28515625" style="15"/>
    <col min="12" max="12" width="9.28515625" style="21"/>
    <col min="13" max="13" width="9.28515625" style="15"/>
    <col min="14" max="16384" width="9.28515625" style="4"/>
  </cols>
  <sheetData>
    <row r="1" spans="1:13" ht="10.5" customHeight="1" thickBot="1"/>
    <row r="2" spans="1:13" ht="22.5" customHeight="1" thickBot="1">
      <c r="A2" s="1742" t="s">
        <v>2027</v>
      </c>
      <c r="B2" s="1743"/>
      <c r="C2" s="1743"/>
      <c r="D2" s="1743"/>
      <c r="E2" s="1743"/>
      <c r="F2" s="1744"/>
    </row>
    <row r="3" spans="1:13" ht="12.75" customHeight="1" thickBot="1">
      <c r="A3" s="166"/>
      <c r="B3" s="5"/>
      <c r="C3" s="165"/>
      <c r="D3" s="36"/>
    </row>
    <row r="4" spans="1:13" ht="12.75" customHeight="1" thickBot="1">
      <c r="A4" s="490" t="s">
        <v>514</v>
      </c>
      <c r="B4" s="491" t="s">
        <v>515</v>
      </c>
      <c r="C4" s="492" t="s">
        <v>324</v>
      </c>
      <c r="D4" s="493" t="s">
        <v>516</v>
      </c>
      <c r="E4" s="494" t="s">
        <v>517</v>
      </c>
      <c r="F4" s="495" t="s">
        <v>518</v>
      </c>
    </row>
    <row r="5" spans="1:13" ht="12.75" customHeight="1">
      <c r="A5" s="166"/>
      <c r="C5" s="165"/>
    </row>
    <row r="6" spans="1:13" ht="12.75" customHeight="1">
      <c r="A6" s="179" t="s">
        <v>1289</v>
      </c>
      <c r="C6" s="165"/>
    </row>
    <row r="7" spans="1:13" ht="12.75" customHeight="1">
      <c r="A7" s="2"/>
    </row>
    <row r="8" spans="1:13" ht="12.75" customHeight="1">
      <c r="A8" s="78" t="s">
        <v>1165</v>
      </c>
    </row>
    <row r="9" spans="1:13" s="12" customFormat="1" ht="12.75" customHeight="1">
      <c r="A9" s="29"/>
      <c r="B9" s="30"/>
      <c r="C9" s="24"/>
      <c r="D9" s="35"/>
      <c r="E9" s="31"/>
      <c r="F9" s="32"/>
      <c r="G9" s="20"/>
      <c r="H9" s="22"/>
      <c r="I9" s="20"/>
      <c r="J9" s="20"/>
      <c r="K9" s="20"/>
      <c r="L9" s="22"/>
      <c r="M9" s="20"/>
    </row>
    <row r="10" spans="1:13" s="12" customFormat="1" ht="12.75" hidden="1" customHeight="1">
      <c r="A10" s="33" t="s">
        <v>1349</v>
      </c>
      <c r="B10" s="42" t="s">
        <v>151</v>
      </c>
      <c r="C10" s="29" t="s">
        <v>825</v>
      </c>
      <c r="D10" s="35"/>
      <c r="E10" s="31"/>
      <c r="F10" s="32"/>
      <c r="G10" s="20"/>
      <c r="H10" s="22"/>
      <c r="I10" s="20"/>
      <c r="J10" s="20"/>
      <c r="K10" s="20"/>
      <c r="L10" s="22"/>
      <c r="M10" s="20"/>
    </row>
    <row r="11" spans="1:13" s="12" customFormat="1" ht="12.75" hidden="1" customHeight="1">
      <c r="A11" s="34" t="s">
        <v>1221</v>
      </c>
      <c r="B11" s="30">
        <v>1.3</v>
      </c>
      <c r="C11" s="24" t="s">
        <v>825</v>
      </c>
      <c r="D11" s="35">
        <f>Prec.!C19</f>
        <v>750</v>
      </c>
      <c r="E11" s="31">
        <f>B11*D11</f>
        <v>975</v>
      </c>
      <c r="F11" s="32"/>
      <c r="G11" s="20"/>
      <c r="H11" s="22"/>
      <c r="I11" s="20"/>
      <c r="J11" s="20"/>
      <c r="K11" s="20"/>
      <c r="L11" s="22"/>
      <c r="M11" s="20"/>
    </row>
    <row r="12" spans="1:13" s="12" customFormat="1" ht="12.75" hidden="1" customHeight="1">
      <c r="A12" s="34" t="s">
        <v>1350</v>
      </c>
      <c r="B12" s="30">
        <v>1</v>
      </c>
      <c r="C12" s="24" t="s">
        <v>825</v>
      </c>
      <c r="D12" s="35">
        <f>Prec.!D325</f>
        <v>78.849999999999994</v>
      </c>
      <c r="E12" s="31">
        <f>B12*D12</f>
        <v>78.849999999999994</v>
      </c>
      <c r="F12" s="32"/>
      <c r="G12" s="20"/>
      <c r="H12" s="22"/>
      <c r="I12" s="20"/>
      <c r="J12" s="20"/>
      <c r="K12" s="20"/>
      <c r="L12" s="22"/>
      <c r="M12" s="20"/>
    </row>
    <row r="13" spans="1:13" s="12" customFormat="1" ht="12.75" hidden="1" customHeight="1">
      <c r="A13" s="12" t="s">
        <v>208</v>
      </c>
      <c r="B13" s="30">
        <f>SUM(E11:E12)</f>
        <v>1053.8499999999999</v>
      </c>
      <c r="C13" s="24" t="s">
        <v>209</v>
      </c>
      <c r="D13" s="35">
        <v>0.02</v>
      </c>
      <c r="E13" s="31">
        <f>B13*D13</f>
        <v>21.076999999999998</v>
      </c>
      <c r="F13" s="32">
        <f>SUM(E11:E13)</f>
        <v>1074.9269999999999</v>
      </c>
      <c r="G13" s="20"/>
      <c r="H13" s="22"/>
      <c r="I13" s="20"/>
      <c r="J13" s="20"/>
      <c r="K13" s="20"/>
      <c r="L13" s="22"/>
      <c r="M13" s="20"/>
    </row>
    <row r="14" spans="1:13" s="12" customFormat="1" ht="12.75" hidden="1" customHeight="1">
      <c r="A14" s="29"/>
      <c r="B14" s="30"/>
      <c r="C14" s="24"/>
      <c r="D14" s="35"/>
      <c r="E14" s="31"/>
      <c r="F14" s="32"/>
      <c r="G14" s="20"/>
      <c r="H14" s="22"/>
      <c r="I14" s="20"/>
      <c r="J14" s="20"/>
      <c r="K14" s="20"/>
      <c r="L14" s="22"/>
      <c r="M14" s="20"/>
    </row>
    <row r="15" spans="1:13" s="12" customFormat="1" ht="12.75" customHeight="1">
      <c r="A15" s="557" t="s">
        <v>511</v>
      </c>
      <c r="B15" s="555" t="s">
        <v>151</v>
      </c>
      <c r="C15" s="556" t="s">
        <v>825</v>
      </c>
      <c r="D15" s="548"/>
      <c r="E15" s="552"/>
      <c r="F15" s="553"/>
      <c r="G15" s="20"/>
      <c r="H15" s="22"/>
      <c r="I15" s="20"/>
      <c r="J15" s="20"/>
      <c r="K15" s="20"/>
      <c r="L15" s="22"/>
      <c r="M15" s="20"/>
    </row>
    <row r="16" spans="1:13" s="12" customFormat="1" ht="12.75" customHeight="1">
      <c r="A16" s="558" t="s">
        <v>1221</v>
      </c>
      <c r="B16" s="546">
        <v>1.3</v>
      </c>
      <c r="C16" s="547" t="s">
        <v>825</v>
      </c>
      <c r="D16" s="548">
        <f>Prec.!C19</f>
        <v>750</v>
      </c>
      <c r="E16" s="552">
        <f>B16*D16</f>
        <v>975</v>
      </c>
      <c r="F16" s="553"/>
      <c r="G16" s="20"/>
      <c r="H16" s="22"/>
      <c r="I16" s="20"/>
      <c r="J16" s="20"/>
      <c r="K16" s="20"/>
      <c r="L16" s="22"/>
      <c r="M16" s="20"/>
    </row>
    <row r="17" spans="1:13" s="12" customFormat="1" ht="12.75" customHeight="1">
      <c r="A17" s="558" t="s">
        <v>1222</v>
      </c>
      <c r="B17" s="546">
        <v>1</v>
      </c>
      <c r="C17" s="547" t="s">
        <v>825</v>
      </c>
      <c r="D17" s="548">
        <f>Prec.!$D$326</f>
        <v>126.14</v>
      </c>
      <c r="E17" s="552">
        <f>B17*D17</f>
        <v>126.14</v>
      </c>
      <c r="F17" s="553"/>
      <c r="G17" s="20"/>
      <c r="H17" s="22"/>
      <c r="I17" s="20"/>
      <c r="J17" s="20"/>
      <c r="K17" s="20"/>
      <c r="L17" s="22"/>
      <c r="M17" s="20"/>
    </row>
    <row r="18" spans="1:13" s="12" customFormat="1" ht="12.75" customHeight="1">
      <c r="A18" s="551" t="s">
        <v>208</v>
      </c>
      <c r="B18" s="546">
        <f>SUM(E16)</f>
        <v>975</v>
      </c>
      <c r="C18" s="547" t="s">
        <v>209</v>
      </c>
      <c r="D18" s="548">
        <v>0.02</v>
      </c>
      <c r="E18" s="552">
        <f>B18*D18</f>
        <v>19.5</v>
      </c>
      <c r="F18" s="553">
        <f>SUM(E16:E18)</f>
        <v>1120.6400000000001</v>
      </c>
      <c r="G18" s="20"/>
      <c r="H18" s="22"/>
      <c r="I18" s="20"/>
      <c r="J18" s="20"/>
      <c r="K18" s="20"/>
      <c r="L18" s="22"/>
      <c r="M18" s="20"/>
    </row>
    <row r="19" spans="1:13" s="12" customFormat="1" ht="12.75" customHeight="1">
      <c r="A19" s="29"/>
      <c r="B19" s="30"/>
      <c r="C19" s="24"/>
      <c r="D19" s="35"/>
      <c r="E19" s="31"/>
      <c r="F19" s="32"/>
      <c r="G19" s="20"/>
      <c r="H19" s="22"/>
      <c r="I19" s="20"/>
      <c r="J19" s="20"/>
      <c r="K19" s="20"/>
      <c r="L19" s="22"/>
      <c r="M19" s="20"/>
    </row>
    <row r="20" spans="1:13" s="12" customFormat="1" ht="12.75" hidden="1" customHeight="1">
      <c r="A20" s="429" t="s">
        <v>1817</v>
      </c>
      <c r="B20" s="42" t="s">
        <v>151</v>
      </c>
      <c r="C20" s="29" t="s">
        <v>825</v>
      </c>
      <c r="D20" s="35"/>
      <c r="E20" s="31"/>
      <c r="F20" s="32"/>
      <c r="G20" s="20"/>
      <c r="H20" s="22"/>
      <c r="I20" s="20"/>
      <c r="J20" s="20"/>
      <c r="K20" s="20"/>
      <c r="L20" s="22"/>
      <c r="M20" s="20"/>
    </row>
    <row r="21" spans="1:13" s="12" customFormat="1" ht="12.75" hidden="1" customHeight="1">
      <c r="A21" s="34" t="s">
        <v>1221</v>
      </c>
      <c r="B21" s="30">
        <v>1.3</v>
      </c>
      <c r="C21" s="24" t="s">
        <v>825</v>
      </c>
      <c r="D21" s="35"/>
      <c r="E21" s="31">
        <f>B21*D21</f>
        <v>0</v>
      </c>
      <c r="F21" s="32"/>
      <c r="G21" s="20"/>
      <c r="H21" s="22"/>
      <c r="I21" s="20"/>
      <c r="J21" s="20"/>
      <c r="K21" s="20"/>
      <c r="L21" s="22"/>
      <c r="M21" s="20"/>
    </row>
    <row r="22" spans="1:13" s="12" customFormat="1" ht="12.75" hidden="1" customHeight="1">
      <c r="A22" s="34" t="s">
        <v>1222</v>
      </c>
      <c r="B22" s="30">
        <v>1</v>
      </c>
      <c r="C22" s="24" t="s">
        <v>825</v>
      </c>
      <c r="D22" s="35">
        <f>Prec.!$D$326</f>
        <v>126.14</v>
      </c>
      <c r="E22" s="31">
        <f>B22*D22</f>
        <v>126.14</v>
      </c>
      <c r="F22" s="32"/>
      <c r="G22" s="20"/>
      <c r="H22" s="22"/>
      <c r="I22" s="20"/>
      <c r="J22" s="20"/>
      <c r="K22" s="20"/>
      <c r="L22" s="22"/>
      <c r="M22" s="20"/>
    </row>
    <row r="23" spans="1:13" s="12" customFormat="1" ht="12.75" hidden="1" customHeight="1">
      <c r="A23" s="12" t="s">
        <v>208</v>
      </c>
      <c r="B23" s="30">
        <f>SUM(E21:E22)</f>
        <v>126.14</v>
      </c>
      <c r="C23" s="24" t="s">
        <v>209</v>
      </c>
      <c r="D23" s="35">
        <v>0.02</v>
      </c>
      <c r="E23" s="31">
        <f>B23*D23</f>
        <v>2.5228000000000002</v>
      </c>
      <c r="F23" s="32">
        <f>SUM(E21:E23)</f>
        <v>128.6628</v>
      </c>
      <c r="G23" s="20"/>
      <c r="H23" s="22"/>
      <c r="I23" s="20"/>
      <c r="J23" s="20"/>
      <c r="K23" s="20"/>
      <c r="L23" s="22"/>
      <c r="M23" s="20"/>
    </row>
    <row r="24" spans="1:13" s="12" customFormat="1" ht="12.75" hidden="1" customHeight="1">
      <c r="A24" s="29"/>
      <c r="B24" s="30"/>
      <c r="C24" s="24"/>
      <c r="D24" s="35"/>
      <c r="E24" s="31"/>
      <c r="F24" s="32"/>
      <c r="G24" s="20"/>
      <c r="H24" s="22"/>
      <c r="I24" s="20"/>
      <c r="J24" s="20"/>
      <c r="K24" s="20"/>
      <c r="L24" s="22"/>
      <c r="M24" s="20"/>
    </row>
    <row r="25" spans="1:13" s="12" customFormat="1" ht="12.75" hidden="1" customHeight="1">
      <c r="A25" s="29"/>
      <c r="B25" s="30"/>
      <c r="C25" s="24"/>
      <c r="D25" s="35"/>
      <c r="E25" s="31"/>
      <c r="F25" s="32"/>
      <c r="G25" s="20"/>
      <c r="H25" s="22"/>
      <c r="I25" s="20"/>
      <c r="J25" s="20"/>
      <c r="K25" s="20"/>
      <c r="L25" s="22"/>
      <c r="M25" s="20"/>
    </row>
    <row r="26" spans="1:13" s="12" customFormat="1" ht="12.75" hidden="1" customHeight="1">
      <c r="A26" s="29"/>
      <c r="B26" s="30"/>
      <c r="C26" s="24"/>
      <c r="D26" s="35"/>
      <c r="E26" s="31"/>
      <c r="F26" s="32"/>
      <c r="G26" s="20"/>
      <c r="H26" s="22"/>
      <c r="I26" s="20"/>
      <c r="J26" s="20"/>
      <c r="K26" s="20"/>
      <c r="L26" s="22"/>
      <c r="M26" s="20"/>
    </row>
    <row r="27" spans="1:13" s="12" customFormat="1" ht="12.75" hidden="1" customHeight="1">
      <c r="A27" s="33" t="s">
        <v>1557</v>
      </c>
      <c r="B27" s="42" t="s">
        <v>151</v>
      </c>
      <c r="C27" s="29" t="s">
        <v>825</v>
      </c>
      <c r="D27" s="427">
        <v>150</v>
      </c>
      <c r="E27" s="31"/>
      <c r="F27" s="32"/>
      <c r="G27" s="20"/>
      <c r="H27" s="22"/>
      <c r="I27" s="20"/>
      <c r="J27" s="20"/>
      <c r="K27" s="20"/>
      <c r="L27" s="22"/>
      <c r="M27" s="20"/>
    </row>
    <row r="28" spans="1:13" s="12" customFormat="1" ht="12.75" hidden="1" customHeight="1">
      <c r="A28" s="34" t="s">
        <v>1558</v>
      </c>
      <c r="B28" s="30">
        <v>1</v>
      </c>
      <c r="C28" s="24" t="s">
        <v>825</v>
      </c>
      <c r="D28" s="35">
        <f>D27*1.16</f>
        <v>174</v>
      </c>
      <c r="E28" s="31">
        <f>B28*D28</f>
        <v>174</v>
      </c>
      <c r="F28" s="32"/>
      <c r="G28" s="20"/>
      <c r="H28" s="22"/>
      <c r="I28" s="20"/>
      <c r="J28" s="20"/>
      <c r="K28" s="20"/>
      <c r="L28" s="22"/>
      <c r="M28" s="20"/>
    </row>
    <row r="29" spans="1:13" s="12" customFormat="1" ht="12.75" hidden="1" customHeight="1">
      <c r="A29" s="34" t="s">
        <v>1559</v>
      </c>
      <c r="B29" s="30">
        <v>5</v>
      </c>
      <c r="C29" s="24" t="s">
        <v>1562</v>
      </c>
      <c r="D29" s="35">
        <v>18.29</v>
      </c>
      <c r="E29" s="31">
        <f>B29*D29</f>
        <v>91.449999999999989</v>
      </c>
      <c r="F29" s="32"/>
      <c r="G29" s="20"/>
      <c r="H29" s="22"/>
      <c r="I29" s="20"/>
      <c r="J29" s="20"/>
      <c r="K29" s="20"/>
      <c r="L29" s="22"/>
      <c r="M29" s="20"/>
    </row>
    <row r="30" spans="1:13" s="12" customFormat="1" ht="12.75" hidden="1" customHeight="1">
      <c r="A30" s="34" t="s">
        <v>1560</v>
      </c>
      <c r="B30" s="30">
        <v>5</v>
      </c>
      <c r="C30" s="24" t="s">
        <v>1562</v>
      </c>
      <c r="D30" s="35">
        <v>14.2</v>
      </c>
      <c r="E30" s="31">
        <f>B30*D30</f>
        <v>71</v>
      </c>
      <c r="F30" s="32"/>
      <c r="G30" s="20"/>
      <c r="H30" s="22"/>
      <c r="I30" s="20"/>
      <c r="J30" s="20"/>
      <c r="K30" s="20"/>
      <c r="L30" s="22"/>
      <c r="M30" s="20"/>
    </row>
    <row r="31" spans="1:13" s="12" customFormat="1" ht="12.75" hidden="1" customHeight="1">
      <c r="A31" s="34" t="s">
        <v>1561</v>
      </c>
      <c r="B31" s="30">
        <v>10</v>
      </c>
      <c r="C31" s="24" t="s">
        <v>1562</v>
      </c>
      <c r="D31" s="35">
        <v>13.45</v>
      </c>
      <c r="E31" s="31">
        <f>B31*D31</f>
        <v>134.5</v>
      </c>
      <c r="F31" s="32">
        <f>SUM(E29:E32)</f>
        <v>429.05</v>
      </c>
      <c r="G31" s="20"/>
      <c r="H31" s="22"/>
      <c r="I31" s="20"/>
      <c r="J31" s="20"/>
      <c r="K31" s="20"/>
      <c r="L31" s="22"/>
      <c r="M31" s="20"/>
    </row>
    <row r="32" spans="1:13" s="12" customFormat="1" ht="12.75" hidden="1" customHeight="1">
      <c r="A32" s="34" t="s">
        <v>1563</v>
      </c>
      <c r="B32" s="30">
        <v>10</v>
      </c>
      <c r="C32" s="24" t="s">
        <v>1562</v>
      </c>
      <c r="D32" s="35">
        <v>13.21</v>
      </c>
      <c r="E32" s="31">
        <f>B32*D32</f>
        <v>132.10000000000002</v>
      </c>
      <c r="F32" s="32">
        <f>SUM(E28:E32)</f>
        <v>603.04999999999995</v>
      </c>
      <c r="G32" s="20"/>
      <c r="H32" s="22"/>
      <c r="I32" s="20"/>
      <c r="J32" s="20"/>
      <c r="K32" s="20"/>
      <c r="L32" s="22"/>
      <c r="M32" s="20"/>
    </row>
    <row r="33" spans="1:13" s="12" customFormat="1" ht="12.75" hidden="1" customHeight="1">
      <c r="A33" s="34"/>
      <c r="B33" s="30"/>
      <c r="C33" s="24"/>
      <c r="D33" s="35"/>
      <c r="E33" s="31"/>
      <c r="F33" s="32"/>
      <c r="G33" s="20"/>
      <c r="H33" s="22"/>
      <c r="I33" s="20"/>
      <c r="J33" s="20"/>
      <c r="K33" s="20"/>
      <c r="L33" s="22"/>
      <c r="M33" s="20"/>
    </row>
    <row r="34" spans="1:13" ht="12.75" customHeight="1">
      <c r="A34" s="545" t="s">
        <v>42</v>
      </c>
      <c r="B34" s="555" t="s">
        <v>151</v>
      </c>
      <c r="C34" s="556" t="s">
        <v>825</v>
      </c>
      <c r="D34" s="548"/>
      <c r="E34" s="552"/>
      <c r="F34" s="553"/>
    </row>
    <row r="35" spans="1:13" ht="12.75" customHeight="1">
      <c r="A35" s="551" t="s">
        <v>822</v>
      </c>
      <c r="B35" s="546">
        <v>15.57</v>
      </c>
      <c r="C35" s="547" t="s">
        <v>823</v>
      </c>
      <c r="D35" s="548">
        <f>Prec.!$C$5</f>
        <v>425</v>
      </c>
      <c r="E35" s="552">
        <f>ROUND(B35*D35,2)</f>
        <v>6617.25</v>
      </c>
      <c r="F35" s="553"/>
    </row>
    <row r="36" spans="1:13" ht="12.75" customHeight="1">
      <c r="A36" s="551" t="s">
        <v>824</v>
      </c>
      <c r="B36" s="546">
        <v>0.9</v>
      </c>
      <c r="C36" s="547" t="s">
        <v>825</v>
      </c>
      <c r="D36" s="548">
        <f>Prec.!$C$13</f>
        <v>900</v>
      </c>
      <c r="E36" s="552">
        <f>ROUND(B36*D36,2)</f>
        <v>810</v>
      </c>
      <c r="F36" s="553"/>
    </row>
    <row r="37" spans="1:13" ht="12.75" customHeight="1">
      <c r="A37" s="551" t="s">
        <v>827</v>
      </c>
      <c r="B37" s="546">
        <v>70.099999999999994</v>
      </c>
      <c r="C37" s="547" t="s">
        <v>828</v>
      </c>
      <c r="D37" s="548">
        <f>Prec.!$C$80</f>
        <v>0.68</v>
      </c>
      <c r="E37" s="552">
        <f>ROUND(B37*D37,2)</f>
        <v>47.67</v>
      </c>
      <c r="F37" s="553"/>
    </row>
    <row r="38" spans="1:13" s="166" customFormat="1" ht="12.75" customHeight="1">
      <c r="A38" s="551" t="s">
        <v>783</v>
      </c>
      <c r="B38" s="546">
        <v>1</v>
      </c>
      <c r="C38" s="547" t="s">
        <v>825</v>
      </c>
      <c r="D38" s="548">
        <v>698.01549999999997</v>
      </c>
      <c r="E38" s="552">
        <f>ROUND(B38*D38,2)</f>
        <v>698.02</v>
      </c>
      <c r="F38" s="553"/>
      <c r="G38" s="15"/>
      <c r="H38" s="21"/>
      <c r="I38" s="15"/>
      <c r="J38" s="15"/>
      <c r="K38" s="15"/>
      <c r="L38" s="21"/>
      <c r="M38" s="15"/>
    </row>
    <row r="39" spans="1:13" ht="12.75" customHeight="1">
      <c r="A39" s="551" t="s">
        <v>208</v>
      </c>
      <c r="B39" s="546">
        <f>SUM(E35:E37)</f>
        <v>7474.92</v>
      </c>
      <c r="C39" s="547" t="s">
        <v>209</v>
      </c>
      <c r="D39" s="548">
        <v>0.02</v>
      </c>
      <c r="E39" s="552">
        <f>ROUND(B39*D39,2)</f>
        <v>149.5</v>
      </c>
      <c r="F39" s="553">
        <f>SUM(E35:E39)</f>
        <v>8322.44</v>
      </c>
    </row>
    <row r="40" spans="1:13" ht="12.75" customHeight="1">
      <c r="A40" s="12"/>
      <c r="B40" s="30"/>
      <c r="C40" s="24"/>
      <c r="D40" s="35"/>
      <c r="E40" s="31"/>
      <c r="F40" s="32"/>
    </row>
    <row r="41" spans="1:13" ht="12.75" customHeight="1">
      <c r="A41" s="545" t="s">
        <v>427</v>
      </c>
      <c r="B41" s="555" t="s">
        <v>151</v>
      </c>
      <c r="C41" s="556" t="s">
        <v>825</v>
      </c>
      <c r="D41" s="548"/>
      <c r="E41" s="552"/>
      <c r="F41" s="553"/>
    </row>
    <row r="42" spans="1:13" ht="12.75" customHeight="1">
      <c r="A42" s="551" t="s">
        <v>822</v>
      </c>
      <c r="B42" s="546">
        <v>11.51</v>
      </c>
      <c r="C42" s="547" t="s">
        <v>823</v>
      </c>
      <c r="D42" s="548">
        <f>Prec.!$C$5</f>
        <v>425</v>
      </c>
      <c r="E42" s="552">
        <f>ROUND(B42*D42,2)</f>
        <v>4891.75</v>
      </c>
      <c r="F42" s="553"/>
    </row>
    <row r="43" spans="1:13" ht="12.75" customHeight="1">
      <c r="A43" s="551" t="s">
        <v>824</v>
      </c>
      <c r="B43" s="546">
        <v>1</v>
      </c>
      <c r="C43" s="547" t="s">
        <v>825</v>
      </c>
      <c r="D43" s="548">
        <f>Prec.!$C$13</f>
        <v>900</v>
      </c>
      <c r="E43" s="552">
        <f>ROUND(B43*D43,2)</f>
        <v>900</v>
      </c>
      <c r="F43" s="553"/>
    </row>
    <row r="44" spans="1:13" ht="12.75" customHeight="1">
      <c r="A44" s="551" t="s">
        <v>827</v>
      </c>
      <c r="B44" s="546">
        <v>69.040000000000006</v>
      </c>
      <c r="C44" s="547" t="s">
        <v>828</v>
      </c>
      <c r="D44" s="548">
        <f>Prec.!$C$80</f>
        <v>0.68</v>
      </c>
      <c r="E44" s="552">
        <f>ROUND(B44*D44,2)</f>
        <v>46.95</v>
      </c>
      <c r="F44" s="553"/>
    </row>
    <row r="45" spans="1:13" s="166" customFormat="1" ht="12.75" customHeight="1">
      <c r="A45" s="551" t="s">
        <v>783</v>
      </c>
      <c r="B45" s="546">
        <v>1</v>
      </c>
      <c r="C45" s="547" t="s">
        <v>825</v>
      </c>
      <c r="D45" s="548">
        <f>Prec.!C676</f>
        <v>698.01549999999997</v>
      </c>
      <c r="E45" s="552">
        <f>ROUND(B45*D45,2)</f>
        <v>698.02</v>
      </c>
      <c r="F45" s="553"/>
      <c r="G45" s="15"/>
      <c r="H45" s="21"/>
      <c r="I45" s="15"/>
      <c r="J45" s="15"/>
      <c r="K45" s="15"/>
      <c r="L45" s="21"/>
      <c r="M45" s="15"/>
    </row>
    <row r="46" spans="1:13" ht="12.75" customHeight="1">
      <c r="A46" s="551" t="s">
        <v>208</v>
      </c>
      <c r="B46" s="546">
        <f>SUM(E42:E44)</f>
        <v>5838.7</v>
      </c>
      <c r="C46" s="547" t="s">
        <v>209</v>
      </c>
      <c r="D46" s="548">
        <v>0.02</v>
      </c>
      <c r="E46" s="552">
        <f>ROUND(B46*D46,2)</f>
        <v>116.77</v>
      </c>
      <c r="F46" s="553">
        <f>SUM(E42:E46)</f>
        <v>6653.49</v>
      </c>
    </row>
    <row r="47" spans="1:13" ht="12.75" customHeight="1">
      <c r="A47" s="12"/>
      <c r="B47" s="30"/>
      <c r="C47" s="24"/>
      <c r="D47" s="35"/>
      <c r="E47" s="31"/>
      <c r="F47" s="32"/>
    </row>
    <row r="48" spans="1:13" ht="12.75" customHeight="1">
      <c r="A48" s="545" t="s">
        <v>1174</v>
      </c>
      <c r="B48" s="555" t="s">
        <v>151</v>
      </c>
      <c r="C48" s="556" t="s">
        <v>825</v>
      </c>
      <c r="D48" s="548"/>
      <c r="E48" s="552"/>
      <c r="F48" s="553"/>
    </row>
    <row r="49" spans="1:13" ht="12.75" customHeight="1">
      <c r="A49" s="551" t="s">
        <v>822</v>
      </c>
      <c r="B49" s="546">
        <v>9.11</v>
      </c>
      <c r="C49" s="547" t="s">
        <v>823</v>
      </c>
      <c r="D49" s="548">
        <f>Prec.!$C$5</f>
        <v>425</v>
      </c>
      <c r="E49" s="552">
        <f>ROUND(B49*D49,2)</f>
        <v>3871.75</v>
      </c>
      <c r="F49" s="553"/>
    </row>
    <row r="50" spans="1:13" ht="12.75" customHeight="1">
      <c r="A50" s="551" t="s">
        <v>824</v>
      </c>
      <c r="B50" s="546">
        <v>1.06</v>
      </c>
      <c r="C50" s="547" t="s">
        <v>825</v>
      </c>
      <c r="D50" s="548">
        <f>Prec.!$C$13</f>
        <v>900</v>
      </c>
      <c r="E50" s="552">
        <f>ROUND(B50*D50,2)</f>
        <v>954</v>
      </c>
      <c r="F50" s="553"/>
    </row>
    <row r="51" spans="1:13" ht="12.75" customHeight="1">
      <c r="A51" s="551" t="s">
        <v>827</v>
      </c>
      <c r="B51" s="546">
        <v>68.16</v>
      </c>
      <c r="C51" s="547" t="s">
        <v>828</v>
      </c>
      <c r="D51" s="548">
        <f>Prec.!$C$80</f>
        <v>0.68</v>
      </c>
      <c r="E51" s="552">
        <f>ROUND(B51*D51,2)</f>
        <v>46.35</v>
      </c>
      <c r="F51" s="553"/>
    </row>
    <row r="52" spans="1:13" s="166" customFormat="1" ht="12.75" customHeight="1">
      <c r="A52" s="551" t="s">
        <v>783</v>
      </c>
      <c r="B52" s="546">
        <v>1</v>
      </c>
      <c r="C52" s="547" t="s">
        <v>825</v>
      </c>
      <c r="D52" s="548">
        <v>698.01549999999997</v>
      </c>
      <c r="E52" s="552">
        <f>ROUND(B52*D52,2)</f>
        <v>698.02</v>
      </c>
      <c r="F52" s="553"/>
      <c r="G52" s="15"/>
      <c r="H52" s="21"/>
      <c r="I52" s="15"/>
      <c r="J52" s="15"/>
      <c r="K52" s="15"/>
      <c r="L52" s="21"/>
      <c r="M52" s="15"/>
    </row>
    <row r="53" spans="1:13" ht="12.75" customHeight="1">
      <c r="A53" s="551" t="s">
        <v>208</v>
      </c>
      <c r="B53" s="546">
        <f>SUM(E49:E51)</f>
        <v>4872.1000000000004</v>
      </c>
      <c r="C53" s="547" t="s">
        <v>209</v>
      </c>
      <c r="D53" s="548">
        <v>0.02</v>
      </c>
      <c r="E53" s="552">
        <f>ROUND(B53*D53,2)</f>
        <v>97.44</v>
      </c>
      <c r="F53" s="553">
        <f>SUM(E49:E53)</f>
        <v>5667.56</v>
      </c>
    </row>
    <row r="54" spans="1:13" ht="12.75" customHeight="1">
      <c r="A54" s="12"/>
      <c r="B54" s="30"/>
      <c r="C54" s="24"/>
      <c r="D54" s="35"/>
      <c r="E54" s="31"/>
      <c r="F54" s="32"/>
    </row>
    <row r="55" spans="1:13" ht="12.75" customHeight="1">
      <c r="A55" s="545" t="s">
        <v>663</v>
      </c>
      <c r="B55" s="555" t="s">
        <v>151</v>
      </c>
      <c r="C55" s="556" t="s">
        <v>825</v>
      </c>
      <c r="D55" s="548"/>
      <c r="E55" s="552"/>
      <c r="F55" s="553"/>
    </row>
    <row r="56" spans="1:13" ht="12.75" customHeight="1">
      <c r="A56" s="551" t="s">
        <v>822</v>
      </c>
      <c r="B56" s="546">
        <v>7.56</v>
      </c>
      <c r="C56" s="547" t="s">
        <v>823</v>
      </c>
      <c r="D56" s="548">
        <f>Prec.!$C$5</f>
        <v>425</v>
      </c>
      <c r="E56" s="552">
        <f>ROUND(B56*D56,2)</f>
        <v>3213</v>
      </c>
      <c r="F56" s="553"/>
    </row>
    <row r="57" spans="1:13" ht="12.75" customHeight="1">
      <c r="A57" s="551" t="s">
        <v>824</v>
      </c>
      <c r="B57" s="546">
        <v>1.091</v>
      </c>
      <c r="C57" s="547" t="s">
        <v>825</v>
      </c>
      <c r="D57" s="548">
        <f>Prec.!$C$13</f>
        <v>900</v>
      </c>
      <c r="E57" s="552">
        <f>ROUND(B57*D57,2)</f>
        <v>981.9</v>
      </c>
      <c r="F57" s="553"/>
    </row>
    <row r="58" spans="1:13" ht="12.75" customHeight="1">
      <c r="A58" s="551" t="s">
        <v>827</v>
      </c>
      <c r="B58" s="546">
        <v>67.989999999999995</v>
      </c>
      <c r="C58" s="547" t="s">
        <v>828</v>
      </c>
      <c r="D58" s="548">
        <f>Prec.!$C$80</f>
        <v>0.68</v>
      </c>
      <c r="E58" s="552">
        <f>ROUND(B58*D58,2)</f>
        <v>46.23</v>
      </c>
      <c r="F58" s="553"/>
    </row>
    <row r="59" spans="1:13" s="166" customFormat="1" ht="12.75" customHeight="1">
      <c r="A59" s="551" t="s">
        <v>783</v>
      </c>
      <c r="B59" s="546">
        <v>1</v>
      </c>
      <c r="C59" s="547" t="s">
        <v>825</v>
      </c>
      <c r="D59" s="548">
        <f>Prec.!C676</f>
        <v>698.01549999999997</v>
      </c>
      <c r="E59" s="552">
        <f>ROUND(B59*D59,2)</f>
        <v>698.02</v>
      </c>
      <c r="F59" s="553"/>
      <c r="G59" s="15"/>
      <c r="H59" s="21"/>
      <c r="I59" s="15"/>
      <c r="J59" s="15"/>
      <c r="K59" s="15"/>
      <c r="L59" s="21"/>
      <c r="M59" s="15"/>
    </row>
    <row r="60" spans="1:13" ht="12.75" customHeight="1">
      <c r="A60" s="551" t="s">
        <v>208</v>
      </c>
      <c r="B60" s="546">
        <f>SUM(E56:E58)</f>
        <v>4241.1299999999992</v>
      </c>
      <c r="C60" s="547" t="s">
        <v>209</v>
      </c>
      <c r="D60" s="548">
        <v>0.02</v>
      </c>
      <c r="E60" s="552">
        <f>ROUND(B60*D60,2)</f>
        <v>84.82</v>
      </c>
      <c r="F60" s="553">
        <f>SUM(E56:E60)</f>
        <v>5023.9699999999993</v>
      </c>
    </row>
    <row r="61" spans="1:13" ht="12.75" customHeight="1">
      <c r="A61" s="12"/>
      <c r="B61" s="30"/>
      <c r="C61" s="24"/>
      <c r="D61" s="35"/>
      <c r="E61" s="31"/>
      <c r="F61" s="32"/>
    </row>
    <row r="62" spans="1:13" ht="12.75" hidden="1" customHeight="1">
      <c r="A62" s="13" t="s">
        <v>664</v>
      </c>
      <c r="B62" s="42" t="s">
        <v>151</v>
      </c>
      <c r="C62" s="29" t="s">
        <v>825</v>
      </c>
      <c r="D62" s="35"/>
      <c r="E62" s="31"/>
      <c r="F62" s="32"/>
    </row>
    <row r="63" spans="1:13" ht="12.75" hidden="1" customHeight="1">
      <c r="A63" s="12" t="s">
        <v>822</v>
      </c>
      <c r="B63" s="30">
        <v>6.46</v>
      </c>
      <c r="C63" s="24" t="s">
        <v>823</v>
      </c>
      <c r="D63" s="35">
        <f>Prec.!$C$5</f>
        <v>425</v>
      </c>
      <c r="E63" s="31">
        <f>ROUND(B63*D63,2)</f>
        <v>2745.5</v>
      </c>
      <c r="F63" s="32"/>
    </row>
    <row r="64" spans="1:13" ht="12.75" hidden="1" customHeight="1">
      <c r="A64" s="12" t="s">
        <v>824</v>
      </c>
      <c r="B64" s="30">
        <v>1.1200000000000001</v>
      </c>
      <c r="C64" s="24" t="s">
        <v>825</v>
      </c>
      <c r="D64" s="35">
        <f>Prec.!$C$13</f>
        <v>900</v>
      </c>
      <c r="E64" s="31">
        <f>ROUND(B64*D64,2)</f>
        <v>1008</v>
      </c>
      <c r="F64" s="32"/>
    </row>
    <row r="65" spans="1:13" ht="12.75" hidden="1" customHeight="1">
      <c r="A65" s="12" t="s">
        <v>827</v>
      </c>
      <c r="B65" s="30">
        <v>67.72</v>
      </c>
      <c r="C65" s="24" t="s">
        <v>828</v>
      </c>
      <c r="D65" s="35">
        <f>Prec.!$C$80</f>
        <v>0.68</v>
      </c>
      <c r="E65" s="31">
        <f>ROUND(B65*D65,2)</f>
        <v>46.05</v>
      </c>
      <c r="F65" s="32"/>
    </row>
    <row r="66" spans="1:13" s="166" customFormat="1" ht="12.75" hidden="1" customHeight="1">
      <c r="A66" s="12" t="s">
        <v>783</v>
      </c>
      <c r="B66" s="30">
        <v>1</v>
      </c>
      <c r="C66" s="24" t="s">
        <v>825</v>
      </c>
      <c r="D66" s="35">
        <v>698.01549999999997</v>
      </c>
      <c r="E66" s="31">
        <f>ROUND(B66*D66,2)</f>
        <v>698.02</v>
      </c>
      <c r="F66" s="32"/>
      <c r="G66" s="15"/>
      <c r="H66" s="21"/>
      <c r="I66" s="15"/>
      <c r="J66" s="15"/>
      <c r="K66" s="15"/>
      <c r="L66" s="21"/>
      <c r="M66" s="15"/>
    </row>
    <row r="67" spans="1:13" ht="12.75" hidden="1" customHeight="1">
      <c r="A67" s="12" t="s">
        <v>208</v>
      </c>
      <c r="B67" s="30">
        <f>SUM(E63:E65)</f>
        <v>3799.55</v>
      </c>
      <c r="C67" s="24" t="s">
        <v>209</v>
      </c>
      <c r="D67" s="35">
        <f>Prec.!C302</f>
        <v>1.4999999999999999E-2</v>
      </c>
      <c r="E67" s="31">
        <f>ROUND(B67*D67,2)</f>
        <v>56.99</v>
      </c>
      <c r="F67" s="32">
        <f>SUM(E63:E67)</f>
        <v>4554.5599999999995</v>
      </c>
    </row>
    <row r="68" spans="1:13" s="166" customFormat="1" ht="12.75" hidden="1" customHeight="1">
      <c r="A68" s="12"/>
      <c r="B68" s="30"/>
      <c r="C68" s="24"/>
      <c r="D68" s="35"/>
      <c r="E68" s="31"/>
      <c r="F68" s="32"/>
      <c r="G68" s="15"/>
      <c r="H68" s="21"/>
      <c r="I68" s="15"/>
      <c r="J68" s="15"/>
      <c r="K68" s="15"/>
      <c r="L68" s="21"/>
      <c r="M68" s="15"/>
    </row>
    <row r="69" spans="1:13" ht="12.75" customHeight="1">
      <c r="A69" s="545" t="s">
        <v>125</v>
      </c>
      <c r="B69" s="555" t="s">
        <v>151</v>
      </c>
      <c r="C69" s="556" t="s">
        <v>825</v>
      </c>
      <c r="D69" s="548"/>
      <c r="E69" s="552"/>
      <c r="F69" s="553"/>
    </row>
    <row r="70" spans="1:13" ht="12.75" customHeight="1">
      <c r="A70" s="551" t="s">
        <v>822</v>
      </c>
      <c r="B70" s="546">
        <v>9.4600000000000009</v>
      </c>
      <c r="C70" s="547" t="s">
        <v>823</v>
      </c>
      <c r="D70" s="548">
        <f>Prec.!$C$5</f>
        <v>425</v>
      </c>
      <c r="E70" s="552">
        <f t="shared" ref="E70:E75" si="0">ROUND(B70*D70,2)</f>
        <v>4020.5</v>
      </c>
      <c r="F70" s="553"/>
      <c r="G70" s="17"/>
    </row>
    <row r="71" spans="1:13" ht="12.75" customHeight="1">
      <c r="A71" s="551" t="s">
        <v>419</v>
      </c>
      <c r="B71" s="546">
        <v>0.91</v>
      </c>
      <c r="C71" s="547" t="s">
        <v>825</v>
      </c>
      <c r="D71" s="548">
        <f>Prec.!$C$15</f>
        <v>900</v>
      </c>
      <c r="E71" s="552">
        <f t="shared" si="0"/>
        <v>819</v>
      </c>
      <c r="F71" s="553"/>
    </row>
    <row r="72" spans="1:13" ht="12.75" customHeight="1">
      <c r="A72" s="551" t="s">
        <v>210</v>
      </c>
      <c r="B72" s="546">
        <v>6.29</v>
      </c>
      <c r="C72" s="547" t="s">
        <v>823</v>
      </c>
      <c r="D72" s="548">
        <f>Prec.!$C$48</f>
        <v>250</v>
      </c>
      <c r="E72" s="552">
        <f t="shared" si="0"/>
        <v>1572.5</v>
      </c>
      <c r="F72" s="553"/>
    </row>
    <row r="73" spans="1:13" ht="12.75" customHeight="1">
      <c r="A73" s="551" t="s">
        <v>827</v>
      </c>
      <c r="B73" s="546">
        <v>45.24</v>
      </c>
      <c r="C73" s="547" t="s">
        <v>828</v>
      </c>
      <c r="D73" s="548">
        <f>Prec.!$C$80</f>
        <v>0.68</v>
      </c>
      <c r="E73" s="552">
        <f t="shared" si="0"/>
        <v>30.76</v>
      </c>
      <c r="F73" s="553"/>
    </row>
    <row r="74" spans="1:13" s="166" customFormat="1" ht="12.75" customHeight="1">
      <c r="A74" s="551" t="s">
        <v>783</v>
      </c>
      <c r="B74" s="546">
        <v>1</v>
      </c>
      <c r="C74" s="547" t="s">
        <v>825</v>
      </c>
      <c r="D74" s="548">
        <f>Prec.!C676</f>
        <v>698.01549999999997</v>
      </c>
      <c r="E74" s="552">
        <f t="shared" si="0"/>
        <v>698.02</v>
      </c>
      <c r="F74" s="553"/>
      <c r="G74" s="15"/>
      <c r="H74" s="21"/>
      <c r="I74" s="15"/>
      <c r="J74" s="15"/>
      <c r="K74" s="15"/>
      <c r="L74" s="21"/>
      <c r="M74" s="15"/>
    </row>
    <row r="75" spans="1:13" ht="12.75" customHeight="1">
      <c r="A75" s="551" t="s">
        <v>208</v>
      </c>
      <c r="B75" s="546">
        <f>SUM(E70:E73)</f>
        <v>6442.76</v>
      </c>
      <c r="C75" s="547" t="s">
        <v>209</v>
      </c>
      <c r="D75" s="548">
        <v>0.02</v>
      </c>
      <c r="E75" s="552">
        <f t="shared" si="0"/>
        <v>128.86000000000001</v>
      </c>
      <c r="F75" s="553">
        <f>SUM(E70:E75)</f>
        <v>7269.64</v>
      </c>
    </row>
    <row r="76" spans="1:13" ht="12.75" customHeight="1">
      <c r="A76" s="12"/>
      <c r="B76" s="30"/>
      <c r="C76" s="24"/>
      <c r="D76" s="35"/>
      <c r="E76" s="31"/>
      <c r="F76" s="32"/>
      <c r="L76" s="52"/>
    </row>
    <row r="77" spans="1:13" ht="12.75" hidden="1" customHeight="1">
      <c r="A77" s="13" t="s">
        <v>420</v>
      </c>
      <c r="B77" s="42" t="s">
        <v>151</v>
      </c>
      <c r="C77" s="29" t="s">
        <v>825</v>
      </c>
      <c r="D77" s="35"/>
      <c r="E77" s="31"/>
      <c r="F77" s="32"/>
    </row>
    <row r="78" spans="1:13" ht="12.75" hidden="1" customHeight="1">
      <c r="A78" s="12" t="s">
        <v>822</v>
      </c>
      <c r="B78" s="30">
        <v>6.35</v>
      </c>
      <c r="C78" s="24" t="s">
        <v>823</v>
      </c>
      <c r="D78" s="35">
        <f>Prec.!$C$5</f>
        <v>425</v>
      </c>
      <c r="E78" s="31">
        <f>ROUND(B78*D78,2)</f>
        <v>2698.75</v>
      </c>
      <c r="F78" s="32"/>
      <c r="G78" s="17"/>
    </row>
    <row r="79" spans="1:13" ht="12.75" hidden="1" customHeight="1">
      <c r="A79" s="12" t="s">
        <v>824</v>
      </c>
      <c r="B79" s="30">
        <v>0.54</v>
      </c>
      <c r="C79" s="24" t="s">
        <v>825</v>
      </c>
      <c r="D79" s="35">
        <f>Prec.!$C$13</f>
        <v>900</v>
      </c>
      <c r="E79" s="31">
        <f>ROUND(B79*D79,2)</f>
        <v>486</v>
      </c>
      <c r="F79" s="32"/>
    </row>
    <row r="80" spans="1:13" ht="12.75" hidden="1" customHeight="1">
      <c r="A80" s="12" t="s">
        <v>1308</v>
      </c>
      <c r="B80" s="30">
        <v>0.73</v>
      </c>
      <c r="C80" s="24" t="s">
        <v>825</v>
      </c>
      <c r="D80" s="35">
        <f>Prec.!$C$17</f>
        <v>900</v>
      </c>
      <c r="E80" s="31">
        <f>ROUND(B80*D80,2)</f>
        <v>657</v>
      </c>
      <c r="F80" s="32"/>
    </row>
    <row r="81" spans="1:13" ht="12.75" hidden="1" customHeight="1">
      <c r="A81" s="12" t="s">
        <v>827</v>
      </c>
      <c r="B81" s="30">
        <v>64</v>
      </c>
      <c r="C81" s="24" t="s">
        <v>828</v>
      </c>
      <c r="D81" s="35">
        <f>Prec.!$C$80</f>
        <v>0.68</v>
      </c>
      <c r="E81" s="31">
        <f>ROUND(B81*D81,2)</f>
        <v>43.52</v>
      </c>
      <c r="F81" s="32"/>
    </row>
    <row r="82" spans="1:13" ht="12.75" hidden="1" customHeight="1">
      <c r="A82" s="12" t="s">
        <v>208</v>
      </c>
      <c r="B82" s="30">
        <f>SUM(E78:E81)</f>
        <v>3885.27</v>
      </c>
      <c r="C82" s="24" t="s">
        <v>209</v>
      </c>
      <c r="D82" s="35">
        <f>Prec.!$C$302</f>
        <v>1.4999999999999999E-2</v>
      </c>
      <c r="E82" s="31">
        <f>ROUND(B82*D82,2)</f>
        <v>58.28</v>
      </c>
      <c r="F82" s="32">
        <f>SUM(E78:E82)</f>
        <v>3943.55</v>
      </c>
      <c r="L82" s="52"/>
    </row>
    <row r="83" spans="1:13" ht="12.75" hidden="1" customHeight="1">
      <c r="A83" s="12"/>
      <c r="B83" s="30"/>
      <c r="C83" s="24"/>
      <c r="D83" s="35"/>
      <c r="E83" s="31"/>
      <c r="F83" s="32"/>
    </row>
    <row r="84" spans="1:13" s="147" customFormat="1" ht="12.75" hidden="1" customHeight="1">
      <c r="A84" s="13" t="s">
        <v>1658</v>
      </c>
      <c r="B84" s="42" t="s">
        <v>151</v>
      </c>
      <c r="C84" s="29" t="s">
        <v>825</v>
      </c>
      <c r="D84" s="35"/>
      <c r="E84" s="31"/>
      <c r="F84" s="32"/>
      <c r="G84" s="17"/>
      <c r="H84" s="52"/>
      <c r="I84" s="17"/>
      <c r="J84" s="15"/>
      <c r="K84" s="15"/>
      <c r="L84" s="21"/>
      <c r="M84" s="15"/>
    </row>
    <row r="85" spans="1:13" s="147" customFormat="1" ht="12.75" hidden="1" customHeight="1">
      <c r="A85" s="12" t="s">
        <v>822</v>
      </c>
      <c r="B85" s="428">
        <v>6.94</v>
      </c>
      <c r="C85" s="24" t="s">
        <v>823</v>
      </c>
      <c r="D85" s="35">
        <f>Prec.!$C$5</f>
        <v>425</v>
      </c>
      <c r="E85" s="31">
        <f>ROUND(B85*D85,2)</f>
        <v>2949.5</v>
      </c>
      <c r="F85" s="32"/>
      <c r="G85" s="15"/>
      <c r="H85" s="21"/>
      <c r="I85" s="15"/>
      <c r="J85" s="15"/>
      <c r="K85" s="15"/>
      <c r="L85" s="21"/>
      <c r="M85" s="15"/>
    </row>
    <row r="86" spans="1:13" s="147" customFormat="1" ht="12.75" hidden="1" customHeight="1">
      <c r="A86" s="12" t="s">
        <v>824</v>
      </c>
      <c r="B86" s="428">
        <v>0.53200000000000003</v>
      </c>
      <c r="C86" s="24" t="s">
        <v>825</v>
      </c>
      <c r="D86" s="35">
        <f>Prec.!$C$13</f>
        <v>900</v>
      </c>
      <c r="E86" s="31">
        <f>ROUND(B86*D86,2)</f>
        <v>478.8</v>
      </c>
      <c r="F86" s="32"/>
      <c r="G86" s="15"/>
      <c r="H86" s="21"/>
      <c r="I86" s="15"/>
      <c r="J86" s="15"/>
      <c r="K86" s="15"/>
      <c r="L86" s="21"/>
      <c r="M86" s="15"/>
    </row>
    <row r="87" spans="1:13" s="147" customFormat="1" ht="12.75" hidden="1" customHeight="1">
      <c r="A87" s="12" t="s">
        <v>1308</v>
      </c>
      <c r="B87" s="428">
        <v>0.72799999999999998</v>
      </c>
      <c r="C87" s="24" t="s">
        <v>825</v>
      </c>
      <c r="D87" s="35">
        <f>Prec.!$C$17</f>
        <v>900</v>
      </c>
      <c r="E87" s="31">
        <f>ROUND(B87*D87,2)</f>
        <v>655.20000000000005</v>
      </c>
      <c r="F87" s="32"/>
      <c r="G87" s="15"/>
      <c r="H87" s="21"/>
      <c r="I87" s="15"/>
      <c r="J87" s="15"/>
      <c r="K87" s="15"/>
      <c r="L87" s="21"/>
      <c r="M87" s="15"/>
    </row>
    <row r="88" spans="1:13" s="147" customFormat="1" ht="12.75" hidden="1" customHeight="1">
      <c r="A88" s="12" t="s">
        <v>827</v>
      </c>
      <c r="B88" s="428">
        <v>59.325000000000003</v>
      </c>
      <c r="C88" s="24" t="s">
        <v>828</v>
      </c>
      <c r="D88" s="35">
        <f>Prec.!$C$80</f>
        <v>0.68</v>
      </c>
      <c r="E88" s="31">
        <f>ROUND(B88*D88,2)</f>
        <v>40.340000000000003</v>
      </c>
      <c r="F88" s="32"/>
      <c r="G88" s="15"/>
      <c r="H88" s="21"/>
      <c r="I88" s="15"/>
      <c r="J88" s="15"/>
      <c r="K88" s="15"/>
      <c r="L88" s="21"/>
      <c r="M88" s="15"/>
    </row>
    <row r="89" spans="1:13" s="147" customFormat="1" ht="12.75" hidden="1" customHeight="1">
      <c r="A89" s="12" t="s">
        <v>208</v>
      </c>
      <c r="B89" s="30">
        <f>SUM(E85:E88)</f>
        <v>4123.84</v>
      </c>
      <c r="C89" s="24" t="s">
        <v>209</v>
      </c>
      <c r="D89" s="35">
        <f>Prec.!$C$302</f>
        <v>1.4999999999999999E-2</v>
      </c>
      <c r="E89" s="31">
        <f>ROUND(B89*D89,2)</f>
        <v>61.86</v>
      </c>
      <c r="F89" s="32">
        <f>SUM(E85:E89)</f>
        <v>4185.7</v>
      </c>
      <c r="G89" s="15"/>
      <c r="H89" s="21"/>
      <c r="I89" s="15"/>
      <c r="J89" s="15"/>
      <c r="K89" s="15"/>
      <c r="L89" s="21"/>
      <c r="M89" s="15"/>
    </row>
    <row r="90" spans="1:13" s="147" customFormat="1" ht="12.75" hidden="1" customHeight="1">
      <c r="A90" s="12"/>
      <c r="B90" s="30"/>
      <c r="C90" s="24"/>
      <c r="D90" s="35"/>
      <c r="E90" s="31"/>
      <c r="F90" s="32"/>
      <c r="G90" s="15"/>
      <c r="H90" s="21"/>
      <c r="I90" s="15"/>
      <c r="J90" s="15"/>
      <c r="K90" s="15"/>
      <c r="L90" s="21"/>
      <c r="M90" s="15"/>
    </row>
    <row r="91" spans="1:13" ht="12.75" customHeight="1">
      <c r="A91" s="545" t="s">
        <v>728</v>
      </c>
      <c r="B91" s="555" t="s">
        <v>151</v>
      </c>
      <c r="C91" s="556" t="s">
        <v>825</v>
      </c>
      <c r="D91" s="548"/>
      <c r="E91" s="552"/>
      <c r="F91" s="553"/>
    </row>
    <row r="92" spans="1:13" ht="12.75" customHeight="1">
      <c r="A92" s="551" t="s">
        <v>822</v>
      </c>
      <c r="B92" s="546">
        <v>7.53</v>
      </c>
      <c r="C92" s="547" t="s">
        <v>823</v>
      </c>
      <c r="D92" s="548">
        <f>D78</f>
        <v>425</v>
      </c>
      <c r="E92" s="552">
        <f t="shared" ref="E92:E97" si="1">ROUND(B92*D92,2)</f>
        <v>3200.25</v>
      </c>
      <c r="F92" s="553"/>
      <c r="L92" s="52"/>
    </row>
    <row r="93" spans="1:13" ht="12.75" customHeight="1">
      <c r="A93" s="551" t="s">
        <v>824</v>
      </c>
      <c r="B93" s="546">
        <v>0.52400000000000002</v>
      </c>
      <c r="C93" s="547" t="s">
        <v>825</v>
      </c>
      <c r="D93" s="548">
        <f>D79</f>
        <v>900</v>
      </c>
      <c r="E93" s="552">
        <f t="shared" si="1"/>
        <v>471.6</v>
      </c>
      <c r="F93" s="553"/>
    </row>
    <row r="94" spans="1:13" ht="12.75" customHeight="1">
      <c r="A94" s="551" t="s">
        <v>1308</v>
      </c>
      <c r="B94" s="546">
        <v>0.72599999999999998</v>
      </c>
      <c r="C94" s="547" t="s">
        <v>825</v>
      </c>
      <c r="D94" s="548">
        <f>D80</f>
        <v>900</v>
      </c>
      <c r="E94" s="552">
        <f t="shared" si="1"/>
        <v>653.4</v>
      </c>
      <c r="F94" s="553"/>
      <c r="G94" s="17"/>
      <c r="H94" s="52"/>
      <c r="I94" s="17"/>
    </row>
    <row r="95" spans="1:13" ht="12.75" customHeight="1">
      <c r="A95" s="551" t="s">
        <v>827</v>
      </c>
      <c r="B95" s="546">
        <v>54.65</v>
      </c>
      <c r="C95" s="547" t="s">
        <v>828</v>
      </c>
      <c r="D95" s="548">
        <f>D81</f>
        <v>0.68</v>
      </c>
      <c r="E95" s="552">
        <f t="shared" si="1"/>
        <v>37.159999999999997</v>
      </c>
      <c r="F95" s="553"/>
    </row>
    <row r="96" spans="1:13" s="166" customFormat="1" ht="12.75" customHeight="1">
      <c r="A96" s="551" t="s">
        <v>783</v>
      </c>
      <c r="B96" s="546">
        <v>1</v>
      </c>
      <c r="C96" s="547" t="s">
        <v>825</v>
      </c>
      <c r="D96" s="548">
        <f>Prec.!C676</f>
        <v>698.01549999999997</v>
      </c>
      <c r="E96" s="552">
        <f t="shared" si="1"/>
        <v>698.02</v>
      </c>
      <c r="F96" s="553"/>
      <c r="G96" s="15"/>
      <c r="H96" s="21"/>
      <c r="I96" s="15"/>
      <c r="J96" s="15"/>
      <c r="K96" s="15"/>
      <c r="L96" s="21"/>
      <c r="M96" s="15"/>
    </row>
    <row r="97" spans="1:12" ht="12.75" customHeight="1">
      <c r="A97" s="551" t="s">
        <v>208</v>
      </c>
      <c r="B97" s="546">
        <f>SUM(E92:E95)</f>
        <v>4362.41</v>
      </c>
      <c r="C97" s="547" t="s">
        <v>209</v>
      </c>
      <c r="D97" s="548">
        <v>0.02</v>
      </c>
      <c r="E97" s="552">
        <f t="shared" si="1"/>
        <v>87.25</v>
      </c>
      <c r="F97" s="553">
        <f>SUM(E92:E97)</f>
        <v>5147.68</v>
      </c>
    </row>
    <row r="98" spans="1:12" ht="12.75" customHeight="1">
      <c r="A98" s="12"/>
      <c r="B98" s="30"/>
      <c r="C98" s="24"/>
      <c r="D98" s="35"/>
      <c r="E98" s="31"/>
      <c r="F98" s="32"/>
    </row>
    <row r="99" spans="1:12" ht="12.75" hidden="1" customHeight="1">
      <c r="A99" s="13" t="s">
        <v>760</v>
      </c>
      <c r="B99" s="42" t="s">
        <v>151</v>
      </c>
      <c r="C99" s="29" t="s">
        <v>825</v>
      </c>
      <c r="D99" s="35"/>
      <c r="E99" s="31"/>
      <c r="F99" s="32"/>
    </row>
    <row r="100" spans="1:12" ht="12.75" hidden="1" customHeight="1">
      <c r="A100" s="12" t="s">
        <v>822</v>
      </c>
      <c r="B100" s="30">
        <v>7.84</v>
      </c>
      <c r="C100" s="24" t="s">
        <v>823</v>
      </c>
      <c r="D100" s="35">
        <f>Prec.!$C$5</f>
        <v>425</v>
      </c>
      <c r="E100" s="31">
        <f>ROUND(B100*D100,2)</f>
        <v>3332</v>
      </c>
      <c r="F100" s="32"/>
      <c r="L100" s="52"/>
    </row>
    <row r="101" spans="1:12" ht="12.75" hidden="1" customHeight="1">
      <c r="A101" s="12" t="s">
        <v>824</v>
      </c>
      <c r="B101" s="30">
        <v>0.51800000000000002</v>
      </c>
      <c r="C101" s="24" t="s">
        <v>825</v>
      </c>
      <c r="D101" s="35">
        <f>Prec.!$C$13</f>
        <v>900</v>
      </c>
      <c r="E101" s="31">
        <f>ROUND(B101*D101,2)</f>
        <v>466.2</v>
      </c>
      <c r="F101" s="32"/>
    </row>
    <row r="102" spans="1:12" ht="12.75" hidden="1" customHeight="1">
      <c r="A102" s="12" t="s">
        <v>1308</v>
      </c>
      <c r="B102" s="30">
        <v>0.72399999999999998</v>
      </c>
      <c r="C102" s="24" t="s">
        <v>825</v>
      </c>
      <c r="D102" s="35">
        <f>Prec.!C17</f>
        <v>900</v>
      </c>
      <c r="E102" s="31">
        <f>ROUND(B102*D102,2)</f>
        <v>651.6</v>
      </c>
      <c r="F102" s="32"/>
    </row>
    <row r="103" spans="1:12" ht="12.75" hidden="1" customHeight="1">
      <c r="A103" s="12" t="s">
        <v>827</v>
      </c>
      <c r="B103" s="30">
        <v>55.44</v>
      </c>
      <c r="C103" s="24" t="s">
        <v>828</v>
      </c>
      <c r="D103" s="35">
        <f>Prec.!$C$80</f>
        <v>0.68</v>
      </c>
      <c r="E103" s="31">
        <f>ROUND(B103*D103,2)</f>
        <v>37.700000000000003</v>
      </c>
      <c r="F103" s="32"/>
    </row>
    <row r="104" spans="1:12" ht="12.75" hidden="1" customHeight="1">
      <c r="A104" s="12" t="s">
        <v>208</v>
      </c>
      <c r="B104" s="30">
        <f>SUM(E100:E103)</f>
        <v>4487.5</v>
      </c>
      <c r="C104" s="24" t="s">
        <v>209</v>
      </c>
      <c r="D104" s="35">
        <f>Prec.!C302</f>
        <v>1.4999999999999999E-2</v>
      </c>
      <c r="E104" s="31">
        <f>ROUND(B104*D104,2)</f>
        <v>67.31</v>
      </c>
      <c r="F104" s="32">
        <f>SUM(E100:E104)</f>
        <v>4554.8100000000004</v>
      </c>
    </row>
    <row r="105" spans="1:12" ht="12.75" hidden="1" customHeight="1">
      <c r="A105" s="12"/>
      <c r="B105" s="30"/>
      <c r="C105" s="24"/>
      <c r="D105" s="35"/>
      <c r="E105" s="31"/>
      <c r="F105" s="32"/>
    </row>
    <row r="106" spans="1:12" ht="12.75" hidden="1" customHeight="1">
      <c r="A106" s="13" t="s">
        <v>422</v>
      </c>
      <c r="B106" s="42" t="s">
        <v>151</v>
      </c>
      <c r="C106" s="29" t="s">
        <v>825</v>
      </c>
      <c r="D106" s="35"/>
      <c r="E106" s="31"/>
      <c r="F106" s="32"/>
    </row>
    <row r="107" spans="1:12" ht="12.75" hidden="1" customHeight="1">
      <c r="A107" s="12" t="s">
        <v>822</v>
      </c>
      <c r="B107" s="30">
        <v>8</v>
      </c>
      <c r="C107" s="24" t="s">
        <v>823</v>
      </c>
      <c r="D107" s="35">
        <f>Prec.!$C$5</f>
        <v>425</v>
      </c>
      <c r="E107" s="31">
        <f>ROUND(B107*D107,2)</f>
        <v>3400</v>
      </c>
      <c r="F107" s="32"/>
    </row>
    <row r="108" spans="1:12" ht="12.75" hidden="1" customHeight="1">
      <c r="A108" s="12" t="s">
        <v>824</v>
      </c>
      <c r="B108" s="30">
        <v>0.51600000000000001</v>
      </c>
      <c r="C108" s="24" t="s">
        <v>825</v>
      </c>
      <c r="D108" s="35">
        <f>Prec.!$C$13</f>
        <v>900</v>
      </c>
      <c r="E108" s="31">
        <f>ROUND(B108*D108,2)</f>
        <v>464.4</v>
      </c>
      <c r="F108" s="32"/>
    </row>
    <row r="109" spans="1:12" ht="12.75" hidden="1" customHeight="1">
      <c r="A109" s="12" t="s">
        <v>1308</v>
      </c>
      <c r="B109" s="30">
        <v>0.71899999999999997</v>
      </c>
      <c r="C109" s="24" t="s">
        <v>825</v>
      </c>
      <c r="D109" s="35">
        <f>D102</f>
        <v>900</v>
      </c>
      <c r="E109" s="31">
        <f>ROUND(B109*D109,2)</f>
        <v>647.1</v>
      </c>
      <c r="F109" s="32"/>
    </row>
    <row r="110" spans="1:12" ht="12.75" hidden="1" customHeight="1">
      <c r="A110" s="12" t="s">
        <v>827</v>
      </c>
      <c r="B110" s="30">
        <v>54.65</v>
      </c>
      <c r="C110" s="24" t="s">
        <v>828</v>
      </c>
      <c r="D110" s="35">
        <f>Prec.!$C$80</f>
        <v>0.68</v>
      </c>
      <c r="E110" s="31">
        <f>ROUND(B110*D110,2)</f>
        <v>37.159999999999997</v>
      </c>
      <c r="F110" s="32"/>
    </row>
    <row r="111" spans="1:12" ht="12.75" hidden="1" customHeight="1">
      <c r="A111" s="12" t="s">
        <v>208</v>
      </c>
      <c r="B111" s="30">
        <f>SUM(E107:E110)</f>
        <v>4548.66</v>
      </c>
      <c r="C111" s="24" t="s">
        <v>209</v>
      </c>
      <c r="D111" s="35">
        <f>Prec.!C302</f>
        <v>1.4999999999999999E-2</v>
      </c>
      <c r="E111" s="31">
        <f>ROUND(B111*D111,2)</f>
        <v>68.23</v>
      </c>
      <c r="F111" s="32">
        <f>SUM(E107:E111)</f>
        <v>4616.8899999999994</v>
      </c>
    </row>
    <row r="112" spans="1:12" ht="12.75" hidden="1" customHeight="1">
      <c r="A112" s="12"/>
      <c r="B112" s="30"/>
      <c r="C112" s="24"/>
      <c r="D112" s="35"/>
      <c r="E112" s="31"/>
      <c r="F112" s="32"/>
    </row>
    <row r="113" spans="1:13" ht="12.75" hidden="1" customHeight="1">
      <c r="A113" s="13" t="s">
        <v>423</v>
      </c>
      <c r="B113" s="42" t="s">
        <v>151</v>
      </c>
      <c r="C113" s="29" t="s">
        <v>825</v>
      </c>
      <c r="D113" s="35"/>
      <c r="E113" s="31"/>
      <c r="F113" s="32"/>
    </row>
    <row r="114" spans="1:13" ht="12.75" hidden="1" customHeight="1">
      <c r="A114" s="12" t="s">
        <v>822</v>
      </c>
      <c r="B114" s="30">
        <v>8.31</v>
      </c>
      <c r="C114" s="24" t="s">
        <v>823</v>
      </c>
      <c r="D114" s="35">
        <f>Prec.!$C$5</f>
        <v>425</v>
      </c>
      <c r="E114" s="31">
        <f t="shared" ref="E114:E119" si="2">ROUND(B114*D114,2)</f>
        <v>3531.75</v>
      </c>
      <c r="F114" s="32"/>
    </row>
    <row r="115" spans="1:13" ht="12.75" hidden="1" customHeight="1">
      <c r="A115" s="12" t="s">
        <v>824</v>
      </c>
      <c r="B115" s="30">
        <v>0.51200000000000001</v>
      </c>
      <c r="C115" s="24" t="s">
        <v>825</v>
      </c>
      <c r="D115" s="35">
        <f>Prec.!$C$13</f>
        <v>900</v>
      </c>
      <c r="E115" s="31">
        <f t="shared" si="2"/>
        <v>460.8</v>
      </c>
      <c r="F115" s="32"/>
    </row>
    <row r="116" spans="1:13" ht="12.75" hidden="1" customHeight="1">
      <c r="A116" s="12" t="s">
        <v>1308</v>
      </c>
      <c r="B116" s="30">
        <v>0.71</v>
      </c>
      <c r="C116" s="24" t="s">
        <v>825</v>
      </c>
      <c r="D116" s="35">
        <f>D109</f>
        <v>900</v>
      </c>
      <c r="E116" s="31">
        <f t="shared" si="2"/>
        <v>639</v>
      </c>
      <c r="F116" s="32"/>
    </row>
    <row r="117" spans="1:13" ht="12.75" hidden="1" customHeight="1">
      <c r="A117" s="12" t="s">
        <v>827</v>
      </c>
      <c r="B117" s="30">
        <v>53.06</v>
      </c>
      <c r="C117" s="24" t="s">
        <v>828</v>
      </c>
      <c r="D117" s="35">
        <f>Prec.!$C$80</f>
        <v>0.68</v>
      </c>
      <c r="E117" s="31">
        <f t="shared" si="2"/>
        <v>36.08</v>
      </c>
      <c r="F117" s="32"/>
    </row>
    <row r="118" spans="1:13" s="166" customFormat="1" ht="12.75" hidden="1" customHeight="1">
      <c r="A118" s="12" t="s">
        <v>783</v>
      </c>
      <c r="B118" s="30">
        <v>1</v>
      </c>
      <c r="C118" s="24" t="s">
        <v>825</v>
      </c>
      <c r="D118" s="35">
        <f>D96</f>
        <v>698.01549999999997</v>
      </c>
      <c r="E118" s="31">
        <f t="shared" si="2"/>
        <v>698.02</v>
      </c>
      <c r="F118" s="32"/>
      <c r="G118" s="15"/>
      <c r="H118" s="21"/>
      <c r="I118" s="15"/>
      <c r="J118" s="15"/>
      <c r="K118" s="15"/>
      <c r="L118" s="21"/>
      <c r="M118" s="15"/>
    </row>
    <row r="119" spans="1:13" ht="12.75" hidden="1" customHeight="1">
      <c r="A119" s="12" t="s">
        <v>208</v>
      </c>
      <c r="B119" s="30">
        <f>SUM(E114:E117)</f>
        <v>4667.63</v>
      </c>
      <c r="C119" s="24" t="s">
        <v>209</v>
      </c>
      <c r="D119" s="35">
        <v>0.02</v>
      </c>
      <c r="E119" s="31">
        <f t="shared" si="2"/>
        <v>93.35</v>
      </c>
      <c r="F119" s="32">
        <f>SUM(E114:E119)</f>
        <v>5459</v>
      </c>
    </row>
    <row r="120" spans="1:13" ht="12.75" hidden="1" customHeight="1">
      <c r="A120" s="12"/>
      <c r="B120" s="30"/>
      <c r="C120" s="24"/>
      <c r="D120" s="35"/>
      <c r="E120" s="31"/>
      <c r="F120" s="32"/>
    </row>
    <row r="121" spans="1:13" s="147" customFormat="1" ht="12.75" hidden="1" customHeight="1">
      <c r="A121" s="12"/>
      <c r="B121" s="30"/>
      <c r="C121" s="24"/>
      <c r="D121" s="35"/>
      <c r="E121" s="31"/>
      <c r="F121" s="32"/>
      <c r="G121" s="15"/>
      <c r="H121" s="21"/>
      <c r="I121" s="15"/>
      <c r="J121" s="15"/>
      <c r="K121" s="15"/>
      <c r="L121" s="21"/>
      <c r="M121" s="15"/>
    </row>
    <row r="122" spans="1:13" ht="12.75" hidden="1" customHeight="1">
      <c r="A122" s="13" t="s">
        <v>424</v>
      </c>
      <c r="B122" s="42" t="s">
        <v>151</v>
      </c>
      <c r="C122" s="29" t="s">
        <v>825</v>
      </c>
      <c r="D122" s="35"/>
      <c r="E122" s="31"/>
      <c r="F122" s="32"/>
    </row>
    <row r="123" spans="1:13" ht="12.75" hidden="1" customHeight="1">
      <c r="A123" s="12" t="s">
        <v>822</v>
      </c>
      <c r="B123" s="30">
        <v>8.61</v>
      </c>
      <c r="C123" s="24" t="s">
        <v>823</v>
      </c>
      <c r="D123" s="35">
        <f>Prec.!$C$5</f>
        <v>425</v>
      </c>
      <c r="E123" s="31">
        <f>ROUND(B123*D123,2)</f>
        <v>3659.25</v>
      </c>
      <c r="F123" s="32"/>
    </row>
    <row r="124" spans="1:13" ht="12.75" hidden="1" customHeight="1">
      <c r="A124" s="12" t="s">
        <v>824</v>
      </c>
      <c r="B124" s="30">
        <v>0.50800000000000001</v>
      </c>
      <c r="C124" s="24" t="s">
        <v>825</v>
      </c>
      <c r="D124" s="35">
        <f>Prec.!$C$13</f>
        <v>900</v>
      </c>
      <c r="E124" s="31">
        <f>ROUND(B124*D124,2)</f>
        <v>457.2</v>
      </c>
      <c r="F124" s="32"/>
    </row>
    <row r="125" spans="1:13" ht="12.75" hidden="1" customHeight="1">
      <c r="A125" s="12" t="s">
        <v>1308</v>
      </c>
      <c r="B125" s="30">
        <v>0.70199999999999996</v>
      </c>
      <c r="C125" s="24" t="s">
        <v>825</v>
      </c>
      <c r="D125" s="35">
        <f>D116</f>
        <v>900</v>
      </c>
      <c r="E125" s="31">
        <f>ROUND(B125*D125,2)</f>
        <v>631.79999999999995</v>
      </c>
      <c r="F125" s="32"/>
    </row>
    <row r="126" spans="1:13" ht="12.75" hidden="1" customHeight="1">
      <c r="A126" s="12" t="s">
        <v>827</v>
      </c>
      <c r="B126" s="30">
        <v>51.48</v>
      </c>
      <c r="C126" s="24" t="s">
        <v>828</v>
      </c>
      <c r="D126" s="35">
        <f>Prec.!$C$80</f>
        <v>0.68</v>
      </c>
      <c r="E126" s="31">
        <f>ROUND(B126*D126,2)</f>
        <v>35.01</v>
      </c>
      <c r="F126" s="32"/>
    </row>
    <row r="127" spans="1:13" ht="12.75" hidden="1" customHeight="1">
      <c r="A127" s="12" t="s">
        <v>208</v>
      </c>
      <c r="B127" s="30">
        <f>SUM(E123:E126)</f>
        <v>4783.26</v>
      </c>
      <c r="C127" s="24" t="s">
        <v>209</v>
      </c>
      <c r="D127" s="35">
        <f>Prec.!C302</f>
        <v>1.4999999999999999E-2</v>
      </c>
      <c r="E127" s="31">
        <f>ROUND(B127*D127,2)</f>
        <v>71.75</v>
      </c>
      <c r="F127" s="32">
        <f>SUM(E123:E127)</f>
        <v>4855.01</v>
      </c>
    </row>
    <row r="128" spans="1:13" ht="5.25" customHeight="1">
      <c r="A128" s="12"/>
      <c r="B128" s="30"/>
      <c r="C128" s="24"/>
      <c r="D128" s="35"/>
      <c r="E128" s="31"/>
      <c r="F128" s="32"/>
    </row>
    <row r="129" spans="1:13" ht="12.75" customHeight="1">
      <c r="A129" s="545" t="s">
        <v>425</v>
      </c>
      <c r="B129" s="555" t="s">
        <v>151</v>
      </c>
      <c r="C129" s="556" t="s">
        <v>825</v>
      </c>
      <c r="D129" s="548"/>
      <c r="E129" s="552"/>
      <c r="F129" s="553"/>
    </row>
    <row r="130" spans="1:13" ht="12.75" customHeight="1">
      <c r="A130" s="551" t="s">
        <v>822</v>
      </c>
      <c r="B130" s="546">
        <v>8.94</v>
      </c>
      <c r="C130" s="547" t="s">
        <v>823</v>
      </c>
      <c r="D130" s="548">
        <f>Prec.!$C$5</f>
        <v>425</v>
      </c>
      <c r="E130" s="552">
        <f t="shared" ref="E130:E135" si="3">ROUND(B130*D130,2)</f>
        <v>3799.5</v>
      </c>
      <c r="F130" s="553"/>
    </row>
    <row r="131" spans="1:13" ht="12.75" customHeight="1">
      <c r="A131" s="551" t="s">
        <v>824</v>
      </c>
      <c r="B131" s="546">
        <v>0.505</v>
      </c>
      <c r="C131" s="547" t="s">
        <v>825</v>
      </c>
      <c r="D131" s="548">
        <f>Prec.!$C$13</f>
        <v>900</v>
      </c>
      <c r="E131" s="552">
        <f t="shared" si="3"/>
        <v>454.5</v>
      </c>
      <c r="F131" s="553"/>
    </row>
    <row r="132" spans="1:13" ht="12.75" customHeight="1">
      <c r="A132" s="551" t="s">
        <v>1308</v>
      </c>
      <c r="B132" s="546">
        <v>0.69899999999999995</v>
      </c>
      <c r="C132" s="547" t="s">
        <v>825</v>
      </c>
      <c r="D132" s="548">
        <f>D125</f>
        <v>900</v>
      </c>
      <c r="E132" s="552">
        <f t="shared" si="3"/>
        <v>629.1</v>
      </c>
      <c r="F132" s="553"/>
    </row>
    <row r="133" spans="1:13" ht="12.75" customHeight="1">
      <c r="A133" s="551" t="s">
        <v>827</v>
      </c>
      <c r="B133" s="546">
        <v>51.22</v>
      </c>
      <c r="C133" s="547" t="s">
        <v>828</v>
      </c>
      <c r="D133" s="548">
        <f>Prec.!$C$80</f>
        <v>0.68</v>
      </c>
      <c r="E133" s="552">
        <f t="shared" si="3"/>
        <v>34.83</v>
      </c>
      <c r="F133" s="553"/>
    </row>
    <row r="134" spans="1:13" s="166" customFormat="1" ht="12.75" customHeight="1">
      <c r="A134" s="551" t="s">
        <v>783</v>
      </c>
      <c r="B134" s="546">
        <v>1</v>
      </c>
      <c r="C134" s="547" t="s">
        <v>825</v>
      </c>
      <c r="D134" s="548">
        <f>D118</f>
        <v>698.01549999999997</v>
      </c>
      <c r="E134" s="552">
        <f t="shared" si="3"/>
        <v>698.02</v>
      </c>
      <c r="F134" s="553"/>
      <c r="G134" s="15"/>
      <c r="H134" s="21"/>
      <c r="I134" s="15"/>
      <c r="J134" s="15"/>
      <c r="K134" s="15"/>
      <c r="L134" s="21"/>
      <c r="M134" s="15"/>
    </row>
    <row r="135" spans="1:13" ht="12.75" customHeight="1">
      <c r="A135" s="551" t="s">
        <v>208</v>
      </c>
      <c r="B135" s="546">
        <f>SUM(E130:E133)</f>
        <v>4917.93</v>
      </c>
      <c r="C135" s="547" t="s">
        <v>209</v>
      </c>
      <c r="D135" s="548">
        <v>0.02</v>
      </c>
      <c r="E135" s="552">
        <f t="shared" si="3"/>
        <v>98.36</v>
      </c>
      <c r="F135" s="553">
        <f>SUM(E130:E135)</f>
        <v>5714.31</v>
      </c>
    </row>
    <row r="136" spans="1:13" ht="12.75" customHeight="1">
      <c r="A136" s="12"/>
      <c r="B136" s="30"/>
      <c r="C136" s="24"/>
      <c r="D136" s="35"/>
      <c r="E136" s="31"/>
      <c r="F136" s="32"/>
    </row>
    <row r="137" spans="1:13" ht="12.75" hidden="1" customHeight="1">
      <c r="A137" s="13" t="s">
        <v>1161</v>
      </c>
      <c r="B137" s="42" t="s">
        <v>151</v>
      </c>
      <c r="C137" s="29" t="s">
        <v>825</v>
      </c>
      <c r="D137" s="35"/>
      <c r="E137" s="31"/>
      <c r="F137" s="32"/>
    </row>
    <row r="138" spans="1:13" ht="12.75" hidden="1" customHeight="1">
      <c r="A138" s="12" t="s">
        <v>822</v>
      </c>
      <c r="B138" s="30">
        <v>9.93</v>
      </c>
      <c r="C138" s="24" t="s">
        <v>823</v>
      </c>
      <c r="D138" s="35">
        <f>Prec.!$C$5</f>
        <v>425</v>
      </c>
      <c r="E138" s="31">
        <f>ROUND(B138*D138,2)</f>
        <v>4220.25</v>
      </c>
      <c r="F138" s="32"/>
    </row>
    <row r="139" spans="1:13" ht="12.75" hidden="1" customHeight="1">
      <c r="A139" s="12" t="s">
        <v>824</v>
      </c>
      <c r="B139" s="30">
        <v>0.499</v>
      </c>
      <c r="C139" s="24" t="s">
        <v>825</v>
      </c>
      <c r="D139" s="35">
        <f>Prec.!$C$13</f>
        <v>900</v>
      </c>
      <c r="E139" s="31">
        <f>ROUND(B139*D139,2)</f>
        <v>449.1</v>
      </c>
      <c r="F139" s="32"/>
    </row>
    <row r="140" spans="1:13" ht="12.75" hidden="1" customHeight="1">
      <c r="A140" s="12" t="s">
        <v>1308</v>
      </c>
      <c r="B140" s="30">
        <v>0.69299999999999995</v>
      </c>
      <c r="C140" s="24" t="s">
        <v>825</v>
      </c>
      <c r="D140" s="35">
        <f>D132</f>
        <v>900</v>
      </c>
      <c r="E140" s="31">
        <f>ROUND(B140*D140,2)</f>
        <v>623.70000000000005</v>
      </c>
      <c r="F140" s="32"/>
    </row>
    <row r="141" spans="1:13" ht="12.75" hidden="1" customHeight="1">
      <c r="A141" s="12" t="s">
        <v>827</v>
      </c>
      <c r="B141" s="30">
        <v>50.42</v>
      </c>
      <c r="C141" s="24" t="s">
        <v>828</v>
      </c>
      <c r="D141" s="35">
        <f>Prec.!$C$80</f>
        <v>0.68</v>
      </c>
      <c r="E141" s="31">
        <f>ROUND(B141*D141,2)</f>
        <v>34.29</v>
      </c>
      <c r="F141" s="32"/>
    </row>
    <row r="142" spans="1:13" ht="12.75" hidden="1" customHeight="1">
      <c r="A142" s="12" t="s">
        <v>208</v>
      </c>
      <c r="B142" s="30">
        <f>SUM(E138:E141)</f>
        <v>5327.34</v>
      </c>
      <c r="C142" s="24" t="s">
        <v>209</v>
      </c>
      <c r="D142" s="35">
        <f>Prec.!C302</f>
        <v>1.4999999999999999E-2</v>
      </c>
      <c r="E142" s="31">
        <f>ROUND(B142*D142,2)</f>
        <v>79.91</v>
      </c>
      <c r="F142" s="32">
        <f>SUM(E138:E142)</f>
        <v>5407.25</v>
      </c>
    </row>
    <row r="143" spans="1:13" ht="6" hidden="1" customHeight="1">
      <c r="A143" s="12"/>
      <c r="B143" s="30"/>
      <c r="C143" s="24"/>
      <c r="D143" s="35"/>
      <c r="E143" s="31"/>
      <c r="F143" s="32"/>
    </row>
    <row r="144" spans="1:13" ht="12.75" hidden="1" customHeight="1">
      <c r="A144" s="13" t="s">
        <v>1162</v>
      </c>
      <c r="B144" s="42" t="s">
        <v>151</v>
      </c>
      <c r="C144" s="29" t="s">
        <v>825</v>
      </c>
      <c r="D144" s="35"/>
      <c r="E144" s="31"/>
      <c r="F144" s="32"/>
    </row>
    <row r="145" spans="1:6" ht="12.75" hidden="1" customHeight="1">
      <c r="A145" s="12" t="s">
        <v>822</v>
      </c>
      <c r="B145" s="30">
        <v>10.26</v>
      </c>
      <c r="C145" s="24" t="s">
        <v>823</v>
      </c>
      <c r="D145" s="35">
        <f>Prec.!$C$5</f>
        <v>425</v>
      </c>
      <c r="E145" s="31">
        <f>ROUND(B145*D145,2)</f>
        <v>4360.5</v>
      </c>
      <c r="F145" s="32"/>
    </row>
    <row r="146" spans="1:6" ht="12.75" hidden="1" customHeight="1">
      <c r="A146" s="12" t="s">
        <v>824</v>
      </c>
      <c r="B146" s="30">
        <v>0.497</v>
      </c>
      <c r="C146" s="24" t="s">
        <v>825</v>
      </c>
      <c r="D146" s="35">
        <f>Prec.!$C$13</f>
        <v>900</v>
      </c>
      <c r="E146" s="31">
        <f>ROUND(B146*D146,2)</f>
        <v>447.3</v>
      </c>
      <c r="F146" s="32"/>
    </row>
    <row r="147" spans="1:6" ht="12.75" hidden="1" customHeight="1">
      <c r="A147" s="12" t="s">
        <v>1308</v>
      </c>
      <c r="B147" s="30">
        <v>0.69099999999999995</v>
      </c>
      <c r="C147" s="24" t="s">
        <v>825</v>
      </c>
      <c r="D147" s="35">
        <f>D140</f>
        <v>900</v>
      </c>
      <c r="E147" s="31">
        <f>ROUND(B147*D147,2)</f>
        <v>621.9</v>
      </c>
      <c r="F147" s="32"/>
    </row>
    <row r="148" spans="1:6" ht="12.75" hidden="1" customHeight="1">
      <c r="A148" s="12" t="s">
        <v>827</v>
      </c>
      <c r="B148" s="30">
        <v>50.16</v>
      </c>
      <c r="C148" s="24" t="s">
        <v>828</v>
      </c>
      <c r="D148" s="35">
        <f>Prec.!$C$80</f>
        <v>0.68</v>
      </c>
      <c r="E148" s="31">
        <f>ROUND(B148*D148,2)</f>
        <v>34.11</v>
      </c>
      <c r="F148" s="32"/>
    </row>
    <row r="149" spans="1:6" ht="12.75" hidden="1" customHeight="1">
      <c r="A149" s="12" t="s">
        <v>208</v>
      </c>
      <c r="B149" s="30">
        <f>SUM(E145:E148)</f>
        <v>5463.8099999999995</v>
      </c>
      <c r="C149" s="24" t="s">
        <v>209</v>
      </c>
      <c r="D149" s="35">
        <f>Prec.!C302</f>
        <v>1.4999999999999999E-2</v>
      </c>
      <c r="E149" s="31">
        <f>ROUND(B149*D149,2)</f>
        <v>81.96</v>
      </c>
      <c r="F149" s="32">
        <f>SUM(E145:E149)</f>
        <v>5545.7699999999995</v>
      </c>
    </row>
    <row r="150" spans="1:6" ht="3.75" hidden="1" customHeight="1">
      <c r="A150" s="12"/>
      <c r="B150" s="30"/>
      <c r="C150" s="24"/>
      <c r="D150" s="35"/>
      <c r="E150" s="31"/>
      <c r="F150" s="32"/>
    </row>
    <row r="151" spans="1:6" ht="12.75" hidden="1" customHeight="1">
      <c r="A151" s="13" t="s">
        <v>1163</v>
      </c>
      <c r="B151" s="42" t="s">
        <v>151</v>
      </c>
      <c r="C151" s="29" t="s">
        <v>825</v>
      </c>
      <c r="D151" s="35"/>
      <c r="E151" s="31"/>
      <c r="F151" s="32"/>
    </row>
    <row r="152" spans="1:6" ht="12.75" hidden="1" customHeight="1">
      <c r="A152" s="12" t="s">
        <v>822</v>
      </c>
      <c r="B152" s="30">
        <v>6.68</v>
      </c>
      <c r="C152" s="24" t="s">
        <v>823</v>
      </c>
      <c r="D152" s="35">
        <f>Prec.!$C$5</f>
        <v>425</v>
      </c>
      <c r="E152" s="31">
        <f>ROUND(B152*D152,2)</f>
        <v>2839</v>
      </c>
      <c r="F152" s="32"/>
    </row>
    <row r="153" spans="1:6" ht="12.75" hidden="1" customHeight="1">
      <c r="A153" s="12" t="s">
        <v>824</v>
      </c>
      <c r="B153" s="30">
        <v>0.48299999999999998</v>
      </c>
      <c r="C153" s="24" t="s">
        <v>825</v>
      </c>
      <c r="D153" s="35">
        <f>Prec.!$C$13</f>
        <v>900</v>
      </c>
      <c r="E153" s="31">
        <f>ROUND(B153*D153,2)</f>
        <v>434.7</v>
      </c>
      <c r="F153" s="32"/>
    </row>
    <row r="154" spans="1:6" ht="12.75" hidden="1" customHeight="1">
      <c r="A154" s="12" t="s">
        <v>1308</v>
      </c>
      <c r="B154" s="30">
        <v>0.77300000000000002</v>
      </c>
      <c r="C154" s="24" t="s">
        <v>825</v>
      </c>
      <c r="D154" s="35">
        <f>D147</f>
        <v>900</v>
      </c>
      <c r="E154" s="31">
        <f>ROUND(B154*D154,2)</f>
        <v>695.7</v>
      </c>
      <c r="F154" s="32"/>
    </row>
    <row r="155" spans="1:6" ht="12.75" hidden="1" customHeight="1">
      <c r="A155" s="12" t="s">
        <v>827</v>
      </c>
      <c r="B155" s="30">
        <v>56</v>
      </c>
      <c r="C155" s="24" t="s">
        <v>828</v>
      </c>
      <c r="D155" s="35">
        <f>Prec.!$C$80</f>
        <v>0.68</v>
      </c>
      <c r="E155" s="31">
        <f>ROUND(B155*D155,2)</f>
        <v>38.08</v>
      </c>
      <c r="F155" s="32"/>
    </row>
    <row r="156" spans="1:6" ht="12.75" hidden="1" customHeight="1">
      <c r="A156" s="12" t="s">
        <v>208</v>
      </c>
      <c r="B156" s="30">
        <f>SUM(E152:E155)</f>
        <v>4007.4799999999996</v>
      </c>
      <c r="C156" s="24" t="s">
        <v>209</v>
      </c>
      <c r="D156" s="35">
        <f>Prec.!C302</f>
        <v>1.4999999999999999E-2</v>
      </c>
      <c r="E156" s="31">
        <f>ROUND(B156*D156,2)</f>
        <v>60.11</v>
      </c>
      <c r="F156" s="32">
        <f>SUM(E152:E156)</f>
        <v>4067.5899999999997</v>
      </c>
    </row>
    <row r="157" spans="1:6" ht="12.75" hidden="1" customHeight="1">
      <c r="A157" s="12"/>
      <c r="B157" s="30"/>
      <c r="C157" s="24"/>
      <c r="D157" s="35"/>
      <c r="E157" s="31"/>
      <c r="F157" s="32"/>
    </row>
    <row r="158" spans="1:6" ht="12.75" customHeight="1">
      <c r="A158" s="23" t="s">
        <v>1164</v>
      </c>
    </row>
    <row r="159" spans="1:6" ht="12.75" customHeight="1">
      <c r="A159" s="29"/>
    </row>
    <row r="160" spans="1:6" ht="12.75" customHeight="1">
      <c r="A160" s="545" t="s">
        <v>1071</v>
      </c>
      <c r="B160" s="555" t="s">
        <v>151</v>
      </c>
      <c r="C160" s="556" t="s">
        <v>825</v>
      </c>
      <c r="D160" s="548"/>
      <c r="E160" s="552"/>
      <c r="F160" s="553"/>
    </row>
    <row r="161" spans="1:13" ht="12.75" customHeight="1">
      <c r="A161" s="551" t="s">
        <v>822</v>
      </c>
      <c r="B161" s="546">
        <v>15.57</v>
      </c>
      <c r="C161" s="547" t="s">
        <v>823</v>
      </c>
      <c r="D161" s="548">
        <f>Prec.!$C$5</f>
        <v>425</v>
      </c>
      <c r="E161" s="552">
        <f t="shared" ref="E161:E167" si="4">ROUND(B161*D161,2)</f>
        <v>6617.25</v>
      </c>
      <c r="F161" s="553"/>
    </row>
    <row r="162" spans="1:13" ht="12.75" customHeight="1">
      <c r="A162" s="551" t="s">
        <v>824</v>
      </c>
      <c r="B162" s="546">
        <v>0.9</v>
      </c>
      <c r="C162" s="547" t="s">
        <v>825</v>
      </c>
      <c r="D162" s="548">
        <f>Prec.!$C$13</f>
        <v>900</v>
      </c>
      <c r="E162" s="552">
        <f t="shared" si="4"/>
        <v>810</v>
      </c>
      <c r="F162" s="553"/>
    </row>
    <row r="163" spans="1:13" ht="12.75" customHeight="1">
      <c r="A163" s="551" t="s">
        <v>827</v>
      </c>
      <c r="B163" s="546">
        <v>70.099999999999994</v>
      </c>
      <c r="C163" s="547" t="s">
        <v>828</v>
      </c>
      <c r="D163" s="548">
        <f>Prec.!$C$80</f>
        <v>0.68</v>
      </c>
      <c r="E163" s="552">
        <f t="shared" si="4"/>
        <v>47.67</v>
      </c>
      <c r="F163" s="553"/>
    </row>
    <row r="164" spans="1:13" ht="12.75" customHeight="1">
      <c r="A164" s="551" t="s">
        <v>452</v>
      </c>
      <c r="B164" s="546">
        <v>15.57</v>
      </c>
      <c r="C164" s="547" t="s">
        <v>823</v>
      </c>
      <c r="D164" s="548">
        <f>Prec.!$D$390</f>
        <v>7.57</v>
      </c>
      <c r="E164" s="552">
        <f t="shared" si="4"/>
        <v>117.86</v>
      </c>
      <c r="F164" s="553"/>
    </row>
    <row r="165" spans="1:13" ht="12.75" customHeight="1">
      <c r="A165" s="551" t="s">
        <v>365</v>
      </c>
      <c r="B165" s="546">
        <v>0.9</v>
      </c>
      <c r="C165" s="547" t="s">
        <v>825</v>
      </c>
      <c r="D165" s="548">
        <f>Prec.!$D$377</f>
        <v>110.39</v>
      </c>
      <c r="E165" s="552">
        <f t="shared" si="4"/>
        <v>99.35</v>
      </c>
      <c r="F165" s="553"/>
    </row>
    <row r="166" spans="1:13" s="166" customFormat="1" ht="12.75" customHeight="1">
      <c r="A166" s="551" t="s">
        <v>783</v>
      </c>
      <c r="B166" s="546">
        <v>1</v>
      </c>
      <c r="C166" s="547" t="s">
        <v>825</v>
      </c>
      <c r="D166" s="548">
        <v>698.01549999999997</v>
      </c>
      <c r="E166" s="552">
        <f>ROUND(B166*D166,2)</f>
        <v>698.02</v>
      </c>
      <c r="F166" s="553"/>
      <c r="G166" s="15"/>
      <c r="H166" s="21"/>
      <c r="I166" s="15"/>
      <c r="J166" s="15"/>
      <c r="K166" s="15"/>
      <c r="L166" s="21"/>
      <c r="M166" s="15"/>
    </row>
    <row r="167" spans="1:13" ht="12.75" customHeight="1">
      <c r="A167" s="551" t="s">
        <v>208</v>
      </c>
      <c r="B167" s="546">
        <f>SUM(E161:E163)</f>
        <v>7474.92</v>
      </c>
      <c r="C167" s="547" t="s">
        <v>209</v>
      </c>
      <c r="D167" s="548">
        <v>0.02</v>
      </c>
      <c r="E167" s="552">
        <f t="shared" si="4"/>
        <v>149.5</v>
      </c>
      <c r="F167" s="553">
        <f>SUM(E161:E167)</f>
        <v>8539.65</v>
      </c>
    </row>
    <row r="168" spans="1:13" ht="12.75" customHeight="1">
      <c r="A168" s="12"/>
      <c r="B168" s="30"/>
      <c r="C168" s="24"/>
      <c r="D168" s="35"/>
      <c r="E168" s="31"/>
      <c r="F168" s="32"/>
    </row>
    <row r="169" spans="1:13" ht="12.75" customHeight="1">
      <c r="A169" s="545" t="s">
        <v>1072</v>
      </c>
      <c r="B169" s="555" t="s">
        <v>151</v>
      </c>
      <c r="C169" s="556" t="s">
        <v>825</v>
      </c>
      <c r="D169" s="548"/>
      <c r="E169" s="552"/>
      <c r="F169" s="553"/>
    </row>
    <row r="170" spans="1:13" ht="12.75" customHeight="1">
      <c r="A170" s="551" t="s">
        <v>822</v>
      </c>
      <c r="B170" s="546">
        <v>11.51</v>
      </c>
      <c r="C170" s="547" t="s">
        <v>823</v>
      </c>
      <c r="D170" s="548">
        <f>Prec.!$C$5</f>
        <v>425</v>
      </c>
      <c r="E170" s="552">
        <f t="shared" ref="E170:E176" si="5">ROUND(B170*D170,2)</f>
        <v>4891.75</v>
      </c>
      <c r="F170" s="553"/>
    </row>
    <row r="171" spans="1:13" ht="12.75" customHeight="1">
      <c r="A171" s="551" t="s">
        <v>824</v>
      </c>
      <c r="B171" s="546">
        <v>1</v>
      </c>
      <c r="C171" s="547" t="s">
        <v>825</v>
      </c>
      <c r="D171" s="548">
        <f>Prec.!$C$13</f>
        <v>900</v>
      </c>
      <c r="E171" s="552">
        <f t="shared" si="5"/>
        <v>900</v>
      </c>
      <c r="F171" s="553"/>
    </row>
    <row r="172" spans="1:13" ht="12.75" customHeight="1">
      <c r="A172" s="551" t="s">
        <v>827</v>
      </c>
      <c r="B172" s="546">
        <v>69.040000000000006</v>
      </c>
      <c r="C172" s="547" t="s">
        <v>828</v>
      </c>
      <c r="D172" s="548">
        <f>Prec.!$C$80</f>
        <v>0.68</v>
      </c>
      <c r="E172" s="552">
        <f t="shared" si="5"/>
        <v>46.95</v>
      </c>
      <c r="F172" s="553"/>
    </row>
    <row r="173" spans="1:13" ht="12.75" customHeight="1">
      <c r="A173" s="551" t="s">
        <v>452</v>
      </c>
      <c r="B173" s="546">
        <v>11.51</v>
      </c>
      <c r="C173" s="547" t="s">
        <v>823</v>
      </c>
      <c r="D173" s="548">
        <f>Prec.!$D$390</f>
        <v>7.57</v>
      </c>
      <c r="E173" s="552">
        <f t="shared" si="5"/>
        <v>87.13</v>
      </c>
      <c r="F173" s="553"/>
    </row>
    <row r="174" spans="1:13" ht="12.75" customHeight="1">
      <c r="A174" s="551" t="s">
        <v>365</v>
      </c>
      <c r="B174" s="546">
        <v>1</v>
      </c>
      <c r="C174" s="547" t="s">
        <v>825</v>
      </c>
      <c r="D174" s="548">
        <f>Prec.!$D$377</f>
        <v>110.39</v>
      </c>
      <c r="E174" s="552">
        <f t="shared" si="5"/>
        <v>110.39</v>
      </c>
      <c r="F174" s="553"/>
    </row>
    <row r="175" spans="1:13" s="166" customFormat="1" ht="12.75" customHeight="1">
      <c r="A175" s="551" t="s">
        <v>783</v>
      </c>
      <c r="B175" s="546">
        <v>1</v>
      </c>
      <c r="C175" s="547" t="s">
        <v>825</v>
      </c>
      <c r="D175" s="548">
        <v>698.01549999999997</v>
      </c>
      <c r="E175" s="552">
        <f>ROUND(B175*D175,2)</f>
        <v>698.02</v>
      </c>
      <c r="F175" s="553"/>
      <c r="G175" s="15"/>
      <c r="H175" s="21"/>
      <c r="I175" s="15"/>
      <c r="J175" s="15"/>
      <c r="K175" s="15"/>
      <c r="L175" s="21"/>
      <c r="M175" s="15"/>
    </row>
    <row r="176" spans="1:13" ht="12.75" customHeight="1">
      <c r="A176" s="551" t="s">
        <v>208</v>
      </c>
      <c r="B176" s="546">
        <f>SUM(E170:E172)</f>
        <v>5838.7</v>
      </c>
      <c r="C176" s="547" t="s">
        <v>209</v>
      </c>
      <c r="D176" s="548">
        <v>0.02</v>
      </c>
      <c r="E176" s="552">
        <f t="shared" si="5"/>
        <v>116.77</v>
      </c>
      <c r="F176" s="553">
        <f>SUM(E170:E176)</f>
        <v>6851.01</v>
      </c>
    </row>
    <row r="177" spans="1:13" s="166" customFormat="1" ht="12.75" customHeight="1">
      <c r="A177" s="12"/>
      <c r="B177" s="30"/>
      <c r="C177" s="24"/>
      <c r="D177" s="35"/>
      <c r="E177" s="31"/>
      <c r="F177" s="32"/>
      <c r="G177" s="15"/>
      <c r="H177" s="21"/>
      <c r="I177" s="15"/>
      <c r="J177" s="15"/>
      <c r="K177" s="15"/>
      <c r="L177" s="21"/>
      <c r="M177" s="15"/>
    </row>
    <row r="178" spans="1:13" ht="12.75" customHeight="1">
      <c r="A178" s="545" t="s">
        <v>566</v>
      </c>
      <c r="B178" s="555" t="s">
        <v>151</v>
      </c>
      <c r="C178" s="556" t="s">
        <v>825</v>
      </c>
      <c r="D178" s="548"/>
      <c r="E178" s="552"/>
      <c r="F178" s="553"/>
    </row>
    <row r="179" spans="1:13" ht="12.75" customHeight="1">
      <c r="A179" s="551" t="s">
        <v>822</v>
      </c>
      <c r="B179" s="546">
        <v>9.11</v>
      </c>
      <c r="C179" s="547" t="s">
        <v>823</v>
      </c>
      <c r="D179" s="548">
        <f>Prec.!$C$5</f>
        <v>425</v>
      </c>
      <c r="E179" s="552">
        <f t="shared" ref="E179:E185" si="6">ROUND(B179*D179,2)</f>
        <v>3871.75</v>
      </c>
      <c r="F179" s="553"/>
    </row>
    <row r="180" spans="1:13" ht="12.75" customHeight="1">
      <c r="A180" s="551" t="s">
        <v>824</v>
      </c>
      <c r="B180" s="546">
        <v>1.06</v>
      </c>
      <c r="C180" s="547" t="s">
        <v>825</v>
      </c>
      <c r="D180" s="548">
        <f>Prec.!$C$13</f>
        <v>900</v>
      </c>
      <c r="E180" s="552">
        <f t="shared" si="6"/>
        <v>954</v>
      </c>
      <c r="F180" s="553"/>
    </row>
    <row r="181" spans="1:13" ht="12.75" customHeight="1">
      <c r="A181" s="551" t="s">
        <v>827</v>
      </c>
      <c r="B181" s="546">
        <v>68.16</v>
      </c>
      <c r="C181" s="547" t="s">
        <v>828</v>
      </c>
      <c r="D181" s="548">
        <f>Prec.!$C$80</f>
        <v>0.68</v>
      </c>
      <c r="E181" s="552">
        <f t="shared" si="6"/>
        <v>46.35</v>
      </c>
      <c r="F181" s="553"/>
    </row>
    <row r="182" spans="1:13" ht="12.75" customHeight="1">
      <c r="A182" s="551" t="s">
        <v>452</v>
      </c>
      <c r="B182" s="546">
        <v>9.11</v>
      </c>
      <c r="C182" s="547" t="s">
        <v>823</v>
      </c>
      <c r="D182" s="548">
        <f>Prec.!$D$390</f>
        <v>7.57</v>
      </c>
      <c r="E182" s="552">
        <f t="shared" si="6"/>
        <v>68.959999999999994</v>
      </c>
      <c r="F182" s="553"/>
    </row>
    <row r="183" spans="1:13" ht="12.75" customHeight="1">
      <c r="A183" s="551" t="s">
        <v>365</v>
      </c>
      <c r="B183" s="546">
        <v>1.06</v>
      </c>
      <c r="C183" s="547" t="s">
        <v>825</v>
      </c>
      <c r="D183" s="548">
        <f>Prec.!$D$377</f>
        <v>110.39</v>
      </c>
      <c r="E183" s="552">
        <f t="shared" si="6"/>
        <v>117.01</v>
      </c>
      <c r="F183" s="553"/>
    </row>
    <row r="184" spans="1:13" s="166" customFormat="1" ht="12.75" customHeight="1">
      <c r="A184" s="551" t="s">
        <v>783</v>
      </c>
      <c r="B184" s="546">
        <v>1</v>
      </c>
      <c r="C184" s="547" t="s">
        <v>825</v>
      </c>
      <c r="D184" s="548">
        <v>698.01549999999997</v>
      </c>
      <c r="E184" s="552">
        <f>ROUND(B184*D184,2)</f>
        <v>698.02</v>
      </c>
      <c r="F184" s="553"/>
      <c r="G184" s="15"/>
      <c r="H184" s="21"/>
      <c r="I184" s="15"/>
      <c r="J184" s="15"/>
      <c r="K184" s="15"/>
      <c r="L184" s="21"/>
      <c r="M184" s="15"/>
    </row>
    <row r="185" spans="1:13" ht="12.75" customHeight="1">
      <c r="A185" s="551" t="s">
        <v>208</v>
      </c>
      <c r="B185" s="546">
        <f>SUM(E179:E181)</f>
        <v>4872.1000000000004</v>
      </c>
      <c r="C185" s="547" t="s">
        <v>209</v>
      </c>
      <c r="D185" s="548">
        <v>0.02</v>
      </c>
      <c r="E185" s="552">
        <f t="shared" si="6"/>
        <v>97.44</v>
      </c>
      <c r="F185" s="553">
        <f>SUM(E179:E185)</f>
        <v>5853.53</v>
      </c>
    </row>
    <row r="186" spans="1:13" ht="12.75" customHeight="1">
      <c r="A186" s="12"/>
      <c r="B186" s="30"/>
      <c r="C186" s="24"/>
      <c r="D186" s="35"/>
      <c r="E186" s="31"/>
      <c r="F186" s="32"/>
    </row>
    <row r="187" spans="1:13" ht="12.75" customHeight="1">
      <c r="A187" s="545" t="s">
        <v>567</v>
      </c>
      <c r="B187" s="555" t="s">
        <v>151</v>
      </c>
      <c r="C187" s="556" t="s">
        <v>825</v>
      </c>
      <c r="D187" s="548"/>
      <c r="E187" s="552"/>
      <c r="F187" s="553"/>
    </row>
    <row r="188" spans="1:13" ht="12.75" customHeight="1">
      <c r="A188" s="551" t="s">
        <v>822</v>
      </c>
      <c r="B188" s="546">
        <v>7.56</v>
      </c>
      <c r="C188" s="547" t="s">
        <v>823</v>
      </c>
      <c r="D188" s="548">
        <f>Prec.!$C$5</f>
        <v>425</v>
      </c>
      <c r="E188" s="552">
        <f t="shared" ref="E188:E194" si="7">ROUND(B188*D188,2)</f>
        <v>3213</v>
      </c>
      <c r="F188" s="553"/>
    </row>
    <row r="189" spans="1:13" ht="12.75" customHeight="1">
      <c r="A189" s="551" t="s">
        <v>824</v>
      </c>
      <c r="B189" s="546">
        <v>1.091</v>
      </c>
      <c r="C189" s="547" t="s">
        <v>825</v>
      </c>
      <c r="D189" s="548">
        <f>Prec.!$C$13</f>
        <v>900</v>
      </c>
      <c r="E189" s="552">
        <f t="shared" si="7"/>
        <v>981.9</v>
      </c>
      <c r="F189" s="553"/>
    </row>
    <row r="190" spans="1:13" ht="12.75" customHeight="1">
      <c r="A190" s="551" t="s">
        <v>827</v>
      </c>
      <c r="B190" s="546">
        <v>67.989999999999995</v>
      </c>
      <c r="C190" s="547" t="s">
        <v>828</v>
      </c>
      <c r="D190" s="548">
        <f>Prec.!$C$80</f>
        <v>0.68</v>
      </c>
      <c r="E190" s="552">
        <f t="shared" si="7"/>
        <v>46.23</v>
      </c>
      <c r="F190" s="553"/>
    </row>
    <row r="191" spans="1:13" ht="12.75" customHeight="1">
      <c r="A191" s="551" t="s">
        <v>452</v>
      </c>
      <c r="B191" s="546">
        <v>7.56</v>
      </c>
      <c r="C191" s="547" t="s">
        <v>823</v>
      </c>
      <c r="D191" s="548">
        <f>Prec.!$D$390</f>
        <v>7.57</v>
      </c>
      <c r="E191" s="552">
        <f t="shared" si="7"/>
        <v>57.23</v>
      </c>
      <c r="F191" s="553"/>
    </row>
    <row r="192" spans="1:13" ht="12.75" customHeight="1">
      <c r="A192" s="551" t="s">
        <v>365</v>
      </c>
      <c r="B192" s="546">
        <v>1.091</v>
      </c>
      <c r="C192" s="547" t="s">
        <v>825</v>
      </c>
      <c r="D192" s="548">
        <f>Prec.!$D$377</f>
        <v>110.39</v>
      </c>
      <c r="E192" s="552">
        <f t="shared" si="7"/>
        <v>120.44</v>
      </c>
      <c r="F192" s="553"/>
    </row>
    <row r="193" spans="1:13" s="166" customFormat="1" ht="12.75" customHeight="1">
      <c r="A193" s="551" t="s">
        <v>783</v>
      </c>
      <c r="B193" s="546">
        <v>1</v>
      </c>
      <c r="C193" s="547" t="s">
        <v>825</v>
      </c>
      <c r="D193" s="548">
        <v>698.01549999999997</v>
      </c>
      <c r="E193" s="552">
        <f>ROUND(B193*D193,2)</f>
        <v>698.02</v>
      </c>
      <c r="F193" s="553"/>
      <c r="G193" s="15"/>
      <c r="H193" s="21"/>
      <c r="I193" s="15"/>
      <c r="J193" s="15"/>
      <c r="K193" s="15"/>
      <c r="L193" s="21"/>
      <c r="M193" s="15"/>
    </row>
    <row r="194" spans="1:13" ht="12.75" customHeight="1">
      <c r="A194" s="551" t="s">
        <v>208</v>
      </c>
      <c r="B194" s="546">
        <f>SUM(E188:E190)</f>
        <v>4241.1299999999992</v>
      </c>
      <c r="C194" s="547" t="s">
        <v>209</v>
      </c>
      <c r="D194" s="548">
        <v>0.02</v>
      </c>
      <c r="E194" s="552">
        <f t="shared" si="7"/>
        <v>84.82</v>
      </c>
      <c r="F194" s="553">
        <f>SUM(E188:E194)</f>
        <v>5201.6399999999976</v>
      </c>
    </row>
    <row r="195" spans="1:13" ht="12.75" hidden="1" customHeight="1">
      <c r="A195" s="12"/>
      <c r="B195" s="30"/>
      <c r="C195" s="24"/>
      <c r="D195" s="35"/>
      <c r="E195" s="31"/>
      <c r="F195" s="32"/>
    </row>
    <row r="196" spans="1:13" ht="12.75" hidden="1" customHeight="1">
      <c r="A196" s="13" t="s">
        <v>568</v>
      </c>
      <c r="B196" s="42" t="s">
        <v>151</v>
      </c>
      <c r="C196" s="29" t="s">
        <v>825</v>
      </c>
      <c r="D196" s="35"/>
      <c r="E196" s="31"/>
      <c r="F196" s="32"/>
    </row>
    <row r="197" spans="1:13" ht="12.75" hidden="1" customHeight="1">
      <c r="A197" s="12" t="s">
        <v>822</v>
      </c>
      <c r="B197" s="30">
        <v>6.46</v>
      </c>
      <c r="C197" s="24" t="s">
        <v>823</v>
      </c>
      <c r="D197" s="35">
        <f>Prec.!$C$5</f>
        <v>425</v>
      </c>
      <c r="E197" s="31">
        <f t="shared" ref="E197:E203" si="8">ROUND(B197*D197,2)</f>
        <v>2745.5</v>
      </c>
      <c r="F197" s="32"/>
    </row>
    <row r="198" spans="1:13" ht="12.75" hidden="1" customHeight="1">
      <c r="A198" s="12" t="s">
        <v>824</v>
      </c>
      <c r="B198" s="30">
        <v>1.1200000000000001</v>
      </c>
      <c r="C198" s="24" t="s">
        <v>825</v>
      </c>
      <c r="D198" s="35">
        <f>Prec.!$C$13</f>
        <v>900</v>
      </c>
      <c r="E198" s="31">
        <f t="shared" si="8"/>
        <v>1008</v>
      </c>
      <c r="F198" s="32"/>
    </row>
    <row r="199" spans="1:13" ht="12.75" hidden="1" customHeight="1">
      <c r="A199" s="12" t="s">
        <v>827</v>
      </c>
      <c r="B199" s="30">
        <v>67.72</v>
      </c>
      <c r="C199" s="24" t="s">
        <v>828</v>
      </c>
      <c r="D199" s="35">
        <f>Prec.!$C$80</f>
        <v>0.68</v>
      </c>
      <c r="E199" s="31">
        <f t="shared" si="8"/>
        <v>46.05</v>
      </c>
      <c r="F199" s="32"/>
    </row>
    <row r="200" spans="1:13" ht="12.75" hidden="1" customHeight="1">
      <c r="A200" s="12" t="s">
        <v>452</v>
      </c>
      <c r="B200" s="30">
        <v>6.46</v>
      </c>
      <c r="C200" s="24" t="s">
        <v>823</v>
      </c>
      <c r="D200" s="35">
        <f>Prec.!$D$390</f>
        <v>7.57</v>
      </c>
      <c r="E200" s="31">
        <f t="shared" si="8"/>
        <v>48.9</v>
      </c>
      <c r="F200" s="32"/>
    </row>
    <row r="201" spans="1:13" ht="12.75" hidden="1" customHeight="1">
      <c r="A201" s="12" t="s">
        <v>365</v>
      </c>
      <c r="B201" s="30">
        <v>1.1200000000000001</v>
      </c>
      <c r="C201" s="24" t="s">
        <v>825</v>
      </c>
      <c r="D201" s="35">
        <f>Prec.!$D$377</f>
        <v>110.39</v>
      </c>
      <c r="E201" s="31">
        <f t="shared" si="8"/>
        <v>123.64</v>
      </c>
      <c r="F201" s="32"/>
    </row>
    <row r="202" spans="1:13" s="166" customFormat="1" ht="12.75" hidden="1" customHeight="1">
      <c r="A202" s="12" t="s">
        <v>783</v>
      </c>
      <c r="B202" s="30">
        <v>1</v>
      </c>
      <c r="C202" s="24" t="s">
        <v>825</v>
      </c>
      <c r="D202" s="35">
        <v>698.01549999999997</v>
      </c>
      <c r="E202" s="31">
        <f>ROUND(B202*D202,2)</f>
        <v>698.02</v>
      </c>
      <c r="F202" s="32"/>
      <c r="G202" s="15"/>
      <c r="H202" s="21"/>
      <c r="I202" s="15"/>
      <c r="J202" s="15"/>
      <c r="K202" s="15"/>
      <c r="L202" s="21"/>
      <c r="M202" s="15"/>
    </row>
    <row r="203" spans="1:13" ht="12.75" hidden="1" customHeight="1">
      <c r="A203" s="12" t="s">
        <v>208</v>
      </c>
      <c r="B203" s="30">
        <f>SUM(E197:E201)</f>
        <v>3972.09</v>
      </c>
      <c r="C203" s="24" t="s">
        <v>209</v>
      </c>
      <c r="D203" s="35">
        <f>Prec.!C302</f>
        <v>1.4999999999999999E-2</v>
      </c>
      <c r="E203" s="31">
        <f t="shared" si="8"/>
        <v>59.58</v>
      </c>
      <c r="F203" s="32">
        <f>SUM(E197:E203)</f>
        <v>4729.6900000000005</v>
      </c>
    </row>
    <row r="204" spans="1:13" ht="12.75" customHeight="1">
      <c r="A204" s="12"/>
      <c r="B204" s="30"/>
      <c r="C204" s="24"/>
      <c r="D204" s="35"/>
      <c r="E204" s="31"/>
      <c r="F204" s="32"/>
    </row>
    <row r="205" spans="1:13" ht="12.75" customHeight="1">
      <c r="A205" s="545" t="s">
        <v>569</v>
      </c>
      <c r="B205" s="555" t="s">
        <v>151</v>
      </c>
      <c r="C205" s="556" t="s">
        <v>825</v>
      </c>
      <c r="D205" s="548"/>
      <c r="E205" s="552"/>
      <c r="F205" s="553"/>
    </row>
    <row r="206" spans="1:13" ht="12.75" customHeight="1">
      <c r="A206" s="551" t="s">
        <v>822</v>
      </c>
      <c r="B206" s="546">
        <v>9.4600000000000009</v>
      </c>
      <c r="C206" s="547" t="s">
        <v>823</v>
      </c>
      <c r="D206" s="548">
        <f>Prec.!$C$5</f>
        <v>425</v>
      </c>
      <c r="E206" s="552">
        <f t="shared" ref="E206:E214" si="9">ROUND(B206*D206,2)</f>
        <v>4020.5</v>
      </c>
      <c r="F206" s="553"/>
    </row>
    <row r="207" spans="1:13" ht="12.75" customHeight="1">
      <c r="A207" s="551" t="s">
        <v>419</v>
      </c>
      <c r="B207" s="546">
        <v>0.91</v>
      </c>
      <c r="C207" s="547" t="s">
        <v>825</v>
      </c>
      <c r="D207" s="548">
        <f>Prec.!$C$15</f>
        <v>900</v>
      </c>
      <c r="E207" s="552">
        <f t="shared" si="9"/>
        <v>819</v>
      </c>
      <c r="F207" s="553"/>
    </row>
    <row r="208" spans="1:13" ht="12.75" customHeight="1">
      <c r="A208" s="551" t="s">
        <v>210</v>
      </c>
      <c r="B208" s="546">
        <v>6.29</v>
      </c>
      <c r="C208" s="547" t="s">
        <v>823</v>
      </c>
      <c r="D208" s="548">
        <f>Prec.!$C$48</f>
        <v>250</v>
      </c>
      <c r="E208" s="552">
        <f t="shared" si="9"/>
        <v>1572.5</v>
      </c>
      <c r="F208" s="553"/>
    </row>
    <row r="209" spans="1:13" ht="12.75" customHeight="1">
      <c r="A209" s="551" t="s">
        <v>827</v>
      </c>
      <c r="B209" s="546">
        <v>45.24</v>
      </c>
      <c r="C209" s="547" t="s">
        <v>828</v>
      </c>
      <c r="D209" s="548">
        <f>Prec.!$C$80</f>
        <v>0.68</v>
      </c>
      <c r="E209" s="552">
        <f t="shared" si="9"/>
        <v>30.76</v>
      </c>
      <c r="F209" s="553"/>
    </row>
    <row r="210" spans="1:13" ht="12.75" customHeight="1">
      <c r="A210" s="551" t="s">
        <v>452</v>
      </c>
      <c r="B210" s="546">
        <v>9.4600000000000009</v>
      </c>
      <c r="C210" s="547" t="s">
        <v>823</v>
      </c>
      <c r="D210" s="548">
        <f>Prec.!$D$390</f>
        <v>7.57</v>
      </c>
      <c r="E210" s="552">
        <f t="shared" si="9"/>
        <v>71.61</v>
      </c>
      <c r="F210" s="553"/>
    </row>
    <row r="211" spans="1:13" ht="12.75" customHeight="1">
      <c r="A211" s="551" t="s">
        <v>203</v>
      </c>
      <c r="B211" s="546">
        <v>6.29</v>
      </c>
      <c r="C211" s="547" t="s">
        <v>823</v>
      </c>
      <c r="D211" s="548">
        <f>Prec.!$D$390</f>
        <v>7.57</v>
      </c>
      <c r="E211" s="552">
        <f t="shared" si="9"/>
        <v>47.62</v>
      </c>
      <c r="F211" s="553"/>
    </row>
    <row r="212" spans="1:13" ht="12.75" customHeight="1">
      <c r="A212" s="551" t="s">
        <v>365</v>
      </c>
      <c r="B212" s="546">
        <v>0.91</v>
      </c>
      <c r="C212" s="547" t="s">
        <v>825</v>
      </c>
      <c r="D212" s="548">
        <f>Prec.!$D$377</f>
        <v>110.39</v>
      </c>
      <c r="E212" s="552">
        <f t="shared" si="9"/>
        <v>100.45</v>
      </c>
      <c r="F212" s="553"/>
    </row>
    <row r="213" spans="1:13" s="166" customFormat="1" ht="12.75" customHeight="1">
      <c r="A213" s="551" t="s">
        <v>783</v>
      </c>
      <c r="B213" s="546">
        <v>1</v>
      </c>
      <c r="C213" s="547" t="s">
        <v>825</v>
      </c>
      <c r="D213" s="548">
        <v>698.01549999999997</v>
      </c>
      <c r="E213" s="552">
        <f>ROUND(B213*D213,2)</f>
        <v>698.02</v>
      </c>
      <c r="F213" s="553"/>
      <c r="G213" s="15"/>
      <c r="H213" s="21"/>
      <c r="I213" s="15"/>
      <c r="J213" s="15"/>
      <c r="K213" s="15"/>
      <c r="L213" s="21"/>
      <c r="M213" s="15"/>
    </row>
    <row r="214" spans="1:13" ht="12.75" customHeight="1">
      <c r="A214" s="551" t="s">
        <v>208</v>
      </c>
      <c r="B214" s="546">
        <f>SUM(E206:E209)</f>
        <v>6442.76</v>
      </c>
      <c r="C214" s="547" t="s">
        <v>209</v>
      </c>
      <c r="D214" s="548">
        <v>0.02</v>
      </c>
      <c r="E214" s="552">
        <f t="shared" si="9"/>
        <v>128.86000000000001</v>
      </c>
      <c r="F214" s="553">
        <f>SUM(E206:E214)</f>
        <v>7489.3199999999988</v>
      </c>
    </row>
    <row r="215" spans="1:13" ht="12.75" customHeight="1">
      <c r="A215" s="12"/>
      <c r="B215" s="30"/>
      <c r="C215" s="24"/>
      <c r="D215" s="35"/>
      <c r="E215" s="31"/>
      <c r="F215" s="32"/>
    </row>
    <row r="216" spans="1:13" ht="12.75" hidden="1" customHeight="1">
      <c r="A216" s="13" t="s">
        <v>570</v>
      </c>
      <c r="B216" s="42" t="s">
        <v>151</v>
      </c>
      <c r="C216" s="29" t="s">
        <v>825</v>
      </c>
      <c r="D216" s="35"/>
      <c r="E216" s="31"/>
      <c r="F216" s="32"/>
    </row>
    <row r="217" spans="1:13" ht="12.75" hidden="1" customHeight="1">
      <c r="A217" s="12" t="s">
        <v>822</v>
      </c>
      <c r="B217" s="30">
        <v>6.35</v>
      </c>
      <c r="C217" s="24" t="s">
        <v>823</v>
      </c>
      <c r="D217" s="35">
        <f>Prec.!$C$5</f>
        <v>425</v>
      </c>
      <c r="E217" s="31">
        <f t="shared" ref="E217:E225" si="10">ROUND(B217*D217,2)</f>
        <v>2698.75</v>
      </c>
      <c r="F217" s="32"/>
    </row>
    <row r="218" spans="1:13" ht="12.75" hidden="1" customHeight="1">
      <c r="A218" s="12" t="s">
        <v>824</v>
      </c>
      <c r="B218" s="30">
        <v>0.54</v>
      </c>
      <c r="C218" s="24" t="s">
        <v>825</v>
      </c>
      <c r="D218" s="35">
        <f>Prec.!$C$13</f>
        <v>900</v>
      </c>
      <c r="E218" s="31">
        <f t="shared" si="10"/>
        <v>486</v>
      </c>
      <c r="F218" s="32"/>
    </row>
    <row r="219" spans="1:13" ht="12.75" hidden="1" customHeight="1">
      <c r="A219" s="12" t="s">
        <v>1308</v>
      </c>
      <c r="B219" s="30">
        <v>0.73</v>
      </c>
      <c r="C219" s="24" t="s">
        <v>825</v>
      </c>
      <c r="D219" s="35">
        <f>D154</f>
        <v>900</v>
      </c>
      <c r="E219" s="31">
        <f t="shared" si="10"/>
        <v>657</v>
      </c>
      <c r="F219" s="32"/>
    </row>
    <row r="220" spans="1:13" ht="12.75" hidden="1" customHeight="1">
      <c r="A220" s="12" t="s">
        <v>827</v>
      </c>
      <c r="B220" s="30">
        <v>64</v>
      </c>
      <c r="C220" s="24" t="s">
        <v>828</v>
      </c>
      <c r="D220" s="35">
        <f>Prec.!$C$80</f>
        <v>0.68</v>
      </c>
      <c r="E220" s="31">
        <f t="shared" si="10"/>
        <v>43.52</v>
      </c>
      <c r="F220" s="32"/>
    </row>
    <row r="221" spans="1:13" ht="12.75" hidden="1" customHeight="1">
      <c r="A221" s="12" t="s">
        <v>452</v>
      </c>
      <c r="B221" s="30">
        <v>6.35</v>
      </c>
      <c r="C221" s="24" t="s">
        <v>823</v>
      </c>
      <c r="D221" s="35">
        <f>Prec.!$D$390</f>
        <v>7.57</v>
      </c>
      <c r="E221" s="31">
        <f t="shared" si="10"/>
        <v>48.07</v>
      </c>
      <c r="F221" s="32"/>
    </row>
    <row r="222" spans="1:13" ht="12.75" hidden="1" customHeight="1">
      <c r="A222" s="12" t="s">
        <v>365</v>
      </c>
      <c r="B222" s="30">
        <v>0.54</v>
      </c>
      <c r="C222" s="24" t="s">
        <v>825</v>
      </c>
      <c r="D222" s="35">
        <f>Prec.!$D$377</f>
        <v>110.39</v>
      </c>
      <c r="E222" s="31">
        <f t="shared" si="10"/>
        <v>59.61</v>
      </c>
      <c r="F222" s="32"/>
    </row>
    <row r="223" spans="1:13" ht="12.75" hidden="1" customHeight="1">
      <c r="A223" s="12" t="s">
        <v>366</v>
      </c>
      <c r="B223" s="30">
        <v>0.73</v>
      </c>
      <c r="C223" s="24" t="s">
        <v>825</v>
      </c>
      <c r="D223" s="35">
        <f>Prec.!$D$384</f>
        <v>147.29</v>
      </c>
      <c r="E223" s="31">
        <f t="shared" si="10"/>
        <v>107.52</v>
      </c>
      <c r="F223" s="32"/>
    </row>
    <row r="224" spans="1:13" s="166" customFormat="1" ht="12.75" hidden="1" customHeight="1">
      <c r="A224" s="12" t="s">
        <v>783</v>
      </c>
      <c r="B224" s="30">
        <v>1</v>
      </c>
      <c r="C224" s="24" t="s">
        <v>825</v>
      </c>
      <c r="D224" s="35">
        <v>698.01549999999997</v>
      </c>
      <c r="E224" s="31">
        <f>ROUND(B224*D224,2)</f>
        <v>698.02</v>
      </c>
      <c r="F224" s="32"/>
      <c r="G224" s="15"/>
      <c r="H224" s="21"/>
      <c r="I224" s="15"/>
      <c r="J224" s="15"/>
      <c r="K224" s="15"/>
      <c r="L224" s="21"/>
      <c r="M224" s="15"/>
    </row>
    <row r="225" spans="1:6" ht="12.75" hidden="1" customHeight="1">
      <c r="A225" s="12" t="s">
        <v>208</v>
      </c>
      <c r="B225" s="30">
        <f>SUM(E217:E223)</f>
        <v>4100.47</v>
      </c>
      <c r="C225" s="24" t="s">
        <v>209</v>
      </c>
      <c r="D225" s="35">
        <f>Prec.!C302</f>
        <v>1.4999999999999999E-2</v>
      </c>
      <c r="E225" s="31">
        <f t="shared" si="10"/>
        <v>61.51</v>
      </c>
      <c r="F225" s="32">
        <f>SUM(E217:E225)</f>
        <v>4860</v>
      </c>
    </row>
    <row r="226" spans="1:6" ht="12.75" hidden="1" customHeight="1">
      <c r="A226" s="12"/>
      <c r="B226" s="30"/>
      <c r="C226" s="24"/>
      <c r="D226" s="35"/>
      <c r="E226" s="31"/>
      <c r="F226" s="32"/>
    </row>
    <row r="227" spans="1:6" ht="12.75" hidden="1" customHeight="1">
      <c r="A227" s="12"/>
      <c r="B227" s="30"/>
      <c r="C227" s="24"/>
      <c r="D227" s="35"/>
      <c r="E227" s="31"/>
      <c r="F227" s="32"/>
    </row>
    <row r="228" spans="1:6" ht="12.75" hidden="1" customHeight="1">
      <c r="A228" s="12"/>
      <c r="B228" s="30"/>
      <c r="C228" s="24"/>
      <c r="D228" s="35"/>
      <c r="E228" s="31"/>
      <c r="F228" s="32"/>
    </row>
    <row r="229" spans="1:6" ht="12.75" hidden="1" customHeight="1">
      <c r="A229" s="12"/>
      <c r="B229" s="30"/>
      <c r="C229" s="24"/>
      <c r="D229" s="35"/>
      <c r="E229" s="31"/>
      <c r="F229" s="32"/>
    </row>
    <row r="230" spans="1:6" ht="12.75" hidden="1" customHeight="1">
      <c r="A230" s="12"/>
      <c r="B230" s="30"/>
      <c r="C230" s="24"/>
      <c r="D230" s="35"/>
      <c r="E230" s="31"/>
      <c r="F230" s="32"/>
    </row>
    <row r="231" spans="1:6" ht="12.75" hidden="1" customHeight="1">
      <c r="A231" s="12"/>
      <c r="B231" s="30"/>
      <c r="C231" s="24"/>
      <c r="D231" s="35"/>
      <c r="E231" s="31"/>
      <c r="F231" s="32"/>
    </row>
    <row r="232" spans="1:6" ht="12.75" customHeight="1">
      <c r="A232" s="12"/>
      <c r="B232" s="30"/>
      <c r="C232" s="24"/>
      <c r="D232" s="35"/>
      <c r="E232" s="31"/>
      <c r="F232" s="32"/>
    </row>
    <row r="233" spans="1:6" ht="12.75" hidden="1" customHeight="1">
      <c r="A233" s="13" t="s">
        <v>1314</v>
      </c>
      <c r="B233" s="42" t="s">
        <v>151</v>
      </c>
      <c r="C233" s="29" t="s">
        <v>825</v>
      </c>
      <c r="D233" s="35"/>
      <c r="E233" s="31"/>
      <c r="F233" s="32"/>
    </row>
    <row r="234" spans="1:6" ht="12.75" hidden="1" customHeight="1">
      <c r="A234" s="12" t="s">
        <v>822</v>
      </c>
      <c r="B234" s="30">
        <v>7.53</v>
      </c>
      <c r="C234" s="24" t="s">
        <v>823</v>
      </c>
      <c r="D234" s="35">
        <f>Prec.!$C$5</f>
        <v>425</v>
      </c>
      <c r="E234" s="31">
        <f t="shared" ref="E234:E242" si="11">ROUND(B234*D234,2)</f>
        <v>3200.25</v>
      </c>
      <c r="F234" s="32"/>
    </row>
    <row r="235" spans="1:6" ht="12.75" hidden="1" customHeight="1">
      <c r="A235" s="12" t="s">
        <v>824</v>
      </c>
      <c r="B235" s="30">
        <v>0.52400000000000002</v>
      </c>
      <c r="C235" s="24" t="s">
        <v>825</v>
      </c>
      <c r="D235" s="35">
        <f>Prec.!$C$13</f>
        <v>900</v>
      </c>
      <c r="E235" s="31">
        <f t="shared" si="11"/>
        <v>471.6</v>
      </c>
      <c r="F235" s="32"/>
    </row>
    <row r="236" spans="1:6" ht="12.75" hidden="1" customHeight="1">
      <c r="A236" s="12" t="s">
        <v>1308</v>
      </c>
      <c r="B236" s="30">
        <v>0.72599999999999998</v>
      </c>
      <c r="C236" s="24" t="s">
        <v>825</v>
      </c>
      <c r="D236" s="35">
        <f>D219</f>
        <v>900</v>
      </c>
      <c r="E236" s="31">
        <f t="shared" si="11"/>
        <v>653.4</v>
      </c>
      <c r="F236" s="32"/>
    </row>
    <row r="237" spans="1:6" ht="12.75" hidden="1" customHeight="1">
      <c r="A237" s="12" t="s">
        <v>827</v>
      </c>
      <c r="B237" s="30">
        <v>54.65</v>
      </c>
      <c r="C237" s="24" t="s">
        <v>828</v>
      </c>
      <c r="D237" s="35">
        <f>Prec.!$C$80</f>
        <v>0.68</v>
      </c>
      <c r="E237" s="31">
        <f t="shared" si="11"/>
        <v>37.159999999999997</v>
      </c>
      <c r="F237" s="32"/>
    </row>
    <row r="238" spans="1:6" ht="12.75" hidden="1" customHeight="1">
      <c r="A238" s="12" t="s">
        <v>452</v>
      </c>
      <c r="B238" s="30">
        <v>7.53</v>
      </c>
      <c r="C238" s="24" t="s">
        <v>823</v>
      </c>
      <c r="D238" s="35">
        <f>Prec.!$D$390</f>
        <v>7.57</v>
      </c>
      <c r="E238" s="31">
        <f t="shared" si="11"/>
        <v>57</v>
      </c>
      <c r="F238" s="32"/>
    </row>
    <row r="239" spans="1:6" ht="12.75" hidden="1" customHeight="1">
      <c r="A239" s="12" t="s">
        <v>365</v>
      </c>
      <c r="B239" s="30">
        <v>0.52400000000000002</v>
      </c>
      <c r="C239" s="24" t="s">
        <v>825</v>
      </c>
      <c r="D239" s="35">
        <f>Prec.!$D$377</f>
        <v>110.39</v>
      </c>
      <c r="E239" s="31">
        <f t="shared" si="11"/>
        <v>57.84</v>
      </c>
      <c r="F239" s="32"/>
    </row>
    <row r="240" spans="1:6" ht="12.75" hidden="1" customHeight="1">
      <c r="A240" s="12" t="s">
        <v>366</v>
      </c>
      <c r="B240" s="30">
        <v>0.72599999999999998</v>
      </c>
      <c r="C240" s="24" t="s">
        <v>825</v>
      </c>
      <c r="D240" s="35">
        <f>Prec.!$D$384</f>
        <v>147.29</v>
      </c>
      <c r="E240" s="31">
        <f t="shared" si="11"/>
        <v>106.93</v>
      </c>
      <c r="F240" s="32"/>
    </row>
    <row r="241" spans="1:13" s="166" customFormat="1" ht="12.75" hidden="1" customHeight="1">
      <c r="A241" s="12" t="s">
        <v>783</v>
      </c>
      <c r="B241" s="30">
        <v>1</v>
      </c>
      <c r="C241" s="24" t="s">
        <v>825</v>
      </c>
      <c r="D241" s="35">
        <v>698.01549999999997</v>
      </c>
      <c r="E241" s="31">
        <f>ROUND(B241*D241,2)</f>
        <v>698.02</v>
      </c>
      <c r="F241" s="32"/>
      <c r="G241" s="15"/>
      <c r="H241" s="21"/>
      <c r="I241" s="15"/>
      <c r="J241" s="15"/>
      <c r="K241" s="15"/>
      <c r="L241" s="21"/>
      <c r="M241" s="15"/>
    </row>
    <row r="242" spans="1:13" ht="12.75" hidden="1" customHeight="1">
      <c r="A242" s="12" t="s">
        <v>208</v>
      </c>
      <c r="B242" s="30">
        <f>SUM(E234:E240)</f>
        <v>4584.18</v>
      </c>
      <c r="C242" s="24" t="s">
        <v>209</v>
      </c>
      <c r="D242" s="35">
        <v>0.02</v>
      </c>
      <c r="E242" s="31">
        <f t="shared" si="11"/>
        <v>91.68</v>
      </c>
      <c r="F242" s="32">
        <f>SUM(E234:E242)</f>
        <v>5373.880000000001</v>
      </c>
    </row>
    <row r="243" spans="1:13" ht="12.75" hidden="1" customHeight="1">
      <c r="A243" s="12"/>
      <c r="B243" s="30"/>
      <c r="C243" s="24"/>
      <c r="D243" s="35"/>
      <c r="E243" s="31"/>
      <c r="F243" s="32"/>
    </row>
    <row r="244" spans="1:13" ht="12.75" hidden="1" customHeight="1">
      <c r="A244" s="13" t="s">
        <v>1315</v>
      </c>
      <c r="B244" s="42" t="s">
        <v>151</v>
      </c>
      <c r="C244" s="29" t="s">
        <v>825</v>
      </c>
      <c r="D244" s="35"/>
      <c r="E244" s="31"/>
      <c r="F244" s="32"/>
    </row>
    <row r="245" spans="1:13" ht="12.75" hidden="1" customHeight="1">
      <c r="A245" s="12" t="s">
        <v>822</v>
      </c>
      <c r="B245" s="30">
        <v>7.84</v>
      </c>
      <c r="C245" s="24" t="s">
        <v>823</v>
      </c>
      <c r="D245" s="35">
        <f>Prec.!$C$5</f>
        <v>425</v>
      </c>
      <c r="E245" s="31">
        <f t="shared" ref="E245:E253" si="12">ROUND(B245*D245,2)</f>
        <v>3332</v>
      </c>
      <c r="F245" s="32"/>
    </row>
    <row r="246" spans="1:13" ht="12.75" hidden="1" customHeight="1">
      <c r="A246" s="12" t="s">
        <v>824</v>
      </c>
      <c r="B246" s="30">
        <v>0.51800000000000002</v>
      </c>
      <c r="C246" s="24" t="s">
        <v>825</v>
      </c>
      <c r="D246" s="35">
        <f>Prec.!$C$13</f>
        <v>900</v>
      </c>
      <c r="E246" s="31">
        <f t="shared" si="12"/>
        <v>466.2</v>
      </c>
      <c r="F246" s="32"/>
    </row>
    <row r="247" spans="1:13" ht="12.75" hidden="1" customHeight="1">
      <c r="A247" s="12" t="s">
        <v>1308</v>
      </c>
      <c r="B247" s="30">
        <v>0.72399999999999998</v>
      </c>
      <c r="C247" s="24" t="s">
        <v>825</v>
      </c>
      <c r="D247" s="35">
        <f>D236</f>
        <v>900</v>
      </c>
      <c r="E247" s="31">
        <f t="shared" si="12"/>
        <v>651.6</v>
      </c>
      <c r="F247" s="32"/>
    </row>
    <row r="248" spans="1:13" ht="12.75" hidden="1" customHeight="1">
      <c r="A248" s="12" t="s">
        <v>827</v>
      </c>
      <c r="B248" s="30">
        <v>55.44</v>
      </c>
      <c r="C248" s="24" t="s">
        <v>828</v>
      </c>
      <c r="D248" s="35">
        <f>Prec.!$C$80</f>
        <v>0.68</v>
      </c>
      <c r="E248" s="31">
        <f t="shared" si="12"/>
        <v>37.700000000000003</v>
      </c>
      <c r="F248" s="32"/>
    </row>
    <row r="249" spans="1:13" ht="12.75" hidden="1" customHeight="1">
      <c r="A249" s="12" t="s">
        <v>452</v>
      </c>
      <c r="B249" s="30">
        <v>7.84</v>
      </c>
      <c r="C249" s="24" t="s">
        <v>823</v>
      </c>
      <c r="D249" s="35">
        <f>Prec.!$D$390</f>
        <v>7.57</v>
      </c>
      <c r="E249" s="31">
        <f t="shared" si="12"/>
        <v>59.35</v>
      </c>
      <c r="F249" s="32"/>
    </row>
    <row r="250" spans="1:13" ht="12.75" hidden="1" customHeight="1">
      <c r="A250" s="12" t="s">
        <v>365</v>
      </c>
      <c r="B250" s="30">
        <v>0.51800000000000002</v>
      </c>
      <c r="C250" s="24" t="s">
        <v>825</v>
      </c>
      <c r="D250" s="35">
        <f>Prec.!$D$377</f>
        <v>110.39</v>
      </c>
      <c r="E250" s="31">
        <f t="shared" si="12"/>
        <v>57.18</v>
      </c>
      <c r="F250" s="32"/>
    </row>
    <row r="251" spans="1:13" ht="12.75" hidden="1" customHeight="1">
      <c r="A251" s="12" t="s">
        <v>366</v>
      </c>
      <c r="B251" s="30">
        <v>0.72399999999999998</v>
      </c>
      <c r="C251" s="24" t="s">
        <v>825</v>
      </c>
      <c r="D251" s="35">
        <f>Prec.!$D$384</f>
        <v>147.29</v>
      </c>
      <c r="E251" s="31">
        <f t="shared" si="12"/>
        <v>106.64</v>
      </c>
      <c r="F251" s="32"/>
    </row>
    <row r="252" spans="1:13" s="166" customFormat="1" ht="12.75" hidden="1" customHeight="1">
      <c r="A252" s="12" t="s">
        <v>783</v>
      </c>
      <c r="B252" s="30">
        <v>1</v>
      </c>
      <c r="C252" s="24" t="s">
        <v>825</v>
      </c>
      <c r="D252" s="35">
        <v>698.01549999999997</v>
      </c>
      <c r="E252" s="31">
        <f>ROUND(B252*D252,2)</f>
        <v>698.02</v>
      </c>
      <c r="F252" s="32"/>
      <c r="G252" s="15"/>
      <c r="H252" s="21"/>
      <c r="I252" s="15"/>
      <c r="J252" s="15"/>
      <c r="K252" s="15"/>
      <c r="L252" s="21"/>
      <c r="M252" s="15"/>
    </row>
    <row r="253" spans="1:13" ht="12.75" hidden="1" customHeight="1">
      <c r="A253" s="12" t="s">
        <v>208</v>
      </c>
      <c r="B253" s="30">
        <f>SUM(E245:E251)</f>
        <v>4710.670000000001</v>
      </c>
      <c r="C253" s="24" t="s">
        <v>209</v>
      </c>
      <c r="D253" s="35">
        <f>Prec.!C302</f>
        <v>1.4999999999999999E-2</v>
      </c>
      <c r="E253" s="31">
        <f t="shared" si="12"/>
        <v>70.66</v>
      </c>
      <c r="F253" s="32">
        <f>SUM(E245:E253)</f>
        <v>5479.35</v>
      </c>
    </row>
    <row r="254" spans="1:13" ht="12.75" hidden="1" customHeight="1">
      <c r="A254" s="12"/>
      <c r="B254" s="30"/>
      <c r="C254" s="24"/>
      <c r="D254" s="35"/>
      <c r="E254" s="31"/>
      <c r="F254" s="32"/>
    </row>
    <row r="255" spans="1:13" ht="12.75" hidden="1" customHeight="1">
      <c r="A255" s="13" t="s">
        <v>1316</v>
      </c>
      <c r="B255" s="42" t="s">
        <v>151</v>
      </c>
      <c r="C255" s="29" t="s">
        <v>825</v>
      </c>
      <c r="D255" s="35"/>
      <c r="E255" s="31"/>
      <c r="F255" s="32"/>
    </row>
    <row r="256" spans="1:13" ht="12.75" hidden="1" customHeight="1">
      <c r="A256" s="12" t="s">
        <v>822</v>
      </c>
      <c r="B256" s="30">
        <v>8</v>
      </c>
      <c r="C256" s="24" t="s">
        <v>823</v>
      </c>
      <c r="D256" s="35">
        <f>Prec.!$C$5</f>
        <v>425</v>
      </c>
      <c r="E256" s="31">
        <f t="shared" ref="E256:E264" si="13">ROUND(B256*D256,2)</f>
        <v>3400</v>
      </c>
      <c r="F256" s="32"/>
    </row>
    <row r="257" spans="1:13" ht="12.75" hidden="1" customHeight="1">
      <c r="A257" s="12" t="s">
        <v>824</v>
      </c>
      <c r="B257" s="30">
        <v>0.51600000000000001</v>
      </c>
      <c r="C257" s="24" t="s">
        <v>825</v>
      </c>
      <c r="D257" s="35">
        <f>Prec.!$C$13</f>
        <v>900</v>
      </c>
      <c r="E257" s="31">
        <f t="shared" si="13"/>
        <v>464.4</v>
      </c>
      <c r="F257" s="32"/>
    </row>
    <row r="258" spans="1:13" ht="12.75" hidden="1" customHeight="1">
      <c r="A258" s="12" t="s">
        <v>1308</v>
      </c>
      <c r="B258" s="30">
        <v>0.71899999999999997</v>
      </c>
      <c r="C258" s="24" t="s">
        <v>825</v>
      </c>
      <c r="D258" s="35">
        <f>D247</f>
        <v>900</v>
      </c>
      <c r="E258" s="31">
        <f t="shared" si="13"/>
        <v>647.1</v>
      </c>
      <c r="F258" s="32"/>
    </row>
    <row r="259" spans="1:13" ht="12.75" hidden="1" customHeight="1">
      <c r="A259" s="12" t="s">
        <v>827</v>
      </c>
      <c r="B259" s="30">
        <v>54.65</v>
      </c>
      <c r="C259" s="24" t="s">
        <v>828</v>
      </c>
      <c r="D259" s="35">
        <f>Prec.!$C$80</f>
        <v>0.68</v>
      </c>
      <c r="E259" s="31">
        <f t="shared" si="13"/>
        <v>37.159999999999997</v>
      </c>
      <c r="F259" s="32"/>
    </row>
    <row r="260" spans="1:13" ht="12.75" hidden="1" customHeight="1">
      <c r="A260" s="12" t="s">
        <v>452</v>
      </c>
      <c r="B260" s="30">
        <v>8</v>
      </c>
      <c r="C260" s="24" t="s">
        <v>823</v>
      </c>
      <c r="D260" s="35">
        <f>Prec.!$D$390</f>
        <v>7.57</v>
      </c>
      <c r="E260" s="31">
        <f t="shared" si="13"/>
        <v>60.56</v>
      </c>
      <c r="F260" s="32"/>
    </row>
    <row r="261" spans="1:13" ht="12.75" hidden="1" customHeight="1">
      <c r="A261" s="12" t="s">
        <v>365</v>
      </c>
      <c r="B261" s="30">
        <v>0.51600000000000001</v>
      </c>
      <c r="C261" s="24" t="s">
        <v>825</v>
      </c>
      <c r="D261" s="35">
        <f>Prec.!$D$377</f>
        <v>110.39</v>
      </c>
      <c r="E261" s="31">
        <f t="shared" si="13"/>
        <v>56.96</v>
      </c>
      <c r="F261" s="32"/>
    </row>
    <row r="262" spans="1:13" ht="12.75" hidden="1" customHeight="1">
      <c r="A262" s="12" t="s">
        <v>366</v>
      </c>
      <c r="B262" s="30">
        <v>0.71899999999999997</v>
      </c>
      <c r="C262" s="24" t="s">
        <v>825</v>
      </c>
      <c r="D262" s="35">
        <f>Prec.!$D$384</f>
        <v>147.29</v>
      </c>
      <c r="E262" s="31">
        <f t="shared" si="13"/>
        <v>105.9</v>
      </c>
      <c r="F262" s="32"/>
    </row>
    <row r="263" spans="1:13" s="166" customFormat="1" ht="12.75" hidden="1" customHeight="1">
      <c r="A263" s="12" t="s">
        <v>783</v>
      </c>
      <c r="B263" s="30">
        <v>1</v>
      </c>
      <c r="C263" s="24" t="s">
        <v>825</v>
      </c>
      <c r="D263" s="35">
        <v>698.01549999999997</v>
      </c>
      <c r="E263" s="31">
        <f>ROUND(B263*D263,2)</f>
        <v>698.02</v>
      </c>
      <c r="F263" s="32"/>
      <c r="G263" s="15"/>
      <c r="H263" s="21"/>
      <c r="I263" s="15"/>
      <c r="J263" s="15"/>
      <c r="K263" s="15"/>
      <c r="L263" s="21"/>
      <c r="M263" s="15"/>
    </row>
    <row r="264" spans="1:13" ht="12.75" hidden="1" customHeight="1">
      <c r="A264" s="12" t="s">
        <v>208</v>
      </c>
      <c r="B264" s="30">
        <f>SUM(E256:E262)</f>
        <v>4772.08</v>
      </c>
      <c r="C264" s="24" t="s">
        <v>209</v>
      </c>
      <c r="D264" s="35">
        <f>Prec.!C302</f>
        <v>1.4999999999999999E-2</v>
      </c>
      <c r="E264" s="31">
        <f t="shared" si="13"/>
        <v>71.58</v>
      </c>
      <c r="F264" s="32">
        <f>SUM(E256:E264)</f>
        <v>5541.68</v>
      </c>
    </row>
    <row r="265" spans="1:13" ht="12.75" hidden="1" customHeight="1">
      <c r="A265" s="12"/>
      <c r="B265" s="30"/>
      <c r="C265" s="24"/>
      <c r="D265" s="35"/>
      <c r="E265" s="31"/>
      <c r="F265" s="32"/>
    </row>
    <row r="266" spans="1:13" ht="12.75" hidden="1" customHeight="1">
      <c r="A266" s="13" t="s">
        <v>164</v>
      </c>
      <c r="B266" s="42" t="s">
        <v>151</v>
      </c>
      <c r="C266" s="29" t="s">
        <v>825</v>
      </c>
      <c r="D266" s="35"/>
      <c r="E266" s="31"/>
      <c r="F266" s="32"/>
    </row>
    <row r="267" spans="1:13" ht="12.75" hidden="1" customHeight="1">
      <c r="A267" s="12" t="s">
        <v>822</v>
      </c>
      <c r="B267" s="30">
        <v>8.31</v>
      </c>
      <c r="C267" s="24" t="s">
        <v>823</v>
      </c>
      <c r="D267" s="35">
        <f>Prec.!$C$5</f>
        <v>425</v>
      </c>
      <c r="E267" s="31">
        <f t="shared" ref="E267:E275" si="14">ROUND(B267*D267,2)</f>
        <v>3531.75</v>
      </c>
      <c r="F267" s="32"/>
    </row>
    <row r="268" spans="1:13" ht="12.75" hidden="1" customHeight="1">
      <c r="A268" s="12" t="s">
        <v>824</v>
      </c>
      <c r="B268" s="30">
        <v>0.51200000000000001</v>
      </c>
      <c r="C268" s="24" t="s">
        <v>825</v>
      </c>
      <c r="D268" s="35">
        <f>Prec.!$C$13</f>
        <v>900</v>
      </c>
      <c r="E268" s="31">
        <f t="shared" si="14"/>
        <v>460.8</v>
      </c>
      <c r="F268" s="32"/>
    </row>
    <row r="269" spans="1:13" ht="12.75" hidden="1" customHeight="1">
      <c r="A269" s="12" t="s">
        <v>1308</v>
      </c>
      <c r="B269" s="30">
        <v>0.71</v>
      </c>
      <c r="C269" s="24" t="s">
        <v>825</v>
      </c>
      <c r="D269" s="35">
        <f>D258</f>
        <v>900</v>
      </c>
      <c r="E269" s="31">
        <f t="shared" si="14"/>
        <v>639</v>
      </c>
      <c r="F269" s="32"/>
    </row>
    <row r="270" spans="1:13" ht="12.75" hidden="1" customHeight="1">
      <c r="A270" s="12" t="s">
        <v>827</v>
      </c>
      <c r="B270" s="30">
        <v>53.06</v>
      </c>
      <c r="C270" s="24" t="s">
        <v>828</v>
      </c>
      <c r="D270" s="35">
        <f>Prec.!$C$80</f>
        <v>0.68</v>
      </c>
      <c r="E270" s="31">
        <f t="shared" si="14"/>
        <v>36.08</v>
      </c>
      <c r="F270" s="32"/>
    </row>
    <row r="271" spans="1:13" ht="12.75" hidden="1" customHeight="1">
      <c r="A271" s="12" t="s">
        <v>452</v>
      </c>
      <c r="B271" s="30">
        <v>8.31</v>
      </c>
      <c r="C271" s="24" t="s">
        <v>823</v>
      </c>
      <c r="D271" s="35">
        <f>Prec.!$D$390</f>
        <v>7.57</v>
      </c>
      <c r="E271" s="31">
        <f t="shared" si="14"/>
        <v>62.91</v>
      </c>
      <c r="F271" s="32"/>
    </row>
    <row r="272" spans="1:13" ht="12.75" hidden="1" customHeight="1">
      <c r="A272" s="12" t="s">
        <v>365</v>
      </c>
      <c r="B272" s="30">
        <v>0.51200000000000001</v>
      </c>
      <c r="C272" s="24" t="s">
        <v>825</v>
      </c>
      <c r="D272" s="35">
        <f>Prec.!$D$377</f>
        <v>110.39</v>
      </c>
      <c r="E272" s="31">
        <f t="shared" si="14"/>
        <v>56.52</v>
      </c>
      <c r="F272" s="32"/>
    </row>
    <row r="273" spans="1:13" ht="12.75" hidden="1" customHeight="1">
      <c r="A273" s="12" t="s">
        <v>366</v>
      </c>
      <c r="B273" s="30">
        <v>0.71</v>
      </c>
      <c r="C273" s="24" t="s">
        <v>825</v>
      </c>
      <c r="D273" s="35">
        <f>Prec.!$D$384</f>
        <v>147.29</v>
      </c>
      <c r="E273" s="31">
        <f t="shared" si="14"/>
        <v>104.58</v>
      </c>
      <c r="F273" s="32"/>
    </row>
    <row r="274" spans="1:13" s="166" customFormat="1" ht="12.75" hidden="1" customHeight="1">
      <c r="A274" s="12" t="s">
        <v>783</v>
      </c>
      <c r="B274" s="30">
        <v>1</v>
      </c>
      <c r="C274" s="24" t="s">
        <v>825</v>
      </c>
      <c r="D274" s="35">
        <v>698.01549999999997</v>
      </c>
      <c r="E274" s="31">
        <f>ROUND(B274*D274,2)</f>
        <v>698.02</v>
      </c>
      <c r="F274" s="32"/>
      <c r="G274" s="15"/>
      <c r="H274" s="21"/>
      <c r="I274" s="15"/>
      <c r="J274" s="15"/>
      <c r="K274" s="15"/>
      <c r="L274" s="21"/>
      <c r="M274" s="15"/>
    </row>
    <row r="275" spans="1:13" ht="12.75" hidden="1" customHeight="1">
      <c r="A275" s="12" t="s">
        <v>208</v>
      </c>
      <c r="B275" s="30">
        <f>SUM(E267:E273)</f>
        <v>4891.6400000000003</v>
      </c>
      <c r="C275" s="24" t="s">
        <v>209</v>
      </c>
      <c r="D275" s="35">
        <v>0.02</v>
      </c>
      <c r="E275" s="31">
        <f t="shared" si="14"/>
        <v>97.83</v>
      </c>
      <c r="F275" s="32">
        <f>SUM(E267:E275)</f>
        <v>5687.49</v>
      </c>
    </row>
    <row r="276" spans="1:13" ht="12.75" hidden="1" customHeight="1">
      <c r="A276" s="12"/>
      <c r="B276" s="30"/>
      <c r="C276" s="24"/>
      <c r="D276" s="35"/>
      <c r="E276" s="31"/>
      <c r="F276" s="32"/>
    </row>
    <row r="277" spans="1:13" ht="12.75" hidden="1" customHeight="1">
      <c r="A277" s="13" t="s">
        <v>165</v>
      </c>
      <c r="B277" s="42" t="s">
        <v>151</v>
      </c>
      <c r="C277" s="29" t="s">
        <v>825</v>
      </c>
      <c r="D277" s="35"/>
      <c r="E277" s="31"/>
      <c r="F277" s="32"/>
    </row>
    <row r="278" spans="1:13" ht="12.75" hidden="1" customHeight="1">
      <c r="A278" s="12" t="s">
        <v>822</v>
      </c>
      <c r="B278" s="30">
        <v>8.61</v>
      </c>
      <c r="C278" s="24" t="s">
        <v>823</v>
      </c>
      <c r="D278" s="35">
        <f>Prec.!$C$5</f>
        <v>425</v>
      </c>
      <c r="E278" s="31">
        <f t="shared" ref="E278:E286" si="15">ROUND(B278*D278,2)</f>
        <v>3659.25</v>
      </c>
      <c r="F278" s="32"/>
    </row>
    <row r="279" spans="1:13" ht="12.75" hidden="1" customHeight="1">
      <c r="A279" s="12" t="s">
        <v>824</v>
      </c>
      <c r="B279" s="30">
        <v>0.50800000000000001</v>
      </c>
      <c r="C279" s="24" t="s">
        <v>825</v>
      </c>
      <c r="D279" s="35">
        <f>Prec.!$C$13</f>
        <v>900</v>
      </c>
      <c r="E279" s="31">
        <f t="shared" si="15"/>
        <v>457.2</v>
      </c>
      <c r="F279" s="32"/>
    </row>
    <row r="280" spans="1:13" ht="12.75" hidden="1" customHeight="1">
      <c r="A280" s="12" t="s">
        <v>1308</v>
      </c>
      <c r="B280" s="30">
        <v>0.70199999999999996</v>
      </c>
      <c r="C280" s="24" t="s">
        <v>825</v>
      </c>
      <c r="D280" s="35">
        <f>D269</f>
        <v>900</v>
      </c>
      <c r="E280" s="31">
        <f t="shared" si="15"/>
        <v>631.79999999999995</v>
      </c>
      <c r="F280" s="32"/>
    </row>
    <row r="281" spans="1:13" ht="12.75" hidden="1" customHeight="1">
      <c r="A281" s="12" t="s">
        <v>827</v>
      </c>
      <c r="B281" s="30">
        <v>51.48</v>
      </c>
      <c r="C281" s="24" t="s">
        <v>828</v>
      </c>
      <c r="D281" s="35">
        <f>Prec.!$C$80</f>
        <v>0.68</v>
      </c>
      <c r="E281" s="31">
        <f t="shared" si="15"/>
        <v>35.01</v>
      </c>
      <c r="F281" s="32"/>
    </row>
    <row r="282" spans="1:13" ht="12.75" hidden="1" customHeight="1">
      <c r="A282" s="12" t="s">
        <v>452</v>
      </c>
      <c r="B282" s="30">
        <v>8.61</v>
      </c>
      <c r="C282" s="24" t="s">
        <v>823</v>
      </c>
      <c r="D282" s="35">
        <f>Prec.!$D$390</f>
        <v>7.57</v>
      </c>
      <c r="E282" s="31">
        <f t="shared" si="15"/>
        <v>65.180000000000007</v>
      </c>
      <c r="F282" s="32"/>
    </row>
    <row r="283" spans="1:13" ht="12.75" hidden="1" customHeight="1">
      <c r="A283" s="12" t="s">
        <v>365</v>
      </c>
      <c r="B283" s="30">
        <v>0.50800000000000001</v>
      </c>
      <c r="C283" s="24" t="s">
        <v>825</v>
      </c>
      <c r="D283" s="35">
        <f>Prec.!$D$377</f>
        <v>110.39</v>
      </c>
      <c r="E283" s="31">
        <f t="shared" si="15"/>
        <v>56.08</v>
      </c>
      <c r="F283" s="32"/>
    </row>
    <row r="284" spans="1:13" ht="12.75" hidden="1" customHeight="1">
      <c r="A284" s="12" t="s">
        <v>366</v>
      </c>
      <c r="B284" s="30">
        <v>0.70199999999999996</v>
      </c>
      <c r="C284" s="24" t="s">
        <v>825</v>
      </c>
      <c r="D284" s="35">
        <f>Prec.!$D$384</f>
        <v>147.29</v>
      </c>
      <c r="E284" s="31">
        <f t="shared" si="15"/>
        <v>103.4</v>
      </c>
      <c r="F284" s="32"/>
    </row>
    <row r="285" spans="1:13" s="166" customFormat="1" ht="12.75" hidden="1" customHeight="1">
      <c r="A285" s="12" t="s">
        <v>783</v>
      </c>
      <c r="B285" s="30">
        <v>1</v>
      </c>
      <c r="C285" s="24" t="s">
        <v>825</v>
      </c>
      <c r="D285" s="35">
        <v>698.01549999999997</v>
      </c>
      <c r="E285" s="31">
        <f>ROUND(B285*D285,2)</f>
        <v>698.02</v>
      </c>
      <c r="F285" s="32"/>
      <c r="G285" s="15"/>
      <c r="H285" s="21"/>
      <c r="I285" s="15"/>
      <c r="J285" s="15"/>
      <c r="K285" s="15"/>
      <c r="L285" s="21"/>
      <c r="M285" s="15"/>
    </row>
    <row r="286" spans="1:13" ht="12.75" hidden="1" customHeight="1">
      <c r="A286" s="12" t="s">
        <v>208</v>
      </c>
      <c r="B286" s="30">
        <f>SUM(E278:E284)</f>
        <v>5007.92</v>
      </c>
      <c r="C286" s="24" t="s">
        <v>209</v>
      </c>
      <c r="D286" s="35">
        <f>Prec.!C302</f>
        <v>1.4999999999999999E-2</v>
      </c>
      <c r="E286" s="31">
        <f t="shared" si="15"/>
        <v>75.12</v>
      </c>
      <c r="F286" s="32">
        <f>SUM(E278:E286)</f>
        <v>5781.06</v>
      </c>
    </row>
    <row r="287" spans="1:13" ht="12.75" hidden="1" customHeight="1">
      <c r="A287" s="12"/>
      <c r="B287" s="30"/>
      <c r="C287" s="24"/>
      <c r="D287" s="35"/>
      <c r="E287" s="31"/>
      <c r="F287" s="32"/>
    </row>
    <row r="288" spans="1:13" ht="12.75" customHeight="1">
      <c r="A288" s="545" t="s">
        <v>361</v>
      </c>
      <c r="B288" s="555" t="s">
        <v>151</v>
      </c>
      <c r="C288" s="556" t="s">
        <v>825</v>
      </c>
      <c r="D288" s="548"/>
      <c r="E288" s="552"/>
      <c r="F288" s="553"/>
    </row>
    <row r="289" spans="1:13" ht="12.75" customHeight="1">
      <c r="A289" s="551" t="s">
        <v>822</v>
      </c>
      <c r="B289" s="546">
        <v>8.94</v>
      </c>
      <c r="C289" s="547" t="s">
        <v>823</v>
      </c>
      <c r="D289" s="548">
        <f>Prec.!$C$5</f>
        <v>425</v>
      </c>
      <c r="E289" s="552">
        <f t="shared" ref="E289:E297" si="16">ROUND(B289*D289,2)</f>
        <v>3799.5</v>
      </c>
      <c r="F289" s="553"/>
    </row>
    <row r="290" spans="1:13" ht="12.75" customHeight="1">
      <c r="A290" s="551" t="s">
        <v>824</v>
      </c>
      <c r="B290" s="546">
        <v>0.505</v>
      </c>
      <c r="C290" s="547" t="s">
        <v>825</v>
      </c>
      <c r="D290" s="548">
        <f>Prec.!$C$13</f>
        <v>900</v>
      </c>
      <c r="E290" s="552">
        <f t="shared" si="16"/>
        <v>454.5</v>
      </c>
      <c r="F290" s="553"/>
    </row>
    <row r="291" spans="1:13" ht="12.75" customHeight="1">
      <c r="A291" s="551" t="s">
        <v>1308</v>
      </c>
      <c r="B291" s="546">
        <v>0.69899999999999995</v>
      </c>
      <c r="C291" s="547" t="s">
        <v>825</v>
      </c>
      <c r="D291" s="548">
        <f>D269</f>
        <v>900</v>
      </c>
      <c r="E291" s="552">
        <f t="shared" si="16"/>
        <v>629.1</v>
      </c>
      <c r="F291" s="553"/>
    </row>
    <row r="292" spans="1:13" ht="12.75" customHeight="1">
      <c r="A292" s="551" t="s">
        <v>827</v>
      </c>
      <c r="B292" s="546">
        <v>51.22</v>
      </c>
      <c r="C292" s="547" t="s">
        <v>828</v>
      </c>
      <c r="D292" s="548">
        <f>Prec.!$C$80</f>
        <v>0.68</v>
      </c>
      <c r="E292" s="552">
        <f t="shared" si="16"/>
        <v>34.83</v>
      </c>
      <c r="F292" s="553"/>
    </row>
    <row r="293" spans="1:13" ht="12.75" customHeight="1">
      <c r="A293" s="551" t="s">
        <v>452</v>
      </c>
      <c r="B293" s="546">
        <v>8.94</v>
      </c>
      <c r="C293" s="547" t="s">
        <v>823</v>
      </c>
      <c r="D293" s="548">
        <f>Prec.!$D$390</f>
        <v>7.57</v>
      </c>
      <c r="E293" s="552">
        <f t="shared" si="16"/>
        <v>67.680000000000007</v>
      </c>
      <c r="F293" s="553"/>
    </row>
    <row r="294" spans="1:13" ht="12.75" customHeight="1">
      <c r="A294" s="551" t="s">
        <v>365</v>
      </c>
      <c r="B294" s="546">
        <v>0.505</v>
      </c>
      <c r="C294" s="547" t="s">
        <v>825</v>
      </c>
      <c r="D294" s="548">
        <f>Prec.!$D$377</f>
        <v>110.39</v>
      </c>
      <c r="E294" s="552">
        <f t="shared" si="16"/>
        <v>55.75</v>
      </c>
      <c r="F294" s="553"/>
    </row>
    <row r="295" spans="1:13" ht="12.75" customHeight="1">
      <c r="A295" s="551" t="s">
        <v>366</v>
      </c>
      <c r="B295" s="546">
        <v>0.69899999999999995</v>
      </c>
      <c r="C295" s="547" t="s">
        <v>825</v>
      </c>
      <c r="D295" s="548">
        <f>Prec.!$D$384</f>
        <v>147.29</v>
      </c>
      <c r="E295" s="552">
        <f t="shared" si="16"/>
        <v>102.96</v>
      </c>
      <c r="F295" s="553"/>
    </row>
    <row r="296" spans="1:13" s="166" customFormat="1" ht="12.75" customHeight="1">
      <c r="A296" s="551" t="s">
        <v>783</v>
      </c>
      <c r="B296" s="546">
        <v>1</v>
      </c>
      <c r="C296" s="547" t="s">
        <v>825</v>
      </c>
      <c r="D296" s="548">
        <v>698.01549999999997</v>
      </c>
      <c r="E296" s="552">
        <f>ROUND(B296*D296,2)</f>
        <v>698.02</v>
      </c>
      <c r="F296" s="553"/>
      <c r="G296" s="15"/>
      <c r="H296" s="21"/>
      <c r="I296" s="15"/>
      <c r="J296" s="15"/>
      <c r="K296" s="15"/>
      <c r="L296" s="21"/>
      <c r="M296" s="15"/>
    </row>
    <row r="297" spans="1:13" ht="12.75" customHeight="1">
      <c r="A297" s="551" t="s">
        <v>208</v>
      </c>
      <c r="B297" s="546">
        <f>SUM(E289:E292)</f>
        <v>4917.93</v>
      </c>
      <c r="C297" s="547" t="s">
        <v>209</v>
      </c>
      <c r="D297" s="548">
        <v>0.02</v>
      </c>
      <c r="E297" s="552">
        <f t="shared" si="16"/>
        <v>98.36</v>
      </c>
      <c r="F297" s="553">
        <f>SUM(E289:E297)</f>
        <v>5940.7</v>
      </c>
    </row>
    <row r="298" spans="1:13" ht="12.75" customHeight="1">
      <c r="A298" s="12"/>
      <c r="B298" s="30"/>
      <c r="C298" s="24"/>
      <c r="D298" s="35"/>
      <c r="E298" s="31"/>
      <c r="F298" s="32"/>
    </row>
    <row r="299" spans="1:13" ht="12.75" hidden="1" customHeight="1">
      <c r="A299" s="13" t="s">
        <v>362</v>
      </c>
      <c r="B299" s="42" t="s">
        <v>151</v>
      </c>
      <c r="C299" s="29" t="s">
        <v>825</v>
      </c>
      <c r="D299" s="35"/>
      <c r="E299" s="31"/>
      <c r="F299" s="32"/>
    </row>
    <row r="300" spans="1:13" ht="12.75" hidden="1" customHeight="1">
      <c r="A300" s="12" t="s">
        <v>822</v>
      </c>
      <c r="B300" s="30">
        <v>9.93</v>
      </c>
      <c r="C300" s="24" t="s">
        <v>823</v>
      </c>
      <c r="D300" s="35">
        <f>Prec.!$C$5</f>
        <v>425</v>
      </c>
      <c r="E300" s="31">
        <f t="shared" ref="E300:E308" si="17">ROUND(B300*D300,2)</f>
        <v>4220.25</v>
      </c>
      <c r="F300" s="32"/>
    </row>
    <row r="301" spans="1:13" ht="12.75" hidden="1" customHeight="1">
      <c r="A301" s="12" t="s">
        <v>824</v>
      </c>
      <c r="B301" s="30">
        <v>0.499</v>
      </c>
      <c r="C301" s="24" t="s">
        <v>825</v>
      </c>
      <c r="D301" s="35">
        <f>Prec.!$C$13</f>
        <v>900</v>
      </c>
      <c r="E301" s="31">
        <f t="shared" si="17"/>
        <v>449.1</v>
      </c>
      <c r="F301" s="32"/>
    </row>
    <row r="302" spans="1:13" ht="12.75" hidden="1" customHeight="1">
      <c r="A302" s="12" t="s">
        <v>1308</v>
      </c>
      <c r="B302" s="30">
        <v>0.69299999999999995</v>
      </c>
      <c r="C302" s="24" t="s">
        <v>825</v>
      </c>
      <c r="D302" s="35">
        <f>D291</f>
        <v>900</v>
      </c>
      <c r="E302" s="31">
        <f t="shared" si="17"/>
        <v>623.70000000000005</v>
      </c>
      <c r="F302" s="32"/>
    </row>
    <row r="303" spans="1:13" ht="12.75" hidden="1" customHeight="1">
      <c r="A303" s="12" t="s">
        <v>827</v>
      </c>
      <c r="B303" s="30">
        <v>50.42</v>
      </c>
      <c r="C303" s="24" t="s">
        <v>828</v>
      </c>
      <c r="D303" s="35">
        <f>Prec.!$C$80</f>
        <v>0.68</v>
      </c>
      <c r="E303" s="31">
        <f t="shared" si="17"/>
        <v>34.29</v>
      </c>
      <c r="F303" s="32"/>
    </row>
    <row r="304" spans="1:13" ht="12.75" hidden="1" customHeight="1">
      <c r="A304" s="12" t="s">
        <v>452</v>
      </c>
      <c r="B304" s="30">
        <v>9.93</v>
      </c>
      <c r="C304" s="24" t="s">
        <v>823</v>
      </c>
      <c r="D304" s="35">
        <f>Prec.!$D$390</f>
        <v>7.57</v>
      </c>
      <c r="E304" s="31">
        <f t="shared" si="17"/>
        <v>75.17</v>
      </c>
      <c r="F304" s="32"/>
    </row>
    <row r="305" spans="1:13" ht="12.75" hidden="1" customHeight="1">
      <c r="A305" s="12" t="s">
        <v>365</v>
      </c>
      <c r="B305" s="30">
        <v>0.499</v>
      </c>
      <c r="C305" s="24" t="s">
        <v>825</v>
      </c>
      <c r="D305" s="35">
        <f>Prec.!$D$377</f>
        <v>110.39</v>
      </c>
      <c r="E305" s="31">
        <f t="shared" si="17"/>
        <v>55.08</v>
      </c>
      <c r="F305" s="32"/>
    </row>
    <row r="306" spans="1:13" ht="12.75" hidden="1" customHeight="1">
      <c r="A306" s="12" t="s">
        <v>366</v>
      </c>
      <c r="B306" s="30">
        <v>0.69299999999999995</v>
      </c>
      <c r="C306" s="24" t="s">
        <v>825</v>
      </c>
      <c r="D306" s="35">
        <f>Prec.!$D$384</f>
        <v>147.29</v>
      </c>
      <c r="E306" s="31">
        <f t="shared" si="17"/>
        <v>102.07</v>
      </c>
      <c r="F306" s="32"/>
    </row>
    <row r="307" spans="1:13" s="166" customFormat="1" ht="12.75" hidden="1" customHeight="1">
      <c r="A307" s="12" t="s">
        <v>783</v>
      </c>
      <c r="B307" s="30">
        <v>1</v>
      </c>
      <c r="C307" s="24" t="s">
        <v>825</v>
      </c>
      <c r="D307" s="35">
        <v>698.01549999999997</v>
      </c>
      <c r="E307" s="31">
        <f>ROUND(B307*D307,2)</f>
        <v>698.02</v>
      </c>
      <c r="F307" s="32"/>
      <c r="G307" s="15"/>
      <c r="H307" s="21"/>
      <c r="I307" s="15"/>
      <c r="J307" s="15"/>
      <c r="K307" s="15"/>
      <c r="L307" s="21"/>
      <c r="M307" s="15"/>
    </row>
    <row r="308" spans="1:13" ht="12.75" hidden="1" customHeight="1">
      <c r="A308" s="12" t="s">
        <v>208</v>
      </c>
      <c r="B308" s="30">
        <f>SUM(E300:E306)</f>
        <v>5559.66</v>
      </c>
      <c r="C308" s="24" t="s">
        <v>209</v>
      </c>
      <c r="D308" s="35">
        <f>Prec.!C302</f>
        <v>1.4999999999999999E-2</v>
      </c>
      <c r="E308" s="31">
        <f t="shared" si="17"/>
        <v>83.39</v>
      </c>
      <c r="F308" s="32">
        <f>SUM(E300:E308)</f>
        <v>6341.0700000000006</v>
      </c>
    </row>
    <row r="309" spans="1:13" ht="12.75" hidden="1" customHeight="1">
      <c r="A309" s="12"/>
      <c r="B309" s="30"/>
      <c r="C309" s="24"/>
      <c r="D309" s="35"/>
      <c r="E309" s="31"/>
      <c r="F309" s="32"/>
    </row>
    <row r="310" spans="1:13" ht="12.75" hidden="1" customHeight="1">
      <c r="A310" s="13" t="s">
        <v>363</v>
      </c>
      <c r="B310" s="42" t="s">
        <v>151</v>
      </c>
      <c r="C310" s="29" t="s">
        <v>825</v>
      </c>
      <c r="D310" s="35"/>
      <c r="E310" s="31"/>
      <c r="F310" s="32"/>
    </row>
    <row r="311" spans="1:13" ht="12.75" hidden="1" customHeight="1">
      <c r="A311" s="12" t="s">
        <v>822</v>
      </c>
      <c r="B311" s="30">
        <v>10.26</v>
      </c>
      <c r="C311" s="24" t="s">
        <v>823</v>
      </c>
      <c r="D311" s="35">
        <f>Prec.!$C$5</f>
        <v>425</v>
      </c>
      <c r="E311" s="31">
        <f t="shared" ref="E311:E318" si="18">ROUND(B311*D311,2)</f>
        <v>4360.5</v>
      </c>
      <c r="F311" s="32"/>
    </row>
    <row r="312" spans="1:13" ht="12.75" hidden="1" customHeight="1">
      <c r="A312" s="12" t="s">
        <v>824</v>
      </c>
      <c r="B312" s="30">
        <v>0.497</v>
      </c>
      <c r="C312" s="24" t="s">
        <v>825</v>
      </c>
      <c r="D312" s="35">
        <f>Prec.!$C$13</f>
        <v>900</v>
      </c>
      <c r="E312" s="31">
        <f t="shared" si="18"/>
        <v>447.3</v>
      </c>
      <c r="F312" s="32"/>
    </row>
    <row r="313" spans="1:13" ht="12.75" hidden="1" customHeight="1">
      <c r="A313" s="12" t="s">
        <v>1308</v>
      </c>
      <c r="B313" s="30">
        <v>0.69099999999999995</v>
      </c>
      <c r="C313" s="24" t="s">
        <v>825</v>
      </c>
      <c r="D313" s="35">
        <f>D302</f>
        <v>900</v>
      </c>
      <c r="E313" s="31">
        <f t="shared" si="18"/>
        <v>621.9</v>
      </c>
      <c r="F313" s="32"/>
    </row>
    <row r="314" spans="1:13" ht="12.75" hidden="1" customHeight="1">
      <c r="A314" s="12" t="s">
        <v>827</v>
      </c>
      <c r="B314" s="30">
        <v>50.16</v>
      </c>
      <c r="C314" s="24" t="s">
        <v>828</v>
      </c>
      <c r="D314" s="35">
        <f>Prec.!$C$80</f>
        <v>0.68</v>
      </c>
      <c r="E314" s="31">
        <f t="shared" si="18"/>
        <v>34.11</v>
      </c>
      <c r="F314" s="32"/>
    </row>
    <row r="315" spans="1:13" ht="12.75" hidden="1" customHeight="1">
      <c r="A315" s="12" t="s">
        <v>452</v>
      </c>
      <c r="B315" s="30">
        <v>10.26</v>
      </c>
      <c r="C315" s="24" t="s">
        <v>823</v>
      </c>
      <c r="D315" s="35">
        <f>Prec.!$D$390</f>
        <v>7.57</v>
      </c>
      <c r="E315" s="31">
        <f t="shared" si="18"/>
        <v>77.67</v>
      </c>
      <c r="F315" s="32"/>
    </row>
    <row r="316" spans="1:13" ht="12.75" hidden="1" customHeight="1">
      <c r="A316" s="12" t="s">
        <v>365</v>
      </c>
      <c r="B316" s="30">
        <v>0.497</v>
      </c>
      <c r="C316" s="24" t="s">
        <v>825</v>
      </c>
      <c r="D316" s="35">
        <f>Prec.!$D$377</f>
        <v>110.39</v>
      </c>
      <c r="E316" s="31">
        <f t="shared" si="18"/>
        <v>54.86</v>
      </c>
      <c r="F316" s="32"/>
    </row>
    <row r="317" spans="1:13" ht="12.75" hidden="1" customHeight="1">
      <c r="A317" s="12" t="s">
        <v>366</v>
      </c>
      <c r="B317" s="30">
        <v>0.69099999999999995</v>
      </c>
      <c r="C317" s="24" t="s">
        <v>825</v>
      </c>
      <c r="D317" s="35">
        <f>Prec.!$D$384</f>
        <v>147.29</v>
      </c>
      <c r="E317" s="31">
        <f t="shared" si="18"/>
        <v>101.78</v>
      </c>
      <c r="F317" s="32"/>
    </row>
    <row r="318" spans="1:13" ht="12.75" hidden="1" customHeight="1">
      <c r="A318" s="12" t="s">
        <v>208</v>
      </c>
      <c r="B318" s="30">
        <f>SUM(E311:E317)</f>
        <v>5698.119999999999</v>
      </c>
      <c r="C318" s="24" t="s">
        <v>209</v>
      </c>
      <c r="D318" s="35">
        <f>Prec.!C302</f>
        <v>1.4999999999999999E-2</v>
      </c>
      <c r="E318" s="31">
        <f t="shared" si="18"/>
        <v>85.47</v>
      </c>
      <c r="F318" s="32">
        <f>SUM(E311:E318)</f>
        <v>5783.5899999999992</v>
      </c>
    </row>
    <row r="319" spans="1:13" ht="12.75" hidden="1" customHeight="1">
      <c r="A319" s="12"/>
      <c r="B319" s="30"/>
      <c r="C319" s="24"/>
      <c r="D319" s="35"/>
      <c r="E319" s="31"/>
      <c r="F319" s="32"/>
    </row>
    <row r="320" spans="1:13" ht="12.75" hidden="1" customHeight="1">
      <c r="A320" s="13" t="s">
        <v>1163</v>
      </c>
      <c r="B320" s="42" t="s">
        <v>151</v>
      </c>
      <c r="C320" s="29" t="s">
        <v>825</v>
      </c>
      <c r="D320" s="35"/>
      <c r="E320" s="31"/>
      <c r="F320" s="32"/>
    </row>
    <row r="321" spans="1:6" ht="12.75" hidden="1" customHeight="1">
      <c r="A321" s="12" t="s">
        <v>822</v>
      </c>
      <c r="B321" s="30">
        <v>6.68</v>
      </c>
      <c r="C321" s="24" t="s">
        <v>823</v>
      </c>
      <c r="D321" s="35">
        <f>Prec.!$C$5</f>
        <v>425</v>
      </c>
      <c r="E321" s="31">
        <f t="shared" ref="E321:E328" si="19">ROUND(B321*D321,2)</f>
        <v>2839</v>
      </c>
      <c r="F321" s="32"/>
    </row>
    <row r="322" spans="1:6" ht="12.75" hidden="1" customHeight="1">
      <c r="A322" s="12" t="s">
        <v>824</v>
      </c>
      <c r="B322" s="30">
        <v>0.48299999999999998</v>
      </c>
      <c r="C322" s="24" t="s">
        <v>825</v>
      </c>
      <c r="D322" s="35">
        <f>Prec.!$C$13</f>
        <v>900</v>
      </c>
      <c r="E322" s="31">
        <f t="shared" si="19"/>
        <v>434.7</v>
      </c>
      <c r="F322" s="32"/>
    </row>
    <row r="323" spans="1:6" ht="12.75" hidden="1" customHeight="1">
      <c r="A323" s="12" t="s">
        <v>1308</v>
      </c>
      <c r="B323" s="30">
        <v>0.77300000000000002</v>
      </c>
      <c r="C323" s="24" t="s">
        <v>825</v>
      </c>
      <c r="D323" s="35">
        <f>D313</f>
        <v>900</v>
      </c>
      <c r="E323" s="31">
        <f t="shared" si="19"/>
        <v>695.7</v>
      </c>
      <c r="F323" s="32"/>
    </row>
    <row r="324" spans="1:6" ht="12.75" hidden="1" customHeight="1">
      <c r="A324" s="12" t="s">
        <v>827</v>
      </c>
      <c r="B324" s="30">
        <v>56</v>
      </c>
      <c r="C324" s="24" t="s">
        <v>828</v>
      </c>
      <c r="D324" s="35">
        <f>Prec.!$C$80</f>
        <v>0.68</v>
      </c>
      <c r="E324" s="31">
        <f t="shared" si="19"/>
        <v>38.08</v>
      </c>
      <c r="F324" s="32"/>
    </row>
    <row r="325" spans="1:6" ht="12.75" hidden="1" customHeight="1">
      <c r="A325" s="12" t="s">
        <v>452</v>
      </c>
      <c r="B325" s="30">
        <v>6.68</v>
      </c>
      <c r="C325" s="24" t="s">
        <v>823</v>
      </c>
      <c r="D325" s="35">
        <f>Prec.!$D$390</f>
        <v>7.57</v>
      </c>
      <c r="E325" s="31">
        <f t="shared" si="19"/>
        <v>50.57</v>
      </c>
      <c r="F325" s="32"/>
    </row>
    <row r="326" spans="1:6" ht="12.75" hidden="1" customHeight="1">
      <c r="A326" s="12" t="s">
        <v>365</v>
      </c>
      <c r="B326" s="30">
        <v>0.48299999999999998</v>
      </c>
      <c r="C326" s="24" t="s">
        <v>825</v>
      </c>
      <c r="D326" s="35">
        <f>Prec.!$D$377</f>
        <v>110.39</v>
      </c>
      <c r="E326" s="31">
        <f t="shared" si="19"/>
        <v>53.32</v>
      </c>
      <c r="F326" s="32"/>
    </row>
    <row r="327" spans="1:6" ht="12.75" hidden="1" customHeight="1">
      <c r="A327" s="12" t="s">
        <v>366</v>
      </c>
      <c r="B327" s="30">
        <v>0.77300000000000002</v>
      </c>
      <c r="C327" s="24" t="s">
        <v>825</v>
      </c>
      <c r="D327" s="35">
        <f>Prec.!$D$384</f>
        <v>147.29</v>
      </c>
      <c r="E327" s="31">
        <f t="shared" si="19"/>
        <v>113.86</v>
      </c>
      <c r="F327" s="32"/>
    </row>
    <row r="328" spans="1:6" ht="12.75" hidden="1" customHeight="1">
      <c r="A328" s="12" t="s">
        <v>208</v>
      </c>
      <c r="B328" s="30">
        <f>SUM(E321:E327)</f>
        <v>4225.2299999999996</v>
      </c>
      <c r="C328" s="24" t="s">
        <v>209</v>
      </c>
      <c r="D328" s="35">
        <f>Prec.!C302</f>
        <v>1.4999999999999999E-2</v>
      </c>
      <c r="E328" s="31">
        <f t="shared" si="19"/>
        <v>63.38</v>
      </c>
      <c r="F328" s="32">
        <f>SUM(E321:E328)</f>
        <v>4288.6099999999997</v>
      </c>
    </row>
    <row r="329" spans="1:6" ht="12.75" hidden="1" customHeight="1">
      <c r="A329" s="12"/>
      <c r="B329" s="30"/>
      <c r="C329" s="24"/>
      <c r="D329" s="35"/>
      <c r="E329" s="31"/>
      <c r="F329" s="32"/>
    </row>
    <row r="330" spans="1:6" ht="12.75" customHeight="1">
      <c r="A330" s="23" t="s">
        <v>902</v>
      </c>
    </row>
    <row r="331" spans="1:6" ht="12.75" customHeight="1">
      <c r="A331" s="2"/>
    </row>
    <row r="332" spans="1:6" ht="12.75" customHeight="1">
      <c r="A332" s="545" t="s">
        <v>364</v>
      </c>
      <c r="B332" s="555" t="s">
        <v>151</v>
      </c>
      <c r="C332" s="556" t="s">
        <v>825</v>
      </c>
      <c r="D332" s="548"/>
      <c r="E332" s="552"/>
      <c r="F332" s="553"/>
    </row>
    <row r="333" spans="1:6" ht="12.75" customHeight="1">
      <c r="A333" s="551" t="s">
        <v>822</v>
      </c>
      <c r="B333" s="546">
        <v>15.57</v>
      </c>
      <c r="C333" s="547" t="s">
        <v>823</v>
      </c>
      <c r="D333" s="548">
        <f>Prec.!$C$5</f>
        <v>425</v>
      </c>
      <c r="E333" s="552">
        <f t="shared" ref="E333:E339" si="20">ROUND(B333*D333,2)</f>
        <v>6617.25</v>
      </c>
      <c r="F333" s="553"/>
    </row>
    <row r="334" spans="1:6" ht="12.75" customHeight="1">
      <c r="A334" s="551" t="s">
        <v>824</v>
      </c>
      <c r="B334" s="546">
        <v>0.9</v>
      </c>
      <c r="C334" s="547" t="s">
        <v>825</v>
      </c>
      <c r="D334" s="548">
        <f>Prec.!$C$13</f>
        <v>900</v>
      </c>
      <c r="E334" s="552">
        <f t="shared" si="20"/>
        <v>810</v>
      </c>
      <c r="F334" s="553"/>
    </row>
    <row r="335" spans="1:6" ht="12.75" customHeight="1">
      <c r="A335" s="551" t="s">
        <v>827</v>
      </c>
      <c r="B335" s="546">
        <v>70.099999999999994</v>
      </c>
      <c r="C335" s="547" t="s">
        <v>828</v>
      </c>
      <c r="D335" s="548">
        <f>Prec.!$C$80</f>
        <v>0.68</v>
      </c>
      <c r="E335" s="552">
        <f t="shared" si="20"/>
        <v>47.67</v>
      </c>
      <c r="F335" s="553"/>
    </row>
    <row r="336" spans="1:6" ht="12.75" customHeight="1">
      <c r="A336" s="551" t="s">
        <v>452</v>
      </c>
      <c r="B336" s="546">
        <v>15.57</v>
      </c>
      <c r="C336" s="547" t="s">
        <v>823</v>
      </c>
      <c r="D336" s="548">
        <f>Prec.!$D$391</f>
        <v>12.04</v>
      </c>
      <c r="E336" s="552">
        <f t="shared" si="20"/>
        <v>187.46</v>
      </c>
      <c r="F336" s="553"/>
    </row>
    <row r="337" spans="1:13" ht="12.75" customHeight="1">
      <c r="A337" s="551" t="s">
        <v>365</v>
      </c>
      <c r="B337" s="546">
        <v>0.9</v>
      </c>
      <c r="C337" s="547" t="s">
        <v>825</v>
      </c>
      <c r="D337" s="548">
        <f>Prec.!$D$378</f>
        <v>220.78</v>
      </c>
      <c r="E337" s="552">
        <f t="shared" si="20"/>
        <v>198.7</v>
      </c>
      <c r="F337" s="553"/>
    </row>
    <row r="338" spans="1:13" s="166" customFormat="1" ht="12.75" customHeight="1">
      <c r="A338" s="551" t="s">
        <v>783</v>
      </c>
      <c r="B338" s="546">
        <v>1</v>
      </c>
      <c r="C338" s="547" t="s">
        <v>825</v>
      </c>
      <c r="D338" s="548">
        <v>698.01549999999997</v>
      </c>
      <c r="E338" s="552">
        <f>ROUND(B338*D338,2)</f>
        <v>698.02</v>
      </c>
      <c r="F338" s="553"/>
      <c r="G338" s="15"/>
      <c r="H338" s="21"/>
      <c r="I338" s="15"/>
      <c r="J338" s="15"/>
      <c r="K338" s="15"/>
      <c r="L338" s="21"/>
      <c r="M338" s="15"/>
    </row>
    <row r="339" spans="1:13" ht="12.75" customHeight="1">
      <c r="A339" s="551" t="s">
        <v>208</v>
      </c>
      <c r="B339" s="546">
        <f>SUM(E333:E335)</f>
        <v>7474.92</v>
      </c>
      <c r="C339" s="547" t="s">
        <v>209</v>
      </c>
      <c r="D339" s="548">
        <v>0.02</v>
      </c>
      <c r="E339" s="552">
        <f t="shared" si="20"/>
        <v>149.5</v>
      </c>
      <c r="F339" s="553">
        <f>SUM(E333:E339)</f>
        <v>8708.6</v>
      </c>
    </row>
    <row r="340" spans="1:13" ht="12.75" customHeight="1">
      <c r="A340" s="12"/>
      <c r="B340" s="30"/>
      <c r="C340" s="24"/>
      <c r="D340" s="35"/>
      <c r="E340" s="31"/>
      <c r="F340" s="32"/>
    </row>
    <row r="341" spans="1:13" ht="12.75" customHeight="1">
      <c r="A341" s="545" t="s">
        <v>750</v>
      </c>
      <c r="B341" s="555" t="s">
        <v>151</v>
      </c>
      <c r="C341" s="556" t="s">
        <v>825</v>
      </c>
      <c r="D341" s="548"/>
      <c r="E341" s="552"/>
      <c r="F341" s="553"/>
    </row>
    <row r="342" spans="1:13" ht="12.75" customHeight="1">
      <c r="A342" s="551" t="s">
        <v>822</v>
      </c>
      <c r="B342" s="546">
        <v>11.51</v>
      </c>
      <c r="C342" s="547" t="s">
        <v>823</v>
      </c>
      <c r="D342" s="548">
        <f>Prec.!$C$5</f>
        <v>425</v>
      </c>
      <c r="E342" s="552">
        <f t="shared" ref="E342:E348" si="21">ROUND(B342*D342,2)</f>
        <v>4891.75</v>
      </c>
      <c r="F342" s="553"/>
    </row>
    <row r="343" spans="1:13" ht="12.75" customHeight="1">
      <c r="A343" s="551" t="s">
        <v>824</v>
      </c>
      <c r="B343" s="546">
        <v>1</v>
      </c>
      <c r="C343" s="547" t="s">
        <v>825</v>
      </c>
      <c r="D343" s="548">
        <f>Prec.!$C$13</f>
        <v>900</v>
      </c>
      <c r="E343" s="552">
        <f t="shared" si="21"/>
        <v>900</v>
      </c>
      <c r="F343" s="553"/>
    </row>
    <row r="344" spans="1:13" ht="12.75" customHeight="1">
      <c r="A344" s="551" t="s">
        <v>827</v>
      </c>
      <c r="B344" s="546">
        <v>69.040000000000006</v>
      </c>
      <c r="C344" s="547" t="s">
        <v>828</v>
      </c>
      <c r="D344" s="548">
        <f>Prec.!$C$80</f>
        <v>0.68</v>
      </c>
      <c r="E344" s="552">
        <f t="shared" si="21"/>
        <v>46.95</v>
      </c>
      <c r="F344" s="553"/>
    </row>
    <row r="345" spans="1:13" ht="12.75" customHeight="1">
      <c r="A345" s="551" t="s">
        <v>452</v>
      </c>
      <c r="B345" s="546">
        <v>11.51</v>
      </c>
      <c r="C345" s="547" t="s">
        <v>823</v>
      </c>
      <c r="D345" s="548">
        <f>Prec.!$D$391</f>
        <v>12.04</v>
      </c>
      <c r="E345" s="552">
        <f t="shared" si="21"/>
        <v>138.58000000000001</v>
      </c>
      <c r="F345" s="553"/>
    </row>
    <row r="346" spans="1:13" ht="12.75" customHeight="1">
      <c r="A346" s="551" t="s">
        <v>365</v>
      </c>
      <c r="B346" s="546">
        <v>1</v>
      </c>
      <c r="C346" s="547" t="s">
        <v>825</v>
      </c>
      <c r="D346" s="548">
        <f>Prec.!$D$378</f>
        <v>220.78</v>
      </c>
      <c r="E346" s="552">
        <f t="shared" si="21"/>
        <v>220.78</v>
      </c>
      <c r="F346" s="553"/>
    </row>
    <row r="347" spans="1:13" s="166" customFormat="1" ht="12.75" customHeight="1">
      <c r="A347" s="551" t="s">
        <v>783</v>
      </c>
      <c r="B347" s="546">
        <v>1</v>
      </c>
      <c r="C347" s="547" t="s">
        <v>825</v>
      </c>
      <c r="D347" s="548">
        <v>698.01549999999997</v>
      </c>
      <c r="E347" s="552">
        <f>ROUND(B347*D347,2)</f>
        <v>698.02</v>
      </c>
      <c r="F347" s="553"/>
      <c r="G347" s="15"/>
      <c r="H347" s="21"/>
      <c r="I347" s="15"/>
      <c r="J347" s="15"/>
      <c r="K347" s="15"/>
      <c r="L347" s="21"/>
      <c r="M347" s="15"/>
    </row>
    <row r="348" spans="1:13" ht="12.75" customHeight="1">
      <c r="A348" s="551" t="s">
        <v>208</v>
      </c>
      <c r="B348" s="546">
        <f>SUM(E342:E344)</f>
        <v>5838.7</v>
      </c>
      <c r="C348" s="547" t="s">
        <v>209</v>
      </c>
      <c r="D348" s="548">
        <v>0.02</v>
      </c>
      <c r="E348" s="552">
        <f t="shared" si="21"/>
        <v>116.77</v>
      </c>
      <c r="F348" s="553">
        <f>SUM(E342:E348)</f>
        <v>7012.85</v>
      </c>
    </row>
    <row r="349" spans="1:13" ht="10.15" customHeight="1">
      <c r="A349" s="12"/>
      <c r="B349" s="30"/>
      <c r="C349" s="24"/>
      <c r="D349" s="35"/>
      <c r="E349" s="31"/>
      <c r="F349" s="32"/>
    </row>
    <row r="350" spans="1:13" ht="12.75" customHeight="1">
      <c r="A350" s="545" t="s">
        <v>751</v>
      </c>
      <c r="B350" s="555" t="s">
        <v>151</v>
      </c>
      <c r="C350" s="556" t="s">
        <v>825</v>
      </c>
      <c r="D350" s="548"/>
      <c r="E350" s="552"/>
      <c r="F350" s="553"/>
    </row>
    <row r="351" spans="1:13" ht="12.75" customHeight="1">
      <c r="A351" s="551" t="s">
        <v>822</v>
      </c>
      <c r="B351" s="546">
        <v>9.11</v>
      </c>
      <c r="C351" s="547" t="s">
        <v>823</v>
      </c>
      <c r="D351" s="548">
        <f>Prec.!$C$5</f>
        <v>425</v>
      </c>
      <c r="E351" s="552">
        <f t="shared" ref="E351:E357" si="22">ROUND(B351*D351,2)</f>
        <v>3871.75</v>
      </c>
      <c r="F351" s="553"/>
    </row>
    <row r="352" spans="1:13" ht="12.75" customHeight="1">
      <c r="A352" s="551" t="s">
        <v>824</v>
      </c>
      <c r="B352" s="546">
        <v>1.06</v>
      </c>
      <c r="C352" s="547" t="s">
        <v>825</v>
      </c>
      <c r="D352" s="548">
        <f>Prec.!$C$13</f>
        <v>900</v>
      </c>
      <c r="E352" s="552">
        <f t="shared" si="22"/>
        <v>954</v>
      </c>
      <c r="F352" s="553"/>
    </row>
    <row r="353" spans="1:13" ht="12.75" customHeight="1">
      <c r="A353" s="551" t="s">
        <v>827</v>
      </c>
      <c r="B353" s="546">
        <v>68.16</v>
      </c>
      <c r="C353" s="547" t="s">
        <v>828</v>
      </c>
      <c r="D353" s="548">
        <f>Prec.!$C$80</f>
        <v>0.68</v>
      </c>
      <c r="E353" s="552">
        <f t="shared" si="22"/>
        <v>46.35</v>
      </c>
      <c r="F353" s="553"/>
    </row>
    <row r="354" spans="1:13" ht="12.75" customHeight="1">
      <c r="A354" s="551" t="s">
        <v>452</v>
      </c>
      <c r="B354" s="546">
        <v>9.11</v>
      </c>
      <c r="C354" s="547" t="s">
        <v>823</v>
      </c>
      <c r="D354" s="548">
        <f>Prec.!$D$391</f>
        <v>12.04</v>
      </c>
      <c r="E354" s="552">
        <f t="shared" si="22"/>
        <v>109.68</v>
      </c>
      <c r="F354" s="553"/>
    </row>
    <row r="355" spans="1:13" ht="12.75" customHeight="1">
      <c r="A355" s="551" t="s">
        <v>365</v>
      </c>
      <c r="B355" s="546">
        <v>1.06</v>
      </c>
      <c r="C355" s="547" t="s">
        <v>825</v>
      </c>
      <c r="D355" s="548">
        <f>Prec.!$D$378</f>
        <v>220.78</v>
      </c>
      <c r="E355" s="552">
        <f t="shared" si="22"/>
        <v>234.03</v>
      </c>
      <c r="F355" s="553"/>
    </row>
    <row r="356" spans="1:13" s="166" customFormat="1" ht="12.75" customHeight="1">
      <c r="A356" s="551" t="s">
        <v>783</v>
      </c>
      <c r="B356" s="546">
        <v>1</v>
      </c>
      <c r="C356" s="547" t="s">
        <v>825</v>
      </c>
      <c r="D356" s="548">
        <v>698.01549999999997</v>
      </c>
      <c r="E356" s="552">
        <f>ROUND(B356*D356,2)</f>
        <v>698.02</v>
      </c>
      <c r="F356" s="553"/>
      <c r="G356" s="15"/>
      <c r="H356" s="21"/>
      <c r="I356" s="15"/>
      <c r="J356" s="15"/>
      <c r="K356" s="15"/>
      <c r="L356" s="21"/>
      <c r="M356" s="15"/>
    </row>
    <row r="357" spans="1:13" ht="12.75" customHeight="1">
      <c r="A357" s="551" t="s">
        <v>208</v>
      </c>
      <c r="B357" s="546">
        <f>SUM(E351:E353)</f>
        <v>4872.1000000000004</v>
      </c>
      <c r="C357" s="547" t="s">
        <v>209</v>
      </c>
      <c r="D357" s="548">
        <v>0.02</v>
      </c>
      <c r="E357" s="552">
        <f t="shared" si="22"/>
        <v>97.44</v>
      </c>
      <c r="F357" s="553">
        <f>SUM(E351:E357)</f>
        <v>6011.2699999999995</v>
      </c>
    </row>
    <row r="358" spans="1:13" ht="10.15" customHeight="1">
      <c r="A358" s="12"/>
      <c r="B358" s="30"/>
      <c r="C358" s="24"/>
      <c r="D358" s="35"/>
      <c r="E358" s="31"/>
      <c r="F358" s="32"/>
    </row>
    <row r="359" spans="1:13" ht="12.75" customHeight="1">
      <c r="A359" s="545" t="s">
        <v>489</v>
      </c>
      <c r="B359" s="555" t="s">
        <v>151</v>
      </c>
      <c r="C359" s="556" t="s">
        <v>825</v>
      </c>
      <c r="D359" s="548"/>
      <c r="E359" s="552"/>
      <c r="F359" s="553"/>
    </row>
    <row r="360" spans="1:13" ht="12.75" customHeight="1">
      <c r="A360" s="551" t="s">
        <v>822</v>
      </c>
      <c r="B360" s="546">
        <v>7.56</v>
      </c>
      <c r="C360" s="547" t="s">
        <v>823</v>
      </c>
      <c r="D360" s="548">
        <f>Prec.!$C$5</f>
        <v>425</v>
      </c>
      <c r="E360" s="552">
        <f t="shared" ref="E360:E366" si="23">ROUND(B360*D360,2)</f>
        <v>3213</v>
      </c>
      <c r="F360" s="553"/>
    </row>
    <row r="361" spans="1:13" ht="12.75" customHeight="1">
      <c r="A361" s="551" t="s">
        <v>824</v>
      </c>
      <c r="B361" s="546">
        <v>1.091</v>
      </c>
      <c r="C361" s="547" t="s">
        <v>825</v>
      </c>
      <c r="D361" s="548">
        <f>Prec.!$C$13</f>
        <v>900</v>
      </c>
      <c r="E361" s="552">
        <f t="shared" si="23"/>
        <v>981.9</v>
      </c>
      <c r="F361" s="553"/>
    </row>
    <row r="362" spans="1:13" ht="12.75" customHeight="1">
      <c r="A362" s="551" t="s">
        <v>827</v>
      </c>
      <c r="B362" s="546">
        <v>67.989999999999995</v>
      </c>
      <c r="C362" s="547" t="s">
        <v>828</v>
      </c>
      <c r="D362" s="548">
        <f>Prec.!$C$80</f>
        <v>0.68</v>
      </c>
      <c r="E362" s="552">
        <f t="shared" si="23"/>
        <v>46.23</v>
      </c>
      <c r="F362" s="553"/>
    </row>
    <row r="363" spans="1:13" ht="12.75" customHeight="1">
      <c r="A363" s="551" t="s">
        <v>452</v>
      </c>
      <c r="B363" s="546">
        <v>7.56</v>
      </c>
      <c r="C363" s="547" t="s">
        <v>823</v>
      </c>
      <c r="D363" s="548">
        <f>Prec.!$D$391</f>
        <v>12.04</v>
      </c>
      <c r="E363" s="552">
        <f t="shared" si="23"/>
        <v>91.02</v>
      </c>
      <c r="F363" s="553"/>
    </row>
    <row r="364" spans="1:13" ht="12.75" customHeight="1">
      <c r="A364" s="551" t="s">
        <v>365</v>
      </c>
      <c r="B364" s="546">
        <v>1.091</v>
      </c>
      <c r="C364" s="547" t="s">
        <v>825</v>
      </c>
      <c r="D364" s="548">
        <f>Prec.!$D$378</f>
        <v>220.78</v>
      </c>
      <c r="E364" s="552">
        <f t="shared" si="23"/>
        <v>240.87</v>
      </c>
      <c r="F364" s="553"/>
    </row>
    <row r="365" spans="1:13" s="166" customFormat="1" ht="12.75" customHeight="1">
      <c r="A365" s="551" t="s">
        <v>783</v>
      </c>
      <c r="B365" s="546">
        <v>1</v>
      </c>
      <c r="C365" s="547" t="s">
        <v>825</v>
      </c>
      <c r="D365" s="548">
        <v>698.01549999999997</v>
      </c>
      <c r="E365" s="552">
        <f>ROUND(B365*D365,2)</f>
        <v>698.02</v>
      </c>
      <c r="F365" s="553"/>
      <c r="G365" s="15"/>
      <c r="H365" s="21"/>
      <c r="I365" s="15"/>
      <c r="J365" s="15"/>
      <c r="K365" s="15"/>
      <c r="L365" s="21"/>
      <c r="M365" s="15"/>
    </row>
    <row r="366" spans="1:13" ht="12.75" customHeight="1">
      <c r="A366" s="551" t="s">
        <v>208</v>
      </c>
      <c r="B366" s="546">
        <f>SUM(E360:E362)</f>
        <v>4241.1299999999992</v>
      </c>
      <c r="C366" s="547" t="s">
        <v>209</v>
      </c>
      <c r="D366" s="548">
        <v>0.02</v>
      </c>
      <c r="E366" s="552">
        <f t="shared" si="23"/>
        <v>84.82</v>
      </c>
      <c r="F366" s="553">
        <f>SUM(E360:E366)</f>
        <v>5355.8599999999988</v>
      </c>
    </row>
    <row r="367" spans="1:13" ht="10.15" customHeight="1">
      <c r="A367" s="12"/>
      <c r="B367" s="30"/>
      <c r="C367" s="24"/>
      <c r="D367" s="35"/>
      <c r="E367" s="31"/>
      <c r="F367" s="32"/>
    </row>
    <row r="368" spans="1:13" ht="12.75" hidden="1" customHeight="1">
      <c r="A368" s="13" t="s">
        <v>492</v>
      </c>
      <c r="B368" s="42" t="s">
        <v>151</v>
      </c>
      <c r="C368" s="29" t="s">
        <v>825</v>
      </c>
      <c r="D368" s="35"/>
      <c r="E368" s="31"/>
      <c r="F368" s="32"/>
    </row>
    <row r="369" spans="1:13" ht="12.75" hidden="1" customHeight="1">
      <c r="A369" s="12" t="s">
        <v>822</v>
      </c>
      <c r="B369" s="30">
        <v>6.46</v>
      </c>
      <c r="C369" s="24" t="s">
        <v>823</v>
      </c>
      <c r="D369" s="35">
        <f>Prec.!$C$5</f>
        <v>425</v>
      </c>
      <c r="E369" s="31">
        <f t="shared" ref="E369:E375" si="24">ROUND(B369*D369,2)</f>
        <v>2745.5</v>
      </c>
      <c r="F369" s="32"/>
    </row>
    <row r="370" spans="1:13" ht="12.75" hidden="1" customHeight="1">
      <c r="A370" s="12" t="s">
        <v>824</v>
      </c>
      <c r="B370" s="30">
        <v>1.1200000000000001</v>
      </c>
      <c r="C370" s="24" t="s">
        <v>825</v>
      </c>
      <c r="D370" s="35">
        <f>Prec.!$C$13</f>
        <v>900</v>
      </c>
      <c r="E370" s="31">
        <f t="shared" si="24"/>
        <v>1008</v>
      </c>
      <c r="F370" s="32"/>
    </row>
    <row r="371" spans="1:13" ht="12.75" hidden="1" customHeight="1">
      <c r="A371" s="12" t="s">
        <v>827</v>
      </c>
      <c r="B371" s="30">
        <v>67.72</v>
      </c>
      <c r="C371" s="24" t="s">
        <v>828</v>
      </c>
      <c r="D371" s="35">
        <f>Prec.!$C$80</f>
        <v>0.68</v>
      </c>
      <c r="E371" s="31">
        <f t="shared" si="24"/>
        <v>46.05</v>
      </c>
      <c r="F371" s="32"/>
    </row>
    <row r="372" spans="1:13" ht="12.75" hidden="1" customHeight="1">
      <c r="A372" s="12" t="s">
        <v>452</v>
      </c>
      <c r="B372" s="30">
        <v>6.46</v>
      </c>
      <c r="C372" s="24" t="s">
        <v>823</v>
      </c>
      <c r="D372" s="35">
        <f>Prec.!$D$391</f>
        <v>12.04</v>
      </c>
      <c r="E372" s="31">
        <f t="shared" si="24"/>
        <v>77.78</v>
      </c>
      <c r="F372" s="32"/>
    </row>
    <row r="373" spans="1:13" ht="12.75" hidden="1" customHeight="1">
      <c r="A373" s="12" t="s">
        <v>365</v>
      </c>
      <c r="B373" s="30">
        <v>1.1200000000000001</v>
      </c>
      <c r="C373" s="24" t="s">
        <v>825</v>
      </c>
      <c r="D373" s="35">
        <f>Prec.!$D$378</f>
        <v>220.78</v>
      </c>
      <c r="E373" s="31">
        <f t="shared" si="24"/>
        <v>247.27</v>
      </c>
      <c r="F373" s="32"/>
    </row>
    <row r="374" spans="1:13" s="166" customFormat="1" ht="12.75" hidden="1" customHeight="1">
      <c r="A374" s="12" t="s">
        <v>783</v>
      </c>
      <c r="B374" s="30">
        <v>1</v>
      </c>
      <c r="C374" s="24" t="s">
        <v>825</v>
      </c>
      <c r="D374" s="35">
        <v>698.01549999999997</v>
      </c>
      <c r="E374" s="31">
        <f>ROUND(B374*D374,2)</f>
        <v>698.02</v>
      </c>
      <c r="F374" s="32"/>
      <c r="G374" s="15"/>
      <c r="H374" s="21"/>
      <c r="I374" s="15"/>
      <c r="J374" s="15"/>
      <c r="K374" s="15"/>
      <c r="L374" s="21"/>
      <c r="M374" s="15"/>
    </row>
    <row r="375" spans="1:13" ht="12.75" hidden="1" customHeight="1">
      <c r="A375" s="12" t="s">
        <v>208</v>
      </c>
      <c r="B375" s="30">
        <f>SUM(E369:E373)</f>
        <v>4124.6000000000004</v>
      </c>
      <c r="C375" s="24" t="s">
        <v>209</v>
      </c>
      <c r="D375" s="35">
        <f>Prec.!C302</f>
        <v>1.4999999999999999E-2</v>
      </c>
      <c r="E375" s="31">
        <f t="shared" si="24"/>
        <v>61.87</v>
      </c>
      <c r="F375" s="32">
        <f>SUM(E369:E375)</f>
        <v>4884.4900000000007</v>
      </c>
    </row>
    <row r="376" spans="1:13" ht="12.75" hidden="1" customHeight="1">
      <c r="A376" s="12"/>
      <c r="B376" s="30"/>
      <c r="C376" s="24"/>
      <c r="D376" s="35"/>
      <c r="E376" s="31"/>
      <c r="F376" s="32"/>
    </row>
    <row r="377" spans="1:13" ht="12.75" customHeight="1">
      <c r="A377" s="545" t="s">
        <v>493</v>
      </c>
      <c r="B377" s="555" t="s">
        <v>151</v>
      </c>
      <c r="C377" s="556" t="s">
        <v>825</v>
      </c>
      <c r="D377" s="548"/>
      <c r="E377" s="552"/>
      <c r="F377" s="553"/>
    </row>
    <row r="378" spans="1:13" ht="12.75" customHeight="1">
      <c r="A378" s="551" t="s">
        <v>822</v>
      </c>
      <c r="B378" s="546">
        <v>9.4600000000000009</v>
      </c>
      <c r="C378" s="547" t="s">
        <v>823</v>
      </c>
      <c r="D378" s="548">
        <f>Prec.!$C$5</f>
        <v>425</v>
      </c>
      <c r="E378" s="552">
        <f t="shared" ref="E378:E386" si="25">ROUND(B378*D378,2)</f>
        <v>4020.5</v>
      </c>
      <c r="F378" s="553"/>
    </row>
    <row r="379" spans="1:13" ht="12.75" customHeight="1">
      <c r="A379" s="551" t="s">
        <v>419</v>
      </c>
      <c r="B379" s="546">
        <v>0.91</v>
      </c>
      <c r="C379" s="547" t="s">
        <v>825</v>
      </c>
      <c r="D379" s="548">
        <f>Prec.!$C$15</f>
        <v>900</v>
      </c>
      <c r="E379" s="552">
        <f t="shared" si="25"/>
        <v>819</v>
      </c>
      <c r="F379" s="553"/>
    </row>
    <row r="380" spans="1:13" ht="12.75" customHeight="1">
      <c r="A380" s="551" t="s">
        <v>210</v>
      </c>
      <c r="B380" s="546">
        <v>6.29</v>
      </c>
      <c r="C380" s="547" t="s">
        <v>823</v>
      </c>
      <c r="D380" s="548">
        <f>Prec.!$C$48</f>
        <v>250</v>
      </c>
      <c r="E380" s="552">
        <f t="shared" si="25"/>
        <v>1572.5</v>
      </c>
      <c r="F380" s="553"/>
    </row>
    <row r="381" spans="1:13" ht="12.75" customHeight="1">
      <c r="A381" s="551" t="s">
        <v>827</v>
      </c>
      <c r="B381" s="546">
        <v>45.24</v>
      </c>
      <c r="C381" s="547" t="s">
        <v>828</v>
      </c>
      <c r="D381" s="548">
        <f>Prec.!$C$80</f>
        <v>0.68</v>
      </c>
      <c r="E381" s="552">
        <f t="shared" si="25"/>
        <v>30.76</v>
      </c>
      <c r="F381" s="553"/>
    </row>
    <row r="382" spans="1:13" ht="12.75" customHeight="1">
      <c r="A382" s="551" t="s">
        <v>452</v>
      </c>
      <c r="B382" s="546">
        <v>9.4600000000000009</v>
      </c>
      <c r="C382" s="547" t="s">
        <v>823</v>
      </c>
      <c r="D382" s="548">
        <f>Prec.!$D$391</f>
        <v>12.04</v>
      </c>
      <c r="E382" s="552">
        <f t="shared" si="25"/>
        <v>113.9</v>
      </c>
      <c r="F382" s="553"/>
    </row>
    <row r="383" spans="1:13" ht="12.75" customHeight="1">
      <c r="A383" s="551" t="s">
        <v>203</v>
      </c>
      <c r="B383" s="546">
        <v>6.29</v>
      </c>
      <c r="C383" s="547" t="s">
        <v>823</v>
      </c>
      <c r="D383" s="548">
        <f>Prec.!$D$391</f>
        <v>12.04</v>
      </c>
      <c r="E383" s="552">
        <f t="shared" si="25"/>
        <v>75.73</v>
      </c>
      <c r="F383" s="553"/>
    </row>
    <row r="384" spans="1:13" ht="12.75" customHeight="1">
      <c r="A384" s="551" t="s">
        <v>365</v>
      </c>
      <c r="B384" s="546">
        <v>0.91</v>
      </c>
      <c r="C384" s="547" t="s">
        <v>825</v>
      </c>
      <c r="D384" s="548">
        <f>Prec.!$D$378</f>
        <v>220.78</v>
      </c>
      <c r="E384" s="552">
        <f t="shared" si="25"/>
        <v>200.91</v>
      </c>
      <c r="F384" s="553"/>
    </row>
    <row r="385" spans="1:13" s="166" customFormat="1" ht="12.75" customHeight="1">
      <c r="A385" s="551" t="s">
        <v>783</v>
      </c>
      <c r="B385" s="546">
        <v>1</v>
      </c>
      <c r="C385" s="547" t="s">
        <v>825</v>
      </c>
      <c r="D385" s="548">
        <v>698.01549999999997</v>
      </c>
      <c r="E385" s="552">
        <f>ROUND(B385*D385,2)</f>
        <v>698.02</v>
      </c>
      <c r="F385" s="553"/>
      <c r="G385" s="15"/>
      <c r="H385" s="21"/>
      <c r="I385" s="15"/>
      <c r="J385" s="15"/>
      <c r="K385" s="15"/>
      <c r="L385" s="21"/>
      <c r="M385" s="15"/>
    </row>
    <row r="386" spans="1:13" ht="12.75" customHeight="1">
      <c r="A386" s="551" t="s">
        <v>208</v>
      </c>
      <c r="B386" s="546">
        <f>SUM(E378:E381)</f>
        <v>6442.76</v>
      </c>
      <c r="C386" s="547" t="s">
        <v>209</v>
      </c>
      <c r="D386" s="548">
        <v>0.02</v>
      </c>
      <c r="E386" s="552">
        <f t="shared" si="25"/>
        <v>128.86000000000001</v>
      </c>
      <c r="F386" s="553">
        <f>SUM(E378:E386)</f>
        <v>7660.1799999999994</v>
      </c>
    </row>
    <row r="387" spans="1:13" ht="12.75" customHeight="1">
      <c r="A387" s="12"/>
      <c r="B387" s="30"/>
      <c r="C387" s="24"/>
      <c r="D387" s="35"/>
      <c r="E387" s="31"/>
      <c r="F387" s="32"/>
    </row>
    <row r="388" spans="1:13" ht="12.75" hidden="1" customHeight="1">
      <c r="A388" s="13" t="s">
        <v>494</v>
      </c>
      <c r="B388" s="42" t="s">
        <v>151</v>
      </c>
      <c r="C388" s="29" t="s">
        <v>825</v>
      </c>
      <c r="D388" s="35"/>
      <c r="E388" s="31"/>
      <c r="F388" s="32"/>
    </row>
    <row r="389" spans="1:13" ht="12.75" hidden="1" customHeight="1">
      <c r="A389" s="12" t="s">
        <v>822</v>
      </c>
      <c r="B389" s="30">
        <v>6.35</v>
      </c>
      <c r="C389" s="24" t="s">
        <v>823</v>
      </c>
      <c r="D389" s="35">
        <f>Prec.!$C$5</f>
        <v>425</v>
      </c>
      <c r="E389" s="31">
        <f t="shared" ref="E389:E396" si="26">ROUND(B389*D389,2)</f>
        <v>2698.75</v>
      </c>
      <c r="F389" s="32"/>
    </row>
    <row r="390" spans="1:13" ht="12.75" hidden="1" customHeight="1">
      <c r="A390" s="12" t="s">
        <v>824</v>
      </c>
      <c r="B390" s="30">
        <v>0.54</v>
      </c>
      <c r="C390" s="24" t="s">
        <v>825</v>
      </c>
      <c r="D390" s="35">
        <f>Prec.!$C$13</f>
        <v>900</v>
      </c>
      <c r="E390" s="31">
        <f t="shared" si="26"/>
        <v>486</v>
      </c>
      <c r="F390" s="32"/>
    </row>
    <row r="391" spans="1:13" ht="12.75" hidden="1" customHeight="1">
      <c r="A391" s="12" t="s">
        <v>1308</v>
      </c>
      <c r="B391" s="30">
        <v>0.73</v>
      </c>
      <c r="C391" s="24" t="s">
        <v>825</v>
      </c>
      <c r="D391" s="35">
        <f>D313</f>
        <v>900</v>
      </c>
      <c r="E391" s="31">
        <f t="shared" si="26"/>
        <v>657</v>
      </c>
      <c r="F391" s="32"/>
    </row>
    <row r="392" spans="1:13" ht="12.75" hidden="1" customHeight="1">
      <c r="A392" s="12" t="s">
        <v>827</v>
      </c>
      <c r="B392" s="30">
        <v>64</v>
      </c>
      <c r="C392" s="24" t="s">
        <v>828</v>
      </c>
      <c r="D392" s="35">
        <f>Prec.!$C$80</f>
        <v>0.68</v>
      </c>
      <c r="E392" s="31">
        <f t="shared" si="26"/>
        <v>43.52</v>
      </c>
      <c r="F392" s="32"/>
    </row>
    <row r="393" spans="1:13" ht="12.75" hidden="1" customHeight="1">
      <c r="A393" s="12" t="s">
        <v>452</v>
      </c>
      <c r="B393" s="30">
        <v>6.35</v>
      </c>
      <c r="C393" s="24" t="s">
        <v>823</v>
      </c>
      <c r="D393" s="35">
        <f>Prec.!$D$391</f>
        <v>12.04</v>
      </c>
      <c r="E393" s="31">
        <f t="shared" si="26"/>
        <v>76.45</v>
      </c>
      <c r="F393" s="32"/>
    </row>
    <row r="394" spans="1:13" ht="12.75" hidden="1" customHeight="1">
      <c r="A394" s="12" t="s">
        <v>365</v>
      </c>
      <c r="B394" s="30">
        <v>0.54</v>
      </c>
      <c r="C394" s="24" t="s">
        <v>825</v>
      </c>
      <c r="D394" s="35">
        <f>Prec.!$D$378</f>
        <v>220.78</v>
      </c>
      <c r="E394" s="31">
        <f t="shared" si="26"/>
        <v>119.22</v>
      </c>
      <c r="F394" s="32"/>
    </row>
    <row r="395" spans="1:13" ht="12.75" hidden="1" customHeight="1">
      <c r="A395" s="12" t="s">
        <v>366</v>
      </c>
      <c r="B395" s="30">
        <v>0.73</v>
      </c>
      <c r="C395" s="24" t="s">
        <v>825</v>
      </c>
      <c r="D395" s="35">
        <f>Prec.!$D$385</f>
        <v>294.37</v>
      </c>
      <c r="E395" s="31">
        <f t="shared" si="26"/>
        <v>214.89</v>
      </c>
      <c r="F395" s="32"/>
    </row>
    <row r="396" spans="1:13" ht="12.75" hidden="1" customHeight="1">
      <c r="A396" s="12" t="s">
        <v>208</v>
      </c>
      <c r="B396" s="30">
        <f>SUM(E389:E395)</f>
        <v>4295.83</v>
      </c>
      <c r="C396" s="24" t="s">
        <v>209</v>
      </c>
      <c r="D396" s="35">
        <f>Prec.!C302</f>
        <v>1.4999999999999999E-2</v>
      </c>
      <c r="E396" s="31">
        <f t="shared" si="26"/>
        <v>64.44</v>
      </c>
      <c r="F396" s="32">
        <f>SUM(E389:E396)</f>
        <v>4360.2699999999995</v>
      </c>
    </row>
    <row r="397" spans="1:13" s="166" customFormat="1" ht="12.75" hidden="1" customHeight="1">
      <c r="A397" s="12"/>
      <c r="B397" s="30"/>
      <c r="C397" s="24"/>
      <c r="D397" s="35"/>
      <c r="E397" s="31"/>
      <c r="F397" s="32"/>
      <c r="G397" s="15"/>
      <c r="H397" s="21"/>
      <c r="I397" s="15"/>
      <c r="J397" s="15"/>
      <c r="K397" s="15"/>
      <c r="L397" s="21"/>
      <c r="M397" s="15"/>
    </row>
    <row r="398" spans="1:13" ht="12.75" hidden="1" customHeight="1">
      <c r="A398" s="513" t="s">
        <v>495</v>
      </c>
      <c r="B398" s="505" t="s">
        <v>151</v>
      </c>
      <c r="C398" s="506" t="s">
        <v>825</v>
      </c>
      <c r="D398" s="507"/>
      <c r="E398" s="508"/>
      <c r="F398" s="509"/>
    </row>
    <row r="399" spans="1:13" ht="12.75" hidden="1" customHeight="1">
      <c r="A399" s="512" t="s">
        <v>822</v>
      </c>
      <c r="B399" s="510">
        <v>7.53</v>
      </c>
      <c r="C399" s="511" t="s">
        <v>823</v>
      </c>
      <c r="D399" s="507">
        <f>Prec.!$C$5</f>
        <v>425</v>
      </c>
      <c r="E399" s="508">
        <f t="shared" ref="E399:E407" si="27">ROUND(B399*D399,2)</f>
        <v>3200.25</v>
      </c>
      <c r="F399" s="509"/>
    </row>
    <row r="400" spans="1:13" ht="12.75" hidden="1" customHeight="1">
      <c r="A400" s="512" t="s">
        <v>824</v>
      </c>
      <c r="B400" s="510">
        <v>0.52400000000000002</v>
      </c>
      <c r="C400" s="511" t="s">
        <v>825</v>
      </c>
      <c r="D400" s="507">
        <f>Prec.!$C$13</f>
        <v>900</v>
      </c>
      <c r="E400" s="508">
        <f t="shared" si="27"/>
        <v>471.6</v>
      </c>
      <c r="F400" s="509"/>
    </row>
    <row r="401" spans="1:13" ht="12.75" hidden="1" customHeight="1">
      <c r="A401" s="512" t="s">
        <v>1308</v>
      </c>
      <c r="B401" s="510">
        <v>0.72599999999999998</v>
      </c>
      <c r="C401" s="511" t="s">
        <v>825</v>
      </c>
      <c r="D401" s="507">
        <f>D391</f>
        <v>900</v>
      </c>
      <c r="E401" s="508">
        <f t="shared" si="27"/>
        <v>653.4</v>
      </c>
      <c r="F401" s="509"/>
    </row>
    <row r="402" spans="1:13" ht="12.75" hidden="1" customHeight="1">
      <c r="A402" s="512" t="s">
        <v>827</v>
      </c>
      <c r="B402" s="510">
        <v>54.65</v>
      </c>
      <c r="C402" s="511" t="s">
        <v>828</v>
      </c>
      <c r="D402" s="507">
        <f>Prec.!$C$80</f>
        <v>0.68</v>
      </c>
      <c r="E402" s="508">
        <f t="shared" si="27"/>
        <v>37.159999999999997</v>
      </c>
      <c r="F402" s="509"/>
    </row>
    <row r="403" spans="1:13" ht="12.75" hidden="1" customHeight="1">
      <c r="A403" s="512" t="s">
        <v>452</v>
      </c>
      <c r="B403" s="510">
        <v>7.53</v>
      </c>
      <c r="C403" s="511" t="s">
        <v>823</v>
      </c>
      <c r="D403" s="507">
        <f>Prec.!$D$391</f>
        <v>12.04</v>
      </c>
      <c r="E403" s="508">
        <f t="shared" si="27"/>
        <v>90.66</v>
      </c>
      <c r="F403" s="509"/>
    </row>
    <row r="404" spans="1:13" ht="12.75" hidden="1" customHeight="1">
      <c r="A404" s="512" t="s">
        <v>365</v>
      </c>
      <c r="B404" s="510">
        <v>0.52400000000000002</v>
      </c>
      <c r="C404" s="511" t="s">
        <v>825</v>
      </c>
      <c r="D404" s="507">
        <f>Prec.!$D$378</f>
        <v>220.78</v>
      </c>
      <c r="E404" s="508">
        <f t="shared" si="27"/>
        <v>115.69</v>
      </c>
      <c r="F404" s="509"/>
    </row>
    <row r="405" spans="1:13" ht="12.75" hidden="1" customHeight="1">
      <c r="A405" s="512" t="s">
        <v>366</v>
      </c>
      <c r="B405" s="510">
        <v>0.72599999999999998</v>
      </c>
      <c r="C405" s="511" t="s">
        <v>825</v>
      </c>
      <c r="D405" s="507">
        <f>Prec.!$D$385</f>
        <v>294.37</v>
      </c>
      <c r="E405" s="508">
        <f t="shared" si="27"/>
        <v>213.71</v>
      </c>
      <c r="F405" s="509"/>
    </row>
    <row r="406" spans="1:13" s="166" customFormat="1" ht="12.75" hidden="1" customHeight="1">
      <c r="A406" s="512" t="s">
        <v>783</v>
      </c>
      <c r="B406" s="510">
        <v>1</v>
      </c>
      <c r="C406" s="511" t="s">
        <v>825</v>
      </c>
      <c r="D406" s="507">
        <v>698.01549999999997</v>
      </c>
      <c r="E406" s="508">
        <f>ROUND(B406*D406,2)</f>
        <v>698.02</v>
      </c>
      <c r="F406" s="509"/>
      <c r="G406" s="15"/>
      <c r="H406" s="21"/>
      <c r="I406" s="15"/>
      <c r="J406" s="15"/>
      <c r="K406" s="15"/>
      <c r="L406" s="21"/>
      <c r="M406" s="15"/>
    </row>
    <row r="407" spans="1:13" ht="12.75" hidden="1" customHeight="1">
      <c r="A407" s="512" t="s">
        <v>208</v>
      </c>
      <c r="B407" s="510">
        <f>SUM(E399:E402)</f>
        <v>4362.41</v>
      </c>
      <c r="C407" s="511" t="s">
        <v>209</v>
      </c>
      <c r="D407" s="507">
        <v>0.02</v>
      </c>
      <c r="E407" s="508">
        <f t="shared" si="27"/>
        <v>87.25</v>
      </c>
      <c r="F407" s="509">
        <f>SUM(E399:E407)</f>
        <v>5567.74</v>
      </c>
    </row>
    <row r="408" spans="1:13" ht="12.75" hidden="1" customHeight="1">
      <c r="A408" s="12"/>
      <c r="B408" s="30"/>
      <c r="C408" s="24"/>
      <c r="D408" s="35"/>
      <c r="E408" s="31"/>
      <c r="F408" s="32"/>
    </row>
    <row r="409" spans="1:13" ht="12.75" hidden="1" customHeight="1">
      <c r="A409" s="13" t="s">
        <v>496</v>
      </c>
      <c r="B409" s="42" t="s">
        <v>151</v>
      </c>
      <c r="C409" s="29" t="s">
        <v>825</v>
      </c>
      <c r="D409" s="35"/>
      <c r="E409" s="31"/>
      <c r="F409" s="32"/>
    </row>
    <row r="410" spans="1:13" ht="12.75" hidden="1" customHeight="1">
      <c r="A410" s="12" t="s">
        <v>822</v>
      </c>
      <c r="B410" s="30">
        <v>7.84</v>
      </c>
      <c r="C410" s="24" t="s">
        <v>823</v>
      </c>
      <c r="D410" s="35">
        <f>Prec.!$C$5</f>
        <v>425</v>
      </c>
      <c r="E410" s="31">
        <f t="shared" ref="E410:E417" si="28">ROUND(B410*D410,2)</f>
        <v>3332</v>
      </c>
      <c r="F410" s="32"/>
    </row>
    <row r="411" spans="1:13" ht="12.75" hidden="1" customHeight="1">
      <c r="A411" s="12" t="s">
        <v>824</v>
      </c>
      <c r="B411" s="30">
        <v>0.51800000000000002</v>
      </c>
      <c r="C411" s="24" t="s">
        <v>825</v>
      </c>
      <c r="D411" s="35">
        <f>Prec.!$C$13</f>
        <v>900</v>
      </c>
      <c r="E411" s="31">
        <f t="shared" si="28"/>
        <v>466.2</v>
      </c>
      <c r="F411" s="32"/>
    </row>
    <row r="412" spans="1:13" ht="12.75" hidden="1" customHeight="1">
      <c r="A412" s="12" t="s">
        <v>1308</v>
      </c>
      <c r="B412" s="30">
        <v>0.72399999999999998</v>
      </c>
      <c r="C412" s="24" t="s">
        <v>825</v>
      </c>
      <c r="D412" s="35">
        <f>D401</f>
        <v>900</v>
      </c>
      <c r="E412" s="31">
        <f t="shared" si="28"/>
        <v>651.6</v>
      </c>
      <c r="F412" s="32"/>
    </row>
    <row r="413" spans="1:13" ht="12.75" hidden="1" customHeight="1">
      <c r="A413" s="12" t="s">
        <v>827</v>
      </c>
      <c r="B413" s="30">
        <v>55.44</v>
      </c>
      <c r="C413" s="24" t="s">
        <v>828</v>
      </c>
      <c r="D413" s="35">
        <f>Prec.!$C$80</f>
        <v>0.68</v>
      </c>
      <c r="E413" s="31">
        <f t="shared" si="28"/>
        <v>37.700000000000003</v>
      </c>
      <c r="F413" s="32"/>
    </row>
    <row r="414" spans="1:13" ht="12.75" hidden="1" customHeight="1">
      <c r="A414" s="12" t="s">
        <v>452</v>
      </c>
      <c r="B414" s="30">
        <v>7.84</v>
      </c>
      <c r="C414" s="24" t="s">
        <v>823</v>
      </c>
      <c r="D414" s="35">
        <f>Prec.!$D$391</f>
        <v>12.04</v>
      </c>
      <c r="E414" s="31">
        <f t="shared" si="28"/>
        <v>94.39</v>
      </c>
      <c r="F414" s="32"/>
    </row>
    <row r="415" spans="1:13" ht="12.75" hidden="1" customHeight="1">
      <c r="A415" s="12" t="s">
        <v>365</v>
      </c>
      <c r="B415" s="30">
        <v>0.51800000000000002</v>
      </c>
      <c r="C415" s="24" t="s">
        <v>825</v>
      </c>
      <c r="D415" s="35">
        <f>Prec.!$D$378</f>
        <v>220.78</v>
      </c>
      <c r="E415" s="31">
        <f t="shared" si="28"/>
        <v>114.36</v>
      </c>
      <c r="F415" s="32"/>
    </row>
    <row r="416" spans="1:13" ht="12.75" hidden="1" customHeight="1">
      <c r="A416" s="12" t="s">
        <v>366</v>
      </c>
      <c r="B416" s="30">
        <v>0.72399999999999998</v>
      </c>
      <c r="C416" s="24" t="s">
        <v>825</v>
      </c>
      <c r="D416" s="35">
        <f>Prec.!$D$385</f>
        <v>294.37</v>
      </c>
      <c r="E416" s="31">
        <f t="shared" si="28"/>
        <v>213.12</v>
      </c>
      <c r="F416" s="32"/>
    </row>
    <row r="417" spans="1:6" ht="12.75" hidden="1" customHeight="1">
      <c r="A417" s="12" t="s">
        <v>208</v>
      </c>
      <c r="B417" s="30">
        <f>SUM(E410:E416)</f>
        <v>4909.37</v>
      </c>
      <c r="C417" s="24" t="s">
        <v>209</v>
      </c>
      <c r="D417" s="35">
        <f>Prec.!C302</f>
        <v>1.4999999999999999E-2</v>
      </c>
      <c r="E417" s="31">
        <f t="shared" si="28"/>
        <v>73.64</v>
      </c>
      <c r="F417" s="32">
        <f>SUM(E410:E417)</f>
        <v>4983.01</v>
      </c>
    </row>
    <row r="418" spans="1:6" ht="12.75" hidden="1" customHeight="1">
      <c r="A418" s="12"/>
      <c r="B418" s="30"/>
      <c r="C418" s="24"/>
      <c r="D418" s="35"/>
      <c r="E418" s="31"/>
      <c r="F418" s="32"/>
    </row>
    <row r="419" spans="1:6" ht="12.75" hidden="1" customHeight="1">
      <c r="A419" s="13" t="s">
        <v>675</v>
      </c>
      <c r="B419" s="42" t="s">
        <v>151</v>
      </c>
      <c r="C419" s="29" t="s">
        <v>825</v>
      </c>
      <c r="D419" s="35"/>
      <c r="E419" s="31"/>
      <c r="F419" s="32"/>
    </row>
    <row r="420" spans="1:6" ht="12.75" hidden="1" customHeight="1">
      <c r="A420" s="12" t="s">
        <v>822</v>
      </c>
      <c r="B420" s="30">
        <v>8</v>
      </c>
      <c r="C420" s="24" t="s">
        <v>823</v>
      </c>
      <c r="D420" s="35">
        <f>Prec.!$C$5</f>
        <v>425</v>
      </c>
      <c r="E420" s="31">
        <f t="shared" ref="E420:E427" si="29">ROUND(B420*D420,2)</f>
        <v>3400</v>
      </c>
      <c r="F420" s="32"/>
    </row>
    <row r="421" spans="1:6" ht="12.75" hidden="1" customHeight="1">
      <c r="A421" s="12" t="s">
        <v>824</v>
      </c>
      <c r="B421" s="30">
        <v>0.51600000000000001</v>
      </c>
      <c r="C421" s="24" t="s">
        <v>825</v>
      </c>
      <c r="D421" s="35">
        <f>Prec.!$C$13</f>
        <v>900</v>
      </c>
      <c r="E421" s="31">
        <f t="shared" si="29"/>
        <v>464.4</v>
      </c>
      <c r="F421" s="32"/>
    </row>
    <row r="422" spans="1:6" ht="12.75" hidden="1" customHeight="1">
      <c r="A422" s="12" t="s">
        <v>1308</v>
      </c>
      <c r="B422" s="30">
        <v>0.71899999999999997</v>
      </c>
      <c r="C422" s="24" t="s">
        <v>825</v>
      </c>
      <c r="D422" s="35">
        <f>D412</f>
        <v>900</v>
      </c>
      <c r="E422" s="31">
        <f t="shared" si="29"/>
        <v>647.1</v>
      </c>
      <c r="F422" s="32"/>
    </row>
    <row r="423" spans="1:6" ht="12.75" hidden="1" customHeight="1">
      <c r="A423" s="12" t="s">
        <v>827</v>
      </c>
      <c r="B423" s="30">
        <v>54.65</v>
      </c>
      <c r="C423" s="24" t="s">
        <v>828</v>
      </c>
      <c r="D423" s="35">
        <f>Prec.!$C$80</f>
        <v>0.68</v>
      </c>
      <c r="E423" s="31">
        <f t="shared" si="29"/>
        <v>37.159999999999997</v>
      </c>
      <c r="F423" s="32"/>
    </row>
    <row r="424" spans="1:6" ht="12.75" hidden="1" customHeight="1">
      <c r="A424" s="12" t="s">
        <v>452</v>
      </c>
      <c r="B424" s="30">
        <v>8</v>
      </c>
      <c r="C424" s="24" t="s">
        <v>823</v>
      </c>
      <c r="D424" s="35">
        <f>Prec.!$D$391</f>
        <v>12.04</v>
      </c>
      <c r="E424" s="31">
        <f t="shared" si="29"/>
        <v>96.32</v>
      </c>
      <c r="F424" s="32"/>
    </row>
    <row r="425" spans="1:6" ht="12.75" hidden="1" customHeight="1">
      <c r="A425" s="12" t="s">
        <v>365</v>
      </c>
      <c r="B425" s="30">
        <v>0.51600000000000001</v>
      </c>
      <c r="C425" s="24" t="s">
        <v>825</v>
      </c>
      <c r="D425" s="35">
        <f>Prec.!$D$378</f>
        <v>220.78</v>
      </c>
      <c r="E425" s="31">
        <f t="shared" si="29"/>
        <v>113.92</v>
      </c>
      <c r="F425" s="32"/>
    </row>
    <row r="426" spans="1:6" ht="12.75" hidden="1" customHeight="1">
      <c r="A426" s="12" t="s">
        <v>366</v>
      </c>
      <c r="B426" s="30">
        <v>0.71899999999999997</v>
      </c>
      <c r="C426" s="24" t="s">
        <v>825</v>
      </c>
      <c r="D426" s="35">
        <f>Prec.!$D$385</f>
        <v>294.37</v>
      </c>
      <c r="E426" s="31">
        <f t="shared" si="29"/>
        <v>211.65</v>
      </c>
      <c r="F426" s="32"/>
    </row>
    <row r="427" spans="1:6" ht="12.75" hidden="1" customHeight="1">
      <c r="A427" s="12" t="s">
        <v>208</v>
      </c>
      <c r="B427" s="30">
        <f>SUM(E420:E426)</f>
        <v>4970.5499999999993</v>
      </c>
      <c r="C427" s="24" t="s">
        <v>209</v>
      </c>
      <c r="D427" s="35">
        <f>Prec.!C302</f>
        <v>1.4999999999999999E-2</v>
      </c>
      <c r="E427" s="31">
        <f t="shared" si="29"/>
        <v>74.56</v>
      </c>
      <c r="F427" s="32">
        <f>SUM(E420:E427)</f>
        <v>5045.1099999999997</v>
      </c>
    </row>
    <row r="428" spans="1:6" ht="12.75" hidden="1" customHeight="1">
      <c r="A428" s="12"/>
      <c r="B428" s="30"/>
      <c r="C428" s="24"/>
      <c r="D428" s="35"/>
      <c r="E428" s="31"/>
      <c r="F428" s="32"/>
    </row>
    <row r="429" spans="1:6" ht="12.75" hidden="1" customHeight="1">
      <c r="A429" s="13" t="s">
        <v>676</v>
      </c>
      <c r="B429" s="42" t="s">
        <v>151</v>
      </c>
      <c r="C429" s="29" t="s">
        <v>825</v>
      </c>
      <c r="D429" s="35"/>
      <c r="E429" s="31"/>
      <c r="F429" s="32"/>
    </row>
    <row r="430" spans="1:6" ht="12.75" hidden="1" customHeight="1">
      <c r="A430" s="12" t="s">
        <v>822</v>
      </c>
      <c r="B430" s="30">
        <v>8.31</v>
      </c>
      <c r="C430" s="24" t="s">
        <v>823</v>
      </c>
      <c r="D430" s="35">
        <f>Prec.!$C$5</f>
        <v>425</v>
      </c>
      <c r="E430" s="31">
        <f t="shared" ref="E430:E438" si="30">ROUND(B430*D430,2)</f>
        <v>3531.75</v>
      </c>
      <c r="F430" s="32"/>
    </row>
    <row r="431" spans="1:6" ht="12.75" hidden="1" customHeight="1">
      <c r="A431" s="12" t="s">
        <v>824</v>
      </c>
      <c r="B431" s="30">
        <v>0.51200000000000001</v>
      </c>
      <c r="C431" s="24" t="s">
        <v>825</v>
      </c>
      <c r="D431" s="35">
        <f>Prec.!$C$13</f>
        <v>900</v>
      </c>
      <c r="E431" s="31">
        <f t="shared" si="30"/>
        <v>460.8</v>
      </c>
      <c r="F431" s="32"/>
    </row>
    <row r="432" spans="1:6" ht="12.75" hidden="1" customHeight="1">
      <c r="A432" s="12" t="s">
        <v>1308</v>
      </c>
      <c r="B432" s="30">
        <v>0.71</v>
      </c>
      <c r="C432" s="24" t="s">
        <v>825</v>
      </c>
      <c r="D432" s="35">
        <f>D422</f>
        <v>900</v>
      </c>
      <c r="E432" s="31">
        <f t="shared" si="30"/>
        <v>639</v>
      </c>
      <c r="F432" s="32"/>
    </row>
    <row r="433" spans="1:13" ht="12.75" hidden="1" customHeight="1">
      <c r="A433" s="12" t="s">
        <v>827</v>
      </c>
      <c r="B433" s="30">
        <v>53.06</v>
      </c>
      <c r="C433" s="24" t="s">
        <v>828</v>
      </c>
      <c r="D433" s="35">
        <f>Prec.!$C$80</f>
        <v>0.68</v>
      </c>
      <c r="E433" s="31">
        <f t="shared" si="30"/>
        <v>36.08</v>
      </c>
      <c r="F433" s="32"/>
    </row>
    <row r="434" spans="1:13" ht="12.75" hidden="1" customHeight="1">
      <c r="A434" s="12" t="s">
        <v>452</v>
      </c>
      <c r="B434" s="30">
        <v>8.31</v>
      </c>
      <c r="C434" s="24" t="s">
        <v>823</v>
      </c>
      <c r="D434" s="35">
        <f>Prec.!$D$391</f>
        <v>12.04</v>
      </c>
      <c r="E434" s="31">
        <f t="shared" si="30"/>
        <v>100.05</v>
      </c>
      <c r="F434" s="32"/>
    </row>
    <row r="435" spans="1:13" ht="12.75" hidden="1" customHeight="1">
      <c r="A435" s="12" t="s">
        <v>365</v>
      </c>
      <c r="B435" s="30">
        <v>0.51200000000000001</v>
      </c>
      <c r="C435" s="24" t="s">
        <v>825</v>
      </c>
      <c r="D435" s="35">
        <f>Prec.!$D$378</f>
        <v>220.78</v>
      </c>
      <c r="E435" s="31">
        <f t="shared" si="30"/>
        <v>113.04</v>
      </c>
      <c r="F435" s="32"/>
    </row>
    <row r="436" spans="1:13" ht="12.75" hidden="1" customHeight="1">
      <c r="A436" s="12" t="s">
        <v>366</v>
      </c>
      <c r="B436" s="30">
        <v>0.71</v>
      </c>
      <c r="C436" s="24" t="s">
        <v>825</v>
      </c>
      <c r="D436" s="35">
        <f>Prec.!$D$385</f>
        <v>294.37</v>
      </c>
      <c r="E436" s="31">
        <f t="shared" si="30"/>
        <v>209</v>
      </c>
      <c r="F436" s="32"/>
    </row>
    <row r="437" spans="1:13" s="166" customFormat="1" ht="12.75" hidden="1" customHeight="1">
      <c r="A437" s="12" t="s">
        <v>783</v>
      </c>
      <c r="B437" s="30">
        <v>1</v>
      </c>
      <c r="C437" s="24" t="s">
        <v>825</v>
      </c>
      <c r="D437" s="35">
        <v>698.01549999999997</v>
      </c>
      <c r="E437" s="31">
        <f>ROUND(B437*D437,2)</f>
        <v>698.02</v>
      </c>
      <c r="F437" s="32"/>
      <c r="G437" s="15"/>
      <c r="H437" s="21"/>
      <c r="I437" s="15"/>
      <c r="J437" s="15"/>
      <c r="K437" s="15"/>
      <c r="L437" s="21"/>
      <c r="M437" s="15"/>
    </row>
    <row r="438" spans="1:13" ht="12.75" hidden="1" customHeight="1">
      <c r="A438" s="12" t="s">
        <v>208</v>
      </c>
      <c r="B438" s="30">
        <f>SUM(E430:E436)</f>
        <v>5089.72</v>
      </c>
      <c r="C438" s="24" t="s">
        <v>209</v>
      </c>
      <c r="D438" s="35">
        <v>0.02</v>
      </c>
      <c r="E438" s="31">
        <f t="shared" si="30"/>
        <v>101.79</v>
      </c>
      <c r="F438" s="32">
        <f>SUM(E430:E438)</f>
        <v>5889.53</v>
      </c>
    </row>
    <row r="439" spans="1:13" ht="12.75" hidden="1" customHeight="1">
      <c r="A439" s="12"/>
      <c r="B439" s="30"/>
      <c r="C439" s="24"/>
      <c r="D439" s="35"/>
      <c r="E439" s="31"/>
      <c r="F439" s="32"/>
    </row>
    <row r="440" spans="1:13" ht="12.75" hidden="1" customHeight="1">
      <c r="A440" s="13" t="s">
        <v>677</v>
      </c>
      <c r="B440" s="42" t="s">
        <v>151</v>
      </c>
      <c r="C440" s="29" t="s">
        <v>825</v>
      </c>
      <c r="D440" s="35"/>
      <c r="E440" s="31"/>
      <c r="F440" s="32"/>
    </row>
    <row r="441" spans="1:13" ht="12.75" hidden="1" customHeight="1">
      <c r="A441" s="12" t="s">
        <v>822</v>
      </c>
      <c r="B441" s="30">
        <v>8.61</v>
      </c>
      <c r="C441" s="24" t="s">
        <v>823</v>
      </c>
      <c r="D441" s="35">
        <f>Prec.!$C$5</f>
        <v>425</v>
      </c>
      <c r="E441" s="31">
        <f t="shared" ref="E441:E448" si="31">ROUND(B441*D441,2)</f>
        <v>3659.25</v>
      </c>
      <c r="F441" s="32"/>
    </row>
    <row r="442" spans="1:13" ht="12.75" hidden="1" customHeight="1">
      <c r="A442" s="12" t="s">
        <v>824</v>
      </c>
      <c r="B442" s="30">
        <v>0.50800000000000001</v>
      </c>
      <c r="C442" s="24" t="s">
        <v>825</v>
      </c>
      <c r="D442" s="35">
        <f>Prec.!$C$13</f>
        <v>900</v>
      </c>
      <c r="E442" s="31">
        <f t="shared" si="31"/>
        <v>457.2</v>
      </c>
      <c r="F442" s="32"/>
    </row>
    <row r="443" spans="1:13" ht="12.75" hidden="1" customHeight="1">
      <c r="A443" s="12" t="s">
        <v>1308</v>
      </c>
      <c r="B443" s="30">
        <v>0.70199999999999996</v>
      </c>
      <c r="C443" s="24" t="s">
        <v>825</v>
      </c>
      <c r="D443" s="35">
        <f>D432</f>
        <v>900</v>
      </c>
      <c r="E443" s="31">
        <f t="shared" si="31"/>
        <v>631.79999999999995</v>
      </c>
      <c r="F443" s="32"/>
    </row>
    <row r="444" spans="1:13" ht="12.75" hidden="1" customHeight="1">
      <c r="A444" s="12" t="s">
        <v>827</v>
      </c>
      <c r="B444" s="30">
        <v>51.48</v>
      </c>
      <c r="C444" s="24" t="s">
        <v>828</v>
      </c>
      <c r="D444" s="35">
        <f>Prec.!$C$80</f>
        <v>0.68</v>
      </c>
      <c r="E444" s="31">
        <f t="shared" si="31"/>
        <v>35.01</v>
      </c>
      <c r="F444" s="32"/>
    </row>
    <row r="445" spans="1:13" ht="12.75" hidden="1" customHeight="1">
      <c r="A445" s="12" t="s">
        <v>452</v>
      </c>
      <c r="B445" s="30">
        <v>8.61</v>
      </c>
      <c r="C445" s="24" t="s">
        <v>823</v>
      </c>
      <c r="D445" s="35">
        <f>Prec.!$D$391</f>
        <v>12.04</v>
      </c>
      <c r="E445" s="31">
        <f t="shared" si="31"/>
        <v>103.66</v>
      </c>
      <c r="F445" s="32"/>
    </row>
    <row r="446" spans="1:13" ht="12.75" hidden="1" customHeight="1">
      <c r="A446" s="12" t="s">
        <v>365</v>
      </c>
      <c r="B446" s="30">
        <v>0.50800000000000001</v>
      </c>
      <c r="C446" s="24" t="s">
        <v>825</v>
      </c>
      <c r="D446" s="35">
        <f>Prec.!$D$378</f>
        <v>220.78</v>
      </c>
      <c r="E446" s="31">
        <f t="shared" si="31"/>
        <v>112.16</v>
      </c>
      <c r="F446" s="32"/>
    </row>
    <row r="447" spans="1:13" ht="12.75" hidden="1" customHeight="1">
      <c r="A447" s="12" t="s">
        <v>366</v>
      </c>
      <c r="B447" s="30">
        <v>0.70199999999999996</v>
      </c>
      <c r="C447" s="24" t="s">
        <v>825</v>
      </c>
      <c r="D447" s="35">
        <f>Prec.!$D$385</f>
        <v>294.37</v>
      </c>
      <c r="E447" s="31">
        <f t="shared" si="31"/>
        <v>206.65</v>
      </c>
      <c r="F447" s="32"/>
    </row>
    <row r="448" spans="1:13" ht="12.75" hidden="1" customHeight="1">
      <c r="A448" s="12" t="s">
        <v>208</v>
      </c>
      <c r="B448" s="30">
        <f>SUM(E441:E447)</f>
        <v>5205.7299999999996</v>
      </c>
      <c r="C448" s="24" t="s">
        <v>209</v>
      </c>
      <c r="D448" s="35">
        <f>Prec.!C302</f>
        <v>1.4999999999999999E-2</v>
      </c>
      <c r="E448" s="31">
        <f t="shared" si="31"/>
        <v>78.09</v>
      </c>
      <c r="F448" s="32">
        <f>SUM(E441:E448)</f>
        <v>5283.82</v>
      </c>
    </row>
    <row r="449" spans="1:13" ht="12.75" hidden="1" customHeight="1">
      <c r="A449" s="12"/>
      <c r="B449" s="30"/>
      <c r="C449" s="24"/>
      <c r="D449" s="35"/>
      <c r="E449" s="31"/>
      <c r="F449" s="32"/>
    </row>
    <row r="450" spans="1:13" ht="12.75" customHeight="1">
      <c r="A450" s="545" t="s">
        <v>678</v>
      </c>
      <c r="B450" s="555" t="s">
        <v>151</v>
      </c>
      <c r="C450" s="556" t="s">
        <v>825</v>
      </c>
      <c r="D450" s="548"/>
      <c r="E450" s="552"/>
      <c r="F450" s="553"/>
    </row>
    <row r="451" spans="1:13" ht="12.75" customHeight="1">
      <c r="A451" s="551" t="s">
        <v>822</v>
      </c>
      <c r="B451" s="546">
        <v>8.94</v>
      </c>
      <c r="C451" s="547" t="s">
        <v>823</v>
      </c>
      <c r="D451" s="548">
        <f>Prec.!$C$5</f>
        <v>425</v>
      </c>
      <c r="E451" s="552">
        <f t="shared" ref="E451:E459" si="32">ROUND(B451*D451,2)</f>
        <v>3799.5</v>
      </c>
      <c r="F451" s="553"/>
    </row>
    <row r="452" spans="1:13" ht="12.75" customHeight="1">
      <c r="A452" s="551" t="s">
        <v>824</v>
      </c>
      <c r="B452" s="546">
        <v>0.505</v>
      </c>
      <c r="C452" s="547" t="s">
        <v>825</v>
      </c>
      <c r="D452" s="548">
        <f>Prec.!$C$13</f>
        <v>900</v>
      </c>
      <c r="E452" s="552">
        <f t="shared" si="32"/>
        <v>454.5</v>
      </c>
      <c r="F452" s="553"/>
    </row>
    <row r="453" spans="1:13" ht="12.75" customHeight="1">
      <c r="A453" s="551" t="s">
        <v>1308</v>
      </c>
      <c r="B453" s="546">
        <v>0.69899999999999995</v>
      </c>
      <c r="C453" s="547" t="s">
        <v>825</v>
      </c>
      <c r="D453" s="548">
        <f>D443</f>
        <v>900</v>
      </c>
      <c r="E453" s="552">
        <f t="shared" si="32"/>
        <v>629.1</v>
      </c>
      <c r="F453" s="553"/>
    </row>
    <row r="454" spans="1:13" ht="12.75" customHeight="1">
      <c r="A454" s="551" t="s">
        <v>827</v>
      </c>
      <c r="B454" s="546">
        <v>51.22</v>
      </c>
      <c r="C454" s="547" t="s">
        <v>828</v>
      </c>
      <c r="D454" s="548">
        <f>Prec.!$C$80</f>
        <v>0.68</v>
      </c>
      <c r="E454" s="552">
        <f t="shared" si="32"/>
        <v>34.83</v>
      </c>
      <c r="F454" s="553"/>
    </row>
    <row r="455" spans="1:13" ht="12.75" customHeight="1">
      <c r="A455" s="551" t="s">
        <v>452</v>
      </c>
      <c r="B455" s="546">
        <v>8.94</v>
      </c>
      <c r="C455" s="547" t="s">
        <v>823</v>
      </c>
      <c r="D455" s="548">
        <f>Prec.!$D$391</f>
        <v>12.04</v>
      </c>
      <c r="E455" s="552">
        <f t="shared" si="32"/>
        <v>107.64</v>
      </c>
      <c r="F455" s="553"/>
    </row>
    <row r="456" spans="1:13" ht="12.75" customHeight="1">
      <c r="A456" s="551" t="s">
        <v>365</v>
      </c>
      <c r="B456" s="546">
        <v>0.505</v>
      </c>
      <c r="C456" s="547" t="s">
        <v>825</v>
      </c>
      <c r="D456" s="548">
        <f>Prec.!$D$378</f>
        <v>220.78</v>
      </c>
      <c r="E456" s="552">
        <f t="shared" si="32"/>
        <v>111.49</v>
      </c>
      <c r="F456" s="553"/>
    </row>
    <row r="457" spans="1:13" ht="12.75" customHeight="1">
      <c r="A457" s="551" t="s">
        <v>366</v>
      </c>
      <c r="B457" s="546">
        <v>0.69899999999999995</v>
      </c>
      <c r="C457" s="547" t="s">
        <v>825</v>
      </c>
      <c r="D457" s="548">
        <f>Prec.!$D$385</f>
        <v>294.37</v>
      </c>
      <c r="E457" s="552">
        <f t="shared" si="32"/>
        <v>205.76</v>
      </c>
      <c r="F457" s="553"/>
    </row>
    <row r="458" spans="1:13" s="166" customFormat="1" ht="12.75" customHeight="1">
      <c r="A458" s="551" t="s">
        <v>783</v>
      </c>
      <c r="B458" s="546">
        <v>1</v>
      </c>
      <c r="C458" s="547" t="s">
        <v>825</v>
      </c>
      <c r="D458" s="548">
        <v>698.01549999999997</v>
      </c>
      <c r="E458" s="552">
        <f>ROUND(B458*D458,2)</f>
        <v>698.02</v>
      </c>
      <c r="F458" s="553"/>
      <c r="G458" s="15"/>
      <c r="H458" s="21"/>
      <c r="I458" s="15"/>
      <c r="J458" s="15"/>
      <c r="K458" s="15"/>
      <c r="L458" s="21"/>
      <c r="M458" s="15"/>
    </row>
    <row r="459" spans="1:13" ht="12.75" customHeight="1">
      <c r="A459" s="551" t="s">
        <v>208</v>
      </c>
      <c r="B459" s="546">
        <f>SUM(E451:E454)</f>
        <v>4917.93</v>
      </c>
      <c r="C459" s="547" t="s">
        <v>209</v>
      </c>
      <c r="D459" s="548">
        <v>0.02</v>
      </c>
      <c r="E459" s="552">
        <f t="shared" si="32"/>
        <v>98.36</v>
      </c>
      <c r="F459" s="553">
        <f>SUM(E451:E459)</f>
        <v>6139.2</v>
      </c>
    </row>
    <row r="460" spans="1:13" ht="12.75" customHeight="1">
      <c r="A460" s="12"/>
      <c r="B460" s="30"/>
      <c r="C460" s="24"/>
      <c r="D460" s="35"/>
      <c r="E460" s="31"/>
      <c r="F460" s="32"/>
    </row>
    <row r="461" spans="1:13" ht="12.75" hidden="1" customHeight="1">
      <c r="A461" s="13" t="s">
        <v>596</v>
      </c>
      <c r="B461" s="42" t="s">
        <v>151</v>
      </c>
      <c r="C461" s="29" t="s">
        <v>825</v>
      </c>
      <c r="D461" s="35"/>
      <c r="E461" s="31"/>
      <c r="F461" s="32"/>
    </row>
    <row r="462" spans="1:13" ht="12.75" hidden="1" customHeight="1">
      <c r="A462" s="12" t="s">
        <v>822</v>
      </c>
      <c r="B462" s="30">
        <v>9.93</v>
      </c>
      <c r="C462" s="24" t="s">
        <v>823</v>
      </c>
      <c r="D462" s="35">
        <f>Prec.!$C$5</f>
        <v>425</v>
      </c>
      <c r="E462" s="31">
        <f t="shared" ref="E462:E469" si="33">ROUND(B462*D462,2)</f>
        <v>4220.25</v>
      </c>
      <c r="F462" s="32"/>
    </row>
    <row r="463" spans="1:13" ht="12.75" hidden="1" customHeight="1">
      <c r="A463" s="12" t="s">
        <v>824</v>
      </c>
      <c r="B463" s="30">
        <v>0.499</v>
      </c>
      <c r="C463" s="24" t="s">
        <v>825</v>
      </c>
      <c r="D463" s="35">
        <f>Prec.!$C$13</f>
        <v>900</v>
      </c>
      <c r="E463" s="31">
        <f t="shared" si="33"/>
        <v>449.1</v>
      </c>
      <c r="F463" s="32"/>
    </row>
    <row r="464" spans="1:13" ht="12.75" hidden="1" customHeight="1">
      <c r="A464" s="12" t="s">
        <v>1308</v>
      </c>
      <c r="B464" s="30">
        <v>0.69299999999999995</v>
      </c>
      <c r="C464" s="24" t="s">
        <v>825</v>
      </c>
      <c r="D464" s="35">
        <f>D453</f>
        <v>900</v>
      </c>
      <c r="E464" s="31">
        <f t="shared" si="33"/>
        <v>623.70000000000005</v>
      </c>
      <c r="F464" s="32"/>
    </row>
    <row r="465" spans="1:6" ht="12.75" hidden="1" customHeight="1">
      <c r="A465" s="12" t="s">
        <v>827</v>
      </c>
      <c r="B465" s="30">
        <v>50.42</v>
      </c>
      <c r="C465" s="24" t="s">
        <v>828</v>
      </c>
      <c r="D465" s="35">
        <f>Prec.!$C$80</f>
        <v>0.68</v>
      </c>
      <c r="E465" s="31">
        <f t="shared" si="33"/>
        <v>34.29</v>
      </c>
      <c r="F465" s="32"/>
    </row>
    <row r="466" spans="1:6" ht="12.75" hidden="1" customHeight="1">
      <c r="A466" s="12" t="s">
        <v>452</v>
      </c>
      <c r="B466" s="30">
        <v>9.93</v>
      </c>
      <c r="C466" s="24" t="s">
        <v>823</v>
      </c>
      <c r="D466" s="35">
        <f>Prec.!$D$391</f>
        <v>12.04</v>
      </c>
      <c r="E466" s="31">
        <f t="shared" si="33"/>
        <v>119.56</v>
      </c>
      <c r="F466" s="32"/>
    </row>
    <row r="467" spans="1:6" ht="12.75" hidden="1" customHeight="1">
      <c r="A467" s="12" t="s">
        <v>365</v>
      </c>
      <c r="B467" s="30">
        <v>0.499</v>
      </c>
      <c r="C467" s="24" t="s">
        <v>825</v>
      </c>
      <c r="D467" s="35">
        <f>Prec.!$D$378</f>
        <v>220.78</v>
      </c>
      <c r="E467" s="31">
        <f t="shared" si="33"/>
        <v>110.17</v>
      </c>
      <c r="F467" s="32"/>
    </row>
    <row r="468" spans="1:6" ht="12.75" hidden="1" customHeight="1">
      <c r="A468" s="12" t="s">
        <v>366</v>
      </c>
      <c r="B468" s="30">
        <v>0.69299999999999995</v>
      </c>
      <c r="C468" s="24" t="s">
        <v>825</v>
      </c>
      <c r="D468" s="35">
        <f>Prec.!$D$385</f>
        <v>294.37</v>
      </c>
      <c r="E468" s="31">
        <f t="shared" si="33"/>
        <v>204</v>
      </c>
      <c r="F468" s="32"/>
    </row>
    <row r="469" spans="1:6" ht="12.75" hidden="1" customHeight="1">
      <c r="A469" s="12" t="s">
        <v>208</v>
      </c>
      <c r="B469" s="30">
        <f>SUM(E462:E468)</f>
        <v>5761.0700000000006</v>
      </c>
      <c r="C469" s="24" t="s">
        <v>209</v>
      </c>
      <c r="D469" s="35">
        <f>Prec.!C302</f>
        <v>1.4999999999999999E-2</v>
      </c>
      <c r="E469" s="31">
        <f t="shared" si="33"/>
        <v>86.42</v>
      </c>
      <c r="F469" s="32">
        <f>SUM(E462:E469)</f>
        <v>5847.4900000000007</v>
      </c>
    </row>
    <row r="470" spans="1:6" ht="12.75" hidden="1" customHeight="1">
      <c r="A470" s="12"/>
      <c r="B470" s="30"/>
      <c r="C470" s="24"/>
      <c r="D470" s="35"/>
      <c r="E470" s="31"/>
      <c r="F470" s="32"/>
    </row>
    <row r="471" spans="1:6" ht="12.75" hidden="1" customHeight="1">
      <c r="A471" s="13" t="s">
        <v>618</v>
      </c>
      <c r="B471" s="42" t="s">
        <v>151</v>
      </c>
      <c r="C471" s="29" t="s">
        <v>825</v>
      </c>
      <c r="D471" s="35"/>
      <c r="E471" s="31"/>
      <c r="F471" s="32"/>
    </row>
    <row r="472" spans="1:6" ht="12.75" hidden="1" customHeight="1">
      <c r="A472" s="12" t="s">
        <v>822</v>
      </c>
      <c r="B472" s="30">
        <v>10.26</v>
      </c>
      <c r="C472" s="24" t="s">
        <v>823</v>
      </c>
      <c r="D472" s="35">
        <f>Prec.!$C$5</f>
        <v>425</v>
      </c>
      <c r="E472" s="31">
        <f t="shared" ref="E472:E479" si="34">ROUND(B472*D472,2)</f>
        <v>4360.5</v>
      </c>
      <c r="F472" s="32"/>
    </row>
    <row r="473" spans="1:6" ht="12.75" hidden="1" customHeight="1">
      <c r="A473" s="12" t="s">
        <v>824</v>
      </c>
      <c r="B473" s="30">
        <v>0.497</v>
      </c>
      <c r="C473" s="24" t="s">
        <v>825</v>
      </c>
      <c r="D473" s="35">
        <f>Prec.!$C$13</f>
        <v>900</v>
      </c>
      <c r="E473" s="31">
        <f t="shared" si="34"/>
        <v>447.3</v>
      </c>
      <c r="F473" s="32"/>
    </row>
    <row r="474" spans="1:6" ht="12.75" hidden="1" customHeight="1">
      <c r="A474" s="12" t="s">
        <v>1308</v>
      </c>
      <c r="B474" s="30">
        <v>0.69099999999999995</v>
      </c>
      <c r="C474" s="24" t="s">
        <v>825</v>
      </c>
      <c r="D474" s="35">
        <f>D464</f>
        <v>900</v>
      </c>
      <c r="E474" s="31">
        <f t="shared" si="34"/>
        <v>621.9</v>
      </c>
      <c r="F474" s="32"/>
    </row>
    <row r="475" spans="1:6" ht="12.75" hidden="1" customHeight="1">
      <c r="A475" s="12" t="s">
        <v>827</v>
      </c>
      <c r="B475" s="30">
        <v>50.16</v>
      </c>
      <c r="C475" s="24" t="s">
        <v>828</v>
      </c>
      <c r="D475" s="35">
        <f>Prec.!$C$80</f>
        <v>0.68</v>
      </c>
      <c r="E475" s="31">
        <f t="shared" si="34"/>
        <v>34.11</v>
      </c>
      <c r="F475" s="32"/>
    </row>
    <row r="476" spans="1:6" ht="12.75" hidden="1" customHeight="1">
      <c r="A476" s="12" t="s">
        <v>452</v>
      </c>
      <c r="B476" s="30">
        <v>10.26</v>
      </c>
      <c r="C476" s="24" t="s">
        <v>823</v>
      </c>
      <c r="D476" s="35">
        <f>Prec.!$D$391</f>
        <v>12.04</v>
      </c>
      <c r="E476" s="31">
        <f t="shared" si="34"/>
        <v>123.53</v>
      </c>
      <c r="F476" s="32"/>
    </row>
    <row r="477" spans="1:6" ht="12.75" hidden="1" customHeight="1">
      <c r="A477" s="12" t="s">
        <v>365</v>
      </c>
      <c r="B477" s="30">
        <v>0.497</v>
      </c>
      <c r="C477" s="24" t="s">
        <v>825</v>
      </c>
      <c r="D477" s="35">
        <f>Prec.!$D$378</f>
        <v>220.78</v>
      </c>
      <c r="E477" s="31">
        <f t="shared" si="34"/>
        <v>109.73</v>
      </c>
      <c r="F477" s="32"/>
    </row>
    <row r="478" spans="1:6" ht="12.75" hidden="1" customHeight="1">
      <c r="A478" s="12" t="s">
        <v>366</v>
      </c>
      <c r="B478" s="30">
        <v>0.69099999999999995</v>
      </c>
      <c r="C478" s="24" t="s">
        <v>825</v>
      </c>
      <c r="D478" s="35">
        <f>Prec.!$D$385</f>
        <v>294.37</v>
      </c>
      <c r="E478" s="31">
        <f t="shared" si="34"/>
        <v>203.41</v>
      </c>
      <c r="F478" s="32"/>
    </row>
    <row r="479" spans="1:6" ht="12.75" hidden="1" customHeight="1">
      <c r="A479" s="12" t="s">
        <v>208</v>
      </c>
      <c r="B479" s="30">
        <f>SUM(E472:E478)</f>
        <v>5900.4799999999987</v>
      </c>
      <c r="C479" s="24" t="s">
        <v>209</v>
      </c>
      <c r="D479" s="35">
        <f>Prec.!C302</f>
        <v>1.4999999999999999E-2</v>
      </c>
      <c r="E479" s="31">
        <f t="shared" si="34"/>
        <v>88.51</v>
      </c>
      <c r="F479" s="32">
        <f>SUM(E472:E479)</f>
        <v>5988.9899999999989</v>
      </c>
    </row>
    <row r="480" spans="1:6" ht="12.75" hidden="1" customHeight="1">
      <c r="A480" s="12"/>
      <c r="B480" s="30"/>
      <c r="C480" s="24"/>
      <c r="D480" s="35"/>
      <c r="E480" s="31"/>
      <c r="F480" s="32"/>
    </row>
    <row r="481" spans="1:6" ht="12.75" hidden="1" customHeight="1">
      <c r="A481" s="13" t="s">
        <v>1163</v>
      </c>
      <c r="B481" s="42" t="s">
        <v>151</v>
      </c>
      <c r="C481" s="29" t="s">
        <v>825</v>
      </c>
      <c r="D481" s="35"/>
      <c r="E481" s="31"/>
      <c r="F481" s="32"/>
    </row>
    <row r="482" spans="1:6" ht="12.75" hidden="1" customHeight="1">
      <c r="A482" s="12" t="s">
        <v>822</v>
      </c>
      <c r="B482" s="30">
        <v>6.68</v>
      </c>
      <c r="C482" s="24" t="s">
        <v>823</v>
      </c>
      <c r="D482" s="35">
        <f>Prec.!$C$5</f>
        <v>425</v>
      </c>
      <c r="E482" s="31">
        <f t="shared" ref="E482:E489" si="35">ROUND(B482*D482,2)</f>
        <v>2839</v>
      </c>
      <c r="F482" s="32"/>
    </row>
    <row r="483" spans="1:6" ht="12.75" hidden="1" customHeight="1">
      <c r="A483" s="12" t="s">
        <v>824</v>
      </c>
      <c r="B483" s="30">
        <v>0.48299999999999998</v>
      </c>
      <c r="C483" s="24" t="s">
        <v>825</v>
      </c>
      <c r="D483" s="35">
        <f>Prec.!$C$13</f>
        <v>900</v>
      </c>
      <c r="E483" s="31">
        <f t="shared" si="35"/>
        <v>434.7</v>
      </c>
      <c r="F483" s="32"/>
    </row>
    <row r="484" spans="1:6" ht="12.75" hidden="1" customHeight="1">
      <c r="A484" s="12" t="s">
        <v>1308</v>
      </c>
      <c r="B484" s="30">
        <v>0.77300000000000002</v>
      </c>
      <c r="C484" s="24" t="s">
        <v>825</v>
      </c>
      <c r="D484" s="35">
        <f>D474</f>
        <v>900</v>
      </c>
      <c r="E484" s="31">
        <f t="shared" si="35"/>
        <v>695.7</v>
      </c>
      <c r="F484" s="32"/>
    </row>
    <row r="485" spans="1:6" ht="12.75" hidden="1" customHeight="1">
      <c r="A485" s="12" t="s">
        <v>827</v>
      </c>
      <c r="B485" s="30">
        <v>56</v>
      </c>
      <c r="C485" s="24" t="s">
        <v>828</v>
      </c>
      <c r="D485" s="35">
        <f>Prec.!$C$80</f>
        <v>0.68</v>
      </c>
      <c r="E485" s="31">
        <f t="shared" si="35"/>
        <v>38.08</v>
      </c>
      <c r="F485" s="32"/>
    </row>
    <row r="486" spans="1:6" ht="12.75" hidden="1" customHeight="1">
      <c r="A486" s="12" t="s">
        <v>452</v>
      </c>
      <c r="B486" s="30">
        <v>6.68</v>
      </c>
      <c r="C486" s="24" t="s">
        <v>823</v>
      </c>
      <c r="D486" s="35">
        <f>Prec.!$D$391</f>
        <v>12.04</v>
      </c>
      <c r="E486" s="31">
        <f t="shared" si="35"/>
        <v>80.430000000000007</v>
      </c>
      <c r="F486" s="32"/>
    </row>
    <row r="487" spans="1:6" ht="12.75" hidden="1" customHeight="1">
      <c r="A487" s="12" t="s">
        <v>365</v>
      </c>
      <c r="B487" s="30">
        <v>0.48299999999999998</v>
      </c>
      <c r="C487" s="24" t="s">
        <v>825</v>
      </c>
      <c r="D487" s="35">
        <f>Prec.!$D$378</f>
        <v>220.78</v>
      </c>
      <c r="E487" s="31">
        <f t="shared" si="35"/>
        <v>106.64</v>
      </c>
      <c r="F487" s="32"/>
    </row>
    <row r="488" spans="1:6" ht="12.75" hidden="1" customHeight="1">
      <c r="A488" s="12" t="s">
        <v>366</v>
      </c>
      <c r="B488" s="30">
        <v>0.77300000000000002</v>
      </c>
      <c r="C488" s="24" t="s">
        <v>825</v>
      </c>
      <c r="D488" s="35">
        <f>Prec.!$D$385</f>
        <v>294.37</v>
      </c>
      <c r="E488" s="31">
        <f t="shared" si="35"/>
        <v>227.55</v>
      </c>
      <c r="F488" s="32"/>
    </row>
    <row r="489" spans="1:6" ht="12.75" hidden="1" customHeight="1">
      <c r="A489" s="12" t="s">
        <v>208</v>
      </c>
      <c r="B489" s="30">
        <f>SUM(E482:E488)</f>
        <v>4422.0999999999995</v>
      </c>
      <c r="C489" s="24" t="s">
        <v>209</v>
      </c>
      <c r="D489" s="35">
        <f>Prec.!C302</f>
        <v>1.4999999999999999E-2</v>
      </c>
      <c r="E489" s="31">
        <f t="shared" si="35"/>
        <v>66.33</v>
      </c>
      <c r="F489" s="32">
        <f>SUM(E482:E489)</f>
        <v>4488.4299999999994</v>
      </c>
    </row>
    <row r="490" spans="1:6" ht="12.75" hidden="1" customHeight="1"/>
    <row r="491" spans="1:6" ht="12.75" customHeight="1">
      <c r="A491" s="23" t="s">
        <v>14</v>
      </c>
    </row>
    <row r="492" spans="1:6" ht="12.75" customHeight="1">
      <c r="A492" s="2"/>
    </row>
    <row r="493" spans="1:6" ht="12.75" customHeight="1">
      <c r="A493" s="545" t="s">
        <v>15</v>
      </c>
      <c r="B493" s="555" t="s">
        <v>151</v>
      </c>
      <c r="C493" s="556" t="s">
        <v>825</v>
      </c>
      <c r="D493" s="548"/>
      <c r="E493" s="552"/>
      <c r="F493" s="553"/>
    </row>
    <row r="494" spans="1:6" ht="12.75" customHeight="1">
      <c r="A494" s="551" t="s">
        <v>822</v>
      </c>
      <c r="B494" s="546">
        <v>15.57</v>
      </c>
      <c r="C494" s="547" t="s">
        <v>823</v>
      </c>
      <c r="D494" s="548">
        <f>Prec.!$C$5</f>
        <v>425</v>
      </c>
      <c r="E494" s="552">
        <f t="shared" ref="E494:E500" si="36">ROUND(B494*D494,2)</f>
        <v>6617.25</v>
      </c>
      <c r="F494" s="553"/>
    </row>
    <row r="495" spans="1:6" ht="12.75" customHeight="1">
      <c r="A495" s="551" t="s">
        <v>824</v>
      </c>
      <c r="B495" s="546">
        <v>0.9</v>
      </c>
      <c r="C495" s="547" t="s">
        <v>825</v>
      </c>
      <c r="D495" s="548">
        <f>Prec.!$C$13</f>
        <v>900</v>
      </c>
      <c r="E495" s="552">
        <f t="shared" si="36"/>
        <v>810</v>
      </c>
      <c r="F495" s="553"/>
    </row>
    <row r="496" spans="1:6" ht="12.75" customHeight="1">
      <c r="A496" s="551" t="s">
        <v>827</v>
      </c>
      <c r="B496" s="546">
        <v>70.099999999999994</v>
      </c>
      <c r="C496" s="547" t="s">
        <v>828</v>
      </c>
      <c r="D496" s="548">
        <f>Prec.!$C$80</f>
        <v>0.68</v>
      </c>
      <c r="E496" s="552">
        <f t="shared" si="36"/>
        <v>47.67</v>
      </c>
      <c r="F496" s="553"/>
    </row>
    <row r="497" spans="1:13" ht="12.75" customHeight="1">
      <c r="A497" s="551" t="s">
        <v>452</v>
      </c>
      <c r="B497" s="546">
        <v>15.57</v>
      </c>
      <c r="C497" s="547" t="s">
        <v>823</v>
      </c>
      <c r="D497" s="548">
        <f>Prec.!$D$392</f>
        <v>15.58</v>
      </c>
      <c r="E497" s="552">
        <f t="shared" si="36"/>
        <v>242.58</v>
      </c>
      <c r="F497" s="553"/>
    </row>
    <row r="498" spans="1:13" ht="12.75" customHeight="1">
      <c r="A498" s="551" t="s">
        <v>365</v>
      </c>
      <c r="B498" s="546">
        <v>0.9</v>
      </c>
      <c r="C498" s="547" t="s">
        <v>825</v>
      </c>
      <c r="D498" s="548">
        <f>Prec.!$D$379</f>
        <v>331.17</v>
      </c>
      <c r="E498" s="552">
        <f t="shared" si="36"/>
        <v>298.05</v>
      </c>
      <c r="F498" s="553"/>
    </row>
    <row r="499" spans="1:13" s="166" customFormat="1" ht="12.75" customHeight="1">
      <c r="A499" s="551" t="s">
        <v>783</v>
      </c>
      <c r="B499" s="546">
        <v>1</v>
      </c>
      <c r="C499" s="547" t="s">
        <v>825</v>
      </c>
      <c r="D499" s="548">
        <v>698.01549999999997</v>
      </c>
      <c r="E499" s="552">
        <f>ROUND(B499*D499,2)</f>
        <v>698.02</v>
      </c>
      <c r="F499" s="553"/>
      <c r="G499" s="15"/>
      <c r="H499" s="21"/>
      <c r="I499" s="15"/>
      <c r="J499" s="15"/>
      <c r="K499" s="15"/>
      <c r="L499" s="21"/>
      <c r="M499" s="15"/>
    </row>
    <row r="500" spans="1:13" ht="12.75" customHeight="1">
      <c r="A500" s="551" t="s">
        <v>208</v>
      </c>
      <c r="B500" s="546">
        <f>SUM(E494:E496)</f>
        <v>7474.92</v>
      </c>
      <c r="C500" s="547" t="s">
        <v>209</v>
      </c>
      <c r="D500" s="548">
        <v>0.02</v>
      </c>
      <c r="E500" s="552">
        <f t="shared" si="36"/>
        <v>149.5</v>
      </c>
      <c r="F500" s="553">
        <f>SUM(E494:E500)</f>
        <v>8863.07</v>
      </c>
    </row>
    <row r="501" spans="1:13" ht="12.75" customHeight="1">
      <c r="A501" s="12"/>
      <c r="B501" s="30"/>
      <c r="C501" s="24"/>
      <c r="D501" s="35"/>
      <c r="E501" s="31"/>
      <c r="F501" s="32"/>
    </row>
    <row r="502" spans="1:13" ht="12.75" customHeight="1">
      <c r="A502" s="545" t="s">
        <v>16</v>
      </c>
      <c r="B502" s="555" t="s">
        <v>151</v>
      </c>
      <c r="C502" s="556" t="s">
        <v>825</v>
      </c>
      <c r="D502" s="548"/>
      <c r="E502" s="552"/>
      <c r="F502" s="553"/>
    </row>
    <row r="503" spans="1:13" ht="12.75" customHeight="1">
      <c r="A503" s="551" t="s">
        <v>822</v>
      </c>
      <c r="B503" s="546">
        <v>11.51</v>
      </c>
      <c r="C503" s="547" t="s">
        <v>823</v>
      </c>
      <c r="D503" s="548">
        <f>Prec.!$C$5</f>
        <v>425</v>
      </c>
      <c r="E503" s="552">
        <f t="shared" ref="E503:E509" si="37">ROUND(B503*D503,2)</f>
        <v>4891.75</v>
      </c>
      <c r="F503" s="553"/>
    </row>
    <row r="504" spans="1:13" ht="12.75" customHeight="1">
      <c r="A504" s="551" t="s">
        <v>824</v>
      </c>
      <c r="B504" s="546">
        <v>1</v>
      </c>
      <c r="C504" s="547" t="s">
        <v>825</v>
      </c>
      <c r="D504" s="548">
        <f>Prec.!$C$13</f>
        <v>900</v>
      </c>
      <c r="E504" s="552">
        <f t="shared" si="37"/>
        <v>900</v>
      </c>
      <c r="F504" s="553"/>
    </row>
    <row r="505" spans="1:13" ht="12.75" customHeight="1">
      <c r="A505" s="551" t="s">
        <v>827</v>
      </c>
      <c r="B505" s="546">
        <v>69.040000000000006</v>
      </c>
      <c r="C505" s="547" t="s">
        <v>828</v>
      </c>
      <c r="D505" s="548">
        <f>Prec.!$C$80</f>
        <v>0.68</v>
      </c>
      <c r="E505" s="552">
        <f t="shared" si="37"/>
        <v>46.95</v>
      </c>
      <c r="F505" s="553"/>
    </row>
    <row r="506" spans="1:13" ht="12.75" customHeight="1">
      <c r="A506" s="551" t="s">
        <v>452</v>
      </c>
      <c r="B506" s="546">
        <v>11.51</v>
      </c>
      <c r="C506" s="547" t="s">
        <v>823</v>
      </c>
      <c r="D506" s="548">
        <f>Prec.!$D$392</f>
        <v>15.58</v>
      </c>
      <c r="E506" s="552">
        <f t="shared" si="37"/>
        <v>179.33</v>
      </c>
      <c r="F506" s="553"/>
    </row>
    <row r="507" spans="1:13" ht="12.75" customHeight="1">
      <c r="A507" s="551" t="s">
        <v>365</v>
      </c>
      <c r="B507" s="546">
        <v>1</v>
      </c>
      <c r="C507" s="547" t="s">
        <v>825</v>
      </c>
      <c r="D507" s="548">
        <f>Prec.!$D$379</f>
        <v>331.17</v>
      </c>
      <c r="E507" s="552">
        <f t="shared" si="37"/>
        <v>331.17</v>
      </c>
      <c r="F507" s="553"/>
    </row>
    <row r="508" spans="1:13" s="166" customFormat="1" ht="12.75" customHeight="1">
      <c r="A508" s="551" t="s">
        <v>783</v>
      </c>
      <c r="B508" s="546">
        <v>1</v>
      </c>
      <c r="C508" s="547" t="s">
        <v>825</v>
      </c>
      <c r="D508" s="548">
        <v>698.01549999999997</v>
      </c>
      <c r="E508" s="552">
        <f>ROUND(B508*D508,2)</f>
        <v>698.02</v>
      </c>
      <c r="F508" s="553"/>
      <c r="G508" s="15"/>
      <c r="H508" s="21"/>
      <c r="I508" s="15"/>
      <c r="J508" s="15"/>
      <c r="K508" s="15"/>
      <c r="L508" s="21"/>
      <c r="M508" s="15"/>
    </row>
    <row r="509" spans="1:13" ht="12.75" customHeight="1">
      <c r="A509" s="551" t="s">
        <v>208</v>
      </c>
      <c r="B509" s="546">
        <f>SUM(E503:E505)</f>
        <v>5838.7</v>
      </c>
      <c r="C509" s="547" t="s">
        <v>209</v>
      </c>
      <c r="D509" s="548">
        <v>0.02</v>
      </c>
      <c r="E509" s="552">
        <f t="shared" si="37"/>
        <v>116.77</v>
      </c>
      <c r="F509" s="553">
        <f>SUM(E503:E509)</f>
        <v>7163.99</v>
      </c>
    </row>
    <row r="510" spans="1:13" ht="10.15" customHeight="1">
      <c r="A510" s="12"/>
      <c r="B510" s="30"/>
      <c r="C510" s="24"/>
      <c r="D510" s="35"/>
      <c r="E510" s="31"/>
      <c r="F510" s="32"/>
    </row>
    <row r="511" spans="1:13" ht="12.75" customHeight="1">
      <c r="A511" s="545" t="s">
        <v>910</v>
      </c>
      <c r="B511" s="555" t="s">
        <v>151</v>
      </c>
      <c r="C511" s="556" t="s">
        <v>825</v>
      </c>
      <c r="D511" s="548"/>
      <c r="E511" s="552"/>
      <c r="F511" s="553"/>
    </row>
    <row r="512" spans="1:13" ht="12.75" customHeight="1">
      <c r="A512" s="551" t="s">
        <v>822</v>
      </c>
      <c r="B512" s="546">
        <v>9.11</v>
      </c>
      <c r="C512" s="547" t="s">
        <v>823</v>
      </c>
      <c r="D512" s="548">
        <f>Prec.!$C$5</f>
        <v>425</v>
      </c>
      <c r="E512" s="552">
        <f t="shared" ref="E512:E518" si="38">ROUND(B512*D512,2)</f>
        <v>3871.75</v>
      </c>
      <c r="F512" s="553"/>
    </row>
    <row r="513" spans="1:13" ht="12.75" customHeight="1">
      <c r="A513" s="551" t="s">
        <v>824</v>
      </c>
      <c r="B513" s="546">
        <v>1.06</v>
      </c>
      <c r="C513" s="547" t="s">
        <v>825</v>
      </c>
      <c r="D513" s="548">
        <f>Prec.!$C$13</f>
        <v>900</v>
      </c>
      <c r="E513" s="552">
        <f t="shared" si="38"/>
        <v>954</v>
      </c>
      <c r="F513" s="553"/>
    </row>
    <row r="514" spans="1:13" ht="12.75" customHeight="1">
      <c r="A514" s="551" t="s">
        <v>827</v>
      </c>
      <c r="B514" s="546">
        <v>68.16</v>
      </c>
      <c r="C514" s="547" t="s">
        <v>828</v>
      </c>
      <c r="D514" s="548">
        <f>Prec.!$C$80</f>
        <v>0.68</v>
      </c>
      <c r="E514" s="552">
        <f t="shared" si="38"/>
        <v>46.35</v>
      </c>
      <c r="F514" s="553"/>
    </row>
    <row r="515" spans="1:13" ht="12.75" customHeight="1">
      <c r="A515" s="551" t="s">
        <v>452</v>
      </c>
      <c r="B515" s="546">
        <v>9.11</v>
      </c>
      <c r="C515" s="547" t="s">
        <v>823</v>
      </c>
      <c r="D515" s="548">
        <f>Prec.!$D$392</f>
        <v>15.58</v>
      </c>
      <c r="E515" s="552">
        <f t="shared" si="38"/>
        <v>141.93</v>
      </c>
      <c r="F515" s="553"/>
    </row>
    <row r="516" spans="1:13" ht="12.75" customHeight="1">
      <c r="A516" s="551" t="s">
        <v>365</v>
      </c>
      <c r="B516" s="546">
        <v>1.06</v>
      </c>
      <c r="C516" s="547" t="s">
        <v>825</v>
      </c>
      <c r="D516" s="548">
        <f>Prec.!$D$379</f>
        <v>331.17</v>
      </c>
      <c r="E516" s="552">
        <f t="shared" si="38"/>
        <v>351.04</v>
      </c>
      <c r="F516" s="553"/>
    </row>
    <row r="517" spans="1:13" s="166" customFormat="1" ht="12.75" customHeight="1">
      <c r="A517" s="551" t="s">
        <v>783</v>
      </c>
      <c r="B517" s="546">
        <v>1</v>
      </c>
      <c r="C517" s="547" t="s">
        <v>825</v>
      </c>
      <c r="D517" s="548">
        <v>698.01549999999997</v>
      </c>
      <c r="E517" s="552">
        <f>ROUND(B517*D517,2)</f>
        <v>698.02</v>
      </c>
      <c r="F517" s="553"/>
      <c r="G517" s="15"/>
      <c r="H517" s="21"/>
      <c r="I517" s="15"/>
      <c r="J517" s="15"/>
      <c r="K517" s="15"/>
      <c r="L517" s="21"/>
      <c r="M517" s="15"/>
    </row>
    <row r="518" spans="1:13" ht="12.75" customHeight="1">
      <c r="A518" s="551" t="s">
        <v>208</v>
      </c>
      <c r="B518" s="546">
        <f>SUM(E512:E514)</f>
        <v>4872.1000000000004</v>
      </c>
      <c r="C518" s="547" t="s">
        <v>209</v>
      </c>
      <c r="D518" s="548">
        <v>0.02</v>
      </c>
      <c r="E518" s="552">
        <f t="shared" si="38"/>
        <v>97.44</v>
      </c>
      <c r="F518" s="553">
        <f>SUM(E512:E518)</f>
        <v>6160.53</v>
      </c>
    </row>
    <row r="519" spans="1:13" ht="12.75" customHeight="1">
      <c r="A519" s="12"/>
      <c r="B519" s="30"/>
      <c r="C519" s="24"/>
      <c r="D519" s="35"/>
      <c r="E519" s="31"/>
      <c r="F519" s="32"/>
    </row>
    <row r="520" spans="1:13" ht="12.75" customHeight="1">
      <c r="A520" s="545" t="s">
        <v>1177</v>
      </c>
      <c r="B520" s="555" t="s">
        <v>151</v>
      </c>
      <c r="C520" s="556" t="s">
        <v>825</v>
      </c>
      <c r="D520" s="548"/>
      <c r="E520" s="552"/>
      <c r="F520" s="553"/>
    </row>
    <row r="521" spans="1:13" ht="12.75" customHeight="1">
      <c r="A521" s="551" t="s">
        <v>822</v>
      </c>
      <c r="B521" s="546">
        <v>7.56</v>
      </c>
      <c r="C521" s="547" t="s">
        <v>823</v>
      </c>
      <c r="D521" s="548">
        <f>Prec.!$C$5</f>
        <v>425</v>
      </c>
      <c r="E521" s="552">
        <f t="shared" ref="E521:E527" si="39">ROUND(B521*D521,2)</f>
        <v>3213</v>
      </c>
      <c r="F521" s="553"/>
    </row>
    <row r="522" spans="1:13" ht="12.75" customHeight="1">
      <c r="A522" s="551" t="s">
        <v>824</v>
      </c>
      <c r="B522" s="546">
        <v>1.091</v>
      </c>
      <c r="C522" s="547" t="s">
        <v>825</v>
      </c>
      <c r="D522" s="548">
        <f>Prec.!$C$13</f>
        <v>900</v>
      </c>
      <c r="E522" s="552">
        <f t="shared" si="39"/>
        <v>981.9</v>
      </c>
      <c r="F522" s="553"/>
    </row>
    <row r="523" spans="1:13" ht="12.75" customHeight="1">
      <c r="A523" s="551" t="s">
        <v>827</v>
      </c>
      <c r="B523" s="546">
        <v>67.989999999999995</v>
      </c>
      <c r="C523" s="547" t="s">
        <v>828</v>
      </c>
      <c r="D523" s="548">
        <f>Prec.!$C$80</f>
        <v>0.68</v>
      </c>
      <c r="E523" s="552">
        <f t="shared" si="39"/>
        <v>46.23</v>
      </c>
      <c r="F523" s="553"/>
    </row>
    <row r="524" spans="1:13" ht="12.75" customHeight="1">
      <c r="A524" s="551" t="s">
        <v>452</v>
      </c>
      <c r="B524" s="546">
        <v>7.56</v>
      </c>
      <c r="C524" s="547" t="s">
        <v>823</v>
      </c>
      <c r="D524" s="548">
        <f>Prec.!$D$392</f>
        <v>15.58</v>
      </c>
      <c r="E524" s="552">
        <f t="shared" si="39"/>
        <v>117.78</v>
      </c>
      <c r="F524" s="553"/>
    </row>
    <row r="525" spans="1:13" ht="12.75" customHeight="1">
      <c r="A525" s="551" t="s">
        <v>365</v>
      </c>
      <c r="B525" s="546">
        <v>1.091</v>
      </c>
      <c r="C525" s="547" t="s">
        <v>825</v>
      </c>
      <c r="D525" s="548">
        <f>Prec.!$D$379</f>
        <v>331.17</v>
      </c>
      <c r="E525" s="552">
        <f t="shared" si="39"/>
        <v>361.31</v>
      </c>
      <c r="F525" s="553"/>
    </row>
    <row r="526" spans="1:13" s="166" customFormat="1" ht="12.75" customHeight="1">
      <c r="A526" s="551" t="s">
        <v>783</v>
      </c>
      <c r="B526" s="546">
        <v>1</v>
      </c>
      <c r="C526" s="547" t="s">
        <v>825</v>
      </c>
      <c r="D526" s="548">
        <v>698.01549999999997</v>
      </c>
      <c r="E526" s="552">
        <f>ROUND(B526*D526,2)</f>
        <v>698.02</v>
      </c>
      <c r="F526" s="553"/>
      <c r="G526" s="15"/>
      <c r="H526" s="21"/>
      <c r="I526" s="15"/>
      <c r="J526" s="15"/>
      <c r="K526" s="15"/>
      <c r="L526" s="21"/>
      <c r="M526" s="15"/>
    </row>
    <row r="527" spans="1:13" ht="12.75" customHeight="1">
      <c r="A527" s="551" t="s">
        <v>208</v>
      </c>
      <c r="B527" s="546">
        <f>SUM(E521:E523)</f>
        <v>4241.1299999999992</v>
      </c>
      <c r="C527" s="547" t="s">
        <v>209</v>
      </c>
      <c r="D527" s="548">
        <v>0.02</v>
      </c>
      <c r="E527" s="552">
        <f t="shared" si="39"/>
        <v>84.82</v>
      </c>
      <c r="F527" s="553">
        <f>SUM(E521:E527)</f>
        <v>5503.0599999999995</v>
      </c>
    </row>
    <row r="528" spans="1:13" ht="10.15" customHeight="1">
      <c r="A528" s="12"/>
      <c r="B528" s="30"/>
      <c r="C528" s="24"/>
      <c r="D528" s="35"/>
      <c r="E528" s="31"/>
      <c r="F528" s="32"/>
    </row>
    <row r="529" spans="1:13" ht="12.75" hidden="1" customHeight="1">
      <c r="A529" s="13" t="s">
        <v>1178</v>
      </c>
      <c r="B529" s="42" t="s">
        <v>151</v>
      </c>
      <c r="C529" s="29" t="s">
        <v>825</v>
      </c>
      <c r="D529" s="35"/>
      <c r="E529" s="31"/>
      <c r="F529" s="32"/>
    </row>
    <row r="530" spans="1:13" ht="12.75" hidden="1" customHeight="1">
      <c r="A530" s="12" t="s">
        <v>822</v>
      </c>
      <c r="B530" s="30">
        <v>6.46</v>
      </c>
      <c r="C530" s="24" t="s">
        <v>823</v>
      </c>
      <c r="D530" s="35">
        <f>Prec.!$C$5</f>
        <v>425</v>
      </c>
      <c r="E530" s="31">
        <f t="shared" ref="E530:E536" si="40">ROUND(B530*D530,2)</f>
        <v>2745.5</v>
      </c>
      <c r="F530" s="32"/>
    </row>
    <row r="531" spans="1:13" ht="12.75" hidden="1" customHeight="1">
      <c r="A531" s="12" t="s">
        <v>824</v>
      </c>
      <c r="B531" s="30">
        <v>1.1200000000000001</v>
      </c>
      <c r="C531" s="24" t="s">
        <v>825</v>
      </c>
      <c r="D531" s="35">
        <f>Prec.!$C$13</f>
        <v>900</v>
      </c>
      <c r="E531" s="31">
        <f t="shared" si="40"/>
        <v>1008</v>
      </c>
      <c r="F531" s="32"/>
    </row>
    <row r="532" spans="1:13" ht="12.75" hidden="1" customHeight="1">
      <c r="A532" s="12" t="s">
        <v>827</v>
      </c>
      <c r="B532" s="30">
        <v>67.72</v>
      </c>
      <c r="C532" s="24" t="s">
        <v>828</v>
      </c>
      <c r="D532" s="35">
        <f>Prec.!$C$80</f>
        <v>0.68</v>
      </c>
      <c r="E532" s="31">
        <f t="shared" si="40"/>
        <v>46.05</v>
      </c>
      <c r="F532" s="32"/>
    </row>
    <row r="533" spans="1:13" ht="12.75" hidden="1" customHeight="1">
      <c r="A533" s="12" t="s">
        <v>452</v>
      </c>
      <c r="B533" s="30">
        <v>6.46</v>
      </c>
      <c r="C533" s="24" t="s">
        <v>823</v>
      </c>
      <c r="D533" s="35">
        <f>Prec.!$D$392</f>
        <v>15.58</v>
      </c>
      <c r="E533" s="31">
        <f t="shared" si="40"/>
        <v>100.65</v>
      </c>
      <c r="F533" s="32"/>
    </row>
    <row r="534" spans="1:13" ht="12.75" hidden="1" customHeight="1">
      <c r="A534" s="12" t="s">
        <v>365</v>
      </c>
      <c r="B534" s="30">
        <v>1.1200000000000001</v>
      </c>
      <c r="C534" s="24" t="s">
        <v>825</v>
      </c>
      <c r="D534" s="35">
        <f>Prec.!$D$379</f>
        <v>331.17</v>
      </c>
      <c r="E534" s="31">
        <f t="shared" si="40"/>
        <v>370.91</v>
      </c>
      <c r="F534" s="32"/>
    </row>
    <row r="535" spans="1:13" s="166" customFormat="1" ht="12.75" hidden="1" customHeight="1">
      <c r="A535" s="12" t="s">
        <v>783</v>
      </c>
      <c r="B535" s="30">
        <v>1</v>
      </c>
      <c r="C535" s="24" t="s">
        <v>825</v>
      </c>
      <c r="D535" s="35">
        <v>698.01549999999997</v>
      </c>
      <c r="E535" s="31">
        <f>ROUND(B535*D535,2)</f>
        <v>698.02</v>
      </c>
      <c r="F535" s="32"/>
      <c r="G535" s="15"/>
      <c r="H535" s="21"/>
      <c r="I535" s="15"/>
      <c r="J535" s="15"/>
      <c r="K535" s="15"/>
      <c r="L535" s="21"/>
      <c r="M535" s="15"/>
    </row>
    <row r="536" spans="1:13" ht="12.75" hidden="1" customHeight="1">
      <c r="A536" s="12" t="s">
        <v>208</v>
      </c>
      <c r="B536" s="30">
        <f>SUM(E530:E534)</f>
        <v>4271.1100000000006</v>
      </c>
      <c r="C536" s="24" t="s">
        <v>209</v>
      </c>
      <c r="D536" s="35">
        <f>Prec.!C302</f>
        <v>1.4999999999999999E-2</v>
      </c>
      <c r="E536" s="31">
        <f t="shared" si="40"/>
        <v>64.069999999999993</v>
      </c>
      <c r="F536" s="32">
        <f>SUM(E530:E536)</f>
        <v>5033.2000000000007</v>
      </c>
    </row>
    <row r="537" spans="1:13" ht="12.75" hidden="1" customHeight="1">
      <c r="A537" s="12"/>
      <c r="B537" s="30"/>
      <c r="C537" s="24"/>
      <c r="D537" s="35"/>
      <c r="E537" s="31"/>
      <c r="F537" s="32"/>
    </row>
    <row r="538" spans="1:13" ht="12.75" customHeight="1">
      <c r="A538" s="545" t="s">
        <v>1179</v>
      </c>
      <c r="B538" s="555" t="s">
        <v>151</v>
      </c>
      <c r="C538" s="556" t="s">
        <v>825</v>
      </c>
      <c r="D538" s="548"/>
      <c r="E538" s="552"/>
      <c r="F538" s="553"/>
    </row>
    <row r="539" spans="1:13" ht="12.75" customHeight="1">
      <c r="A539" s="551" t="s">
        <v>822</v>
      </c>
      <c r="B539" s="546">
        <v>9.4600000000000009</v>
      </c>
      <c r="C539" s="547" t="s">
        <v>823</v>
      </c>
      <c r="D539" s="548">
        <f>Prec.!$C$5</f>
        <v>425</v>
      </c>
      <c r="E539" s="552">
        <f t="shared" ref="E539:E547" si="41">ROUND(B539*D539,2)</f>
        <v>4020.5</v>
      </c>
      <c r="F539" s="553"/>
    </row>
    <row r="540" spans="1:13" ht="12.75" customHeight="1">
      <c r="A540" s="551" t="s">
        <v>419</v>
      </c>
      <c r="B540" s="546">
        <v>0.91</v>
      </c>
      <c r="C540" s="547" t="s">
        <v>825</v>
      </c>
      <c r="D540" s="548">
        <f>Prec.!$C$15</f>
        <v>900</v>
      </c>
      <c r="E540" s="552">
        <f t="shared" si="41"/>
        <v>819</v>
      </c>
      <c r="F540" s="553"/>
    </row>
    <row r="541" spans="1:13" ht="12.75" customHeight="1">
      <c r="A541" s="551" t="s">
        <v>210</v>
      </c>
      <c r="B541" s="546">
        <v>6.29</v>
      </c>
      <c r="C541" s="547" t="s">
        <v>823</v>
      </c>
      <c r="D541" s="548">
        <f>Prec.!$C$48</f>
        <v>250</v>
      </c>
      <c r="E541" s="552">
        <f t="shared" si="41"/>
        <v>1572.5</v>
      </c>
      <c r="F541" s="553"/>
    </row>
    <row r="542" spans="1:13" ht="12.75" customHeight="1">
      <c r="A542" s="551" t="s">
        <v>827</v>
      </c>
      <c r="B542" s="546">
        <v>45.24</v>
      </c>
      <c r="C542" s="547" t="s">
        <v>828</v>
      </c>
      <c r="D542" s="548">
        <f>Prec.!$C$80</f>
        <v>0.68</v>
      </c>
      <c r="E542" s="552">
        <f t="shared" si="41"/>
        <v>30.76</v>
      </c>
      <c r="F542" s="553"/>
    </row>
    <row r="543" spans="1:13" ht="12.75" customHeight="1">
      <c r="A543" s="551" t="s">
        <v>452</v>
      </c>
      <c r="B543" s="546">
        <v>9.4600000000000009</v>
      </c>
      <c r="C543" s="547" t="s">
        <v>823</v>
      </c>
      <c r="D543" s="548">
        <f>Prec.!$D$392</f>
        <v>15.58</v>
      </c>
      <c r="E543" s="552">
        <f t="shared" si="41"/>
        <v>147.38999999999999</v>
      </c>
      <c r="F543" s="553"/>
    </row>
    <row r="544" spans="1:13" ht="12.75" customHeight="1">
      <c r="A544" s="551" t="s">
        <v>203</v>
      </c>
      <c r="B544" s="546">
        <v>6.29</v>
      </c>
      <c r="C544" s="547" t="s">
        <v>823</v>
      </c>
      <c r="D544" s="548">
        <f>Prec.!$D$392</f>
        <v>15.58</v>
      </c>
      <c r="E544" s="552">
        <f t="shared" si="41"/>
        <v>98</v>
      </c>
      <c r="F544" s="553"/>
    </row>
    <row r="545" spans="1:13" ht="12.75" customHeight="1">
      <c r="A545" s="551" t="s">
        <v>365</v>
      </c>
      <c r="B545" s="546">
        <v>0.91</v>
      </c>
      <c r="C545" s="547" t="s">
        <v>825</v>
      </c>
      <c r="D545" s="548">
        <f>Prec.!$D$379</f>
        <v>331.17</v>
      </c>
      <c r="E545" s="552">
        <f t="shared" si="41"/>
        <v>301.36</v>
      </c>
      <c r="F545" s="553"/>
    </row>
    <row r="546" spans="1:13" s="166" customFormat="1" ht="12.75" customHeight="1">
      <c r="A546" s="551" t="s">
        <v>783</v>
      </c>
      <c r="B546" s="546">
        <v>1</v>
      </c>
      <c r="C546" s="547" t="s">
        <v>825</v>
      </c>
      <c r="D546" s="548">
        <v>698.01549999999997</v>
      </c>
      <c r="E546" s="552">
        <f>ROUND(B546*D546,2)</f>
        <v>698.02</v>
      </c>
      <c r="F546" s="553"/>
      <c r="G546" s="15"/>
      <c r="H546" s="21"/>
      <c r="I546" s="15"/>
      <c r="J546" s="15"/>
      <c r="K546" s="15"/>
      <c r="L546" s="21"/>
      <c r="M546" s="15"/>
    </row>
    <row r="547" spans="1:13" ht="12.75" customHeight="1">
      <c r="A547" s="551" t="s">
        <v>208</v>
      </c>
      <c r="B547" s="546">
        <f>SUM(E539:E542)</f>
        <v>6442.76</v>
      </c>
      <c r="C547" s="547" t="s">
        <v>209</v>
      </c>
      <c r="D547" s="548">
        <v>0.02</v>
      </c>
      <c r="E547" s="552">
        <f t="shared" si="41"/>
        <v>128.86000000000001</v>
      </c>
      <c r="F547" s="553">
        <f>SUM(E539:E547)</f>
        <v>7816.39</v>
      </c>
    </row>
    <row r="548" spans="1:13" s="166" customFormat="1" ht="12.75" customHeight="1">
      <c r="A548" s="551"/>
      <c r="B548" s="546"/>
      <c r="C548" s="547"/>
      <c r="D548" s="548"/>
      <c r="E548" s="552"/>
      <c r="F548" s="553"/>
      <c r="G548" s="15"/>
      <c r="H548" s="21"/>
      <c r="I548" s="15"/>
      <c r="J548" s="15"/>
      <c r="K548" s="15"/>
      <c r="L548" s="21"/>
      <c r="M548" s="15"/>
    </row>
    <row r="549" spans="1:13" s="166" customFormat="1" ht="12.75" customHeight="1">
      <c r="A549" s="23" t="s">
        <v>619</v>
      </c>
      <c r="B549" s="546"/>
      <c r="C549" s="547"/>
      <c r="D549" s="548"/>
      <c r="E549" s="552"/>
      <c r="F549" s="553"/>
      <c r="G549" s="15"/>
      <c r="H549" s="21"/>
      <c r="I549" s="15"/>
      <c r="J549" s="15"/>
      <c r="K549" s="15"/>
      <c r="L549" s="21"/>
      <c r="M549" s="15"/>
    </row>
    <row r="550" spans="1:13" s="166" customFormat="1" ht="12.75" customHeight="1">
      <c r="A550" s="551"/>
      <c r="B550" s="546"/>
      <c r="C550" s="547"/>
      <c r="D550" s="548"/>
      <c r="E550" s="552"/>
      <c r="F550" s="553"/>
      <c r="G550" s="15"/>
      <c r="H550" s="21"/>
      <c r="I550" s="15"/>
      <c r="J550" s="15"/>
      <c r="K550" s="15"/>
      <c r="L550" s="21"/>
      <c r="M550" s="15"/>
    </row>
    <row r="551" spans="1:13" s="166" customFormat="1" ht="12.75" customHeight="1">
      <c r="A551" s="545" t="s">
        <v>903</v>
      </c>
      <c r="B551" s="555" t="s">
        <v>151</v>
      </c>
      <c r="C551" s="556" t="s">
        <v>825</v>
      </c>
      <c r="D551" s="548"/>
      <c r="E551" s="552"/>
      <c r="F551" s="553"/>
      <c r="G551" s="15"/>
      <c r="H551" s="21"/>
      <c r="I551" s="15"/>
      <c r="J551" s="15"/>
      <c r="K551" s="15"/>
      <c r="L551" s="21"/>
      <c r="M551" s="15"/>
    </row>
    <row r="552" spans="1:13" s="166" customFormat="1" ht="12.75" customHeight="1">
      <c r="A552" s="551" t="s">
        <v>822</v>
      </c>
      <c r="B552" s="546">
        <v>11.51</v>
      </c>
      <c r="C552" s="547" t="s">
        <v>823</v>
      </c>
      <c r="D552" s="548">
        <f>Prec.!$C$5</f>
        <v>425</v>
      </c>
      <c r="E552" s="552">
        <f t="shared" ref="E552:E556" si="42">ROUND(B552*D552,2)</f>
        <v>4891.75</v>
      </c>
      <c r="F552" s="553"/>
      <c r="G552" s="15"/>
      <c r="H552" s="21"/>
      <c r="I552" s="15"/>
      <c r="J552" s="15"/>
      <c r="K552" s="15"/>
      <c r="L552" s="21"/>
      <c r="M552" s="15"/>
    </row>
    <row r="553" spans="1:13" s="166" customFormat="1" ht="12.75" customHeight="1">
      <c r="A553" s="551" t="s">
        <v>824</v>
      </c>
      <c r="B553" s="546">
        <v>1</v>
      </c>
      <c r="C553" s="547" t="s">
        <v>825</v>
      </c>
      <c r="D553" s="548">
        <f>Prec.!$C$13</f>
        <v>900</v>
      </c>
      <c r="E553" s="552">
        <f t="shared" si="42"/>
        <v>900</v>
      </c>
      <c r="F553" s="553"/>
      <c r="G553" s="15"/>
      <c r="H553" s="21"/>
      <c r="I553" s="15"/>
      <c r="J553" s="15"/>
      <c r="K553" s="15"/>
      <c r="L553" s="21"/>
      <c r="M553" s="15"/>
    </row>
    <row r="554" spans="1:13" s="166" customFormat="1" ht="12.75" customHeight="1">
      <c r="A554" s="551" t="s">
        <v>827</v>
      </c>
      <c r="B554" s="546">
        <v>69.040000000000006</v>
      </c>
      <c r="C554" s="547" t="s">
        <v>828</v>
      </c>
      <c r="D554" s="548">
        <f>Prec.!$C$80</f>
        <v>0.68</v>
      </c>
      <c r="E554" s="552">
        <f t="shared" si="42"/>
        <v>46.95</v>
      </c>
      <c r="F554" s="553"/>
      <c r="G554" s="15"/>
      <c r="H554" s="21"/>
      <c r="I554" s="15"/>
      <c r="J554" s="15"/>
      <c r="K554" s="15"/>
      <c r="L554" s="21"/>
      <c r="M554" s="15"/>
    </row>
    <row r="555" spans="1:13" s="166" customFormat="1" ht="12.75" customHeight="1">
      <c r="A555" s="551" t="s">
        <v>452</v>
      </c>
      <c r="B555" s="546">
        <v>11.51</v>
      </c>
      <c r="C555" s="547" t="s">
        <v>823</v>
      </c>
      <c r="D555" s="548">
        <f>Prec.!D393</f>
        <v>20.38</v>
      </c>
      <c r="E555" s="552">
        <f t="shared" si="42"/>
        <v>234.57</v>
      </c>
      <c r="F555" s="553"/>
      <c r="G555" s="15"/>
      <c r="H555" s="21"/>
      <c r="I555" s="15"/>
      <c r="J555" s="15"/>
      <c r="K555" s="15"/>
      <c r="L555" s="21"/>
      <c r="M555" s="15"/>
    </row>
    <row r="556" spans="1:13" s="166" customFormat="1" ht="12.75" customHeight="1">
      <c r="A556" s="551" t="s">
        <v>365</v>
      </c>
      <c r="B556" s="546">
        <v>1</v>
      </c>
      <c r="C556" s="547" t="s">
        <v>825</v>
      </c>
      <c r="D556" s="548">
        <f>Prec.!D380</f>
        <v>441.56</v>
      </c>
      <c r="E556" s="552">
        <f t="shared" si="42"/>
        <v>441.56</v>
      </c>
      <c r="F556" s="553"/>
      <c r="G556" s="15"/>
      <c r="H556" s="21"/>
      <c r="I556" s="15"/>
      <c r="J556" s="15"/>
      <c r="K556" s="15"/>
      <c r="L556" s="21"/>
      <c r="M556" s="15"/>
    </row>
    <row r="557" spans="1:13" s="166" customFormat="1" ht="12.75" customHeight="1">
      <c r="A557" s="551" t="s">
        <v>783</v>
      </c>
      <c r="B557" s="546">
        <v>1</v>
      </c>
      <c r="C557" s="547" t="s">
        <v>825</v>
      </c>
      <c r="D557" s="548">
        <v>698.01549999999997</v>
      </c>
      <c r="E557" s="552">
        <f>ROUND(B557*D557,2)</f>
        <v>698.02</v>
      </c>
      <c r="F557" s="553"/>
      <c r="G557" s="15"/>
      <c r="H557" s="21"/>
      <c r="I557" s="15"/>
      <c r="J557" s="15"/>
      <c r="K557" s="15"/>
      <c r="L557" s="21"/>
      <c r="M557" s="15"/>
    </row>
    <row r="558" spans="1:13" s="166" customFormat="1" ht="12.75" customHeight="1">
      <c r="A558" s="551" t="s">
        <v>208</v>
      </c>
      <c r="B558" s="546">
        <f>SUM(E552:E554)</f>
        <v>5838.7</v>
      </c>
      <c r="C558" s="547" t="s">
        <v>209</v>
      </c>
      <c r="D558" s="548">
        <v>0.02</v>
      </c>
      <c r="E558" s="552">
        <f t="shared" ref="E558" si="43">ROUND(B558*D558,2)</f>
        <v>116.77</v>
      </c>
      <c r="F558" s="553">
        <f>SUM(E552:E558)</f>
        <v>7329.6200000000008</v>
      </c>
      <c r="G558" s="15"/>
      <c r="H558" s="21"/>
      <c r="I558" s="15"/>
      <c r="J558" s="15"/>
      <c r="K558" s="15"/>
      <c r="L558" s="21"/>
      <c r="M558" s="15"/>
    </row>
    <row r="559" spans="1:13" s="166" customFormat="1" ht="12.75" customHeight="1">
      <c r="A559" s="551"/>
      <c r="B559" s="546"/>
      <c r="C559" s="547"/>
      <c r="D559" s="548"/>
      <c r="E559" s="552"/>
      <c r="F559" s="553"/>
      <c r="G559" s="15"/>
      <c r="H559" s="21"/>
      <c r="I559" s="15"/>
      <c r="J559" s="15"/>
      <c r="K559" s="15"/>
      <c r="L559" s="21"/>
      <c r="M559" s="15"/>
    </row>
    <row r="560" spans="1:13" s="166" customFormat="1" ht="12.75" customHeight="1">
      <c r="A560" s="551"/>
      <c r="B560" s="546"/>
      <c r="C560" s="547"/>
      <c r="D560" s="548"/>
      <c r="E560" s="552"/>
      <c r="F560" s="553"/>
      <c r="G560" s="15"/>
      <c r="H560" s="21"/>
      <c r="I560" s="15"/>
      <c r="J560" s="15"/>
      <c r="K560" s="15"/>
      <c r="L560" s="21"/>
      <c r="M560" s="15"/>
    </row>
    <row r="561" spans="1:13" s="166" customFormat="1" ht="12.75" customHeight="1">
      <c r="A561" s="551"/>
      <c r="B561" s="546"/>
      <c r="C561" s="547"/>
      <c r="D561" s="548"/>
      <c r="E561" s="552"/>
      <c r="F561" s="553"/>
      <c r="G561" s="15"/>
      <c r="H561" s="21"/>
      <c r="I561" s="15"/>
      <c r="J561" s="15"/>
      <c r="K561" s="15"/>
      <c r="L561" s="21"/>
      <c r="M561" s="15"/>
    </row>
    <row r="562" spans="1:13" s="166" customFormat="1" ht="12.75" customHeight="1">
      <c r="A562" s="551"/>
      <c r="B562" s="546"/>
      <c r="C562" s="547"/>
      <c r="D562" s="548"/>
      <c r="E562" s="552"/>
      <c r="F562" s="553"/>
      <c r="G562" s="15"/>
      <c r="H562" s="21"/>
      <c r="I562" s="15"/>
      <c r="J562" s="15"/>
      <c r="K562" s="15"/>
      <c r="L562" s="21"/>
      <c r="M562" s="15"/>
    </row>
    <row r="563" spans="1:13" s="166" customFormat="1" ht="12.75" customHeight="1">
      <c r="A563" s="551"/>
      <c r="B563" s="546"/>
      <c r="C563" s="547"/>
      <c r="D563" s="548"/>
      <c r="E563" s="552"/>
      <c r="F563" s="553"/>
      <c r="G563" s="15"/>
      <c r="H563" s="21"/>
      <c r="I563" s="15"/>
      <c r="J563" s="15"/>
      <c r="K563" s="15"/>
      <c r="L563" s="21"/>
      <c r="M563" s="15"/>
    </row>
    <row r="564" spans="1:13" s="166" customFormat="1" ht="18.75" customHeight="1">
      <c r="A564" s="551"/>
      <c r="B564" s="546"/>
      <c r="C564" s="547"/>
      <c r="D564" s="548"/>
      <c r="E564" s="552"/>
      <c r="F564" s="553"/>
      <c r="G564" s="15"/>
      <c r="H564" s="21"/>
      <c r="I564" s="15"/>
      <c r="J564" s="15"/>
      <c r="K564" s="15"/>
      <c r="L564" s="21"/>
      <c r="M564" s="15"/>
    </row>
    <row r="565" spans="1:13" s="166" customFormat="1" ht="18.75" customHeight="1">
      <c r="A565" s="551"/>
      <c r="B565" s="546"/>
      <c r="C565" s="547"/>
      <c r="D565" s="548"/>
      <c r="E565" s="552"/>
      <c r="F565" s="553"/>
      <c r="G565" s="15"/>
      <c r="H565" s="21"/>
      <c r="I565" s="15"/>
      <c r="J565" s="15"/>
      <c r="K565" s="15"/>
      <c r="L565" s="21"/>
      <c r="M565" s="15"/>
    </row>
    <row r="566" spans="1:13" s="166" customFormat="1" ht="18.75" customHeight="1">
      <c r="A566" s="551"/>
      <c r="B566" s="546"/>
      <c r="C566" s="547"/>
      <c r="D566" s="548"/>
      <c r="E566" s="552"/>
      <c r="F566" s="553"/>
      <c r="G566" s="15"/>
      <c r="H566" s="21"/>
      <c r="I566" s="15"/>
      <c r="J566" s="15"/>
      <c r="K566" s="15"/>
      <c r="L566" s="21"/>
      <c r="M566" s="15"/>
    </row>
    <row r="567" spans="1:13" ht="18.75" customHeight="1">
      <c r="A567" s="12"/>
      <c r="B567" s="30"/>
      <c r="C567" s="24"/>
      <c r="D567" s="35"/>
      <c r="E567" s="31"/>
      <c r="F567" s="32"/>
    </row>
    <row r="568" spans="1:13" ht="12.75" hidden="1" customHeight="1">
      <c r="A568" s="13" t="s">
        <v>114</v>
      </c>
      <c r="B568" s="42" t="s">
        <v>151</v>
      </c>
      <c r="C568" s="29" t="s">
        <v>825</v>
      </c>
      <c r="D568" s="35"/>
      <c r="E568" s="31"/>
      <c r="F568" s="32"/>
    </row>
    <row r="569" spans="1:13" ht="12.75" hidden="1" customHeight="1">
      <c r="A569" s="12" t="s">
        <v>822</v>
      </c>
      <c r="B569" s="30">
        <v>6.35</v>
      </c>
      <c r="C569" s="24" t="s">
        <v>823</v>
      </c>
      <c r="D569" s="35">
        <f>Prec.!$C$5</f>
        <v>425</v>
      </c>
      <c r="E569" s="31">
        <f t="shared" ref="E569:E576" si="44">ROUND(B569*D569,2)</f>
        <v>2698.75</v>
      </c>
      <c r="F569" s="32"/>
    </row>
    <row r="570" spans="1:13" ht="12.75" hidden="1" customHeight="1">
      <c r="A570" s="12" t="s">
        <v>824</v>
      </c>
      <c r="B570" s="30">
        <v>0.54</v>
      </c>
      <c r="C570" s="24" t="s">
        <v>825</v>
      </c>
      <c r="D570" s="35">
        <f>Prec.!$C$13</f>
        <v>900</v>
      </c>
      <c r="E570" s="31">
        <f t="shared" si="44"/>
        <v>486</v>
      </c>
      <c r="F570" s="32"/>
    </row>
    <row r="571" spans="1:13" ht="12.75" hidden="1" customHeight="1">
      <c r="A571" s="12" t="s">
        <v>1308</v>
      </c>
      <c r="B571" s="30">
        <v>0.73</v>
      </c>
      <c r="C571" s="24" t="s">
        <v>825</v>
      </c>
      <c r="D571" s="35">
        <f>D484</f>
        <v>900</v>
      </c>
      <c r="E571" s="31">
        <f t="shared" si="44"/>
        <v>657</v>
      </c>
      <c r="F571" s="32"/>
    </row>
    <row r="572" spans="1:13" ht="12.75" hidden="1" customHeight="1">
      <c r="A572" s="12" t="s">
        <v>827</v>
      </c>
      <c r="B572" s="30">
        <v>64</v>
      </c>
      <c r="C572" s="24" t="s">
        <v>828</v>
      </c>
      <c r="D572" s="35">
        <f>Prec.!$C$80</f>
        <v>0.68</v>
      </c>
      <c r="E572" s="31">
        <f t="shared" si="44"/>
        <v>43.52</v>
      </c>
      <c r="F572" s="32"/>
    </row>
    <row r="573" spans="1:13" ht="12.75" hidden="1" customHeight="1">
      <c r="A573" s="12" t="s">
        <v>452</v>
      </c>
      <c r="B573" s="30">
        <v>6.35</v>
      </c>
      <c r="C573" s="24" t="s">
        <v>823</v>
      </c>
      <c r="D573" s="35">
        <f>Prec.!$D$392</f>
        <v>15.58</v>
      </c>
      <c r="E573" s="31">
        <f t="shared" si="44"/>
        <v>98.93</v>
      </c>
      <c r="F573" s="32"/>
    </row>
    <row r="574" spans="1:13" ht="12.75" hidden="1" customHeight="1">
      <c r="A574" s="12" t="s">
        <v>365</v>
      </c>
      <c r="B574" s="30">
        <v>0.54</v>
      </c>
      <c r="C574" s="24" t="s">
        <v>825</v>
      </c>
      <c r="D574" s="35">
        <f>Prec.!$D$379</f>
        <v>331.17</v>
      </c>
      <c r="E574" s="31">
        <f t="shared" si="44"/>
        <v>178.83</v>
      </c>
      <c r="F574" s="32"/>
    </row>
    <row r="575" spans="1:13" ht="12.75" hidden="1" customHeight="1">
      <c r="A575" s="12" t="s">
        <v>366</v>
      </c>
      <c r="B575" s="30">
        <v>0.73</v>
      </c>
      <c r="C575" s="24" t="s">
        <v>825</v>
      </c>
      <c r="D575" s="35">
        <f>Prec.!$D$386</f>
        <v>441.56</v>
      </c>
      <c r="E575" s="31">
        <f t="shared" si="44"/>
        <v>322.33999999999997</v>
      </c>
      <c r="F575" s="32"/>
    </row>
    <row r="576" spans="1:13" ht="12.75" hidden="1" customHeight="1">
      <c r="A576" s="12" t="s">
        <v>208</v>
      </c>
      <c r="B576" s="30">
        <f>SUM(E569:E575)</f>
        <v>4485.37</v>
      </c>
      <c r="C576" s="24" t="s">
        <v>209</v>
      </c>
      <c r="D576" s="35">
        <f>Prec.!C302</f>
        <v>1.4999999999999999E-2</v>
      </c>
      <c r="E576" s="31">
        <f t="shared" si="44"/>
        <v>67.28</v>
      </c>
      <c r="F576" s="32">
        <f>SUM(E569:E576)</f>
        <v>4552.6499999999996</v>
      </c>
    </row>
    <row r="577" spans="1:13" s="166" customFormat="1" ht="12.75" hidden="1" customHeight="1">
      <c r="A577" s="12"/>
      <c r="B577" s="30"/>
      <c r="C577" s="24"/>
      <c r="D577" s="35"/>
      <c r="E577" s="31"/>
      <c r="F577" s="32"/>
      <c r="G577" s="15"/>
      <c r="H577" s="21"/>
      <c r="I577" s="15"/>
      <c r="J577" s="15"/>
      <c r="K577" s="15"/>
      <c r="L577" s="21"/>
      <c r="M577" s="15"/>
    </row>
    <row r="578" spans="1:13" ht="12.75" hidden="1" customHeight="1">
      <c r="A578" s="13" t="s">
        <v>115</v>
      </c>
      <c r="B578" s="42" t="s">
        <v>151</v>
      </c>
      <c r="C578" s="29" t="s">
        <v>825</v>
      </c>
      <c r="D578" s="35"/>
      <c r="E578" s="31"/>
      <c r="F578" s="32"/>
    </row>
    <row r="579" spans="1:13" ht="12.75" hidden="1" customHeight="1">
      <c r="A579" s="12" t="s">
        <v>822</v>
      </c>
      <c r="B579" s="30">
        <v>7.53</v>
      </c>
      <c r="C579" s="24" t="s">
        <v>823</v>
      </c>
      <c r="D579" s="35">
        <f>Prec.!$C$5</f>
        <v>425</v>
      </c>
      <c r="E579" s="31">
        <f t="shared" ref="E579:E587" si="45">ROUND(B579*D579,2)</f>
        <v>3200.25</v>
      </c>
      <c r="F579" s="32"/>
    </row>
    <row r="580" spans="1:13" ht="12.75" hidden="1" customHeight="1">
      <c r="A580" s="12" t="s">
        <v>824</v>
      </c>
      <c r="B580" s="30">
        <v>0.52400000000000002</v>
      </c>
      <c r="C580" s="24" t="s">
        <v>825</v>
      </c>
      <c r="D580" s="35">
        <f>Prec.!$C$13</f>
        <v>900</v>
      </c>
      <c r="E580" s="31">
        <f t="shared" si="45"/>
        <v>471.6</v>
      </c>
      <c r="F580" s="32"/>
    </row>
    <row r="581" spans="1:13" ht="12.75" hidden="1" customHeight="1">
      <c r="A581" s="12" t="s">
        <v>1308</v>
      </c>
      <c r="B581" s="30">
        <v>0.72599999999999998</v>
      </c>
      <c r="C581" s="24" t="s">
        <v>825</v>
      </c>
      <c r="D581" s="35">
        <f>D571</f>
        <v>900</v>
      </c>
      <c r="E581" s="31">
        <f t="shared" si="45"/>
        <v>653.4</v>
      </c>
      <c r="F581" s="32"/>
    </row>
    <row r="582" spans="1:13" ht="12.75" hidden="1" customHeight="1">
      <c r="A582" s="12" t="s">
        <v>827</v>
      </c>
      <c r="B582" s="30">
        <v>54.65</v>
      </c>
      <c r="C582" s="24" t="s">
        <v>828</v>
      </c>
      <c r="D582" s="35">
        <f>Prec.!$C$80</f>
        <v>0.68</v>
      </c>
      <c r="E582" s="31">
        <f t="shared" si="45"/>
        <v>37.159999999999997</v>
      </c>
      <c r="F582" s="32"/>
    </row>
    <row r="583" spans="1:13" ht="12.75" hidden="1" customHeight="1">
      <c r="A583" s="12" t="s">
        <v>452</v>
      </c>
      <c r="B583" s="30">
        <v>7.53</v>
      </c>
      <c r="C583" s="24" t="s">
        <v>823</v>
      </c>
      <c r="D583" s="35">
        <f>Prec.!$D$392</f>
        <v>15.58</v>
      </c>
      <c r="E583" s="31">
        <f t="shared" si="45"/>
        <v>117.32</v>
      </c>
      <c r="F583" s="32"/>
    </row>
    <row r="584" spans="1:13" ht="12.75" hidden="1" customHeight="1">
      <c r="A584" s="12" t="s">
        <v>365</v>
      </c>
      <c r="B584" s="30">
        <v>0.52400000000000002</v>
      </c>
      <c r="C584" s="24" t="s">
        <v>825</v>
      </c>
      <c r="D584" s="35">
        <f>Prec.!$D$379</f>
        <v>331.17</v>
      </c>
      <c r="E584" s="31">
        <f t="shared" si="45"/>
        <v>173.53</v>
      </c>
      <c r="F584" s="32"/>
    </row>
    <row r="585" spans="1:13" ht="12.75" hidden="1" customHeight="1">
      <c r="A585" s="12" t="s">
        <v>366</v>
      </c>
      <c r="B585" s="30">
        <v>0.72599999999999998</v>
      </c>
      <c r="C585" s="24" t="s">
        <v>825</v>
      </c>
      <c r="D585" s="35">
        <f>Prec.!$D$386</f>
        <v>441.56</v>
      </c>
      <c r="E585" s="31">
        <f t="shared" si="45"/>
        <v>320.57</v>
      </c>
      <c r="F585" s="32"/>
    </row>
    <row r="586" spans="1:13" s="166" customFormat="1" ht="12.75" hidden="1" customHeight="1">
      <c r="A586" s="12" t="s">
        <v>783</v>
      </c>
      <c r="B586" s="30">
        <v>1</v>
      </c>
      <c r="C586" s="24" t="s">
        <v>825</v>
      </c>
      <c r="D586" s="35">
        <v>698.01549999999997</v>
      </c>
      <c r="E586" s="31">
        <f>ROUND(B586*D586,2)</f>
        <v>698.02</v>
      </c>
      <c r="F586" s="32"/>
      <c r="G586" s="15"/>
      <c r="H586" s="21"/>
      <c r="I586" s="15"/>
      <c r="J586" s="15"/>
      <c r="K586" s="15"/>
      <c r="L586" s="21"/>
      <c r="M586" s="15"/>
    </row>
    <row r="587" spans="1:13" ht="12.75" hidden="1" customHeight="1">
      <c r="A587" s="12" t="s">
        <v>208</v>
      </c>
      <c r="B587" s="30">
        <f>SUM(E579:E585)</f>
        <v>4973.829999999999</v>
      </c>
      <c r="C587" s="24" t="s">
        <v>209</v>
      </c>
      <c r="D587" s="35">
        <v>0.02</v>
      </c>
      <c r="E587" s="31">
        <f t="shared" si="45"/>
        <v>99.48</v>
      </c>
      <c r="F587" s="32">
        <f>SUM(E579:E587)</f>
        <v>5771.3299999999981</v>
      </c>
    </row>
    <row r="588" spans="1:13" ht="12.75" hidden="1" customHeight="1">
      <c r="A588" s="12"/>
      <c r="B588" s="30"/>
      <c r="C588" s="24"/>
      <c r="D588" s="35"/>
      <c r="E588" s="31"/>
      <c r="F588" s="32"/>
    </row>
    <row r="589" spans="1:13" ht="12.75" hidden="1" customHeight="1">
      <c r="A589" s="13" t="s">
        <v>116</v>
      </c>
      <c r="B589" s="42" t="s">
        <v>151</v>
      </c>
      <c r="C589" s="29" t="s">
        <v>825</v>
      </c>
      <c r="D589" s="35"/>
      <c r="E589" s="31"/>
      <c r="F589" s="32"/>
    </row>
    <row r="590" spans="1:13" ht="12.75" hidden="1" customHeight="1">
      <c r="A590" s="12" t="s">
        <v>822</v>
      </c>
      <c r="B590" s="30">
        <v>7.84</v>
      </c>
      <c r="C590" s="24" t="s">
        <v>823</v>
      </c>
      <c r="D590" s="35">
        <f>Prec.!$C$5</f>
        <v>425</v>
      </c>
      <c r="E590" s="31">
        <f t="shared" ref="E590:E597" si="46">ROUND(B590*D590,2)</f>
        <v>3332</v>
      </c>
      <c r="F590" s="32"/>
    </row>
    <row r="591" spans="1:13" ht="12.75" hidden="1" customHeight="1">
      <c r="A591" s="12" t="s">
        <v>824</v>
      </c>
      <c r="B591" s="30">
        <v>0.51800000000000002</v>
      </c>
      <c r="C591" s="24" t="s">
        <v>825</v>
      </c>
      <c r="D591" s="35">
        <f>Prec.!$C$13</f>
        <v>900</v>
      </c>
      <c r="E591" s="31">
        <f t="shared" si="46"/>
        <v>466.2</v>
      </c>
      <c r="F591" s="32"/>
    </row>
    <row r="592" spans="1:13" ht="12.75" hidden="1" customHeight="1">
      <c r="A592" s="12" t="s">
        <v>1308</v>
      </c>
      <c r="B592" s="30">
        <v>0.72399999999999998</v>
      </c>
      <c r="C592" s="24" t="s">
        <v>825</v>
      </c>
      <c r="D592" s="35">
        <f>D581</f>
        <v>900</v>
      </c>
      <c r="E592" s="31">
        <f t="shared" si="46"/>
        <v>651.6</v>
      </c>
      <c r="F592" s="32"/>
    </row>
    <row r="593" spans="1:6" ht="12.75" hidden="1" customHeight="1">
      <c r="A593" s="12" t="s">
        <v>827</v>
      </c>
      <c r="B593" s="30">
        <v>55.44</v>
      </c>
      <c r="C593" s="24" t="s">
        <v>828</v>
      </c>
      <c r="D593" s="35">
        <f>Prec.!$C$80</f>
        <v>0.68</v>
      </c>
      <c r="E593" s="31">
        <f t="shared" si="46"/>
        <v>37.700000000000003</v>
      </c>
      <c r="F593" s="32"/>
    </row>
    <row r="594" spans="1:6" ht="12.75" hidden="1" customHeight="1">
      <c r="A594" s="12" t="s">
        <v>452</v>
      </c>
      <c r="B594" s="30">
        <v>7.84</v>
      </c>
      <c r="C594" s="24" t="s">
        <v>823</v>
      </c>
      <c r="D594" s="35">
        <f>Prec.!$D$392</f>
        <v>15.58</v>
      </c>
      <c r="E594" s="31">
        <f t="shared" si="46"/>
        <v>122.15</v>
      </c>
      <c r="F594" s="32"/>
    </row>
    <row r="595" spans="1:6" ht="12.75" hidden="1" customHeight="1">
      <c r="A595" s="12" t="s">
        <v>365</v>
      </c>
      <c r="B595" s="30">
        <v>0.51800000000000002</v>
      </c>
      <c r="C595" s="24" t="s">
        <v>825</v>
      </c>
      <c r="D595" s="35">
        <f>Prec.!$D$379</f>
        <v>331.17</v>
      </c>
      <c r="E595" s="31">
        <f t="shared" si="46"/>
        <v>171.55</v>
      </c>
      <c r="F595" s="32"/>
    </row>
    <row r="596" spans="1:6" ht="12.75" hidden="1" customHeight="1">
      <c r="A596" s="12" t="s">
        <v>366</v>
      </c>
      <c r="B596" s="30">
        <v>0.72399999999999998</v>
      </c>
      <c r="C596" s="24" t="s">
        <v>825</v>
      </c>
      <c r="D596" s="35">
        <f>Prec.!$D$386</f>
        <v>441.56</v>
      </c>
      <c r="E596" s="31">
        <f t="shared" si="46"/>
        <v>319.69</v>
      </c>
      <c r="F596" s="32"/>
    </row>
    <row r="597" spans="1:6" ht="12.75" hidden="1" customHeight="1">
      <c r="A597" s="12" t="s">
        <v>208</v>
      </c>
      <c r="B597" s="30">
        <f>SUM(E590:E596)</f>
        <v>5100.8899999999994</v>
      </c>
      <c r="C597" s="24" t="s">
        <v>209</v>
      </c>
      <c r="D597" s="35">
        <f>Prec.!C302</f>
        <v>1.4999999999999999E-2</v>
      </c>
      <c r="E597" s="31">
        <f t="shared" si="46"/>
        <v>76.510000000000005</v>
      </c>
      <c r="F597" s="32">
        <f>SUM(E590:E597)</f>
        <v>5177.3999999999996</v>
      </c>
    </row>
    <row r="598" spans="1:6" ht="12.75" hidden="1" customHeight="1">
      <c r="A598" s="12"/>
      <c r="B598" s="30"/>
      <c r="C598" s="24"/>
      <c r="D598" s="35"/>
      <c r="E598" s="31"/>
      <c r="F598" s="32"/>
    </row>
    <row r="599" spans="1:6" ht="12.75" hidden="1" customHeight="1">
      <c r="A599" s="13" t="s">
        <v>77</v>
      </c>
      <c r="B599" s="42" t="s">
        <v>151</v>
      </c>
      <c r="C599" s="29" t="s">
        <v>825</v>
      </c>
      <c r="D599" s="35"/>
      <c r="E599" s="31"/>
      <c r="F599" s="32"/>
    </row>
    <row r="600" spans="1:6" ht="12.75" hidden="1" customHeight="1">
      <c r="A600" s="12" t="s">
        <v>822</v>
      </c>
      <c r="B600" s="30">
        <v>8</v>
      </c>
      <c r="C600" s="24" t="s">
        <v>823</v>
      </c>
      <c r="D600" s="35">
        <f>Prec.!$C$5</f>
        <v>425</v>
      </c>
      <c r="E600" s="31">
        <f t="shared" ref="E600:E607" si="47">ROUND(B600*D600,2)</f>
        <v>3400</v>
      </c>
      <c r="F600" s="32"/>
    </row>
    <row r="601" spans="1:6" ht="12.75" hidden="1" customHeight="1">
      <c r="A601" s="12" t="s">
        <v>824</v>
      </c>
      <c r="B601" s="30">
        <v>0.51600000000000001</v>
      </c>
      <c r="C601" s="24" t="s">
        <v>825</v>
      </c>
      <c r="D601" s="35">
        <f>Prec.!$C$13</f>
        <v>900</v>
      </c>
      <c r="E601" s="31">
        <f t="shared" si="47"/>
        <v>464.4</v>
      </c>
      <c r="F601" s="32"/>
    </row>
    <row r="602" spans="1:6" ht="12.75" hidden="1" customHeight="1">
      <c r="A602" s="12" t="s">
        <v>1308</v>
      </c>
      <c r="B602" s="30">
        <v>0.71899999999999997</v>
      </c>
      <c r="C602" s="24" t="s">
        <v>825</v>
      </c>
      <c r="D602" s="35">
        <f>D592</f>
        <v>900</v>
      </c>
      <c r="E602" s="31">
        <f t="shared" si="47"/>
        <v>647.1</v>
      </c>
      <c r="F602" s="32"/>
    </row>
    <row r="603" spans="1:6" ht="12.75" hidden="1" customHeight="1">
      <c r="A603" s="12" t="s">
        <v>827</v>
      </c>
      <c r="B603" s="30">
        <v>54.65</v>
      </c>
      <c r="C603" s="24" t="s">
        <v>828</v>
      </c>
      <c r="D603" s="35">
        <f>Prec.!$C$80</f>
        <v>0.68</v>
      </c>
      <c r="E603" s="31">
        <f t="shared" si="47"/>
        <v>37.159999999999997</v>
      </c>
      <c r="F603" s="32"/>
    </row>
    <row r="604" spans="1:6" ht="12.75" hidden="1" customHeight="1">
      <c r="A604" s="12" t="s">
        <v>452</v>
      </c>
      <c r="B604" s="30">
        <v>8</v>
      </c>
      <c r="C604" s="24" t="s">
        <v>823</v>
      </c>
      <c r="D604" s="35">
        <f>Prec.!$D$392</f>
        <v>15.58</v>
      </c>
      <c r="E604" s="31">
        <f t="shared" si="47"/>
        <v>124.64</v>
      </c>
      <c r="F604" s="32"/>
    </row>
    <row r="605" spans="1:6" ht="12.75" hidden="1" customHeight="1">
      <c r="A605" s="12" t="s">
        <v>365</v>
      </c>
      <c r="B605" s="30">
        <v>0.51600000000000001</v>
      </c>
      <c r="C605" s="24" t="s">
        <v>825</v>
      </c>
      <c r="D605" s="35">
        <f>Prec.!$D$379</f>
        <v>331.17</v>
      </c>
      <c r="E605" s="31">
        <f t="shared" si="47"/>
        <v>170.88</v>
      </c>
      <c r="F605" s="32"/>
    </row>
    <row r="606" spans="1:6" ht="12.75" hidden="1" customHeight="1">
      <c r="A606" s="12" t="s">
        <v>366</v>
      </c>
      <c r="B606" s="30">
        <v>0.71899999999999997</v>
      </c>
      <c r="C606" s="24" t="s">
        <v>825</v>
      </c>
      <c r="D606" s="35">
        <f>Prec.!$D$386</f>
        <v>441.56</v>
      </c>
      <c r="E606" s="31">
        <f t="shared" si="47"/>
        <v>317.48</v>
      </c>
      <c r="F606" s="32"/>
    </row>
    <row r="607" spans="1:6" ht="12.75" hidden="1" customHeight="1">
      <c r="A607" s="12" t="s">
        <v>208</v>
      </c>
      <c r="B607" s="30">
        <f>SUM(E600:E606)</f>
        <v>5161.66</v>
      </c>
      <c r="C607" s="24" t="s">
        <v>209</v>
      </c>
      <c r="D607" s="35">
        <f>Prec.!C302</f>
        <v>1.4999999999999999E-2</v>
      </c>
      <c r="E607" s="31">
        <f t="shared" si="47"/>
        <v>77.42</v>
      </c>
      <c r="F607" s="32">
        <f>SUM(E600:E607)</f>
        <v>5239.08</v>
      </c>
    </row>
    <row r="608" spans="1:6" ht="12.75" hidden="1" customHeight="1">
      <c r="A608" s="12"/>
      <c r="B608" s="30"/>
      <c r="C608" s="24"/>
      <c r="D608" s="35"/>
      <c r="E608" s="31"/>
      <c r="F608" s="32"/>
    </row>
    <row r="609" spans="1:13" ht="12.75" hidden="1" customHeight="1">
      <c r="A609" s="13" t="s">
        <v>1279</v>
      </c>
      <c r="B609" s="42" t="s">
        <v>151</v>
      </c>
      <c r="C609" s="29" t="s">
        <v>825</v>
      </c>
      <c r="D609" s="35"/>
      <c r="E609" s="31"/>
      <c r="F609" s="32"/>
    </row>
    <row r="610" spans="1:13" ht="12.75" hidden="1" customHeight="1">
      <c r="A610" s="12" t="s">
        <v>822</v>
      </c>
      <c r="B610" s="30">
        <v>8.31</v>
      </c>
      <c r="C610" s="24" t="s">
        <v>823</v>
      </c>
      <c r="D610" s="35">
        <f>Prec.!$C$5</f>
        <v>425</v>
      </c>
      <c r="E610" s="31">
        <f t="shared" ref="E610:E618" si="48">ROUND(B610*D610,2)</f>
        <v>3531.75</v>
      </c>
      <c r="F610" s="32"/>
    </row>
    <row r="611" spans="1:13" ht="12.75" hidden="1" customHeight="1">
      <c r="A611" s="12" t="s">
        <v>824</v>
      </c>
      <c r="B611" s="30">
        <v>0.51200000000000001</v>
      </c>
      <c r="C611" s="24" t="s">
        <v>825</v>
      </c>
      <c r="D611" s="35">
        <f>Prec.!$C$13</f>
        <v>900</v>
      </c>
      <c r="E611" s="31">
        <f t="shared" si="48"/>
        <v>460.8</v>
      </c>
      <c r="F611" s="32"/>
    </row>
    <row r="612" spans="1:13" ht="12.75" hidden="1" customHeight="1">
      <c r="A612" s="12" t="s">
        <v>1308</v>
      </c>
      <c r="B612" s="30">
        <v>0.71</v>
      </c>
      <c r="C612" s="24" t="s">
        <v>825</v>
      </c>
      <c r="D612" s="35">
        <f>D602</f>
        <v>900</v>
      </c>
      <c r="E612" s="31">
        <f t="shared" si="48"/>
        <v>639</v>
      </c>
      <c r="F612" s="32"/>
    </row>
    <row r="613" spans="1:13" ht="12.75" hidden="1" customHeight="1">
      <c r="A613" s="12" t="s">
        <v>827</v>
      </c>
      <c r="B613" s="30">
        <v>53.06</v>
      </c>
      <c r="C613" s="24" t="s">
        <v>828</v>
      </c>
      <c r="D613" s="35">
        <f>Prec.!$C$80</f>
        <v>0.68</v>
      </c>
      <c r="E613" s="31">
        <f t="shared" si="48"/>
        <v>36.08</v>
      </c>
      <c r="F613" s="32"/>
    </row>
    <row r="614" spans="1:13" ht="12.75" hidden="1" customHeight="1">
      <c r="A614" s="12" t="s">
        <v>452</v>
      </c>
      <c r="B614" s="30">
        <v>8.31</v>
      </c>
      <c r="C614" s="24" t="s">
        <v>823</v>
      </c>
      <c r="D614" s="35">
        <f>Prec.!$D$392</f>
        <v>15.58</v>
      </c>
      <c r="E614" s="31">
        <f t="shared" si="48"/>
        <v>129.47</v>
      </c>
      <c r="F614" s="32"/>
    </row>
    <row r="615" spans="1:13" ht="12.75" hidden="1" customHeight="1">
      <c r="A615" s="12" t="s">
        <v>365</v>
      </c>
      <c r="B615" s="30">
        <v>0.51200000000000001</v>
      </c>
      <c r="C615" s="24" t="s">
        <v>825</v>
      </c>
      <c r="D615" s="35">
        <f>Prec.!$D$379</f>
        <v>331.17</v>
      </c>
      <c r="E615" s="31">
        <f t="shared" si="48"/>
        <v>169.56</v>
      </c>
      <c r="F615" s="32"/>
    </row>
    <row r="616" spans="1:13" ht="12.75" hidden="1" customHeight="1">
      <c r="A616" s="12" t="s">
        <v>366</v>
      </c>
      <c r="B616" s="30">
        <v>0.71</v>
      </c>
      <c r="C616" s="24" t="s">
        <v>825</v>
      </c>
      <c r="D616" s="35">
        <f>Prec.!$D$386</f>
        <v>441.56</v>
      </c>
      <c r="E616" s="31">
        <f t="shared" si="48"/>
        <v>313.51</v>
      </c>
      <c r="F616" s="32"/>
    </row>
    <row r="617" spans="1:13" s="166" customFormat="1" ht="12.75" hidden="1" customHeight="1">
      <c r="A617" s="12" t="s">
        <v>783</v>
      </c>
      <c r="B617" s="30">
        <v>1</v>
      </c>
      <c r="C617" s="24" t="s">
        <v>825</v>
      </c>
      <c r="D617" s="35">
        <v>698.01549999999997</v>
      </c>
      <c r="E617" s="31">
        <f>ROUND(B617*D617,2)</f>
        <v>698.02</v>
      </c>
      <c r="F617" s="32"/>
      <c r="G617" s="15"/>
      <c r="H617" s="21"/>
      <c r="I617" s="15"/>
      <c r="J617" s="15"/>
      <c r="K617" s="15"/>
      <c r="L617" s="21"/>
      <c r="M617" s="15"/>
    </row>
    <row r="618" spans="1:13" ht="12.75" hidden="1" customHeight="1">
      <c r="A618" s="12" t="s">
        <v>208</v>
      </c>
      <c r="B618" s="30">
        <f>SUM(E610:E616)</f>
        <v>5280.170000000001</v>
      </c>
      <c r="C618" s="24" t="s">
        <v>209</v>
      </c>
      <c r="D618" s="35">
        <v>0.02</v>
      </c>
      <c r="E618" s="31">
        <f t="shared" si="48"/>
        <v>105.6</v>
      </c>
      <c r="F618" s="32">
        <f>SUM(E610:E618)</f>
        <v>6083.7900000000009</v>
      </c>
    </row>
    <row r="619" spans="1:13" ht="12.75" hidden="1" customHeight="1">
      <c r="A619" s="12"/>
      <c r="B619" s="30"/>
      <c r="C619" s="24"/>
      <c r="D619" s="35"/>
      <c r="E619" s="31"/>
      <c r="F619" s="32"/>
    </row>
    <row r="620" spans="1:13" ht="12.75" hidden="1" customHeight="1">
      <c r="A620" s="13" t="s">
        <v>1280</v>
      </c>
      <c r="B620" s="42" t="s">
        <v>151</v>
      </c>
      <c r="C620" s="29" t="s">
        <v>825</v>
      </c>
      <c r="D620" s="35"/>
      <c r="E620" s="31"/>
      <c r="F620" s="32"/>
    </row>
    <row r="621" spans="1:13" ht="12.75" hidden="1" customHeight="1">
      <c r="A621" s="12" t="s">
        <v>822</v>
      </c>
      <c r="B621" s="30">
        <v>8.61</v>
      </c>
      <c r="C621" s="24" t="s">
        <v>823</v>
      </c>
      <c r="D621" s="35">
        <f>Prec.!$C$5</f>
        <v>425</v>
      </c>
      <c r="E621" s="31">
        <f t="shared" ref="E621:E628" si="49">ROUND(B621*D621,2)</f>
        <v>3659.25</v>
      </c>
      <c r="F621" s="32"/>
    </row>
    <row r="622" spans="1:13" ht="12.75" hidden="1" customHeight="1">
      <c r="A622" s="12" t="s">
        <v>824</v>
      </c>
      <c r="B622" s="30">
        <v>0.50800000000000001</v>
      </c>
      <c r="C622" s="24" t="s">
        <v>825</v>
      </c>
      <c r="D622" s="35">
        <f>Prec.!$C$13</f>
        <v>900</v>
      </c>
      <c r="E622" s="31">
        <f t="shared" si="49"/>
        <v>457.2</v>
      </c>
      <c r="F622" s="32"/>
    </row>
    <row r="623" spans="1:13" ht="12.75" hidden="1" customHeight="1">
      <c r="A623" s="12" t="s">
        <v>1308</v>
      </c>
      <c r="B623" s="30">
        <v>0.70199999999999996</v>
      </c>
      <c r="C623" s="24" t="s">
        <v>825</v>
      </c>
      <c r="D623" s="35">
        <f>D612</f>
        <v>900</v>
      </c>
      <c r="E623" s="31">
        <f t="shared" si="49"/>
        <v>631.79999999999995</v>
      </c>
      <c r="F623" s="32"/>
    </row>
    <row r="624" spans="1:13" ht="12.75" hidden="1" customHeight="1">
      <c r="A624" s="12" t="s">
        <v>827</v>
      </c>
      <c r="B624" s="30">
        <v>51.48</v>
      </c>
      <c r="C624" s="24" t="s">
        <v>828</v>
      </c>
      <c r="D624" s="35">
        <f>Prec.!$C$80</f>
        <v>0.68</v>
      </c>
      <c r="E624" s="31">
        <f t="shared" si="49"/>
        <v>35.01</v>
      </c>
      <c r="F624" s="32"/>
    </row>
    <row r="625" spans="1:13" ht="12.75" hidden="1" customHeight="1">
      <c r="A625" s="12" t="s">
        <v>452</v>
      </c>
      <c r="B625" s="30">
        <v>8.61</v>
      </c>
      <c r="C625" s="24" t="s">
        <v>823</v>
      </c>
      <c r="D625" s="35">
        <f>Prec.!$D$392</f>
        <v>15.58</v>
      </c>
      <c r="E625" s="31">
        <f t="shared" si="49"/>
        <v>134.13999999999999</v>
      </c>
      <c r="F625" s="32"/>
    </row>
    <row r="626" spans="1:13" ht="12.75" hidden="1" customHeight="1">
      <c r="A626" s="12" t="s">
        <v>365</v>
      </c>
      <c r="B626" s="30">
        <v>0.50800000000000001</v>
      </c>
      <c r="C626" s="24" t="s">
        <v>825</v>
      </c>
      <c r="D626" s="35">
        <f>Prec.!$D$379</f>
        <v>331.17</v>
      </c>
      <c r="E626" s="31">
        <f t="shared" si="49"/>
        <v>168.23</v>
      </c>
      <c r="F626" s="32"/>
    </row>
    <row r="627" spans="1:13" ht="12.75" hidden="1" customHeight="1">
      <c r="A627" s="12" t="s">
        <v>366</v>
      </c>
      <c r="B627" s="30">
        <v>0.70199999999999996</v>
      </c>
      <c r="C627" s="24" t="s">
        <v>825</v>
      </c>
      <c r="D627" s="35">
        <f>Prec.!$D$386</f>
        <v>441.56</v>
      </c>
      <c r="E627" s="31">
        <f t="shared" si="49"/>
        <v>309.98</v>
      </c>
      <c r="F627" s="32"/>
    </row>
    <row r="628" spans="1:13" ht="12.75" hidden="1" customHeight="1">
      <c r="A628" s="12" t="s">
        <v>208</v>
      </c>
      <c r="B628" s="30">
        <f>SUM(E621:E627)</f>
        <v>5395.6100000000006</v>
      </c>
      <c r="C628" s="24" t="s">
        <v>209</v>
      </c>
      <c r="D628" s="35">
        <f>Prec.!C302</f>
        <v>1.4999999999999999E-2</v>
      </c>
      <c r="E628" s="31">
        <f t="shared" si="49"/>
        <v>80.930000000000007</v>
      </c>
      <c r="F628" s="32">
        <f>SUM(E621:E628)</f>
        <v>5476.5400000000009</v>
      </c>
    </row>
    <row r="629" spans="1:13" ht="12.75" hidden="1" customHeight="1">
      <c r="A629" s="12"/>
      <c r="B629" s="30"/>
      <c r="C629" s="24"/>
      <c r="D629" s="35"/>
      <c r="E629" s="31"/>
      <c r="F629" s="32"/>
    </row>
    <row r="630" spans="1:13" ht="12.75" hidden="1" customHeight="1">
      <c r="A630" s="13" t="s">
        <v>1281</v>
      </c>
      <c r="B630" s="42" t="s">
        <v>151</v>
      </c>
      <c r="C630" s="29" t="s">
        <v>825</v>
      </c>
      <c r="D630" s="35"/>
      <c r="E630" s="31"/>
      <c r="F630" s="32"/>
    </row>
    <row r="631" spans="1:13" ht="12.75" hidden="1" customHeight="1">
      <c r="A631" s="12" t="s">
        <v>822</v>
      </c>
      <c r="B631" s="30">
        <v>8.94</v>
      </c>
      <c r="C631" s="24" t="s">
        <v>823</v>
      </c>
      <c r="D631" s="35">
        <f>Prec.!$C$5</f>
        <v>425</v>
      </c>
      <c r="E631" s="31">
        <f t="shared" ref="E631:E639" si="50">ROUND(B631*D631,2)</f>
        <v>3799.5</v>
      </c>
      <c r="F631" s="32"/>
    </row>
    <row r="632" spans="1:13" ht="12.75" hidden="1" customHeight="1">
      <c r="A632" s="12" t="s">
        <v>824</v>
      </c>
      <c r="B632" s="30">
        <v>0.505</v>
      </c>
      <c r="C632" s="24" t="s">
        <v>825</v>
      </c>
      <c r="D632" s="35">
        <f>Prec.!$C$13</f>
        <v>900</v>
      </c>
      <c r="E632" s="31">
        <f t="shared" si="50"/>
        <v>454.5</v>
      </c>
      <c r="F632" s="32"/>
    </row>
    <row r="633" spans="1:13" ht="12.75" hidden="1" customHeight="1">
      <c r="A633" s="12" t="s">
        <v>1308</v>
      </c>
      <c r="B633" s="30">
        <v>0.69899999999999995</v>
      </c>
      <c r="C633" s="24" t="s">
        <v>825</v>
      </c>
      <c r="D633" s="35">
        <f>D623</f>
        <v>900</v>
      </c>
      <c r="E633" s="31">
        <f t="shared" si="50"/>
        <v>629.1</v>
      </c>
      <c r="F633" s="32"/>
    </row>
    <row r="634" spans="1:13" ht="12.75" hidden="1" customHeight="1">
      <c r="A634" s="12" t="s">
        <v>827</v>
      </c>
      <c r="B634" s="30">
        <v>51.22</v>
      </c>
      <c r="C634" s="24" t="s">
        <v>828</v>
      </c>
      <c r="D634" s="35">
        <f>Prec.!$C$80</f>
        <v>0.68</v>
      </c>
      <c r="E634" s="31">
        <f t="shared" si="50"/>
        <v>34.83</v>
      </c>
      <c r="F634" s="32"/>
    </row>
    <row r="635" spans="1:13" ht="12.75" hidden="1" customHeight="1">
      <c r="A635" s="12" t="s">
        <v>452</v>
      </c>
      <c r="B635" s="30">
        <v>8.94</v>
      </c>
      <c r="C635" s="24" t="s">
        <v>823</v>
      </c>
      <c r="D635" s="35">
        <f>Prec.!$D$392</f>
        <v>15.58</v>
      </c>
      <c r="E635" s="31">
        <f t="shared" si="50"/>
        <v>139.29</v>
      </c>
      <c r="F635" s="32"/>
    </row>
    <row r="636" spans="1:13" ht="12.75" hidden="1" customHeight="1">
      <c r="A636" s="12" t="s">
        <v>365</v>
      </c>
      <c r="B636" s="30">
        <v>0.505</v>
      </c>
      <c r="C636" s="24" t="s">
        <v>825</v>
      </c>
      <c r="D636" s="35">
        <f>Prec.!$D$379</f>
        <v>331.17</v>
      </c>
      <c r="E636" s="31">
        <f t="shared" si="50"/>
        <v>167.24</v>
      </c>
      <c r="F636" s="32"/>
    </row>
    <row r="637" spans="1:13" ht="12.75" hidden="1" customHeight="1">
      <c r="A637" s="12" t="s">
        <v>366</v>
      </c>
      <c r="B637" s="30">
        <v>0.69899999999999995</v>
      </c>
      <c r="C637" s="24" t="s">
        <v>825</v>
      </c>
      <c r="D637" s="35">
        <f>Prec.!$D$386</f>
        <v>441.56</v>
      </c>
      <c r="E637" s="31">
        <f t="shared" si="50"/>
        <v>308.64999999999998</v>
      </c>
      <c r="F637" s="32"/>
    </row>
    <row r="638" spans="1:13" s="166" customFormat="1" ht="12.75" hidden="1" customHeight="1">
      <c r="A638" s="12" t="s">
        <v>783</v>
      </c>
      <c r="B638" s="30">
        <v>1</v>
      </c>
      <c r="C638" s="24" t="s">
        <v>825</v>
      </c>
      <c r="D638" s="35">
        <v>698.01549999999997</v>
      </c>
      <c r="E638" s="31">
        <f>ROUND(B638*D638,2)</f>
        <v>698.02</v>
      </c>
      <c r="F638" s="32"/>
      <c r="G638" s="15"/>
      <c r="H638" s="21"/>
      <c r="I638" s="15"/>
      <c r="J638" s="15"/>
      <c r="K638" s="15"/>
      <c r="L638" s="21"/>
      <c r="M638" s="15"/>
    </row>
    <row r="639" spans="1:13" ht="12.75" hidden="1" customHeight="1">
      <c r="A639" s="12" t="s">
        <v>208</v>
      </c>
      <c r="B639" s="30">
        <f>SUM(E631:E637)</f>
        <v>5533.11</v>
      </c>
      <c r="C639" s="24" t="s">
        <v>209</v>
      </c>
      <c r="D639" s="35">
        <v>0.02</v>
      </c>
      <c r="E639" s="31">
        <f t="shared" si="50"/>
        <v>110.66</v>
      </c>
      <c r="F639" s="32">
        <f>SUM(E631:E639)</f>
        <v>6341.7899999999991</v>
      </c>
    </row>
    <row r="640" spans="1:13" ht="12.75" hidden="1" customHeight="1">
      <c r="A640" s="12"/>
      <c r="B640" s="30"/>
      <c r="C640" s="24"/>
      <c r="D640" s="35"/>
      <c r="E640" s="31"/>
      <c r="F640" s="32"/>
    </row>
    <row r="641" spans="1:6" ht="12.75" hidden="1" customHeight="1">
      <c r="A641" s="13" t="s">
        <v>1282</v>
      </c>
      <c r="B641" s="42" t="s">
        <v>151</v>
      </c>
      <c r="C641" s="29" t="s">
        <v>825</v>
      </c>
      <c r="D641" s="35"/>
      <c r="E641" s="31"/>
      <c r="F641" s="32"/>
    </row>
    <row r="642" spans="1:6" ht="12.75" hidden="1" customHeight="1">
      <c r="A642" s="12" t="s">
        <v>822</v>
      </c>
      <c r="B642" s="30">
        <v>9.93</v>
      </c>
      <c r="C642" s="24" t="s">
        <v>823</v>
      </c>
      <c r="D642" s="35">
        <f>Prec.!$C$5</f>
        <v>425</v>
      </c>
      <c r="E642" s="31">
        <f t="shared" ref="E642:E649" si="51">ROUND(B642*D642,2)</f>
        <v>4220.25</v>
      </c>
      <c r="F642" s="32"/>
    </row>
    <row r="643" spans="1:6" ht="12.75" hidden="1" customHeight="1">
      <c r="A643" s="12" t="s">
        <v>824</v>
      </c>
      <c r="B643" s="30">
        <v>0.499</v>
      </c>
      <c r="C643" s="24" t="s">
        <v>825</v>
      </c>
      <c r="D643" s="35">
        <f>Prec.!$C$13</f>
        <v>900</v>
      </c>
      <c r="E643" s="31">
        <f t="shared" si="51"/>
        <v>449.1</v>
      </c>
      <c r="F643" s="32"/>
    </row>
    <row r="644" spans="1:6" ht="12.75" hidden="1" customHeight="1">
      <c r="A644" s="12" t="s">
        <v>1308</v>
      </c>
      <c r="B644" s="30">
        <v>0.69299999999999995</v>
      </c>
      <c r="C644" s="24" t="s">
        <v>825</v>
      </c>
      <c r="D644" s="35">
        <f>D633</f>
        <v>900</v>
      </c>
      <c r="E644" s="31">
        <f t="shared" si="51"/>
        <v>623.70000000000005</v>
      </c>
      <c r="F644" s="32"/>
    </row>
    <row r="645" spans="1:6" ht="12.75" hidden="1" customHeight="1">
      <c r="A645" s="12" t="s">
        <v>827</v>
      </c>
      <c r="B645" s="30">
        <v>50.42</v>
      </c>
      <c r="C645" s="24" t="s">
        <v>828</v>
      </c>
      <c r="D645" s="35">
        <f>Prec.!$C$80</f>
        <v>0.68</v>
      </c>
      <c r="E645" s="31">
        <f t="shared" si="51"/>
        <v>34.29</v>
      </c>
      <c r="F645" s="32"/>
    </row>
    <row r="646" spans="1:6" ht="12.75" hidden="1" customHeight="1">
      <c r="A646" s="12" t="s">
        <v>452</v>
      </c>
      <c r="B646" s="30">
        <v>9.93</v>
      </c>
      <c r="C646" s="24" t="s">
        <v>823</v>
      </c>
      <c r="D646" s="35">
        <f>Prec.!$D$392</f>
        <v>15.58</v>
      </c>
      <c r="E646" s="31">
        <f t="shared" si="51"/>
        <v>154.71</v>
      </c>
      <c r="F646" s="32"/>
    </row>
    <row r="647" spans="1:6" ht="12.75" hidden="1" customHeight="1">
      <c r="A647" s="12" t="s">
        <v>365</v>
      </c>
      <c r="B647" s="30">
        <v>0.499</v>
      </c>
      <c r="C647" s="24" t="s">
        <v>825</v>
      </c>
      <c r="D647" s="35">
        <f>Prec.!$D$379</f>
        <v>331.17</v>
      </c>
      <c r="E647" s="31">
        <f t="shared" si="51"/>
        <v>165.25</v>
      </c>
      <c r="F647" s="32"/>
    </row>
    <row r="648" spans="1:6" ht="12.75" hidden="1" customHeight="1">
      <c r="A648" s="12" t="s">
        <v>366</v>
      </c>
      <c r="B648" s="30">
        <v>0.69299999999999995</v>
      </c>
      <c r="C648" s="24" t="s">
        <v>825</v>
      </c>
      <c r="D648" s="35">
        <f>Prec.!$D$386</f>
        <v>441.56</v>
      </c>
      <c r="E648" s="31">
        <f t="shared" si="51"/>
        <v>306</v>
      </c>
      <c r="F648" s="32"/>
    </row>
    <row r="649" spans="1:6" ht="12.75" hidden="1" customHeight="1">
      <c r="A649" s="12" t="s">
        <v>208</v>
      </c>
      <c r="B649" s="30">
        <f>SUM(E642:E648)</f>
        <v>5953.3</v>
      </c>
      <c r="C649" s="24" t="s">
        <v>209</v>
      </c>
      <c r="D649" s="35">
        <f>Prec.!C302</f>
        <v>1.4999999999999999E-2</v>
      </c>
      <c r="E649" s="31">
        <f t="shared" si="51"/>
        <v>89.3</v>
      </c>
      <c r="F649" s="32">
        <f>SUM(E642:E649)</f>
        <v>6042.6</v>
      </c>
    </row>
    <row r="650" spans="1:6" ht="12.75" hidden="1" customHeight="1">
      <c r="A650" s="12"/>
      <c r="B650" s="30"/>
      <c r="C650" s="24"/>
      <c r="D650" s="35"/>
      <c r="E650" s="31"/>
      <c r="F650" s="32"/>
    </row>
    <row r="651" spans="1:6" ht="12.75" hidden="1" customHeight="1">
      <c r="A651" s="13" t="s">
        <v>1283</v>
      </c>
      <c r="B651" s="42" t="s">
        <v>151</v>
      </c>
      <c r="C651" s="29" t="s">
        <v>825</v>
      </c>
      <c r="D651" s="35"/>
      <c r="E651" s="31"/>
      <c r="F651" s="32"/>
    </row>
    <row r="652" spans="1:6" ht="12.75" hidden="1" customHeight="1">
      <c r="A652" s="12" t="s">
        <v>822</v>
      </c>
      <c r="B652" s="30">
        <v>10.26</v>
      </c>
      <c r="C652" s="24" t="s">
        <v>823</v>
      </c>
      <c r="D652" s="35">
        <f>Prec.!$C$5</f>
        <v>425</v>
      </c>
      <c r="E652" s="31">
        <f t="shared" ref="E652:E659" si="52">ROUND(B652*D652,2)</f>
        <v>4360.5</v>
      </c>
      <c r="F652" s="32"/>
    </row>
    <row r="653" spans="1:6" ht="12.75" hidden="1" customHeight="1">
      <c r="A653" s="12" t="s">
        <v>824</v>
      </c>
      <c r="B653" s="30">
        <v>0.497</v>
      </c>
      <c r="C653" s="24" t="s">
        <v>825</v>
      </c>
      <c r="D653" s="35">
        <f>Prec.!$C$13</f>
        <v>900</v>
      </c>
      <c r="E653" s="31">
        <f t="shared" si="52"/>
        <v>447.3</v>
      </c>
      <c r="F653" s="32"/>
    </row>
    <row r="654" spans="1:6" ht="12.75" hidden="1" customHeight="1">
      <c r="A654" s="12" t="s">
        <v>1308</v>
      </c>
      <c r="B654" s="30">
        <v>0.69099999999999995</v>
      </c>
      <c r="C654" s="24" t="s">
        <v>825</v>
      </c>
      <c r="D654" s="35">
        <f>D644</f>
        <v>900</v>
      </c>
      <c r="E654" s="31">
        <f t="shared" si="52"/>
        <v>621.9</v>
      </c>
      <c r="F654" s="32"/>
    </row>
    <row r="655" spans="1:6" ht="12.75" hidden="1" customHeight="1">
      <c r="A655" s="12" t="s">
        <v>827</v>
      </c>
      <c r="B655" s="30">
        <v>50.16</v>
      </c>
      <c r="C655" s="24" t="s">
        <v>828</v>
      </c>
      <c r="D655" s="35">
        <f>Prec.!$C$80</f>
        <v>0.68</v>
      </c>
      <c r="E655" s="31">
        <f t="shared" si="52"/>
        <v>34.11</v>
      </c>
      <c r="F655" s="32"/>
    </row>
    <row r="656" spans="1:6" ht="12.75" hidden="1" customHeight="1">
      <c r="A656" s="12" t="s">
        <v>452</v>
      </c>
      <c r="B656" s="30">
        <v>10.26</v>
      </c>
      <c r="C656" s="24" t="s">
        <v>823</v>
      </c>
      <c r="D656" s="35">
        <f>Prec.!$D$392</f>
        <v>15.58</v>
      </c>
      <c r="E656" s="31">
        <f t="shared" si="52"/>
        <v>159.85</v>
      </c>
      <c r="F656" s="32"/>
    </row>
    <row r="657" spans="1:6" ht="12.75" hidden="1" customHeight="1">
      <c r="A657" s="12" t="s">
        <v>365</v>
      </c>
      <c r="B657" s="30">
        <v>0.497</v>
      </c>
      <c r="C657" s="24" t="s">
        <v>825</v>
      </c>
      <c r="D657" s="35">
        <f>Prec.!$D$379</f>
        <v>331.17</v>
      </c>
      <c r="E657" s="31">
        <f t="shared" si="52"/>
        <v>164.59</v>
      </c>
      <c r="F657" s="32"/>
    </row>
    <row r="658" spans="1:6" ht="12.75" hidden="1" customHeight="1">
      <c r="A658" s="12" t="s">
        <v>366</v>
      </c>
      <c r="B658" s="30">
        <v>0.69099999999999995</v>
      </c>
      <c r="C658" s="24" t="s">
        <v>825</v>
      </c>
      <c r="D658" s="35">
        <f>Prec.!$D$386</f>
        <v>441.56</v>
      </c>
      <c r="E658" s="31">
        <f t="shared" si="52"/>
        <v>305.12</v>
      </c>
      <c r="F658" s="32"/>
    </row>
    <row r="659" spans="1:6" ht="12.75" hidden="1" customHeight="1">
      <c r="A659" s="12" t="s">
        <v>208</v>
      </c>
      <c r="B659" s="30">
        <f>SUM(E652:E658)</f>
        <v>6093.37</v>
      </c>
      <c r="C659" s="24" t="s">
        <v>209</v>
      </c>
      <c r="D659" s="35">
        <f>Prec.!C302</f>
        <v>1.4999999999999999E-2</v>
      </c>
      <c r="E659" s="31">
        <f t="shared" si="52"/>
        <v>91.4</v>
      </c>
      <c r="F659" s="32">
        <f>SUM(E652:E659)</f>
        <v>6184.7699999999995</v>
      </c>
    </row>
    <row r="660" spans="1:6" ht="12.75" hidden="1" customHeight="1">
      <c r="A660" s="12"/>
      <c r="B660" s="30"/>
      <c r="C660" s="24"/>
      <c r="D660" s="35"/>
      <c r="E660" s="31"/>
      <c r="F660" s="32"/>
    </row>
    <row r="661" spans="1:6" ht="12.75" hidden="1" customHeight="1">
      <c r="A661" s="13" t="s">
        <v>1163</v>
      </c>
      <c r="B661" s="42" t="s">
        <v>151</v>
      </c>
      <c r="C661" s="29" t="s">
        <v>825</v>
      </c>
      <c r="D661" s="35"/>
      <c r="E661" s="31"/>
      <c r="F661" s="32"/>
    </row>
    <row r="662" spans="1:6" ht="12.75" hidden="1" customHeight="1">
      <c r="A662" s="12" t="s">
        <v>822</v>
      </c>
      <c r="B662" s="30">
        <v>6.68</v>
      </c>
      <c r="C662" s="24" t="s">
        <v>823</v>
      </c>
      <c r="D662" s="35">
        <f>Prec.!$C$5</f>
        <v>425</v>
      </c>
      <c r="E662" s="31">
        <f t="shared" ref="E662:E669" si="53">ROUND(B662*D662,2)</f>
        <v>2839</v>
      </c>
      <c r="F662" s="32"/>
    </row>
    <row r="663" spans="1:6" ht="12.75" hidden="1" customHeight="1">
      <c r="A663" s="12" t="s">
        <v>824</v>
      </c>
      <c r="B663" s="30">
        <v>0.48299999999999998</v>
      </c>
      <c r="C663" s="24" t="s">
        <v>825</v>
      </c>
      <c r="D663" s="35">
        <f>Prec.!$C$13</f>
        <v>900</v>
      </c>
      <c r="E663" s="31">
        <f t="shared" si="53"/>
        <v>434.7</v>
      </c>
      <c r="F663" s="32"/>
    </row>
    <row r="664" spans="1:6" ht="12.75" hidden="1" customHeight="1">
      <c r="A664" s="12" t="s">
        <v>1308</v>
      </c>
      <c r="B664" s="30">
        <v>0.77300000000000002</v>
      </c>
      <c r="C664" s="24" t="s">
        <v>825</v>
      </c>
      <c r="D664" s="35">
        <f>D654</f>
        <v>900</v>
      </c>
      <c r="E664" s="31">
        <f t="shared" si="53"/>
        <v>695.7</v>
      </c>
      <c r="F664" s="32"/>
    </row>
    <row r="665" spans="1:6" ht="12.75" hidden="1" customHeight="1">
      <c r="A665" s="12" t="s">
        <v>827</v>
      </c>
      <c r="B665" s="30">
        <v>56</v>
      </c>
      <c r="C665" s="24" t="s">
        <v>828</v>
      </c>
      <c r="D665" s="35">
        <f>Prec.!$C$80</f>
        <v>0.68</v>
      </c>
      <c r="E665" s="31">
        <f t="shared" si="53"/>
        <v>38.08</v>
      </c>
      <c r="F665" s="32"/>
    </row>
    <row r="666" spans="1:6" ht="12.75" hidden="1" customHeight="1">
      <c r="A666" s="12" t="s">
        <v>452</v>
      </c>
      <c r="B666" s="30">
        <v>6.68</v>
      </c>
      <c r="C666" s="24" t="s">
        <v>823</v>
      </c>
      <c r="D666" s="35">
        <f>Prec.!$D$392</f>
        <v>15.58</v>
      </c>
      <c r="E666" s="31">
        <f t="shared" si="53"/>
        <v>104.07</v>
      </c>
      <c r="F666" s="32"/>
    </row>
    <row r="667" spans="1:6" ht="12.75" hidden="1" customHeight="1">
      <c r="A667" s="12" t="s">
        <v>365</v>
      </c>
      <c r="B667" s="30">
        <v>0.48299999999999998</v>
      </c>
      <c r="C667" s="24" t="s">
        <v>825</v>
      </c>
      <c r="D667" s="35">
        <f>Prec.!$D$379</f>
        <v>331.17</v>
      </c>
      <c r="E667" s="31">
        <f t="shared" si="53"/>
        <v>159.96</v>
      </c>
      <c r="F667" s="32"/>
    </row>
    <row r="668" spans="1:6" ht="12.75" hidden="1" customHeight="1">
      <c r="A668" s="12" t="s">
        <v>366</v>
      </c>
      <c r="B668" s="30">
        <v>0.77300000000000002</v>
      </c>
      <c r="C668" s="24" t="s">
        <v>825</v>
      </c>
      <c r="D668" s="35">
        <f>Prec.!$D$386</f>
        <v>441.56</v>
      </c>
      <c r="E668" s="31">
        <f t="shared" si="53"/>
        <v>341.33</v>
      </c>
      <c r="F668" s="32"/>
    </row>
    <row r="669" spans="1:6" ht="12.75" hidden="1" customHeight="1">
      <c r="A669" s="12" t="s">
        <v>208</v>
      </c>
      <c r="B669" s="30">
        <f>SUM(E662:E668)</f>
        <v>4612.8399999999992</v>
      </c>
      <c r="C669" s="24" t="s">
        <v>209</v>
      </c>
      <c r="D669" s="35">
        <f>Prec.!C302</f>
        <v>1.4999999999999999E-2</v>
      </c>
      <c r="E669" s="31">
        <f t="shared" si="53"/>
        <v>69.19</v>
      </c>
      <c r="F669" s="32">
        <f>SUM(E662:E669)</f>
        <v>4682.0299999999988</v>
      </c>
    </row>
    <row r="670" spans="1:6" ht="12.75" hidden="1" customHeight="1">
      <c r="A670" s="12"/>
      <c r="B670" s="30"/>
      <c r="C670" s="24"/>
      <c r="D670" s="35"/>
      <c r="E670" s="31"/>
      <c r="F670" s="32"/>
    </row>
    <row r="671" spans="1:6" ht="12.75" hidden="1" customHeight="1">
      <c r="A671" s="23" t="s">
        <v>619</v>
      </c>
    </row>
    <row r="672" spans="1:6" ht="12.75" hidden="1" customHeight="1">
      <c r="A672" s="2"/>
    </row>
    <row r="673" spans="1:13" ht="12.75" hidden="1" customHeight="1">
      <c r="A673" s="13" t="s">
        <v>620</v>
      </c>
      <c r="B673" s="42" t="s">
        <v>151</v>
      </c>
      <c r="C673" s="29" t="s">
        <v>825</v>
      </c>
      <c r="D673" s="35"/>
      <c r="E673" s="31"/>
      <c r="F673" s="32"/>
    </row>
    <row r="674" spans="1:13" ht="12.75" hidden="1" customHeight="1">
      <c r="A674" s="12" t="s">
        <v>822</v>
      </c>
      <c r="B674" s="30">
        <v>15.57</v>
      </c>
      <c r="C674" s="24" t="s">
        <v>823</v>
      </c>
      <c r="D674" s="35">
        <f>Prec.!$C$5</f>
        <v>425</v>
      </c>
      <c r="E674" s="31">
        <f t="shared" ref="E674:E680" si="54">ROUND(B674*D674,2)</f>
        <v>6617.25</v>
      </c>
      <c r="F674" s="32"/>
    </row>
    <row r="675" spans="1:13" ht="12.75" hidden="1" customHeight="1">
      <c r="A675" s="12" t="s">
        <v>824</v>
      </c>
      <c r="B675" s="30">
        <v>0.9</v>
      </c>
      <c r="C675" s="24" t="s">
        <v>825</v>
      </c>
      <c r="D675" s="35">
        <f>Prec.!$C$13</f>
        <v>900</v>
      </c>
      <c r="E675" s="31">
        <f t="shared" si="54"/>
        <v>810</v>
      </c>
      <c r="F675" s="32"/>
    </row>
    <row r="676" spans="1:13" ht="12.75" hidden="1" customHeight="1">
      <c r="A676" s="12" t="s">
        <v>827</v>
      </c>
      <c r="B676" s="30">
        <v>70.099999999999994</v>
      </c>
      <c r="C676" s="24" t="s">
        <v>828</v>
      </c>
      <c r="D676" s="35">
        <f>Prec.!$C$80</f>
        <v>0.68</v>
      </c>
      <c r="E676" s="31">
        <f t="shared" si="54"/>
        <v>47.67</v>
      </c>
      <c r="F676" s="32"/>
    </row>
    <row r="677" spans="1:13" ht="12.75" hidden="1" customHeight="1">
      <c r="A677" s="12" t="s">
        <v>452</v>
      </c>
      <c r="B677" s="30">
        <v>15.57</v>
      </c>
      <c r="C677" s="24" t="s">
        <v>823</v>
      </c>
      <c r="D677" s="35">
        <f>Prec.!D393</f>
        <v>20.38</v>
      </c>
      <c r="E677" s="31">
        <f t="shared" si="54"/>
        <v>317.32</v>
      </c>
      <c r="F677" s="32"/>
    </row>
    <row r="678" spans="1:13" ht="12.75" hidden="1" customHeight="1">
      <c r="A678" s="12" t="s">
        <v>365</v>
      </c>
      <c r="B678" s="30">
        <v>0.9</v>
      </c>
      <c r="C678" s="24" t="s">
        <v>825</v>
      </c>
      <c r="D678" s="35">
        <f>Prec.!D380</f>
        <v>441.56</v>
      </c>
      <c r="E678" s="31">
        <f t="shared" si="54"/>
        <v>397.4</v>
      </c>
      <c r="F678" s="32"/>
    </row>
    <row r="679" spans="1:13" s="166" customFormat="1" ht="12.75" hidden="1" customHeight="1">
      <c r="A679" s="12" t="s">
        <v>783</v>
      </c>
      <c r="B679" s="30">
        <v>1</v>
      </c>
      <c r="C679" s="24" t="s">
        <v>825</v>
      </c>
      <c r="D679" s="35">
        <v>698.01549999999997</v>
      </c>
      <c r="E679" s="31">
        <f>ROUND(B679*D679,2)</f>
        <v>698.02</v>
      </c>
      <c r="F679" s="32"/>
      <c r="G679" s="15"/>
      <c r="H679" s="21"/>
      <c r="I679" s="15"/>
      <c r="J679" s="15"/>
      <c r="K679" s="15"/>
      <c r="L679" s="21"/>
      <c r="M679" s="15"/>
    </row>
    <row r="680" spans="1:13" ht="12.75" hidden="1" customHeight="1">
      <c r="A680" s="12" t="s">
        <v>208</v>
      </c>
      <c r="B680" s="30">
        <f>SUM(E674:E678)</f>
        <v>8189.6399999999994</v>
      </c>
      <c r="C680" s="24" t="s">
        <v>209</v>
      </c>
      <c r="D680" s="35">
        <f>Prec.!C302</f>
        <v>1.4999999999999999E-2</v>
      </c>
      <c r="E680" s="31">
        <f t="shared" si="54"/>
        <v>122.84</v>
      </c>
      <c r="F680" s="32">
        <f>SUM(E674:E680)</f>
        <v>9010.5</v>
      </c>
    </row>
    <row r="681" spans="1:13" ht="12.75" hidden="1" customHeight="1">
      <c r="A681" s="12"/>
      <c r="B681" s="30"/>
      <c r="C681" s="24"/>
      <c r="D681" s="35"/>
      <c r="E681" s="31"/>
      <c r="F681" s="32"/>
    </row>
    <row r="682" spans="1:13" ht="12.75" hidden="1" customHeight="1">
      <c r="A682" s="13" t="s">
        <v>903</v>
      </c>
      <c r="B682" s="42" t="s">
        <v>151</v>
      </c>
      <c r="C682" s="29" t="s">
        <v>825</v>
      </c>
      <c r="D682" s="35"/>
      <c r="E682" s="31"/>
      <c r="F682" s="32"/>
    </row>
    <row r="683" spans="1:13" ht="12.75" hidden="1" customHeight="1">
      <c r="A683" s="12" t="s">
        <v>822</v>
      </c>
      <c r="B683" s="30">
        <v>11.51</v>
      </c>
      <c r="C683" s="24" t="s">
        <v>823</v>
      </c>
      <c r="D683" s="35">
        <f>Prec.!$C$5</f>
        <v>425</v>
      </c>
      <c r="E683" s="31">
        <f t="shared" ref="E683:E689" si="55">ROUND(B683*D683,2)</f>
        <v>4891.75</v>
      </c>
      <c r="F683" s="32"/>
    </row>
    <row r="684" spans="1:13" ht="12.75" hidden="1" customHeight="1">
      <c r="A684" s="12" t="s">
        <v>824</v>
      </c>
      <c r="B684" s="30">
        <v>1</v>
      </c>
      <c r="C684" s="24" t="s">
        <v>825</v>
      </c>
      <c r="D684" s="35">
        <f>Prec.!$C$13</f>
        <v>900</v>
      </c>
      <c r="E684" s="31">
        <f t="shared" si="55"/>
        <v>900</v>
      </c>
      <c r="F684" s="32"/>
    </row>
    <row r="685" spans="1:13" ht="12.75" hidden="1" customHeight="1">
      <c r="A685" s="12" t="s">
        <v>827</v>
      </c>
      <c r="B685" s="30">
        <v>69.040000000000006</v>
      </c>
      <c r="C685" s="24" t="s">
        <v>828</v>
      </c>
      <c r="D685" s="35">
        <f>Prec.!$C$80</f>
        <v>0.68</v>
      </c>
      <c r="E685" s="31">
        <f t="shared" si="55"/>
        <v>46.95</v>
      </c>
      <c r="F685" s="32"/>
    </row>
    <row r="686" spans="1:13" ht="12.75" hidden="1" customHeight="1">
      <c r="A686" s="12" t="s">
        <v>452</v>
      </c>
      <c r="B686" s="30">
        <v>11.51</v>
      </c>
      <c r="C686" s="24" t="s">
        <v>823</v>
      </c>
      <c r="D686" s="35">
        <f>D677</f>
        <v>20.38</v>
      </c>
      <c r="E686" s="31">
        <f t="shared" si="55"/>
        <v>234.57</v>
      </c>
      <c r="F686" s="32"/>
    </row>
    <row r="687" spans="1:13" ht="12.75" hidden="1" customHeight="1">
      <c r="A687" s="12" t="s">
        <v>365</v>
      </c>
      <c r="B687" s="30">
        <v>1</v>
      </c>
      <c r="C687" s="24" t="s">
        <v>825</v>
      </c>
      <c r="D687" s="35">
        <f>D678</f>
        <v>441.56</v>
      </c>
      <c r="E687" s="31">
        <f t="shared" si="55"/>
        <v>441.56</v>
      </c>
      <c r="F687" s="32"/>
    </row>
    <row r="688" spans="1:13" s="166" customFormat="1" ht="12.75" hidden="1" customHeight="1">
      <c r="A688" s="12" t="s">
        <v>783</v>
      </c>
      <c r="B688" s="30">
        <v>1</v>
      </c>
      <c r="C688" s="24" t="s">
        <v>825</v>
      </c>
      <c r="D688" s="35">
        <v>698.01549999999997</v>
      </c>
      <c r="E688" s="31">
        <f>ROUND(B688*D688,2)</f>
        <v>698.02</v>
      </c>
      <c r="F688" s="32"/>
      <c r="G688" s="15"/>
      <c r="H688" s="21"/>
      <c r="I688" s="15"/>
      <c r="J688" s="15"/>
      <c r="K688" s="15"/>
      <c r="L688" s="21"/>
      <c r="M688" s="15"/>
    </row>
    <row r="689" spans="1:13" ht="12.75" hidden="1" customHeight="1">
      <c r="A689" s="12" t="s">
        <v>208</v>
      </c>
      <c r="B689" s="30">
        <f>SUM(E683:E687)</f>
        <v>6514.83</v>
      </c>
      <c r="C689" s="24" t="s">
        <v>209</v>
      </c>
      <c r="D689" s="35">
        <v>0.02</v>
      </c>
      <c r="E689" s="31">
        <f t="shared" si="55"/>
        <v>130.30000000000001</v>
      </c>
      <c r="F689" s="32">
        <f>SUM(E683:E689)</f>
        <v>7343.1500000000005</v>
      </c>
    </row>
    <row r="690" spans="1:13" s="166" customFormat="1" ht="12.75" hidden="1" customHeight="1">
      <c r="A690" s="12"/>
      <c r="B690" s="30"/>
      <c r="C690" s="24"/>
      <c r="D690" s="35"/>
      <c r="E690" s="31"/>
      <c r="F690" s="32"/>
      <c r="G690" s="15"/>
      <c r="H690" s="21"/>
      <c r="I690" s="15"/>
      <c r="J690" s="15"/>
      <c r="K690" s="15"/>
      <c r="L690" s="21"/>
      <c r="M690" s="15"/>
    </row>
    <row r="691" spans="1:13" ht="10.15" hidden="1" customHeight="1">
      <c r="A691" s="12"/>
      <c r="B691" s="30"/>
      <c r="C691" s="24"/>
      <c r="D691" s="35"/>
      <c r="E691" s="31"/>
      <c r="F691" s="32"/>
    </row>
    <row r="692" spans="1:13" ht="12.75" hidden="1" customHeight="1">
      <c r="A692" s="13" t="s">
        <v>904</v>
      </c>
      <c r="B692" s="42" t="s">
        <v>151</v>
      </c>
      <c r="C692" s="29" t="s">
        <v>825</v>
      </c>
      <c r="D692" s="35"/>
      <c r="E692" s="31"/>
      <c r="F692" s="32"/>
    </row>
    <row r="693" spans="1:13" ht="12.75" hidden="1" customHeight="1">
      <c r="A693" s="12" t="s">
        <v>822</v>
      </c>
      <c r="B693" s="30">
        <v>9.11</v>
      </c>
      <c r="C693" s="24" t="s">
        <v>823</v>
      </c>
      <c r="D693" s="35">
        <f>Prec.!$C$5</f>
        <v>425</v>
      </c>
      <c r="E693" s="31">
        <f t="shared" ref="E693:E699" si="56">ROUND(B693*D693,2)</f>
        <v>3871.75</v>
      </c>
      <c r="F693" s="32"/>
    </row>
    <row r="694" spans="1:13" ht="12.75" hidden="1" customHeight="1">
      <c r="A694" s="12" t="s">
        <v>824</v>
      </c>
      <c r="B694" s="30">
        <v>1.06</v>
      </c>
      <c r="C694" s="24" t="s">
        <v>825</v>
      </c>
      <c r="D694" s="35">
        <f>Prec.!$C$13</f>
        <v>900</v>
      </c>
      <c r="E694" s="31">
        <f t="shared" si="56"/>
        <v>954</v>
      </c>
      <c r="F694" s="32"/>
    </row>
    <row r="695" spans="1:13" ht="12.75" hidden="1" customHeight="1">
      <c r="A695" s="12" t="s">
        <v>827</v>
      </c>
      <c r="B695" s="30">
        <v>68.16</v>
      </c>
      <c r="C695" s="24" t="s">
        <v>828</v>
      </c>
      <c r="D695" s="35">
        <f>Prec.!$C$80</f>
        <v>0.68</v>
      </c>
      <c r="E695" s="31">
        <f t="shared" si="56"/>
        <v>46.35</v>
      </c>
      <c r="F695" s="32"/>
    </row>
    <row r="696" spans="1:13" ht="12.75" hidden="1" customHeight="1">
      <c r="A696" s="12" t="s">
        <v>452</v>
      </c>
      <c r="B696" s="30">
        <v>9.11</v>
      </c>
      <c r="C696" s="24" t="s">
        <v>823</v>
      </c>
      <c r="D696" s="35">
        <f>D686</f>
        <v>20.38</v>
      </c>
      <c r="E696" s="31">
        <f t="shared" si="56"/>
        <v>185.66</v>
      </c>
      <c r="F696" s="32"/>
    </row>
    <row r="697" spans="1:13" ht="12.75" hidden="1" customHeight="1">
      <c r="A697" s="12" t="s">
        <v>365</v>
      </c>
      <c r="B697" s="30">
        <v>1.06</v>
      </c>
      <c r="C697" s="24" t="s">
        <v>825</v>
      </c>
      <c r="D697" s="35">
        <f>D687</f>
        <v>441.56</v>
      </c>
      <c r="E697" s="31">
        <f t="shared" si="56"/>
        <v>468.05</v>
      </c>
      <c r="F697" s="32"/>
    </row>
    <row r="698" spans="1:13" s="166" customFormat="1" ht="12.75" hidden="1" customHeight="1">
      <c r="A698" s="12" t="s">
        <v>783</v>
      </c>
      <c r="B698" s="30">
        <v>1</v>
      </c>
      <c r="C698" s="24" t="s">
        <v>825</v>
      </c>
      <c r="D698" s="35">
        <v>698.01549999999997</v>
      </c>
      <c r="E698" s="31">
        <f>ROUND(B698*D698,2)</f>
        <v>698.02</v>
      </c>
      <c r="F698" s="32"/>
      <c r="G698" s="15"/>
      <c r="H698" s="21"/>
      <c r="I698" s="15"/>
      <c r="J698" s="15"/>
      <c r="K698" s="15"/>
      <c r="L698" s="21"/>
      <c r="M698" s="15"/>
    </row>
    <row r="699" spans="1:13" ht="12.75" hidden="1" customHeight="1">
      <c r="A699" s="12" t="s">
        <v>208</v>
      </c>
      <c r="B699" s="30">
        <f>SUM(E693:E697)</f>
        <v>5525.81</v>
      </c>
      <c r="C699" s="24" t="s">
        <v>209</v>
      </c>
      <c r="D699" s="35">
        <v>0.02</v>
      </c>
      <c r="E699" s="31">
        <f t="shared" si="56"/>
        <v>110.52</v>
      </c>
      <c r="F699" s="32">
        <f>SUM(E693:E699)</f>
        <v>6334.35</v>
      </c>
    </row>
    <row r="700" spans="1:13" ht="12.75" hidden="1" customHeight="1">
      <c r="A700" s="12"/>
      <c r="B700" s="30"/>
      <c r="C700" s="24"/>
      <c r="D700" s="35"/>
      <c r="E700" s="31"/>
      <c r="F700" s="32"/>
    </row>
    <row r="701" spans="1:13" ht="12.75" hidden="1" customHeight="1">
      <c r="A701" s="13" t="s">
        <v>905</v>
      </c>
      <c r="B701" s="42" t="s">
        <v>151</v>
      </c>
      <c r="C701" s="29" t="s">
        <v>825</v>
      </c>
      <c r="D701" s="35"/>
      <c r="E701" s="31"/>
      <c r="F701" s="32"/>
    </row>
    <row r="702" spans="1:13" ht="12.75" hidden="1" customHeight="1">
      <c r="A702" s="12" t="s">
        <v>822</v>
      </c>
      <c r="B702" s="30">
        <v>7.56</v>
      </c>
      <c r="C702" s="24" t="s">
        <v>823</v>
      </c>
      <c r="D702" s="35">
        <f>Prec.!$C$5</f>
        <v>425</v>
      </c>
      <c r="E702" s="31">
        <f t="shared" ref="E702:E708" si="57">ROUND(B702*D702,2)</f>
        <v>3213</v>
      </c>
      <c r="F702" s="32"/>
    </row>
    <row r="703" spans="1:13" ht="12.75" hidden="1" customHeight="1">
      <c r="A703" s="12" t="s">
        <v>824</v>
      </c>
      <c r="B703" s="30">
        <v>1.091</v>
      </c>
      <c r="C703" s="24" t="s">
        <v>825</v>
      </c>
      <c r="D703" s="35">
        <f>Prec.!$C$13</f>
        <v>900</v>
      </c>
      <c r="E703" s="31">
        <f t="shared" si="57"/>
        <v>981.9</v>
      </c>
      <c r="F703" s="32"/>
    </row>
    <row r="704" spans="1:13" ht="12.75" hidden="1" customHeight="1">
      <c r="A704" s="12" t="s">
        <v>827</v>
      </c>
      <c r="B704" s="30">
        <v>67.989999999999995</v>
      </c>
      <c r="C704" s="24" t="s">
        <v>828</v>
      </c>
      <c r="D704" s="35">
        <f>Prec.!$C$80</f>
        <v>0.68</v>
      </c>
      <c r="E704" s="31">
        <f t="shared" si="57"/>
        <v>46.23</v>
      </c>
      <c r="F704" s="32"/>
    </row>
    <row r="705" spans="1:13" ht="12.75" hidden="1" customHeight="1">
      <c r="A705" s="12" t="s">
        <v>452</v>
      </c>
      <c r="B705" s="30">
        <v>7.56</v>
      </c>
      <c r="C705" s="24" t="s">
        <v>823</v>
      </c>
      <c r="D705" s="35">
        <f>D696</f>
        <v>20.38</v>
      </c>
      <c r="E705" s="31">
        <f t="shared" si="57"/>
        <v>154.07</v>
      </c>
      <c r="F705" s="32"/>
    </row>
    <row r="706" spans="1:13" ht="12.75" hidden="1" customHeight="1">
      <c r="A706" s="12" t="s">
        <v>365</v>
      </c>
      <c r="B706" s="30">
        <v>1.091</v>
      </c>
      <c r="C706" s="24" t="s">
        <v>825</v>
      </c>
      <c r="D706" s="35">
        <f>D697</f>
        <v>441.56</v>
      </c>
      <c r="E706" s="31">
        <f t="shared" si="57"/>
        <v>481.74</v>
      </c>
      <c r="F706" s="32"/>
    </row>
    <row r="707" spans="1:13" s="166" customFormat="1" ht="12.75" hidden="1" customHeight="1">
      <c r="A707" s="12" t="s">
        <v>783</v>
      </c>
      <c r="B707" s="30">
        <v>1</v>
      </c>
      <c r="C707" s="24" t="s">
        <v>825</v>
      </c>
      <c r="D707" s="35">
        <v>698.01549999999997</v>
      </c>
      <c r="E707" s="31">
        <f>ROUND(B707*D707,2)</f>
        <v>698.02</v>
      </c>
      <c r="F707" s="32"/>
      <c r="G707" s="15"/>
      <c r="H707" s="21"/>
      <c r="I707" s="15"/>
      <c r="J707" s="15"/>
      <c r="K707" s="15"/>
      <c r="L707" s="21"/>
      <c r="M707" s="15"/>
    </row>
    <row r="708" spans="1:13" ht="12.75" hidden="1" customHeight="1">
      <c r="A708" s="12" t="s">
        <v>208</v>
      </c>
      <c r="B708" s="30">
        <f>SUM(E702:E706)</f>
        <v>4876.9399999999987</v>
      </c>
      <c r="C708" s="24" t="s">
        <v>209</v>
      </c>
      <c r="D708" s="35">
        <v>0.02</v>
      </c>
      <c r="E708" s="31">
        <f t="shared" si="57"/>
        <v>97.54</v>
      </c>
      <c r="F708" s="32">
        <f>SUM(E702:E708)</f>
        <v>5672.4999999999991</v>
      </c>
    </row>
    <row r="709" spans="1:13" ht="10.15" hidden="1" customHeight="1">
      <c r="A709" s="12"/>
      <c r="B709" s="30"/>
      <c r="C709" s="24"/>
      <c r="D709" s="35"/>
      <c r="E709" s="31"/>
      <c r="F709" s="32"/>
    </row>
    <row r="710" spans="1:13" ht="12.75" hidden="1" customHeight="1">
      <c r="A710" s="13" t="s">
        <v>906</v>
      </c>
      <c r="B710" s="42" t="s">
        <v>151</v>
      </c>
      <c r="C710" s="29" t="s">
        <v>825</v>
      </c>
      <c r="D710" s="35"/>
      <c r="E710" s="31"/>
      <c r="F710" s="32"/>
    </row>
    <row r="711" spans="1:13" ht="12.75" hidden="1" customHeight="1">
      <c r="A711" s="12" t="s">
        <v>822</v>
      </c>
      <c r="B711" s="30">
        <v>6.46</v>
      </c>
      <c r="C711" s="24" t="s">
        <v>823</v>
      </c>
      <c r="D711" s="35">
        <f>Prec.!$C$5</f>
        <v>425</v>
      </c>
      <c r="E711" s="31">
        <f t="shared" ref="E711:E717" si="58">ROUND(B711*D711,2)</f>
        <v>2745.5</v>
      </c>
      <c r="F711" s="32"/>
    </row>
    <row r="712" spans="1:13" ht="12.75" hidden="1" customHeight="1">
      <c r="A712" s="12" t="s">
        <v>824</v>
      </c>
      <c r="B712" s="30">
        <v>1.1200000000000001</v>
      </c>
      <c r="C712" s="24" t="s">
        <v>825</v>
      </c>
      <c r="D712" s="35">
        <f>Prec.!$C$13</f>
        <v>900</v>
      </c>
      <c r="E712" s="31">
        <f t="shared" si="58"/>
        <v>1008</v>
      </c>
      <c r="F712" s="32"/>
    </row>
    <row r="713" spans="1:13" ht="12.75" hidden="1" customHeight="1">
      <c r="A713" s="12" t="s">
        <v>827</v>
      </c>
      <c r="B713" s="30">
        <v>67.72</v>
      </c>
      <c r="C713" s="24" t="s">
        <v>828</v>
      </c>
      <c r="D713" s="35">
        <f>Prec.!$C$80</f>
        <v>0.68</v>
      </c>
      <c r="E713" s="31">
        <f t="shared" si="58"/>
        <v>46.05</v>
      </c>
      <c r="F713" s="32"/>
    </row>
    <row r="714" spans="1:13" ht="12.75" hidden="1" customHeight="1">
      <c r="A714" s="12" t="s">
        <v>452</v>
      </c>
      <c r="B714" s="30">
        <v>6.46</v>
      </c>
      <c r="C714" s="24" t="s">
        <v>823</v>
      </c>
      <c r="D714" s="35">
        <f>D705</f>
        <v>20.38</v>
      </c>
      <c r="E714" s="31">
        <f t="shared" si="58"/>
        <v>131.65</v>
      </c>
      <c r="F714" s="32"/>
    </row>
    <row r="715" spans="1:13" ht="12.75" hidden="1" customHeight="1">
      <c r="A715" s="12" t="s">
        <v>365</v>
      </c>
      <c r="B715" s="30">
        <v>1.1200000000000001</v>
      </c>
      <c r="C715" s="24" t="s">
        <v>825</v>
      </c>
      <c r="D715" s="35">
        <f>D706</f>
        <v>441.56</v>
      </c>
      <c r="E715" s="31">
        <f t="shared" si="58"/>
        <v>494.55</v>
      </c>
      <c r="F715" s="32"/>
    </row>
    <row r="716" spans="1:13" s="166" customFormat="1" ht="12.75" hidden="1" customHeight="1">
      <c r="A716" s="12" t="s">
        <v>783</v>
      </c>
      <c r="B716" s="30">
        <v>1</v>
      </c>
      <c r="C716" s="24" t="s">
        <v>825</v>
      </c>
      <c r="D716" s="35">
        <v>698.01549999999997</v>
      </c>
      <c r="E716" s="31">
        <f>ROUND(B716*D716,2)</f>
        <v>698.02</v>
      </c>
      <c r="F716" s="32"/>
      <c r="G716" s="15"/>
      <c r="H716" s="21"/>
      <c r="I716" s="15"/>
      <c r="J716" s="15"/>
      <c r="K716" s="15"/>
      <c r="L716" s="21"/>
      <c r="M716" s="15"/>
    </row>
    <row r="717" spans="1:13" ht="12.75" hidden="1" customHeight="1">
      <c r="A717" s="12" t="s">
        <v>208</v>
      </c>
      <c r="B717" s="30">
        <f>SUM(E711:E715)</f>
        <v>4425.75</v>
      </c>
      <c r="C717" s="24" t="s">
        <v>209</v>
      </c>
      <c r="D717" s="35">
        <f>Prec.!C302</f>
        <v>1.4999999999999999E-2</v>
      </c>
      <c r="E717" s="31">
        <f t="shared" si="58"/>
        <v>66.39</v>
      </c>
      <c r="F717" s="32">
        <f>SUM(E711:E717)</f>
        <v>5190.1600000000008</v>
      </c>
    </row>
    <row r="718" spans="1:13" ht="12.75" hidden="1" customHeight="1">
      <c r="A718" s="12"/>
      <c r="B718" s="30"/>
      <c r="C718" s="24"/>
      <c r="D718" s="35"/>
      <c r="E718" s="31"/>
      <c r="F718" s="32"/>
    </row>
    <row r="719" spans="1:13" ht="12.75" hidden="1" customHeight="1">
      <c r="A719" s="13" t="s">
        <v>907</v>
      </c>
      <c r="B719" s="42" t="s">
        <v>151</v>
      </c>
      <c r="C719" s="29" t="s">
        <v>825</v>
      </c>
      <c r="D719" s="35"/>
      <c r="E719" s="31"/>
      <c r="F719" s="32"/>
    </row>
    <row r="720" spans="1:13" ht="12.75" hidden="1" customHeight="1">
      <c r="A720" s="12" t="s">
        <v>822</v>
      </c>
      <c r="B720" s="30">
        <v>9.4600000000000009</v>
      </c>
      <c r="C720" s="24" t="s">
        <v>823</v>
      </c>
      <c r="D720" s="35">
        <f>Prec.!$C$5</f>
        <v>425</v>
      </c>
      <c r="E720" s="31">
        <f t="shared" ref="E720:E728" si="59">ROUND(B720*D720,2)</f>
        <v>4020.5</v>
      </c>
      <c r="F720" s="32"/>
    </row>
    <row r="721" spans="1:13" ht="12.75" hidden="1" customHeight="1">
      <c r="A721" s="12" t="s">
        <v>419</v>
      </c>
      <c r="B721" s="30">
        <v>0.91</v>
      </c>
      <c r="C721" s="24" t="s">
        <v>825</v>
      </c>
      <c r="D721" s="35">
        <f>Prec.!$C$15</f>
        <v>900</v>
      </c>
      <c r="E721" s="31">
        <f t="shared" si="59"/>
        <v>819</v>
      </c>
      <c r="F721" s="32"/>
    </row>
    <row r="722" spans="1:13" ht="12.75" hidden="1" customHeight="1">
      <c r="A722" s="12" t="s">
        <v>210</v>
      </c>
      <c r="B722" s="30">
        <v>6.29</v>
      </c>
      <c r="C722" s="24" t="s">
        <v>823</v>
      </c>
      <c r="D722" s="35">
        <f>Prec.!$C$48</f>
        <v>250</v>
      </c>
      <c r="E722" s="31">
        <f t="shared" si="59"/>
        <v>1572.5</v>
      </c>
      <c r="F722" s="32"/>
    </row>
    <row r="723" spans="1:13" ht="12.75" hidden="1" customHeight="1">
      <c r="A723" s="12" t="s">
        <v>827</v>
      </c>
      <c r="B723" s="30">
        <v>45.24</v>
      </c>
      <c r="C723" s="24" t="s">
        <v>828</v>
      </c>
      <c r="D723" s="35">
        <f>Prec.!$C$80</f>
        <v>0.68</v>
      </c>
      <c r="E723" s="31">
        <f t="shared" si="59"/>
        <v>30.76</v>
      </c>
      <c r="F723" s="32"/>
    </row>
    <row r="724" spans="1:13" ht="12.75" hidden="1" customHeight="1">
      <c r="A724" s="12" t="s">
        <v>452</v>
      </c>
      <c r="B724" s="30">
        <v>9.4600000000000009</v>
      </c>
      <c r="C724" s="24" t="s">
        <v>823</v>
      </c>
      <c r="D724" s="35">
        <f>D714</f>
        <v>20.38</v>
      </c>
      <c r="E724" s="31">
        <f t="shared" si="59"/>
        <v>192.79</v>
      </c>
      <c r="F724" s="32"/>
    </row>
    <row r="725" spans="1:13" ht="12.75" hidden="1" customHeight="1">
      <c r="A725" s="12" t="s">
        <v>203</v>
      </c>
      <c r="B725" s="30">
        <v>6.29</v>
      </c>
      <c r="C725" s="24" t="s">
        <v>823</v>
      </c>
      <c r="D725" s="35">
        <f>Prec.!D393</f>
        <v>20.38</v>
      </c>
      <c r="E725" s="31">
        <f t="shared" si="59"/>
        <v>128.19</v>
      </c>
      <c r="F725" s="32"/>
    </row>
    <row r="726" spans="1:13" ht="12.75" hidden="1" customHeight="1">
      <c r="A726" s="12" t="s">
        <v>365</v>
      </c>
      <c r="B726" s="30">
        <v>0.91</v>
      </c>
      <c r="C726" s="24" t="s">
        <v>825</v>
      </c>
      <c r="D726" s="35">
        <f>D715</f>
        <v>441.56</v>
      </c>
      <c r="E726" s="31">
        <f t="shared" si="59"/>
        <v>401.82</v>
      </c>
      <c r="F726" s="32"/>
    </row>
    <row r="727" spans="1:13" s="166" customFormat="1" ht="12.75" hidden="1" customHeight="1">
      <c r="A727" s="12" t="s">
        <v>783</v>
      </c>
      <c r="B727" s="30">
        <v>1</v>
      </c>
      <c r="C727" s="24" t="s">
        <v>825</v>
      </c>
      <c r="D727" s="35">
        <v>698.01549999999997</v>
      </c>
      <c r="E727" s="31">
        <f>ROUND(B727*D727,2)</f>
        <v>698.02</v>
      </c>
      <c r="F727" s="32"/>
      <c r="G727" s="15"/>
      <c r="H727" s="21"/>
      <c r="I727" s="15"/>
      <c r="J727" s="15"/>
      <c r="K727" s="15"/>
      <c r="L727" s="21"/>
      <c r="M727" s="15"/>
    </row>
    <row r="728" spans="1:13" ht="12.75" hidden="1" customHeight="1">
      <c r="A728" s="12" t="s">
        <v>208</v>
      </c>
      <c r="B728" s="30">
        <f>SUM(E720:E726)</f>
        <v>7165.5599999999995</v>
      </c>
      <c r="C728" s="24" t="s">
        <v>209</v>
      </c>
      <c r="D728" s="35">
        <v>0.02</v>
      </c>
      <c r="E728" s="31">
        <f t="shared" si="59"/>
        <v>143.31</v>
      </c>
      <c r="F728" s="32">
        <f>SUM(E720:E728)</f>
        <v>8006.89</v>
      </c>
    </row>
    <row r="729" spans="1:13" ht="10.15" hidden="1" customHeight="1">
      <c r="A729" s="12"/>
      <c r="B729" s="30"/>
      <c r="C729" s="24"/>
      <c r="D729" s="35"/>
      <c r="E729" s="31"/>
      <c r="F729" s="32"/>
    </row>
    <row r="730" spans="1:13" ht="12.75" hidden="1" customHeight="1">
      <c r="A730" s="13" t="s">
        <v>908</v>
      </c>
      <c r="B730" s="42" t="s">
        <v>151</v>
      </c>
      <c r="C730" s="29" t="s">
        <v>825</v>
      </c>
      <c r="D730" s="35"/>
      <c r="E730" s="31"/>
      <c r="F730" s="32"/>
    </row>
    <row r="731" spans="1:13" ht="12.75" hidden="1" customHeight="1">
      <c r="A731" s="12" t="s">
        <v>822</v>
      </c>
      <c r="B731" s="30">
        <v>6.35</v>
      </c>
      <c r="C731" s="24" t="s">
        <v>823</v>
      </c>
      <c r="D731" s="35">
        <f>Prec.!$C$5</f>
        <v>425</v>
      </c>
      <c r="E731" s="31">
        <f t="shared" ref="E731:E738" si="60">ROUND(B731*D731,2)</f>
        <v>2698.75</v>
      </c>
      <c r="F731" s="32"/>
    </row>
    <row r="732" spans="1:13" ht="12.75" hidden="1" customHeight="1">
      <c r="A732" s="12" t="s">
        <v>824</v>
      </c>
      <c r="B732" s="30">
        <v>0.54</v>
      </c>
      <c r="C732" s="24" t="s">
        <v>825</v>
      </c>
      <c r="D732" s="35">
        <f>Prec.!$C$13</f>
        <v>900</v>
      </c>
      <c r="E732" s="31">
        <f t="shared" si="60"/>
        <v>486</v>
      </c>
      <c r="F732" s="32"/>
    </row>
    <row r="733" spans="1:13" ht="12.75" hidden="1" customHeight="1">
      <c r="A733" s="12" t="s">
        <v>1308</v>
      </c>
      <c r="B733" s="30">
        <v>0.73</v>
      </c>
      <c r="C733" s="24" t="s">
        <v>825</v>
      </c>
      <c r="D733" s="35">
        <f>D644</f>
        <v>900</v>
      </c>
      <c r="E733" s="31">
        <f t="shared" si="60"/>
        <v>657</v>
      </c>
      <c r="F733" s="32"/>
    </row>
    <row r="734" spans="1:13" ht="12.75" hidden="1" customHeight="1">
      <c r="A734" s="12" t="s">
        <v>827</v>
      </c>
      <c r="B734" s="30">
        <v>64</v>
      </c>
      <c r="C734" s="24" t="s">
        <v>828</v>
      </c>
      <c r="D734" s="35">
        <f>Prec.!$C$80</f>
        <v>0.68</v>
      </c>
      <c r="E734" s="31">
        <f t="shared" si="60"/>
        <v>43.52</v>
      </c>
      <c r="F734" s="32"/>
    </row>
    <row r="735" spans="1:13" ht="12.75" hidden="1" customHeight="1">
      <c r="A735" s="12" t="s">
        <v>452</v>
      </c>
      <c r="B735" s="30">
        <v>6.35</v>
      </c>
      <c r="C735" s="24" t="s">
        <v>823</v>
      </c>
      <c r="D735" s="35">
        <f>D724</f>
        <v>20.38</v>
      </c>
      <c r="E735" s="31">
        <f t="shared" si="60"/>
        <v>129.41</v>
      </c>
      <c r="F735" s="32"/>
    </row>
    <row r="736" spans="1:13" ht="12.75" hidden="1" customHeight="1">
      <c r="A736" s="12" t="s">
        <v>365</v>
      </c>
      <c r="B736" s="30">
        <v>0.54</v>
      </c>
      <c r="C736" s="24" t="s">
        <v>825</v>
      </c>
      <c r="D736" s="35">
        <f>D726</f>
        <v>441.56</v>
      </c>
      <c r="E736" s="31">
        <f t="shared" si="60"/>
        <v>238.44</v>
      </c>
      <c r="F736" s="32"/>
    </row>
    <row r="737" spans="1:13" ht="12.75" hidden="1" customHeight="1">
      <c r="A737" s="12" t="s">
        <v>366</v>
      </c>
      <c r="B737" s="30">
        <v>0.73</v>
      </c>
      <c r="C737" s="24" t="s">
        <v>825</v>
      </c>
      <c r="D737" s="35">
        <f>Prec.!D387</f>
        <v>588.74</v>
      </c>
      <c r="E737" s="31">
        <f t="shared" si="60"/>
        <v>429.78</v>
      </c>
      <c r="F737" s="32"/>
    </row>
    <row r="738" spans="1:13" ht="12.75" hidden="1" customHeight="1">
      <c r="A738" s="12" t="s">
        <v>208</v>
      </c>
      <c r="B738" s="30">
        <f>SUM(E731:E737)</f>
        <v>4682.8999999999996</v>
      </c>
      <c r="C738" s="24" t="s">
        <v>209</v>
      </c>
      <c r="D738" s="35">
        <f>Prec.!C302</f>
        <v>1.4999999999999999E-2</v>
      </c>
      <c r="E738" s="31">
        <f t="shared" si="60"/>
        <v>70.239999999999995</v>
      </c>
      <c r="F738" s="32">
        <f>SUM(E731:E738)</f>
        <v>4753.1399999999994</v>
      </c>
    </row>
    <row r="739" spans="1:13" s="166" customFormat="1" ht="12.75" hidden="1" customHeight="1">
      <c r="A739" s="12"/>
      <c r="B739" s="30"/>
      <c r="C739" s="24"/>
      <c r="D739" s="35"/>
      <c r="E739" s="31"/>
      <c r="F739" s="32"/>
      <c r="G739" s="15"/>
      <c r="H739" s="21"/>
      <c r="I739" s="15"/>
      <c r="J739" s="15"/>
      <c r="K739" s="15"/>
      <c r="L739" s="21"/>
      <c r="M739" s="15"/>
    </row>
    <row r="740" spans="1:13" ht="12.75" hidden="1" customHeight="1">
      <c r="A740" s="13" t="s">
        <v>909</v>
      </c>
      <c r="B740" s="42" t="s">
        <v>151</v>
      </c>
      <c r="C740" s="29" t="s">
        <v>825</v>
      </c>
      <c r="D740" s="35"/>
      <c r="E740" s="31"/>
      <c r="F740" s="32"/>
    </row>
    <row r="741" spans="1:13" ht="12.75" hidden="1" customHeight="1">
      <c r="A741" s="12" t="s">
        <v>822</v>
      </c>
      <c r="B741" s="30">
        <v>7.53</v>
      </c>
      <c r="C741" s="24" t="s">
        <v>823</v>
      </c>
      <c r="D741" s="35">
        <f>Prec.!$C$5</f>
        <v>425</v>
      </c>
      <c r="E741" s="31">
        <f t="shared" ref="E741:E749" si="61">ROUND(B741*D741,2)</f>
        <v>3200.25</v>
      </c>
      <c r="F741" s="32"/>
    </row>
    <row r="742" spans="1:13" ht="12.75" hidden="1" customHeight="1">
      <c r="A742" s="12" t="s">
        <v>824</v>
      </c>
      <c r="B742" s="30">
        <v>0.52400000000000002</v>
      </c>
      <c r="C742" s="24" t="s">
        <v>825</v>
      </c>
      <c r="D742" s="35">
        <f>Prec.!$C$13</f>
        <v>900</v>
      </c>
      <c r="E742" s="31">
        <f t="shared" si="61"/>
        <v>471.6</v>
      </c>
      <c r="F742" s="32"/>
    </row>
    <row r="743" spans="1:13" ht="12.75" hidden="1" customHeight="1">
      <c r="A743" s="12" t="s">
        <v>1308</v>
      </c>
      <c r="B743" s="30">
        <v>0.72599999999999998</v>
      </c>
      <c r="C743" s="24" t="s">
        <v>825</v>
      </c>
      <c r="D743" s="35">
        <f>D733</f>
        <v>900</v>
      </c>
      <c r="E743" s="31">
        <f t="shared" si="61"/>
        <v>653.4</v>
      </c>
      <c r="F743" s="32"/>
    </row>
    <row r="744" spans="1:13" ht="12.75" hidden="1" customHeight="1">
      <c r="A744" s="12" t="s">
        <v>827</v>
      </c>
      <c r="B744" s="30">
        <v>54.65</v>
      </c>
      <c r="C744" s="24" t="s">
        <v>828</v>
      </c>
      <c r="D744" s="35">
        <f>Prec.!$C$80</f>
        <v>0.68</v>
      </c>
      <c r="E744" s="31">
        <f t="shared" si="61"/>
        <v>37.159999999999997</v>
      </c>
      <c r="F744" s="32"/>
    </row>
    <row r="745" spans="1:13" ht="12.75" hidden="1" customHeight="1">
      <c r="A745" s="12" t="s">
        <v>452</v>
      </c>
      <c r="B745" s="30">
        <v>7.53</v>
      </c>
      <c r="C745" s="24" t="s">
        <v>823</v>
      </c>
      <c r="D745" s="35">
        <f>D735</f>
        <v>20.38</v>
      </c>
      <c r="E745" s="31">
        <f t="shared" si="61"/>
        <v>153.46</v>
      </c>
      <c r="F745" s="32"/>
    </row>
    <row r="746" spans="1:13" ht="12.75" hidden="1" customHeight="1">
      <c r="A746" s="12" t="s">
        <v>365</v>
      </c>
      <c r="B746" s="30">
        <v>0.52400000000000002</v>
      </c>
      <c r="C746" s="24" t="s">
        <v>825</v>
      </c>
      <c r="D746" s="35">
        <f>D736</f>
        <v>441.56</v>
      </c>
      <c r="E746" s="31">
        <f t="shared" si="61"/>
        <v>231.38</v>
      </c>
      <c r="F746" s="32"/>
    </row>
    <row r="747" spans="1:13" ht="12.75" hidden="1" customHeight="1">
      <c r="A747" s="12" t="s">
        <v>366</v>
      </c>
      <c r="B747" s="30">
        <v>0.72599999999999998</v>
      </c>
      <c r="C747" s="24" t="s">
        <v>825</v>
      </c>
      <c r="D747" s="35">
        <f>D737</f>
        <v>588.74</v>
      </c>
      <c r="E747" s="31">
        <f t="shared" si="61"/>
        <v>427.43</v>
      </c>
      <c r="F747" s="32"/>
    </row>
    <row r="748" spans="1:13" s="166" customFormat="1" ht="12.75" hidden="1" customHeight="1">
      <c r="A748" s="12" t="s">
        <v>783</v>
      </c>
      <c r="B748" s="30">
        <v>1</v>
      </c>
      <c r="C748" s="24" t="s">
        <v>825</v>
      </c>
      <c r="D748" s="35">
        <v>698.01549999999997</v>
      </c>
      <c r="E748" s="31">
        <f>ROUND(B748*D748,2)</f>
        <v>698.02</v>
      </c>
      <c r="F748" s="32"/>
      <c r="G748" s="15"/>
      <c r="H748" s="21"/>
      <c r="I748" s="15"/>
      <c r="J748" s="15"/>
      <c r="K748" s="15"/>
      <c r="L748" s="21"/>
      <c r="M748" s="15"/>
    </row>
    <row r="749" spans="1:13" ht="12.75" hidden="1" customHeight="1">
      <c r="A749" s="12" t="s">
        <v>208</v>
      </c>
      <c r="B749" s="30">
        <f>SUM(E741:E747)</f>
        <v>5174.68</v>
      </c>
      <c r="C749" s="24" t="s">
        <v>209</v>
      </c>
      <c r="D749" s="35">
        <v>0.02</v>
      </c>
      <c r="E749" s="31">
        <f t="shared" si="61"/>
        <v>103.49</v>
      </c>
      <c r="F749" s="32">
        <f>SUM(E741:E749)</f>
        <v>5976.1900000000005</v>
      </c>
    </row>
    <row r="750" spans="1:13" ht="12.75" hidden="1" customHeight="1">
      <c r="A750" s="12"/>
      <c r="B750" s="30"/>
      <c r="C750" s="24"/>
      <c r="D750" s="35"/>
      <c r="E750" s="31"/>
      <c r="F750" s="32"/>
    </row>
    <row r="751" spans="1:13" ht="12.75" hidden="1" customHeight="1">
      <c r="A751" s="13" t="s">
        <v>684</v>
      </c>
      <c r="B751" s="42" t="s">
        <v>151</v>
      </c>
      <c r="C751" s="29" t="s">
        <v>825</v>
      </c>
      <c r="D751" s="35"/>
      <c r="E751" s="31"/>
      <c r="F751" s="32"/>
    </row>
    <row r="752" spans="1:13" ht="12.75" hidden="1" customHeight="1">
      <c r="A752" s="12" t="s">
        <v>822</v>
      </c>
      <c r="B752" s="30">
        <v>7.84</v>
      </c>
      <c r="C752" s="24" t="s">
        <v>823</v>
      </c>
      <c r="D752" s="35">
        <f>Prec.!$C$5</f>
        <v>425</v>
      </c>
      <c r="E752" s="31">
        <f t="shared" ref="E752:E759" si="62">ROUND(B752*D752,2)</f>
        <v>3332</v>
      </c>
      <c r="F752" s="32"/>
    </row>
    <row r="753" spans="1:6" ht="12.75" hidden="1" customHeight="1">
      <c r="A753" s="12" t="s">
        <v>824</v>
      </c>
      <c r="B753" s="30">
        <v>0.51800000000000002</v>
      </c>
      <c r="C753" s="24" t="s">
        <v>825</v>
      </c>
      <c r="D753" s="35">
        <f>Prec.!$C$13</f>
        <v>900</v>
      </c>
      <c r="E753" s="31">
        <f t="shared" si="62"/>
        <v>466.2</v>
      </c>
      <c r="F753" s="32"/>
    </row>
    <row r="754" spans="1:6" ht="12.75" hidden="1" customHeight="1">
      <c r="A754" s="12" t="s">
        <v>1308</v>
      </c>
      <c r="B754" s="30">
        <v>0.72399999999999998</v>
      </c>
      <c r="C754" s="24" t="s">
        <v>825</v>
      </c>
      <c r="D754" s="35">
        <f>D743</f>
        <v>900</v>
      </c>
      <c r="E754" s="31">
        <f t="shared" si="62"/>
        <v>651.6</v>
      </c>
      <c r="F754" s="32"/>
    </row>
    <row r="755" spans="1:6" ht="12.75" hidden="1" customHeight="1">
      <c r="A755" s="12" t="s">
        <v>827</v>
      </c>
      <c r="B755" s="30">
        <v>55.44</v>
      </c>
      <c r="C755" s="24" t="s">
        <v>828</v>
      </c>
      <c r="D755" s="35">
        <f>Prec.!$C$80</f>
        <v>0.68</v>
      </c>
      <c r="E755" s="31">
        <f t="shared" si="62"/>
        <v>37.700000000000003</v>
      </c>
      <c r="F755" s="32"/>
    </row>
    <row r="756" spans="1:6" ht="12.75" hidden="1" customHeight="1">
      <c r="A756" s="12" t="s">
        <v>452</v>
      </c>
      <c r="B756" s="30">
        <v>7.84</v>
      </c>
      <c r="C756" s="24" t="s">
        <v>823</v>
      </c>
      <c r="D756" s="35">
        <f>D745</f>
        <v>20.38</v>
      </c>
      <c r="E756" s="31">
        <f t="shared" si="62"/>
        <v>159.78</v>
      </c>
      <c r="F756" s="32"/>
    </row>
    <row r="757" spans="1:6" ht="12.75" hidden="1" customHeight="1">
      <c r="A757" s="12" t="s">
        <v>365</v>
      </c>
      <c r="B757" s="30">
        <v>0.51800000000000002</v>
      </c>
      <c r="C757" s="24" t="s">
        <v>825</v>
      </c>
      <c r="D757" s="35">
        <f>D746</f>
        <v>441.56</v>
      </c>
      <c r="E757" s="31">
        <f t="shared" si="62"/>
        <v>228.73</v>
      </c>
      <c r="F757" s="32"/>
    </row>
    <row r="758" spans="1:6" ht="12.75" hidden="1" customHeight="1">
      <c r="A758" s="12" t="s">
        <v>366</v>
      </c>
      <c r="B758" s="30">
        <v>0.72399999999999998</v>
      </c>
      <c r="C758" s="24" t="s">
        <v>825</v>
      </c>
      <c r="D758" s="35">
        <f>D747</f>
        <v>588.74</v>
      </c>
      <c r="E758" s="31">
        <f t="shared" si="62"/>
        <v>426.25</v>
      </c>
      <c r="F758" s="32"/>
    </row>
    <row r="759" spans="1:6" ht="12.75" hidden="1" customHeight="1">
      <c r="A759" s="12" t="s">
        <v>208</v>
      </c>
      <c r="B759" s="30">
        <f>SUM(E752:E758)</f>
        <v>5302.2599999999993</v>
      </c>
      <c r="C759" s="24" t="s">
        <v>209</v>
      </c>
      <c r="D759" s="35">
        <f>Prec.!C302</f>
        <v>1.4999999999999999E-2</v>
      </c>
      <c r="E759" s="31">
        <f t="shared" si="62"/>
        <v>79.53</v>
      </c>
      <c r="F759" s="32">
        <f>SUM(E752:E759)</f>
        <v>5381.7899999999991</v>
      </c>
    </row>
    <row r="760" spans="1:6" ht="12.75" hidden="1" customHeight="1">
      <c r="A760" s="12"/>
      <c r="B760" s="30"/>
      <c r="C760" s="24"/>
      <c r="D760" s="35"/>
      <c r="E760" s="31"/>
      <c r="F760" s="32"/>
    </row>
    <row r="761" spans="1:6" ht="12.75" hidden="1" customHeight="1">
      <c r="A761" s="13" t="s">
        <v>734</v>
      </c>
      <c r="B761" s="42" t="s">
        <v>151</v>
      </c>
      <c r="C761" s="29" t="s">
        <v>825</v>
      </c>
      <c r="D761" s="35"/>
      <c r="E761" s="31"/>
      <c r="F761" s="32"/>
    </row>
    <row r="762" spans="1:6" ht="12.75" hidden="1" customHeight="1">
      <c r="A762" s="12" t="s">
        <v>822</v>
      </c>
      <c r="B762" s="30">
        <v>8</v>
      </c>
      <c r="C762" s="24" t="s">
        <v>823</v>
      </c>
      <c r="D762" s="35">
        <f>Prec.!$C$5</f>
        <v>425</v>
      </c>
      <c r="E762" s="31">
        <f t="shared" ref="E762:E769" si="63">ROUND(B762*D762,2)</f>
        <v>3400</v>
      </c>
      <c r="F762" s="32"/>
    </row>
    <row r="763" spans="1:6" ht="12.75" hidden="1" customHeight="1">
      <c r="A763" s="12" t="s">
        <v>824</v>
      </c>
      <c r="B763" s="30">
        <v>0.51600000000000001</v>
      </c>
      <c r="C763" s="24" t="s">
        <v>825</v>
      </c>
      <c r="D763" s="35">
        <f>Prec.!$C$13</f>
        <v>900</v>
      </c>
      <c r="E763" s="31">
        <f t="shared" si="63"/>
        <v>464.4</v>
      </c>
      <c r="F763" s="32"/>
    </row>
    <row r="764" spans="1:6" ht="12.75" hidden="1" customHeight="1">
      <c r="A764" s="12" t="s">
        <v>1308</v>
      </c>
      <c r="B764" s="30">
        <v>0.71899999999999997</v>
      </c>
      <c r="C764" s="24" t="s">
        <v>825</v>
      </c>
      <c r="D764" s="35">
        <f>D754</f>
        <v>900</v>
      </c>
      <c r="E764" s="31">
        <f t="shared" si="63"/>
        <v>647.1</v>
      </c>
      <c r="F764" s="32"/>
    </row>
    <row r="765" spans="1:6" ht="12.75" hidden="1" customHeight="1">
      <c r="A765" s="12" t="s">
        <v>827</v>
      </c>
      <c r="B765" s="30">
        <v>54.65</v>
      </c>
      <c r="C765" s="24" t="s">
        <v>828</v>
      </c>
      <c r="D765" s="35">
        <f>Prec.!$C$80</f>
        <v>0.68</v>
      </c>
      <c r="E765" s="31">
        <f t="shared" si="63"/>
        <v>37.159999999999997</v>
      </c>
      <c r="F765" s="32"/>
    </row>
    <row r="766" spans="1:6" ht="12.75" hidden="1" customHeight="1">
      <c r="A766" s="12" t="s">
        <v>452</v>
      </c>
      <c r="B766" s="30">
        <v>8</v>
      </c>
      <c r="C766" s="24" t="s">
        <v>823</v>
      </c>
      <c r="D766" s="35">
        <f>D756</f>
        <v>20.38</v>
      </c>
      <c r="E766" s="31">
        <f t="shared" si="63"/>
        <v>163.04</v>
      </c>
      <c r="F766" s="32"/>
    </row>
    <row r="767" spans="1:6" ht="12.75" hidden="1" customHeight="1">
      <c r="A767" s="12" t="s">
        <v>365</v>
      </c>
      <c r="B767" s="30">
        <v>0.51600000000000001</v>
      </c>
      <c r="C767" s="24" t="s">
        <v>825</v>
      </c>
      <c r="D767" s="35">
        <f>D757</f>
        <v>441.56</v>
      </c>
      <c r="E767" s="31">
        <f t="shared" si="63"/>
        <v>227.84</v>
      </c>
      <c r="F767" s="32"/>
    </row>
    <row r="768" spans="1:6" ht="12.75" hidden="1" customHeight="1">
      <c r="A768" s="12" t="s">
        <v>366</v>
      </c>
      <c r="B768" s="30">
        <v>0.71899999999999997</v>
      </c>
      <c r="C768" s="24" t="s">
        <v>825</v>
      </c>
      <c r="D768" s="35">
        <f>D758</f>
        <v>588.74</v>
      </c>
      <c r="E768" s="31">
        <f t="shared" si="63"/>
        <v>423.3</v>
      </c>
      <c r="F768" s="32"/>
    </row>
    <row r="769" spans="1:13" ht="12.75" hidden="1" customHeight="1">
      <c r="A769" s="12" t="s">
        <v>208</v>
      </c>
      <c r="B769" s="30">
        <f>SUM(E762:E768)</f>
        <v>5362.84</v>
      </c>
      <c r="C769" s="24" t="s">
        <v>209</v>
      </c>
      <c r="D769" s="35">
        <f>Prec.!C302</f>
        <v>1.4999999999999999E-2</v>
      </c>
      <c r="E769" s="31">
        <f t="shared" si="63"/>
        <v>80.44</v>
      </c>
      <c r="F769" s="32">
        <f>SUM(E762:E769)</f>
        <v>5443.28</v>
      </c>
    </row>
    <row r="770" spans="1:13" ht="12.75" hidden="1" customHeight="1">
      <c r="A770" s="12"/>
      <c r="B770" s="30"/>
      <c r="C770" s="24"/>
      <c r="D770" s="35"/>
      <c r="E770" s="31"/>
      <c r="F770" s="32"/>
    </row>
    <row r="771" spans="1:13" ht="12.75" hidden="1" customHeight="1">
      <c r="A771" s="13" t="s">
        <v>735</v>
      </c>
      <c r="B771" s="42" t="s">
        <v>151</v>
      </c>
      <c r="C771" s="29" t="s">
        <v>825</v>
      </c>
      <c r="D771" s="35"/>
      <c r="E771" s="31"/>
      <c r="F771" s="32"/>
    </row>
    <row r="772" spans="1:13" ht="12.75" hidden="1" customHeight="1">
      <c r="A772" s="12" t="s">
        <v>822</v>
      </c>
      <c r="B772" s="30">
        <v>8.31</v>
      </c>
      <c r="C772" s="24" t="s">
        <v>823</v>
      </c>
      <c r="D772" s="35">
        <f>Prec.!$C$5</f>
        <v>425</v>
      </c>
      <c r="E772" s="31">
        <f t="shared" ref="E772:E780" si="64">ROUND(B772*D772,2)</f>
        <v>3531.75</v>
      </c>
      <c r="F772" s="32"/>
    </row>
    <row r="773" spans="1:13" ht="12.75" hidden="1" customHeight="1">
      <c r="A773" s="12" t="s">
        <v>824</v>
      </c>
      <c r="B773" s="30">
        <v>0.51200000000000001</v>
      </c>
      <c r="C773" s="24" t="s">
        <v>825</v>
      </c>
      <c r="D773" s="35">
        <f>Prec.!$C$13</f>
        <v>900</v>
      </c>
      <c r="E773" s="31">
        <f t="shared" si="64"/>
        <v>460.8</v>
      </c>
      <c r="F773" s="32"/>
    </row>
    <row r="774" spans="1:13" ht="12.75" hidden="1" customHeight="1">
      <c r="A774" s="12" t="s">
        <v>1308</v>
      </c>
      <c r="B774" s="30">
        <v>0.71</v>
      </c>
      <c r="C774" s="24" t="s">
        <v>825</v>
      </c>
      <c r="D774" s="35">
        <f>D764</f>
        <v>900</v>
      </c>
      <c r="E774" s="31">
        <f t="shared" si="64"/>
        <v>639</v>
      </c>
      <c r="F774" s="32"/>
    </row>
    <row r="775" spans="1:13" ht="12.75" hidden="1" customHeight="1">
      <c r="A775" s="12" t="s">
        <v>827</v>
      </c>
      <c r="B775" s="30">
        <v>53.06</v>
      </c>
      <c r="C775" s="24" t="s">
        <v>828</v>
      </c>
      <c r="D775" s="35">
        <f>Prec.!$C$80</f>
        <v>0.68</v>
      </c>
      <c r="E775" s="31">
        <f t="shared" si="64"/>
        <v>36.08</v>
      </c>
      <c r="F775" s="32"/>
    </row>
    <row r="776" spans="1:13" ht="12.75" hidden="1" customHeight="1">
      <c r="A776" s="12" t="s">
        <v>452</v>
      </c>
      <c r="B776" s="30">
        <v>8.31</v>
      </c>
      <c r="C776" s="24" t="s">
        <v>823</v>
      </c>
      <c r="D776" s="35">
        <f>D766</f>
        <v>20.38</v>
      </c>
      <c r="E776" s="31">
        <f t="shared" si="64"/>
        <v>169.36</v>
      </c>
      <c r="F776" s="32"/>
    </row>
    <row r="777" spans="1:13" ht="12.75" hidden="1" customHeight="1">
      <c r="A777" s="12" t="s">
        <v>365</v>
      </c>
      <c r="B777" s="30">
        <v>0.51200000000000001</v>
      </c>
      <c r="C777" s="24" t="s">
        <v>825</v>
      </c>
      <c r="D777" s="35">
        <f>D767</f>
        <v>441.56</v>
      </c>
      <c r="E777" s="31">
        <f t="shared" si="64"/>
        <v>226.08</v>
      </c>
      <c r="F777" s="32"/>
    </row>
    <row r="778" spans="1:13" ht="12.75" hidden="1" customHeight="1">
      <c r="A778" s="12" t="s">
        <v>366</v>
      </c>
      <c r="B778" s="30">
        <v>0.71</v>
      </c>
      <c r="C778" s="24" t="s">
        <v>825</v>
      </c>
      <c r="D778" s="35">
        <f>D768</f>
        <v>588.74</v>
      </c>
      <c r="E778" s="31">
        <f t="shared" si="64"/>
        <v>418.01</v>
      </c>
      <c r="F778" s="32"/>
    </row>
    <row r="779" spans="1:13" s="166" customFormat="1" ht="12.75" hidden="1" customHeight="1">
      <c r="A779" s="12" t="s">
        <v>783</v>
      </c>
      <c r="B779" s="30">
        <v>1</v>
      </c>
      <c r="C779" s="24" t="s">
        <v>825</v>
      </c>
      <c r="D779" s="35">
        <v>698.01549999999997</v>
      </c>
      <c r="E779" s="31">
        <f>ROUND(B779*D779,2)</f>
        <v>698.02</v>
      </c>
      <c r="F779" s="32"/>
      <c r="G779" s="15"/>
      <c r="H779" s="21"/>
      <c r="I779" s="15"/>
      <c r="J779" s="15"/>
      <c r="K779" s="15"/>
      <c r="L779" s="21"/>
      <c r="M779" s="15"/>
    </row>
    <row r="780" spans="1:13" ht="12.75" hidden="1" customHeight="1">
      <c r="A780" s="12" t="s">
        <v>208</v>
      </c>
      <c r="B780" s="30">
        <f>SUM(E772:E778)</f>
        <v>5481.08</v>
      </c>
      <c r="C780" s="24" t="s">
        <v>209</v>
      </c>
      <c r="D780" s="35">
        <v>0.02</v>
      </c>
      <c r="E780" s="31">
        <f t="shared" si="64"/>
        <v>109.62</v>
      </c>
      <c r="F780" s="32">
        <f>SUM(E772:E780)</f>
        <v>6288.72</v>
      </c>
    </row>
    <row r="781" spans="1:13" ht="12.75" hidden="1" customHeight="1">
      <c r="A781" s="12"/>
      <c r="B781" s="30"/>
      <c r="C781" s="24"/>
      <c r="D781" s="35"/>
      <c r="E781" s="31"/>
      <c r="F781" s="32"/>
    </row>
    <row r="782" spans="1:13" ht="12.75" hidden="1" customHeight="1">
      <c r="A782" s="13" t="s">
        <v>736</v>
      </c>
      <c r="B782" s="42" t="s">
        <v>151</v>
      </c>
      <c r="C782" s="29" t="s">
        <v>825</v>
      </c>
      <c r="D782" s="35"/>
      <c r="E782" s="31"/>
      <c r="F782" s="32"/>
    </row>
    <row r="783" spans="1:13" ht="12.75" hidden="1" customHeight="1">
      <c r="A783" s="12" t="s">
        <v>822</v>
      </c>
      <c r="B783" s="30">
        <v>8.61</v>
      </c>
      <c r="C783" s="24" t="s">
        <v>823</v>
      </c>
      <c r="D783" s="35">
        <f>Prec.!$C$5</f>
        <v>425</v>
      </c>
      <c r="E783" s="31">
        <f t="shared" ref="E783:E790" si="65">ROUND(B783*D783,2)</f>
        <v>3659.25</v>
      </c>
      <c r="F783" s="32"/>
    </row>
    <row r="784" spans="1:13" ht="12.75" hidden="1" customHeight="1">
      <c r="A784" s="12" t="s">
        <v>824</v>
      </c>
      <c r="B784" s="30">
        <v>0.50800000000000001</v>
      </c>
      <c r="C784" s="24" t="s">
        <v>825</v>
      </c>
      <c r="D784" s="35">
        <f>Prec.!$C$13</f>
        <v>900</v>
      </c>
      <c r="E784" s="31">
        <f t="shared" si="65"/>
        <v>457.2</v>
      </c>
      <c r="F784" s="32"/>
    </row>
    <row r="785" spans="1:13" ht="12.75" hidden="1" customHeight="1">
      <c r="A785" s="12" t="s">
        <v>1308</v>
      </c>
      <c r="B785" s="30">
        <v>0.70199999999999996</v>
      </c>
      <c r="C785" s="24" t="s">
        <v>825</v>
      </c>
      <c r="D785" s="35">
        <f>D774</f>
        <v>900</v>
      </c>
      <c r="E785" s="31">
        <f t="shared" si="65"/>
        <v>631.79999999999995</v>
      </c>
      <c r="F785" s="32"/>
    </row>
    <row r="786" spans="1:13" ht="12.75" hidden="1" customHeight="1">
      <c r="A786" s="12" t="s">
        <v>827</v>
      </c>
      <c r="B786" s="30">
        <v>51.48</v>
      </c>
      <c r="C786" s="24" t="s">
        <v>828</v>
      </c>
      <c r="D786" s="35">
        <f>Prec.!$C$80</f>
        <v>0.68</v>
      </c>
      <c r="E786" s="31">
        <f t="shared" si="65"/>
        <v>35.01</v>
      </c>
      <c r="F786" s="32"/>
    </row>
    <row r="787" spans="1:13" ht="12.75" hidden="1" customHeight="1">
      <c r="A787" s="12" t="s">
        <v>452</v>
      </c>
      <c r="B787" s="30">
        <v>8.61</v>
      </c>
      <c r="C787" s="24" t="s">
        <v>823</v>
      </c>
      <c r="D787" s="35">
        <f>D776</f>
        <v>20.38</v>
      </c>
      <c r="E787" s="31">
        <f t="shared" si="65"/>
        <v>175.47</v>
      </c>
      <c r="F787" s="32"/>
    </row>
    <row r="788" spans="1:13" ht="12.75" hidden="1" customHeight="1">
      <c r="A788" s="12" t="s">
        <v>365</v>
      </c>
      <c r="B788" s="30">
        <v>0.50800000000000001</v>
      </c>
      <c r="C788" s="24" t="s">
        <v>825</v>
      </c>
      <c r="D788" s="35">
        <f>D777</f>
        <v>441.56</v>
      </c>
      <c r="E788" s="31">
        <f t="shared" si="65"/>
        <v>224.31</v>
      </c>
      <c r="F788" s="32"/>
    </row>
    <row r="789" spans="1:13" ht="12.75" hidden="1" customHeight="1">
      <c r="A789" s="12" t="s">
        <v>366</v>
      </c>
      <c r="B789" s="30">
        <v>0.70199999999999996</v>
      </c>
      <c r="C789" s="24" t="s">
        <v>825</v>
      </c>
      <c r="D789" s="35">
        <f>D778</f>
        <v>588.74</v>
      </c>
      <c r="E789" s="31">
        <f t="shared" si="65"/>
        <v>413.3</v>
      </c>
      <c r="F789" s="32"/>
    </row>
    <row r="790" spans="1:13" ht="12.75" hidden="1" customHeight="1">
      <c r="A790" s="12" t="s">
        <v>208</v>
      </c>
      <c r="B790" s="30">
        <f>SUM(E783:E789)</f>
        <v>5596.3400000000011</v>
      </c>
      <c r="C790" s="24" t="s">
        <v>209</v>
      </c>
      <c r="D790" s="35">
        <f>Prec.!C302</f>
        <v>1.4999999999999999E-2</v>
      </c>
      <c r="E790" s="31">
        <f t="shared" si="65"/>
        <v>83.95</v>
      </c>
      <c r="F790" s="32">
        <f>SUM(E783:E790)</f>
        <v>5680.2900000000009</v>
      </c>
    </row>
    <row r="791" spans="1:13" ht="12.75" hidden="1" customHeight="1">
      <c r="A791" s="12"/>
      <c r="B791" s="30"/>
      <c r="C791" s="24"/>
      <c r="D791" s="35"/>
      <c r="E791" s="31"/>
      <c r="F791" s="32"/>
    </row>
    <row r="792" spans="1:13" ht="12.75" hidden="1" customHeight="1">
      <c r="A792" s="13" t="s">
        <v>1107</v>
      </c>
      <c r="B792" s="42" t="s">
        <v>151</v>
      </c>
      <c r="C792" s="29" t="s">
        <v>825</v>
      </c>
      <c r="D792" s="35"/>
      <c r="E792" s="31"/>
      <c r="F792" s="32"/>
    </row>
    <row r="793" spans="1:13" ht="12.75" hidden="1" customHeight="1">
      <c r="A793" s="12" t="s">
        <v>822</v>
      </c>
      <c r="B793" s="30">
        <v>8.94</v>
      </c>
      <c r="C793" s="24" t="s">
        <v>823</v>
      </c>
      <c r="D793" s="35">
        <f>Prec.!$C$5</f>
        <v>425</v>
      </c>
      <c r="E793" s="31">
        <f t="shared" ref="E793:E801" si="66">ROUND(B793*D793,2)</f>
        <v>3799.5</v>
      </c>
      <c r="F793" s="32"/>
    </row>
    <row r="794" spans="1:13" ht="12.75" hidden="1" customHeight="1">
      <c r="A794" s="12" t="s">
        <v>824</v>
      </c>
      <c r="B794" s="30">
        <v>0.505</v>
      </c>
      <c r="C794" s="24" t="s">
        <v>825</v>
      </c>
      <c r="D794" s="35">
        <f>Prec.!$C$13</f>
        <v>900</v>
      </c>
      <c r="E794" s="31">
        <f t="shared" si="66"/>
        <v>454.5</v>
      </c>
      <c r="F794" s="32"/>
    </row>
    <row r="795" spans="1:13" ht="12.75" hidden="1" customHeight="1">
      <c r="A795" s="12" t="s">
        <v>1308</v>
      </c>
      <c r="B795" s="30">
        <v>0.69899999999999995</v>
      </c>
      <c r="C795" s="24" t="s">
        <v>825</v>
      </c>
      <c r="D795" s="35">
        <f>D785</f>
        <v>900</v>
      </c>
      <c r="E795" s="31">
        <f t="shared" si="66"/>
        <v>629.1</v>
      </c>
      <c r="F795" s="32"/>
    </row>
    <row r="796" spans="1:13" ht="12.75" hidden="1" customHeight="1">
      <c r="A796" s="12" t="s">
        <v>827</v>
      </c>
      <c r="B796" s="30">
        <v>51.22</v>
      </c>
      <c r="C796" s="24" t="s">
        <v>828</v>
      </c>
      <c r="D796" s="35">
        <f>Prec.!$C$80</f>
        <v>0.68</v>
      </c>
      <c r="E796" s="31">
        <f t="shared" si="66"/>
        <v>34.83</v>
      </c>
      <c r="F796" s="32"/>
    </row>
    <row r="797" spans="1:13" ht="12.75" hidden="1" customHeight="1">
      <c r="A797" s="12" t="s">
        <v>452</v>
      </c>
      <c r="B797" s="30">
        <v>8.94</v>
      </c>
      <c r="C797" s="24" t="s">
        <v>823</v>
      </c>
      <c r="D797" s="35">
        <f>D787</f>
        <v>20.38</v>
      </c>
      <c r="E797" s="31">
        <f t="shared" si="66"/>
        <v>182.2</v>
      </c>
      <c r="F797" s="32"/>
    </row>
    <row r="798" spans="1:13" ht="12.75" hidden="1" customHeight="1">
      <c r="A798" s="12" t="s">
        <v>365</v>
      </c>
      <c r="B798" s="30">
        <v>0.505</v>
      </c>
      <c r="C798" s="24" t="s">
        <v>825</v>
      </c>
      <c r="D798" s="35">
        <f>D788</f>
        <v>441.56</v>
      </c>
      <c r="E798" s="31">
        <f t="shared" si="66"/>
        <v>222.99</v>
      </c>
      <c r="F798" s="32"/>
    </row>
    <row r="799" spans="1:13" ht="12.75" hidden="1" customHeight="1">
      <c r="A799" s="12" t="s">
        <v>366</v>
      </c>
      <c r="B799" s="30">
        <v>0.69899999999999995</v>
      </c>
      <c r="C799" s="24" t="s">
        <v>825</v>
      </c>
      <c r="D799" s="35">
        <f>D789</f>
        <v>588.74</v>
      </c>
      <c r="E799" s="31">
        <f t="shared" si="66"/>
        <v>411.53</v>
      </c>
      <c r="F799" s="32"/>
    </row>
    <row r="800" spans="1:13" s="166" customFormat="1" ht="12.75" hidden="1" customHeight="1">
      <c r="A800" s="12" t="s">
        <v>783</v>
      </c>
      <c r="B800" s="30">
        <v>1</v>
      </c>
      <c r="C800" s="24" t="s">
        <v>825</v>
      </c>
      <c r="D800" s="35">
        <v>698.01549999999997</v>
      </c>
      <c r="E800" s="31">
        <f>ROUND(B800*D800,2)</f>
        <v>698.02</v>
      </c>
      <c r="F800" s="32"/>
      <c r="G800" s="15"/>
      <c r="H800" s="21"/>
      <c r="I800" s="15"/>
      <c r="J800" s="15"/>
      <c r="K800" s="15"/>
      <c r="L800" s="21"/>
      <c r="M800" s="15"/>
    </row>
    <row r="801" spans="1:6" ht="12.75" hidden="1" customHeight="1">
      <c r="A801" s="12" t="s">
        <v>208</v>
      </c>
      <c r="B801" s="30">
        <f>SUM(E793:E799)</f>
        <v>5734.65</v>
      </c>
      <c r="C801" s="24" t="s">
        <v>209</v>
      </c>
      <c r="D801" s="35">
        <v>0.02</v>
      </c>
      <c r="E801" s="31">
        <f t="shared" si="66"/>
        <v>114.69</v>
      </c>
      <c r="F801" s="32">
        <f>SUM(E793:E801)</f>
        <v>6547.36</v>
      </c>
    </row>
    <row r="802" spans="1:6" ht="12.75" hidden="1" customHeight="1">
      <c r="A802" s="12"/>
      <c r="B802" s="30"/>
      <c r="C802" s="24"/>
      <c r="D802" s="35"/>
      <c r="E802" s="31"/>
      <c r="F802" s="32"/>
    </row>
    <row r="803" spans="1:6" ht="12.75" hidden="1" customHeight="1">
      <c r="A803" s="13" t="s">
        <v>1108</v>
      </c>
      <c r="B803" s="42" t="s">
        <v>151</v>
      </c>
      <c r="C803" s="29" t="s">
        <v>825</v>
      </c>
      <c r="D803" s="35"/>
      <c r="E803" s="31"/>
      <c r="F803" s="32"/>
    </row>
    <row r="804" spans="1:6" ht="12.75" hidden="1" customHeight="1">
      <c r="A804" s="12" t="s">
        <v>822</v>
      </c>
      <c r="B804" s="30">
        <v>9.93</v>
      </c>
      <c r="C804" s="24" t="s">
        <v>823</v>
      </c>
      <c r="D804" s="35">
        <f>Prec.!$C$5</f>
        <v>425</v>
      </c>
      <c r="E804" s="31">
        <f t="shared" ref="E804:E811" si="67">ROUND(B804*D804,2)</f>
        <v>4220.25</v>
      </c>
      <c r="F804" s="32"/>
    </row>
    <row r="805" spans="1:6" ht="12.75" hidden="1" customHeight="1">
      <c r="A805" s="12" t="s">
        <v>824</v>
      </c>
      <c r="B805" s="30">
        <v>0.499</v>
      </c>
      <c r="C805" s="24" t="s">
        <v>825</v>
      </c>
      <c r="D805" s="35">
        <f>Prec.!$C$13</f>
        <v>900</v>
      </c>
      <c r="E805" s="31">
        <f t="shared" si="67"/>
        <v>449.1</v>
      </c>
      <c r="F805" s="32"/>
    </row>
    <row r="806" spans="1:6" ht="12.75" hidden="1" customHeight="1">
      <c r="A806" s="12" t="s">
        <v>1308</v>
      </c>
      <c r="B806" s="30">
        <v>0.69299999999999995</v>
      </c>
      <c r="C806" s="24" t="s">
        <v>825</v>
      </c>
      <c r="D806" s="35">
        <f>D795</f>
        <v>900</v>
      </c>
      <c r="E806" s="31">
        <f t="shared" si="67"/>
        <v>623.70000000000005</v>
      </c>
      <c r="F806" s="32"/>
    </row>
    <row r="807" spans="1:6" ht="12.75" hidden="1" customHeight="1">
      <c r="A807" s="12" t="s">
        <v>827</v>
      </c>
      <c r="B807" s="30">
        <v>50.42</v>
      </c>
      <c r="C807" s="24" t="s">
        <v>828</v>
      </c>
      <c r="D807" s="35">
        <f>Prec.!$C$80</f>
        <v>0.68</v>
      </c>
      <c r="E807" s="31">
        <f t="shared" si="67"/>
        <v>34.29</v>
      </c>
      <c r="F807" s="32"/>
    </row>
    <row r="808" spans="1:6" ht="12.75" hidden="1" customHeight="1">
      <c r="A808" s="12" t="s">
        <v>452</v>
      </c>
      <c r="B808" s="30">
        <v>9.93</v>
      </c>
      <c r="C808" s="24" t="s">
        <v>823</v>
      </c>
      <c r="D808" s="35">
        <f>D797</f>
        <v>20.38</v>
      </c>
      <c r="E808" s="31">
        <f t="shared" si="67"/>
        <v>202.37</v>
      </c>
      <c r="F808" s="32"/>
    </row>
    <row r="809" spans="1:6" ht="12.75" hidden="1" customHeight="1">
      <c r="A809" s="12" t="s">
        <v>365</v>
      </c>
      <c r="B809" s="30">
        <v>0.499</v>
      </c>
      <c r="C809" s="24" t="s">
        <v>825</v>
      </c>
      <c r="D809" s="35">
        <f>D798</f>
        <v>441.56</v>
      </c>
      <c r="E809" s="31">
        <f t="shared" si="67"/>
        <v>220.34</v>
      </c>
      <c r="F809" s="32"/>
    </row>
    <row r="810" spans="1:6" ht="12.75" hidden="1" customHeight="1">
      <c r="A810" s="12" t="s">
        <v>366</v>
      </c>
      <c r="B810" s="30">
        <v>0.69299999999999995</v>
      </c>
      <c r="C810" s="24" t="s">
        <v>825</v>
      </c>
      <c r="D810" s="35">
        <f>D799</f>
        <v>588.74</v>
      </c>
      <c r="E810" s="31">
        <f t="shared" si="67"/>
        <v>408</v>
      </c>
      <c r="F810" s="32"/>
    </row>
    <row r="811" spans="1:6" ht="12.75" hidden="1" customHeight="1">
      <c r="A811" s="12" t="s">
        <v>208</v>
      </c>
      <c r="B811" s="30">
        <f>SUM(E804:E810)</f>
        <v>6158.05</v>
      </c>
      <c r="C811" s="24" t="s">
        <v>209</v>
      </c>
      <c r="D811" s="35">
        <f>Prec.!C302</f>
        <v>1.4999999999999999E-2</v>
      </c>
      <c r="E811" s="31">
        <f t="shared" si="67"/>
        <v>92.37</v>
      </c>
      <c r="F811" s="32">
        <f>SUM(E804:E811)</f>
        <v>6250.42</v>
      </c>
    </row>
    <row r="812" spans="1:6" ht="12.75" hidden="1" customHeight="1">
      <c r="A812" s="12"/>
      <c r="B812" s="30"/>
      <c r="C812" s="24"/>
      <c r="D812" s="35"/>
      <c r="E812" s="31"/>
      <c r="F812" s="32"/>
    </row>
    <row r="813" spans="1:6" ht="12.75" hidden="1" customHeight="1">
      <c r="A813" s="13" t="s">
        <v>100</v>
      </c>
      <c r="B813" s="42" t="s">
        <v>151</v>
      </c>
      <c r="C813" s="29" t="s">
        <v>825</v>
      </c>
      <c r="D813" s="35"/>
      <c r="E813" s="31"/>
      <c r="F813" s="32"/>
    </row>
    <row r="814" spans="1:6" ht="12.75" hidden="1" customHeight="1">
      <c r="A814" s="12" t="s">
        <v>822</v>
      </c>
      <c r="B814" s="30">
        <v>10.26</v>
      </c>
      <c r="C814" s="24" t="s">
        <v>823</v>
      </c>
      <c r="D814" s="35">
        <f>Prec.!$C$5</f>
        <v>425</v>
      </c>
      <c r="E814" s="31">
        <f t="shared" ref="E814:E821" si="68">ROUND(B814*D814,2)</f>
        <v>4360.5</v>
      </c>
      <c r="F814" s="32"/>
    </row>
    <row r="815" spans="1:6" ht="12.75" hidden="1" customHeight="1">
      <c r="A815" s="12" t="s">
        <v>824</v>
      </c>
      <c r="B815" s="30">
        <v>0.497</v>
      </c>
      <c r="C815" s="24" t="s">
        <v>825</v>
      </c>
      <c r="D815" s="35">
        <f>Prec.!$C$13</f>
        <v>900</v>
      </c>
      <c r="E815" s="31">
        <f t="shared" si="68"/>
        <v>447.3</v>
      </c>
      <c r="F815" s="32"/>
    </row>
    <row r="816" spans="1:6" ht="12.75" hidden="1" customHeight="1">
      <c r="A816" s="12" t="s">
        <v>1308</v>
      </c>
      <c r="B816" s="30">
        <v>0.69099999999999995</v>
      </c>
      <c r="C816" s="24" t="s">
        <v>825</v>
      </c>
      <c r="D816" s="35">
        <f>D806</f>
        <v>900</v>
      </c>
      <c r="E816" s="31">
        <f t="shared" si="68"/>
        <v>621.9</v>
      </c>
      <c r="F816" s="32"/>
    </row>
    <row r="817" spans="1:6" ht="12.75" hidden="1" customHeight="1">
      <c r="A817" s="12" t="s">
        <v>827</v>
      </c>
      <c r="B817" s="30">
        <v>50.16</v>
      </c>
      <c r="C817" s="24" t="s">
        <v>828</v>
      </c>
      <c r="D817" s="35">
        <f>Prec.!$C$80</f>
        <v>0.68</v>
      </c>
      <c r="E817" s="31">
        <f t="shared" si="68"/>
        <v>34.11</v>
      </c>
      <c r="F817" s="32"/>
    </row>
    <row r="818" spans="1:6" ht="12.75" hidden="1" customHeight="1">
      <c r="A818" s="12" t="s">
        <v>452</v>
      </c>
      <c r="B818" s="30">
        <v>10.26</v>
      </c>
      <c r="C818" s="24" t="s">
        <v>823</v>
      </c>
      <c r="D818" s="35">
        <f>D808</f>
        <v>20.38</v>
      </c>
      <c r="E818" s="31">
        <f t="shared" si="68"/>
        <v>209.1</v>
      </c>
      <c r="F818" s="32"/>
    </row>
    <row r="819" spans="1:6" ht="12.75" hidden="1" customHeight="1">
      <c r="A819" s="12" t="s">
        <v>365</v>
      </c>
      <c r="B819" s="30">
        <v>0.497</v>
      </c>
      <c r="C819" s="24" t="s">
        <v>825</v>
      </c>
      <c r="D819" s="35">
        <f>D809</f>
        <v>441.56</v>
      </c>
      <c r="E819" s="31">
        <f t="shared" si="68"/>
        <v>219.46</v>
      </c>
      <c r="F819" s="32"/>
    </row>
    <row r="820" spans="1:6" ht="12.75" hidden="1" customHeight="1">
      <c r="A820" s="12" t="s">
        <v>366</v>
      </c>
      <c r="B820" s="30">
        <v>0.69099999999999995</v>
      </c>
      <c r="C820" s="24" t="s">
        <v>825</v>
      </c>
      <c r="D820" s="35">
        <f>D810</f>
        <v>588.74</v>
      </c>
      <c r="E820" s="31">
        <f t="shared" si="68"/>
        <v>406.82</v>
      </c>
      <c r="F820" s="32"/>
    </row>
    <row r="821" spans="1:6" ht="12.75" hidden="1" customHeight="1">
      <c r="A821" s="12" t="s">
        <v>208</v>
      </c>
      <c r="B821" s="30">
        <f>SUM(E814:E820)</f>
        <v>6299.19</v>
      </c>
      <c r="C821" s="24" t="s">
        <v>209</v>
      </c>
      <c r="D821" s="35">
        <f>Prec.!C302</f>
        <v>1.4999999999999999E-2</v>
      </c>
      <c r="E821" s="31">
        <f t="shared" si="68"/>
        <v>94.49</v>
      </c>
      <c r="F821" s="32">
        <f>SUM(E814:E821)</f>
        <v>6393.6799999999994</v>
      </c>
    </row>
    <row r="822" spans="1:6" ht="12.75" hidden="1" customHeight="1">
      <c r="A822" s="12"/>
      <c r="B822" s="30"/>
      <c r="C822" s="24"/>
      <c r="D822" s="35"/>
      <c r="E822" s="31"/>
      <c r="F822" s="32"/>
    </row>
    <row r="823" spans="1:6" ht="12.75" hidden="1" customHeight="1">
      <c r="A823" s="13" t="s">
        <v>101</v>
      </c>
      <c r="B823" s="42" t="s">
        <v>151</v>
      </c>
      <c r="C823" s="29" t="s">
        <v>825</v>
      </c>
      <c r="D823" s="35"/>
      <c r="E823" s="31"/>
      <c r="F823" s="32"/>
    </row>
    <row r="824" spans="1:6" ht="12.75" hidden="1" customHeight="1">
      <c r="A824" s="12" t="s">
        <v>822</v>
      </c>
      <c r="B824" s="30">
        <v>6.68</v>
      </c>
      <c r="C824" s="24" t="s">
        <v>823</v>
      </c>
      <c r="D824" s="35">
        <f>Prec.!$C$5</f>
        <v>425</v>
      </c>
      <c r="E824" s="31">
        <f t="shared" ref="E824:E831" si="69">ROUND(B824*D824,2)</f>
        <v>2839</v>
      </c>
      <c r="F824" s="32"/>
    </row>
    <row r="825" spans="1:6" ht="12.75" hidden="1" customHeight="1">
      <c r="A825" s="12" t="s">
        <v>824</v>
      </c>
      <c r="B825" s="30">
        <v>0.48299999999999998</v>
      </c>
      <c r="C825" s="24" t="s">
        <v>825</v>
      </c>
      <c r="D825" s="35">
        <f>Prec.!$C$13</f>
        <v>900</v>
      </c>
      <c r="E825" s="31">
        <f t="shared" si="69"/>
        <v>434.7</v>
      </c>
      <c r="F825" s="32"/>
    </row>
    <row r="826" spans="1:6" ht="12.75" hidden="1" customHeight="1">
      <c r="A826" s="12" t="s">
        <v>1308</v>
      </c>
      <c r="B826" s="30">
        <v>0.77300000000000002</v>
      </c>
      <c r="C826" s="24" t="s">
        <v>825</v>
      </c>
      <c r="D826" s="35">
        <f>D816</f>
        <v>900</v>
      </c>
      <c r="E826" s="31">
        <f t="shared" si="69"/>
        <v>695.7</v>
      </c>
      <c r="F826" s="32"/>
    </row>
    <row r="827" spans="1:6" ht="12.75" hidden="1" customHeight="1">
      <c r="A827" s="12" t="s">
        <v>827</v>
      </c>
      <c r="B827" s="30">
        <v>56</v>
      </c>
      <c r="C827" s="24" t="s">
        <v>828</v>
      </c>
      <c r="D827" s="35">
        <f>Prec.!$C$80</f>
        <v>0.68</v>
      </c>
      <c r="E827" s="31">
        <f t="shared" si="69"/>
        <v>38.08</v>
      </c>
      <c r="F827" s="32"/>
    </row>
    <row r="828" spans="1:6" ht="12.75" hidden="1" customHeight="1">
      <c r="A828" s="12" t="s">
        <v>452</v>
      </c>
      <c r="B828" s="30">
        <v>6.68</v>
      </c>
      <c r="C828" s="24" t="s">
        <v>823</v>
      </c>
      <c r="D828" s="35">
        <f>D818</f>
        <v>20.38</v>
      </c>
      <c r="E828" s="31">
        <f t="shared" si="69"/>
        <v>136.13999999999999</v>
      </c>
      <c r="F828" s="32"/>
    </row>
    <row r="829" spans="1:6" ht="12.75" hidden="1" customHeight="1">
      <c r="A829" s="12" t="s">
        <v>365</v>
      </c>
      <c r="B829" s="30">
        <v>0.48299999999999998</v>
      </c>
      <c r="C829" s="24" t="s">
        <v>825</v>
      </c>
      <c r="D829" s="35">
        <f>D819</f>
        <v>441.56</v>
      </c>
      <c r="E829" s="31">
        <f t="shared" si="69"/>
        <v>213.27</v>
      </c>
      <c r="F829" s="32"/>
    </row>
    <row r="830" spans="1:6" ht="12.75" hidden="1" customHeight="1">
      <c r="A830" s="12" t="s">
        <v>366</v>
      </c>
      <c r="B830" s="30">
        <v>0.77300000000000002</v>
      </c>
      <c r="C830" s="24" t="s">
        <v>825</v>
      </c>
      <c r="D830" s="35">
        <f>D820</f>
        <v>588.74</v>
      </c>
      <c r="E830" s="31">
        <f t="shared" si="69"/>
        <v>455.1</v>
      </c>
      <c r="F830" s="32"/>
    </row>
    <row r="831" spans="1:6" ht="12.75" hidden="1" customHeight="1">
      <c r="A831" s="12" t="s">
        <v>208</v>
      </c>
      <c r="B831" s="30">
        <f>SUM(E824:E830)</f>
        <v>4811.9900000000007</v>
      </c>
      <c r="C831" s="24" t="s">
        <v>209</v>
      </c>
      <c r="D831" s="35">
        <f>Prec.!C302</f>
        <v>1.4999999999999999E-2</v>
      </c>
      <c r="E831" s="31">
        <f t="shared" si="69"/>
        <v>72.180000000000007</v>
      </c>
      <c r="F831" s="32">
        <f>SUM(E824:E831)</f>
        <v>4884.170000000001</v>
      </c>
    </row>
    <row r="832" spans="1:6" ht="12.75" hidden="1" customHeight="1"/>
    <row r="833" spans="1:6" ht="12.75" hidden="1" customHeight="1">
      <c r="A833" s="23" t="s">
        <v>879</v>
      </c>
    </row>
    <row r="834" spans="1:6" ht="12.75" hidden="1" customHeight="1">
      <c r="A834" s="2"/>
    </row>
    <row r="835" spans="1:6" ht="12.75" hidden="1" customHeight="1">
      <c r="A835" s="1" t="s">
        <v>1209</v>
      </c>
      <c r="B835" s="11" t="s">
        <v>151</v>
      </c>
      <c r="C835" s="2" t="s">
        <v>825</v>
      </c>
    </row>
    <row r="836" spans="1:6" ht="12.75" hidden="1" customHeight="1">
      <c r="A836" s="4" t="s">
        <v>822</v>
      </c>
      <c r="B836" s="8">
        <v>15.57</v>
      </c>
      <c r="C836" s="6" t="s">
        <v>823</v>
      </c>
      <c r="D836" s="37">
        <f>Prec.!$C$5</f>
        <v>425</v>
      </c>
      <c r="E836" s="25">
        <f t="shared" ref="E836:E841" si="70">ROUND(B836*D836,2)</f>
        <v>6617.25</v>
      </c>
    </row>
    <row r="837" spans="1:6" ht="12.75" hidden="1" customHeight="1">
      <c r="A837" s="4" t="s">
        <v>824</v>
      </c>
      <c r="B837" s="8">
        <v>0.9</v>
      </c>
      <c r="C837" s="6" t="s">
        <v>825</v>
      </c>
      <c r="D837" s="37">
        <f>Prec.!$C$13</f>
        <v>900</v>
      </c>
      <c r="E837" s="25">
        <f t="shared" si="70"/>
        <v>810</v>
      </c>
    </row>
    <row r="838" spans="1:6" ht="12.75" hidden="1" customHeight="1">
      <c r="A838" s="4" t="s">
        <v>827</v>
      </c>
      <c r="B838" s="8">
        <v>70.099999999999994</v>
      </c>
      <c r="C838" s="6" t="s">
        <v>828</v>
      </c>
      <c r="D838" s="37">
        <f>Prec.!$C$80</f>
        <v>0.68</v>
      </c>
      <c r="E838" s="25">
        <f t="shared" si="70"/>
        <v>47.67</v>
      </c>
    </row>
    <row r="839" spans="1:6" ht="12.75" hidden="1" customHeight="1">
      <c r="A839" s="4" t="s">
        <v>452</v>
      </c>
      <c r="B839" s="8">
        <v>15.57</v>
      </c>
      <c r="C839" s="6" t="s">
        <v>823</v>
      </c>
      <c r="D839" s="37">
        <f>Prec.!D394</f>
        <v>26.49</v>
      </c>
      <c r="E839" s="25">
        <f t="shared" si="70"/>
        <v>412.45</v>
      </c>
    </row>
    <row r="840" spans="1:6" ht="12.75" hidden="1" customHeight="1">
      <c r="A840" s="4" t="s">
        <v>365</v>
      </c>
      <c r="B840" s="8">
        <v>0.9</v>
      </c>
      <c r="C840" s="6" t="s">
        <v>825</v>
      </c>
      <c r="D840" s="37">
        <f>Prec.!D381</f>
        <v>551.95000000000005</v>
      </c>
      <c r="E840" s="25">
        <f t="shared" si="70"/>
        <v>496.76</v>
      </c>
    </row>
    <row r="841" spans="1:6" ht="12.75" hidden="1" customHeight="1">
      <c r="A841" s="4" t="s">
        <v>208</v>
      </c>
      <c r="B841" s="8">
        <f>SUM(E836:E840)</f>
        <v>8384.1299999999992</v>
      </c>
      <c r="C841" s="6" t="s">
        <v>209</v>
      </c>
      <c r="D841" s="37">
        <f>Prec.!C302</f>
        <v>1.4999999999999999E-2</v>
      </c>
      <c r="E841" s="25">
        <f t="shared" si="70"/>
        <v>125.76</v>
      </c>
      <c r="F841" s="26">
        <f>SUM(E836:E841)</f>
        <v>8509.89</v>
      </c>
    </row>
    <row r="842" spans="1:6" ht="12.75" hidden="1" customHeight="1"/>
    <row r="843" spans="1:6" ht="12.75" hidden="1" customHeight="1">
      <c r="A843" s="1" t="s">
        <v>1210</v>
      </c>
      <c r="B843" s="11" t="s">
        <v>151</v>
      </c>
      <c r="C843" s="2" t="s">
        <v>825</v>
      </c>
    </row>
    <row r="844" spans="1:6" ht="12.75" hidden="1" customHeight="1">
      <c r="A844" s="4" t="s">
        <v>822</v>
      </c>
      <c r="B844" s="8">
        <v>11.51</v>
      </c>
      <c r="C844" s="6" t="s">
        <v>823</v>
      </c>
      <c r="D844" s="37">
        <f>Prec.!$C$5</f>
        <v>425</v>
      </c>
      <c r="E844" s="25">
        <f t="shared" ref="E844:E849" si="71">ROUND(B844*D844,2)</f>
        <v>4891.75</v>
      </c>
    </row>
    <row r="845" spans="1:6" ht="12.75" hidden="1" customHeight="1">
      <c r="A845" s="4" t="s">
        <v>824</v>
      </c>
      <c r="B845" s="8">
        <v>1</v>
      </c>
      <c r="C845" s="6" t="s">
        <v>825</v>
      </c>
      <c r="D845" s="37">
        <f>Prec.!$C$13</f>
        <v>900</v>
      </c>
      <c r="E845" s="25">
        <f t="shared" si="71"/>
        <v>900</v>
      </c>
    </row>
    <row r="846" spans="1:6" ht="12.75" hidden="1" customHeight="1">
      <c r="A846" s="4" t="s">
        <v>827</v>
      </c>
      <c r="B846" s="8">
        <v>69.040000000000006</v>
      </c>
      <c r="C846" s="6" t="s">
        <v>828</v>
      </c>
      <c r="D846" s="37">
        <f>Prec.!$C$80</f>
        <v>0.68</v>
      </c>
      <c r="E846" s="25">
        <f t="shared" si="71"/>
        <v>46.95</v>
      </c>
    </row>
    <row r="847" spans="1:6" ht="12.75" hidden="1" customHeight="1">
      <c r="A847" s="4" t="s">
        <v>452</v>
      </c>
      <c r="B847" s="8">
        <v>11.51</v>
      </c>
      <c r="C847" s="6" t="s">
        <v>823</v>
      </c>
      <c r="D847" s="37">
        <f>D839</f>
        <v>26.49</v>
      </c>
      <c r="E847" s="25">
        <f t="shared" si="71"/>
        <v>304.89999999999998</v>
      </c>
    </row>
    <row r="848" spans="1:6" ht="12.75" hidden="1" customHeight="1">
      <c r="A848" s="4" t="s">
        <v>365</v>
      </c>
      <c r="B848" s="8">
        <v>1</v>
      </c>
      <c r="C848" s="6" t="s">
        <v>825</v>
      </c>
      <c r="D848" s="37">
        <f>D840</f>
        <v>551.95000000000005</v>
      </c>
      <c r="E848" s="25">
        <f t="shared" si="71"/>
        <v>551.95000000000005</v>
      </c>
    </row>
    <row r="849" spans="1:6" ht="12.75" hidden="1" customHeight="1">
      <c r="A849" s="4" t="s">
        <v>208</v>
      </c>
      <c r="B849" s="8">
        <f>SUM(E844:E848)</f>
        <v>6695.5499999999993</v>
      </c>
      <c r="C849" s="6" t="s">
        <v>209</v>
      </c>
      <c r="D849" s="37">
        <f>Prec.!C302</f>
        <v>1.4999999999999999E-2</v>
      </c>
      <c r="E849" s="25">
        <f t="shared" si="71"/>
        <v>100.43</v>
      </c>
      <c r="F849" s="26">
        <f>SUM(E844:E849)</f>
        <v>6795.98</v>
      </c>
    </row>
    <row r="850" spans="1:6" ht="10.15" hidden="1" customHeight="1"/>
    <row r="851" spans="1:6" ht="12.75" hidden="1" customHeight="1">
      <c r="A851" s="1" t="s">
        <v>1211</v>
      </c>
      <c r="B851" s="11" t="s">
        <v>151</v>
      </c>
      <c r="C851" s="2" t="s">
        <v>825</v>
      </c>
    </row>
    <row r="852" spans="1:6" ht="12.75" hidden="1" customHeight="1">
      <c r="A852" s="4" t="s">
        <v>822</v>
      </c>
      <c r="B852" s="8">
        <v>9.11</v>
      </c>
      <c r="C852" s="6" t="s">
        <v>823</v>
      </c>
      <c r="D852" s="37">
        <f>Prec.!$C$5</f>
        <v>425</v>
      </c>
      <c r="E852" s="25">
        <f t="shared" ref="E852:E857" si="72">ROUND(B852*D852,2)</f>
        <v>3871.75</v>
      </c>
    </row>
    <row r="853" spans="1:6" ht="12.75" hidden="1" customHeight="1">
      <c r="A853" s="4" t="s">
        <v>824</v>
      </c>
      <c r="B853" s="8">
        <v>1.06</v>
      </c>
      <c r="C853" s="6" t="s">
        <v>825</v>
      </c>
      <c r="D853" s="37">
        <f>Prec.!$C$13</f>
        <v>900</v>
      </c>
      <c r="E853" s="25">
        <f t="shared" si="72"/>
        <v>954</v>
      </c>
    </row>
    <row r="854" spans="1:6" ht="12.75" hidden="1" customHeight="1">
      <c r="A854" s="4" t="s">
        <v>827</v>
      </c>
      <c r="B854" s="8">
        <v>68.16</v>
      </c>
      <c r="C854" s="6" t="s">
        <v>828</v>
      </c>
      <c r="D854" s="37">
        <f>Prec.!$C$80</f>
        <v>0.68</v>
      </c>
      <c r="E854" s="25">
        <f t="shared" si="72"/>
        <v>46.35</v>
      </c>
    </row>
    <row r="855" spans="1:6" ht="12.75" hidden="1" customHeight="1">
      <c r="A855" s="4" t="s">
        <v>452</v>
      </c>
      <c r="B855" s="8">
        <v>9.11</v>
      </c>
      <c r="C855" s="6" t="s">
        <v>823</v>
      </c>
      <c r="D855" s="37">
        <f>D847</f>
        <v>26.49</v>
      </c>
      <c r="E855" s="25">
        <f t="shared" si="72"/>
        <v>241.32</v>
      </c>
    </row>
    <row r="856" spans="1:6" ht="12.75" hidden="1" customHeight="1">
      <c r="A856" s="4" t="s">
        <v>365</v>
      </c>
      <c r="B856" s="8">
        <v>1.06</v>
      </c>
      <c r="C856" s="6" t="s">
        <v>825</v>
      </c>
      <c r="D856" s="37">
        <f>D848</f>
        <v>551.95000000000005</v>
      </c>
      <c r="E856" s="25">
        <f t="shared" si="72"/>
        <v>585.07000000000005</v>
      </c>
    </row>
    <row r="857" spans="1:6" ht="12.75" hidden="1" customHeight="1">
      <c r="A857" s="4" t="s">
        <v>208</v>
      </c>
      <c r="B857" s="8">
        <f>SUM(E852:E856)</f>
        <v>5698.49</v>
      </c>
      <c r="C857" s="6" t="s">
        <v>209</v>
      </c>
      <c r="D857" s="37">
        <f>Prec.!C302</f>
        <v>1.4999999999999999E-2</v>
      </c>
      <c r="E857" s="25">
        <f t="shared" si="72"/>
        <v>85.48</v>
      </c>
      <c r="F857" s="26">
        <f>SUM(E852:E857)</f>
        <v>5783.9699999999993</v>
      </c>
    </row>
    <row r="858" spans="1:6" ht="12.75" hidden="1" customHeight="1"/>
    <row r="859" spans="1:6" ht="12.75" hidden="1" customHeight="1">
      <c r="A859" s="1" t="s">
        <v>1212</v>
      </c>
      <c r="B859" s="11" t="s">
        <v>151</v>
      </c>
      <c r="C859" s="2" t="s">
        <v>825</v>
      </c>
    </row>
    <row r="860" spans="1:6" ht="12.75" hidden="1" customHeight="1">
      <c r="A860" s="4" t="s">
        <v>822</v>
      </c>
      <c r="B860" s="8">
        <v>7.56</v>
      </c>
      <c r="C860" s="6" t="s">
        <v>823</v>
      </c>
      <c r="D860" s="37">
        <f>Prec.!$C$5</f>
        <v>425</v>
      </c>
      <c r="E860" s="25">
        <f t="shared" ref="E860:E865" si="73">ROUND(B860*D860,2)</f>
        <v>3213</v>
      </c>
    </row>
    <row r="861" spans="1:6" ht="12.75" hidden="1" customHeight="1">
      <c r="A861" s="4" t="s">
        <v>824</v>
      </c>
      <c r="B861" s="8">
        <v>1.091</v>
      </c>
      <c r="C861" s="6" t="s">
        <v>825</v>
      </c>
      <c r="D861" s="37">
        <f>Prec.!$C$13</f>
        <v>900</v>
      </c>
      <c r="E861" s="25">
        <f t="shared" si="73"/>
        <v>981.9</v>
      </c>
    </row>
    <row r="862" spans="1:6" ht="12.75" hidden="1" customHeight="1">
      <c r="A862" s="4" t="s">
        <v>827</v>
      </c>
      <c r="B862" s="8">
        <v>67.989999999999995</v>
      </c>
      <c r="C862" s="6" t="s">
        <v>828</v>
      </c>
      <c r="D862" s="37">
        <f>Prec.!$C$80</f>
        <v>0.68</v>
      </c>
      <c r="E862" s="25">
        <f t="shared" si="73"/>
        <v>46.23</v>
      </c>
    </row>
    <row r="863" spans="1:6" ht="12.75" hidden="1" customHeight="1">
      <c r="A863" s="4" t="s">
        <v>452</v>
      </c>
      <c r="B863" s="8">
        <v>7.56</v>
      </c>
      <c r="C863" s="6" t="s">
        <v>823</v>
      </c>
      <c r="D863" s="37">
        <f>D855</f>
        <v>26.49</v>
      </c>
      <c r="E863" s="25">
        <f t="shared" si="73"/>
        <v>200.26</v>
      </c>
    </row>
    <row r="864" spans="1:6" ht="12.75" hidden="1" customHeight="1">
      <c r="A864" s="4" t="s">
        <v>365</v>
      </c>
      <c r="B864" s="8">
        <v>1.091</v>
      </c>
      <c r="C864" s="6" t="s">
        <v>825</v>
      </c>
      <c r="D864" s="37">
        <f>D856</f>
        <v>551.95000000000005</v>
      </c>
      <c r="E864" s="25">
        <f t="shared" si="73"/>
        <v>602.17999999999995</v>
      </c>
    </row>
    <row r="865" spans="1:6" ht="12.75" hidden="1" customHeight="1">
      <c r="A865" s="4" t="s">
        <v>208</v>
      </c>
      <c r="B865" s="8">
        <f>SUM(E860:E864)</f>
        <v>5043.57</v>
      </c>
      <c r="C865" s="6" t="s">
        <v>209</v>
      </c>
      <c r="D865" s="37">
        <f>Prec.!C302</f>
        <v>1.4999999999999999E-2</v>
      </c>
      <c r="E865" s="25">
        <f t="shared" si="73"/>
        <v>75.650000000000006</v>
      </c>
      <c r="F865" s="26">
        <f>SUM(E860:E865)</f>
        <v>5119.2199999999993</v>
      </c>
    </row>
    <row r="866" spans="1:6" ht="10.15" hidden="1" customHeight="1"/>
    <row r="867" spans="1:6" ht="12.75" hidden="1" customHeight="1">
      <c r="A867" s="1" t="s">
        <v>1213</v>
      </c>
      <c r="B867" s="11" t="s">
        <v>151</v>
      </c>
      <c r="C867" s="2" t="s">
        <v>825</v>
      </c>
    </row>
    <row r="868" spans="1:6" ht="12.75" hidden="1" customHeight="1">
      <c r="A868" s="4" t="s">
        <v>822</v>
      </c>
      <c r="B868" s="8">
        <v>6.46</v>
      </c>
      <c r="C868" s="6" t="s">
        <v>823</v>
      </c>
      <c r="D868" s="37">
        <f>Prec.!$C$5</f>
        <v>425</v>
      </c>
      <c r="E868" s="25">
        <f t="shared" ref="E868:E873" si="74">ROUND(B868*D868,2)</f>
        <v>2745.5</v>
      </c>
    </row>
    <row r="869" spans="1:6" ht="12.75" hidden="1" customHeight="1">
      <c r="A869" s="4" t="s">
        <v>824</v>
      </c>
      <c r="B869" s="8">
        <v>1.1200000000000001</v>
      </c>
      <c r="C869" s="6" t="s">
        <v>825</v>
      </c>
      <c r="D869" s="37">
        <f>Prec.!$C$13</f>
        <v>900</v>
      </c>
      <c r="E869" s="25">
        <f t="shared" si="74"/>
        <v>1008</v>
      </c>
    </row>
    <row r="870" spans="1:6" ht="12.75" hidden="1" customHeight="1">
      <c r="A870" s="4" t="s">
        <v>827</v>
      </c>
      <c r="B870" s="8">
        <v>67.72</v>
      </c>
      <c r="C870" s="6" t="s">
        <v>828</v>
      </c>
      <c r="D870" s="37">
        <f>Prec.!$C$80</f>
        <v>0.68</v>
      </c>
      <c r="E870" s="25">
        <f t="shared" si="74"/>
        <v>46.05</v>
      </c>
    </row>
    <row r="871" spans="1:6" ht="12.75" hidden="1" customHeight="1">
      <c r="A871" s="4" t="s">
        <v>452</v>
      </c>
      <c r="B871" s="8">
        <v>6.46</v>
      </c>
      <c r="C871" s="6" t="s">
        <v>823</v>
      </c>
      <c r="D871" s="37">
        <f>D863</f>
        <v>26.49</v>
      </c>
      <c r="E871" s="25">
        <f t="shared" si="74"/>
        <v>171.13</v>
      </c>
    </row>
    <row r="872" spans="1:6" ht="12.75" hidden="1" customHeight="1">
      <c r="A872" s="4" t="s">
        <v>365</v>
      </c>
      <c r="B872" s="8">
        <v>1.1200000000000001</v>
      </c>
      <c r="C872" s="6" t="s">
        <v>825</v>
      </c>
      <c r="D872" s="37">
        <f>D864</f>
        <v>551.95000000000005</v>
      </c>
      <c r="E872" s="25">
        <f t="shared" si="74"/>
        <v>618.17999999999995</v>
      </c>
    </row>
    <row r="873" spans="1:6" ht="12.75" hidden="1" customHeight="1">
      <c r="A873" s="4" t="s">
        <v>208</v>
      </c>
      <c r="B873" s="8">
        <f>SUM(E868:E872)</f>
        <v>4588.8600000000006</v>
      </c>
      <c r="C873" s="6" t="s">
        <v>209</v>
      </c>
      <c r="D873" s="37">
        <f>Prec.!C302</f>
        <v>1.4999999999999999E-2</v>
      </c>
      <c r="E873" s="25">
        <f t="shared" si="74"/>
        <v>68.83</v>
      </c>
      <c r="F873" s="26">
        <f>SUM(E868:E873)</f>
        <v>4657.6900000000005</v>
      </c>
    </row>
    <row r="874" spans="1:6" ht="12.75" hidden="1" customHeight="1"/>
    <row r="875" spans="1:6" ht="12.75" hidden="1" customHeight="1">
      <c r="A875" s="1" t="s">
        <v>1214</v>
      </c>
      <c r="B875" s="11" t="s">
        <v>151</v>
      </c>
      <c r="C875" s="2" t="s">
        <v>825</v>
      </c>
    </row>
    <row r="876" spans="1:6" ht="12.75" hidden="1" customHeight="1">
      <c r="A876" s="4" t="s">
        <v>822</v>
      </c>
      <c r="B876" s="8">
        <v>9.4600000000000009</v>
      </c>
      <c r="C876" s="6" t="s">
        <v>823</v>
      </c>
      <c r="D876" s="37">
        <f>Prec.!$C$5</f>
        <v>425</v>
      </c>
      <c r="E876" s="25">
        <f t="shared" ref="E876:E883" si="75">ROUND(B876*D876,2)</f>
        <v>4020.5</v>
      </c>
    </row>
    <row r="877" spans="1:6" ht="12.75" hidden="1" customHeight="1">
      <c r="A877" s="4" t="s">
        <v>419</v>
      </c>
      <c r="B877" s="8">
        <v>0.91</v>
      </c>
      <c r="C877" s="6" t="s">
        <v>825</v>
      </c>
      <c r="D877" s="37">
        <f>Prec.!$C$15</f>
        <v>900</v>
      </c>
      <c r="E877" s="25">
        <f t="shared" si="75"/>
        <v>819</v>
      </c>
    </row>
    <row r="878" spans="1:6" ht="12.75" hidden="1" customHeight="1">
      <c r="A878" s="4" t="s">
        <v>210</v>
      </c>
      <c r="B878" s="8">
        <v>6.29</v>
      </c>
      <c r="C878" s="6" t="s">
        <v>823</v>
      </c>
      <c r="D878" s="37">
        <f>Prec.!$C$48</f>
        <v>250</v>
      </c>
      <c r="E878" s="25">
        <f t="shared" si="75"/>
        <v>1572.5</v>
      </c>
    </row>
    <row r="879" spans="1:6" ht="12.75" hidden="1" customHeight="1">
      <c r="A879" s="4" t="s">
        <v>827</v>
      </c>
      <c r="B879" s="8">
        <v>45.24</v>
      </c>
      <c r="C879" s="6" t="s">
        <v>828</v>
      </c>
      <c r="D879" s="37">
        <f>Prec.!$C$80</f>
        <v>0.68</v>
      </c>
      <c r="E879" s="25">
        <f t="shared" si="75"/>
        <v>30.76</v>
      </c>
    </row>
    <row r="880" spans="1:6" ht="12.75" hidden="1" customHeight="1">
      <c r="A880" s="4" t="s">
        <v>452</v>
      </c>
      <c r="B880" s="8">
        <v>9.4600000000000009</v>
      </c>
      <c r="C880" s="6" t="s">
        <v>823</v>
      </c>
      <c r="D880" s="37">
        <f>D871</f>
        <v>26.49</v>
      </c>
      <c r="E880" s="25">
        <f t="shared" si="75"/>
        <v>250.6</v>
      </c>
    </row>
    <row r="881" spans="1:6" ht="12.75" hidden="1" customHeight="1">
      <c r="A881" s="4" t="s">
        <v>203</v>
      </c>
      <c r="B881" s="8">
        <v>6.29</v>
      </c>
      <c r="C881" s="6" t="s">
        <v>823</v>
      </c>
      <c r="D881" s="37">
        <f>Prec.!D394</f>
        <v>26.49</v>
      </c>
      <c r="E881" s="25">
        <f t="shared" si="75"/>
        <v>166.62</v>
      </c>
    </row>
    <row r="882" spans="1:6" ht="12.75" hidden="1" customHeight="1">
      <c r="A882" s="4" t="s">
        <v>365</v>
      </c>
      <c r="B882" s="8">
        <v>0.91</v>
      </c>
      <c r="C882" s="6" t="s">
        <v>825</v>
      </c>
      <c r="D882" s="37">
        <f>D872</f>
        <v>551.95000000000005</v>
      </c>
      <c r="E882" s="25">
        <f t="shared" si="75"/>
        <v>502.27</v>
      </c>
    </row>
    <row r="883" spans="1:6" ht="12.75" hidden="1" customHeight="1">
      <c r="A883" s="4" t="s">
        <v>208</v>
      </c>
      <c r="B883" s="8">
        <f>SUM(E876:E882)</f>
        <v>7362.25</v>
      </c>
      <c r="C883" s="6" t="s">
        <v>209</v>
      </c>
      <c r="D883" s="37">
        <f>Prec.!C302</f>
        <v>1.4999999999999999E-2</v>
      </c>
      <c r="E883" s="25">
        <f t="shared" si="75"/>
        <v>110.43</v>
      </c>
      <c r="F883" s="26">
        <f>SUM(E876:E883)</f>
        <v>7472.68</v>
      </c>
    </row>
    <row r="884" spans="1:6" ht="10.15" hidden="1" customHeight="1"/>
    <row r="885" spans="1:6" ht="12.75" hidden="1" customHeight="1">
      <c r="A885" s="1" t="s">
        <v>1313</v>
      </c>
      <c r="B885" s="11" t="s">
        <v>151</v>
      </c>
      <c r="C885" s="2" t="s">
        <v>825</v>
      </c>
    </row>
    <row r="886" spans="1:6" ht="12.75" hidden="1" customHeight="1">
      <c r="A886" s="4" t="s">
        <v>822</v>
      </c>
      <c r="B886" s="8">
        <v>6.35</v>
      </c>
      <c r="C886" s="6" t="s">
        <v>823</v>
      </c>
      <c r="D886" s="37">
        <f>Prec.!$C$5</f>
        <v>425</v>
      </c>
      <c r="E886" s="25">
        <f t="shared" ref="E886:E893" si="76">ROUND(B886*D886,2)</f>
        <v>2698.75</v>
      </c>
    </row>
    <row r="887" spans="1:6" ht="12.75" hidden="1" customHeight="1">
      <c r="A887" s="4" t="s">
        <v>824</v>
      </c>
      <c r="B887" s="8">
        <v>0.54</v>
      </c>
      <c r="C887" s="6" t="s">
        <v>825</v>
      </c>
      <c r="D887" s="37">
        <f>Prec.!$C$13</f>
        <v>900</v>
      </c>
      <c r="E887" s="25">
        <f t="shared" si="76"/>
        <v>486</v>
      </c>
    </row>
    <row r="888" spans="1:6" ht="12.75" hidden="1" customHeight="1">
      <c r="A888" s="4" t="s">
        <v>1308</v>
      </c>
      <c r="B888" s="8">
        <v>0.73</v>
      </c>
      <c r="C888" s="6" t="s">
        <v>825</v>
      </c>
      <c r="D888" s="37">
        <f>D826</f>
        <v>900</v>
      </c>
      <c r="E888" s="25">
        <f t="shared" si="76"/>
        <v>657</v>
      </c>
    </row>
    <row r="889" spans="1:6" ht="12.75" hidden="1" customHeight="1">
      <c r="A889" s="4" t="s">
        <v>827</v>
      </c>
      <c r="B889" s="8">
        <v>64</v>
      </c>
      <c r="C889" s="6" t="s">
        <v>828</v>
      </c>
      <c r="D889" s="37">
        <f>Prec.!$C$80</f>
        <v>0.68</v>
      </c>
      <c r="E889" s="25">
        <f t="shared" si="76"/>
        <v>43.52</v>
      </c>
    </row>
    <row r="890" spans="1:6" ht="12.75" hidden="1" customHeight="1">
      <c r="A890" s="4" t="s">
        <v>452</v>
      </c>
      <c r="B890" s="8">
        <v>6.35</v>
      </c>
      <c r="C890" s="6" t="s">
        <v>823</v>
      </c>
      <c r="D890" s="37">
        <f>D880</f>
        <v>26.49</v>
      </c>
      <c r="E890" s="25">
        <f t="shared" si="76"/>
        <v>168.21</v>
      </c>
    </row>
    <row r="891" spans="1:6" ht="12.75" hidden="1" customHeight="1">
      <c r="A891" s="4" t="s">
        <v>365</v>
      </c>
      <c r="B891" s="8">
        <v>0.54</v>
      </c>
      <c r="C891" s="6" t="s">
        <v>825</v>
      </c>
      <c r="D891" s="37">
        <f>D882</f>
        <v>551.95000000000005</v>
      </c>
      <c r="E891" s="25">
        <f t="shared" si="76"/>
        <v>298.05</v>
      </c>
    </row>
    <row r="892" spans="1:6" ht="12.75" hidden="1" customHeight="1">
      <c r="A892" s="4" t="s">
        <v>366</v>
      </c>
      <c r="B892" s="8">
        <v>0.73</v>
      </c>
      <c r="C892" s="6" t="s">
        <v>825</v>
      </c>
      <c r="D892" s="37">
        <f>Prec.!D388</f>
        <v>735.93</v>
      </c>
      <c r="E892" s="25">
        <f t="shared" si="76"/>
        <v>537.23</v>
      </c>
    </row>
    <row r="893" spans="1:6" ht="12.75" hidden="1" customHeight="1">
      <c r="A893" s="4" t="s">
        <v>208</v>
      </c>
      <c r="B893" s="8">
        <f>SUM(E886:E892)</f>
        <v>4888.76</v>
      </c>
      <c r="C893" s="6" t="s">
        <v>209</v>
      </c>
      <c r="D893" s="37">
        <f>Prec.!C302</f>
        <v>1.4999999999999999E-2</v>
      </c>
      <c r="E893" s="25">
        <f t="shared" si="76"/>
        <v>73.33</v>
      </c>
      <c r="F893" s="26">
        <f>SUM(E886:E893)</f>
        <v>4962.09</v>
      </c>
    </row>
    <row r="894" spans="1:6" ht="12.75" hidden="1" customHeight="1">
      <c r="A894" s="1" t="s">
        <v>703</v>
      </c>
      <c r="B894" s="11" t="s">
        <v>151</v>
      </c>
      <c r="C894" s="2" t="s">
        <v>825</v>
      </c>
    </row>
    <row r="895" spans="1:6" ht="12.75" hidden="1" customHeight="1">
      <c r="A895" s="4" t="s">
        <v>822</v>
      </c>
      <c r="B895" s="8">
        <v>7.53</v>
      </c>
      <c r="C895" s="6" t="s">
        <v>823</v>
      </c>
      <c r="D895" s="37">
        <f>Prec.!$C$5</f>
        <v>425</v>
      </c>
      <c r="E895" s="25">
        <f t="shared" ref="E895:E902" si="77">ROUND(B895*D895,2)</f>
        <v>3200.25</v>
      </c>
    </row>
    <row r="896" spans="1:6" ht="12.75" hidden="1" customHeight="1">
      <c r="A896" s="4" t="s">
        <v>824</v>
      </c>
      <c r="B896" s="8">
        <v>0.52400000000000002</v>
      </c>
      <c r="C896" s="6" t="s">
        <v>825</v>
      </c>
      <c r="D896" s="37">
        <f>Prec.!$C$13</f>
        <v>900</v>
      </c>
      <c r="E896" s="25">
        <f t="shared" si="77"/>
        <v>471.6</v>
      </c>
    </row>
    <row r="897" spans="1:6" ht="12.75" hidden="1" customHeight="1">
      <c r="A897" s="4" t="s">
        <v>1308</v>
      </c>
      <c r="B897" s="8">
        <v>0.72599999999999998</v>
      </c>
      <c r="C897" s="6" t="s">
        <v>825</v>
      </c>
      <c r="D897" s="37">
        <f>D888</f>
        <v>900</v>
      </c>
      <c r="E897" s="25">
        <f t="shared" si="77"/>
        <v>653.4</v>
      </c>
    </row>
    <row r="898" spans="1:6" ht="12.75" hidden="1" customHeight="1">
      <c r="A898" s="4" t="s">
        <v>827</v>
      </c>
      <c r="B898" s="8">
        <v>54.65</v>
      </c>
      <c r="C898" s="6" t="s">
        <v>828</v>
      </c>
      <c r="D898" s="37">
        <f>Prec.!$C$80</f>
        <v>0.68</v>
      </c>
      <c r="E898" s="25">
        <f t="shared" si="77"/>
        <v>37.159999999999997</v>
      </c>
    </row>
    <row r="899" spans="1:6" ht="12.75" hidden="1" customHeight="1">
      <c r="A899" s="4" t="s">
        <v>452</v>
      </c>
      <c r="B899" s="8">
        <v>7.53</v>
      </c>
      <c r="C899" s="6" t="s">
        <v>823</v>
      </c>
      <c r="D899" s="37">
        <f>D890</f>
        <v>26.49</v>
      </c>
      <c r="E899" s="25">
        <f t="shared" si="77"/>
        <v>199.47</v>
      </c>
    </row>
    <row r="900" spans="1:6" ht="12.75" hidden="1" customHeight="1">
      <c r="A900" s="4" t="s">
        <v>365</v>
      </c>
      <c r="B900" s="8">
        <v>0.52400000000000002</v>
      </c>
      <c r="C900" s="6" t="s">
        <v>825</v>
      </c>
      <c r="D900" s="37">
        <f>D891</f>
        <v>551.95000000000005</v>
      </c>
      <c r="E900" s="25">
        <f t="shared" si="77"/>
        <v>289.22000000000003</v>
      </c>
    </row>
    <row r="901" spans="1:6" ht="12.75" hidden="1" customHeight="1">
      <c r="A901" s="4" t="s">
        <v>366</v>
      </c>
      <c r="B901" s="8">
        <v>0.72599999999999998</v>
      </c>
      <c r="C901" s="6" t="s">
        <v>825</v>
      </c>
      <c r="D901" s="37">
        <f>D892</f>
        <v>735.93</v>
      </c>
      <c r="E901" s="25">
        <f t="shared" si="77"/>
        <v>534.29</v>
      </c>
    </row>
    <row r="902" spans="1:6" ht="12.75" hidden="1" customHeight="1">
      <c r="A902" s="4" t="s">
        <v>208</v>
      </c>
      <c r="B902" s="8">
        <f>SUM(E895:E901)</f>
        <v>5385.39</v>
      </c>
      <c r="C902" s="6" t="s">
        <v>209</v>
      </c>
      <c r="D902" s="37">
        <f>Prec.!C302</f>
        <v>1.4999999999999999E-2</v>
      </c>
      <c r="E902" s="25">
        <f t="shared" si="77"/>
        <v>80.78</v>
      </c>
      <c r="F902" s="26">
        <f>SUM(E895:E902)</f>
        <v>5466.17</v>
      </c>
    </row>
    <row r="903" spans="1:6" ht="12.75" hidden="1" customHeight="1"/>
    <row r="904" spans="1:6" ht="12.75" hidden="1" customHeight="1">
      <c r="A904" s="1" t="s">
        <v>704</v>
      </c>
      <c r="B904" s="11" t="s">
        <v>151</v>
      </c>
      <c r="C904" s="2" t="s">
        <v>825</v>
      </c>
    </row>
    <row r="905" spans="1:6" ht="12.75" hidden="1" customHeight="1">
      <c r="A905" s="4" t="s">
        <v>822</v>
      </c>
      <c r="B905" s="8">
        <v>7.84</v>
      </c>
      <c r="C905" s="6" t="s">
        <v>823</v>
      </c>
      <c r="D905" s="37">
        <f>Prec.!$C$5</f>
        <v>425</v>
      </c>
      <c r="E905" s="25">
        <f t="shared" ref="E905:E912" si="78">ROUND(B905*D905,2)</f>
        <v>3332</v>
      </c>
    </row>
    <row r="906" spans="1:6" ht="12.75" hidden="1" customHeight="1">
      <c r="A906" s="4" t="s">
        <v>824</v>
      </c>
      <c r="B906" s="8">
        <v>0.51800000000000002</v>
      </c>
      <c r="C906" s="6" t="s">
        <v>825</v>
      </c>
      <c r="D906" s="37">
        <f>Prec.!$C$13</f>
        <v>900</v>
      </c>
      <c r="E906" s="25">
        <f t="shared" si="78"/>
        <v>466.2</v>
      </c>
    </row>
    <row r="907" spans="1:6" ht="12.75" hidden="1" customHeight="1">
      <c r="A907" s="4" t="s">
        <v>1308</v>
      </c>
      <c r="B907" s="8">
        <v>0.72399999999999998</v>
      </c>
      <c r="C907" s="6" t="s">
        <v>825</v>
      </c>
      <c r="D907" s="37">
        <f>D897</f>
        <v>900</v>
      </c>
      <c r="E907" s="25">
        <f t="shared" si="78"/>
        <v>651.6</v>
      </c>
    </row>
    <row r="908" spans="1:6" ht="12.75" hidden="1" customHeight="1">
      <c r="A908" s="4" t="s">
        <v>827</v>
      </c>
      <c r="B908" s="8">
        <v>55.44</v>
      </c>
      <c r="C908" s="6" t="s">
        <v>828</v>
      </c>
      <c r="D908" s="37">
        <f>Prec.!$C$80</f>
        <v>0.68</v>
      </c>
      <c r="E908" s="25">
        <f t="shared" si="78"/>
        <v>37.700000000000003</v>
      </c>
    </row>
    <row r="909" spans="1:6" ht="12.75" hidden="1" customHeight="1">
      <c r="A909" s="4" t="s">
        <v>452</v>
      </c>
      <c r="B909" s="8">
        <v>7.84</v>
      </c>
      <c r="C909" s="6" t="s">
        <v>823</v>
      </c>
      <c r="D909" s="37">
        <f>D899</f>
        <v>26.49</v>
      </c>
      <c r="E909" s="25">
        <f t="shared" si="78"/>
        <v>207.68</v>
      </c>
    </row>
    <row r="910" spans="1:6" ht="12.75" hidden="1" customHeight="1">
      <c r="A910" s="4" t="s">
        <v>365</v>
      </c>
      <c r="B910" s="8">
        <v>0.51800000000000002</v>
      </c>
      <c r="C910" s="6" t="s">
        <v>825</v>
      </c>
      <c r="D910" s="37">
        <f>D900</f>
        <v>551.95000000000005</v>
      </c>
      <c r="E910" s="25">
        <f t="shared" si="78"/>
        <v>285.91000000000003</v>
      </c>
    </row>
    <row r="911" spans="1:6" ht="12.75" hidden="1" customHeight="1">
      <c r="A911" s="4" t="s">
        <v>366</v>
      </c>
      <c r="B911" s="8">
        <v>0.72399999999999998</v>
      </c>
      <c r="C911" s="6" t="s">
        <v>825</v>
      </c>
      <c r="D911" s="37">
        <f>D901</f>
        <v>735.93</v>
      </c>
      <c r="E911" s="25">
        <f t="shared" si="78"/>
        <v>532.80999999999995</v>
      </c>
    </row>
    <row r="912" spans="1:6" ht="12.75" hidden="1" customHeight="1">
      <c r="A912" s="4" t="s">
        <v>208</v>
      </c>
      <c r="B912" s="8">
        <f>SUM(E905:E911)</f>
        <v>5513.9</v>
      </c>
      <c r="C912" s="6" t="s">
        <v>209</v>
      </c>
      <c r="D912" s="37">
        <f>Prec.!C302</f>
        <v>1.4999999999999999E-2</v>
      </c>
      <c r="E912" s="25">
        <f t="shared" si="78"/>
        <v>82.71</v>
      </c>
      <c r="F912" s="26">
        <f>SUM(E905:E912)</f>
        <v>5596.61</v>
      </c>
    </row>
    <row r="913" spans="1:6" ht="12.75" hidden="1" customHeight="1"/>
    <row r="914" spans="1:6" ht="12.75" hidden="1" customHeight="1">
      <c r="A914" s="1" t="s">
        <v>705</v>
      </c>
      <c r="B914" s="11" t="s">
        <v>151</v>
      </c>
      <c r="C914" s="2" t="s">
        <v>825</v>
      </c>
    </row>
    <row r="915" spans="1:6" ht="12.75" hidden="1" customHeight="1">
      <c r="A915" s="4" t="s">
        <v>822</v>
      </c>
      <c r="B915" s="8">
        <v>8</v>
      </c>
      <c r="C915" s="6" t="s">
        <v>823</v>
      </c>
      <c r="D915" s="37">
        <f>Prec.!$C$5</f>
        <v>425</v>
      </c>
      <c r="E915" s="25">
        <f t="shared" ref="E915:E922" si="79">ROUND(B915*D915,2)</f>
        <v>3400</v>
      </c>
    </row>
    <row r="916" spans="1:6" ht="12.75" hidden="1" customHeight="1">
      <c r="A916" s="4" t="s">
        <v>824</v>
      </c>
      <c r="B916" s="8">
        <v>0.51600000000000001</v>
      </c>
      <c r="C916" s="6" t="s">
        <v>825</v>
      </c>
      <c r="D916" s="37">
        <f>Prec.!$C$13</f>
        <v>900</v>
      </c>
      <c r="E916" s="25">
        <f t="shared" si="79"/>
        <v>464.4</v>
      </c>
    </row>
    <row r="917" spans="1:6" ht="12.75" hidden="1" customHeight="1">
      <c r="A917" s="4" t="s">
        <v>1308</v>
      </c>
      <c r="B917" s="8">
        <v>0.71899999999999997</v>
      </c>
      <c r="C917" s="6" t="s">
        <v>825</v>
      </c>
      <c r="D917" s="37">
        <f>D907</f>
        <v>900</v>
      </c>
      <c r="E917" s="25">
        <f t="shared" si="79"/>
        <v>647.1</v>
      </c>
    </row>
    <row r="918" spans="1:6" ht="12.75" hidden="1" customHeight="1">
      <c r="A918" s="4" t="s">
        <v>827</v>
      </c>
      <c r="B918" s="8">
        <v>54.65</v>
      </c>
      <c r="C918" s="6" t="s">
        <v>828</v>
      </c>
      <c r="D918" s="37">
        <f>Prec.!$C$80</f>
        <v>0.68</v>
      </c>
      <c r="E918" s="25">
        <f t="shared" si="79"/>
        <v>37.159999999999997</v>
      </c>
    </row>
    <row r="919" spans="1:6" ht="12.75" hidden="1" customHeight="1">
      <c r="A919" s="4" t="s">
        <v>452</v>
      </c>
      <c r="B919" s="8">
        <v>8</v>
      </c>
      <c r="C919" s="6" t="s">
        <v>823</v>
      </c>
      <c r="D919" s="37">
        <f>D909</f>
        <v>26.49</v>
      </c>
      <c r="E919" s="25">
        <f t="shared" si="79"/>
        <v>211.92</v>
      </c>
    </row>
    <row r="920" spans="1:6" ht="12.75" hidden="1" customHeight="1">
      <c r="A920" s="4" t="s">
        <v>365</v>
      </c>
      <c r="B920" s="8">
        <v>0.51600000000000001</v>
      </c>
      <c r="C920" s="6" t="s">
        <v>825</v>
      </c>
      <c r="D920" s="37">
        <f>D910</f>
        <v>551.95000000000005</v>
      </c>
      <c r="E920" s="25">
        <f t="shared" si="79"/>
        <v>284.81</v>
      </c>
    </row>
    <row r="921" spans="1:6" ht="12.75" hidden="1" customHeight="1">
      <c r="A921" s="4" t="s">
        <v>366</v>
      </c>
      <c r="B921" s="8">
        <v>0.71899999999999997</v>
      </c>
      <c r="C921" s="6" t="s">
        <v>825</v>
      </c>
      <c r="D921" s="37">
        <f>D911</f>
        <v>735.93</v>
      </c>
      <c r="E921" s="25">
        <f t="shared" si="79"/>
        <v>529.13</v>
      </c>
    </row>
    <row r="922" spans="1:6" ht="12.75" hidden="1" customHeight="1">
      <c r="A922" s="4" t="s">
        <v>208</v>
      </c>
      <c r="B922" s="8">
        <f>SUM(E915:E921)</f>
        <v>5574.52</v>
      </c>
      <c r="C922" s="6" t="s">
        <v>209</v>
      </c>
      <c r="D922" s="37">
        <f>Prec.!C302</f>
        <v>1.4999999999999999E-2</v>
      </c>
      <c r="E922" s="25">
        <f t="shared" si="79"/>
        <v>83.62</v>
      </c>
      <c r="F922" s="26">
        <f>SUM(E915:E922)</f>
        <v>5658.14</v>
      </c>
    </row>
    <row r="923" spans="1:6" ht="12.75" hidden="1" customHeight="1"/>
    <row r="924" spans="1:6" ht="12.75" hidden="1" customHeight="1">
      <c r="A924" s="1" t="s">
        <v>393</v>
      </c>
      <c r="B924" s="11" t="s">
        <v>151</v>
      </c>
      <c r="C924" s="2" t="s">
        <v>825</v>
      </c>
    </row>
    <row r="925" spans="1:6" ht="12.75" hidden="1" customHeight="1">
      <c r="A925" s="4" t="s">
        <v>822</v>
      </c>
      <c r="B925" s="8">
        <v>8.31</v>
      </c>
      <c r="C925" s="6" t="s">
        <v>823</v>
      </c>
      <c r="D925" s="37">
        <f>Prec.!$C$5</f>
        <v>425</v>
      </c>
      <c r="E925" s="25">
        <f t="shared" ref="E925:E932" si="80">ROUND(B925*D925,2)</f>
        <v>3531.75</v>
      </c>
    </row>
    <row r="926" spans="1:6" ht="12.75" hidden="1" customHeight="1">
      <c r="A926" s="4" t="s">
        <v>824</v>
      </c>
      <c r="B926" s="8">
        <v>0.51200000000000001</v>
      </c>
      <c r="C926" s="6" t="s">
        <v>825</v>
      </c>
      <c r="D926" s="37">
        <f>Prec.!$C$13</f>
        <v>900</v>
      </c>
      <c r="E926" s="25">
        <f t="shared" si="80"/>
        <v>460.8</v>
      </c>
    </row>
    <row r="927" spans="1:6" ht="12.75" hidden="1" customHeight="1">
      <c r="A927" s="4" t="s">
        <v>1308</v>
      </c>
      <c r="B927" s="8">
        <v>0.71</v>
      </c>
      <c r="C927" s="6" t="s">
        <v>825</v>
      </c>
      <c r="D927" s="37">
        <f>D917</f>
        <v>900</v>
      </c>
      <c r="E927" s="25">
        <f t="shared" si="80"/>
        <v>639</v>
      </c>
    </row>
    <row r="928" spans="1:6" ht="12.75" hidden="1" customHeight="1">
      <c r="A928" s="4" t="s">
        <v>827</v>
      </c>
      <c r="B928" s="8">
        <v>53.06</v>
      </c>
      <c r="C928" s="6" t="s">
        <v>828</v>
      </c>
      <c r="D928" s="37">
        <f>Prec.!$C$80</f>
        <v>0.68</v>
      </c>
      <c r="E928" s="25">
        <f t="shared" si="80"/>
        <v>36.08</v>
      </c>
    </row>
    <row r="929" spans="1:6" ht="12.75" hidden="1" customHeight="1">
      <c r="A929" s="4" t="s">
        <v>452</v>
      </c>
      <c r="B929" s="8">
        <v>8.31</v>
      </c>
      <c r="C929" s="6" t="s">
        <v>823</v>
      </c>
      <c r="D929" s="37">
        <f>D919</f>
        <v>26.49</v>
      </c>
      <c r="E929" s="25">
        <f t="shared" si="80"/>
        <v>220.13</v>
      </c>
    </row>
    <row r="930" spans="1:6" ht="12.75" hidden="1" customHeight="1">
      <c r="A930" s="4" t="s">
        <v>365</v>
      </c>
      <c r="B930" s="8">
        <v>0.51200000000000001</v>
      </c>
      <c r="C930" s="6" t="s">
        <v>825</v>
      </c>
      <c r="D930" s="37">
        <f>D920</f>
        <v>551.95000000000005</v>
      </c>
      <c r="E930" s="25">
        <f t="shared" si="80"/>
        <v>282.60000000000002</v>
      </c>
    </row>
    <row r="931" spans="1:6" ht="12.75" hidden="1" customHeight="1">
      <c r="A931" s="4" t="s">
        <v>366</v>
      </c>
      <c r="B931" s="8">
        <v>0.71</v>
      </c>
      <c r="C931" s="6" t="s">
        <v>825</v>
      </c>
      <c r="D931" s="37">
        <f>D921</f>
        <v>735.93</v>
      </c>
      <c r="E931" s="25">
        <f t="shared" si="80"/>
        <v>522.51</v>
      </c>
    </row>
    <row r="932" spans="1:6" ht="12.75" hidden="1" customHeight="1">
      <c r="A932" s="4" t="s">
        <v>208</v>
      </c>
      <c r="B932" s="8">
        <f>SUM(E925:E931)</f>
        <v>5692.8700000000008</v>
      </c>
      <c r="C932" s="6" t="s">
        <v>209</v>
      </c>
      <c r="D932" s="37">
        <f>Prec.!C302</f>
        <v>1.4999999999999999E-2</v>
      </c>
      <c r="E932" s="25">
        <f t="shared" si="80"/>
        <v>85.39</v>
      </c>
      <c r="F932" s="26">
        <f>SUM(E925:E932)</f>
        <v>5778.2600000000011</v>
      </c>
    </row>
    <row r="933" spans="1:6" ht="12.75" hidden="1" customHeight="1"/>
    <row r="934" spans="1:6" ht="12.75" hidden="1" customHeight="1">
      <c r="A934" s="1" t="s">
        <v>394</v>
      </c>
      <c r="B934" s="11" t="s">
        <v>151</v>
      </c>
      <c r="C934" s="2" t="s">
        <v>825</v>
      </c>
    </row>
    <row r="935" spans="1:6" ht="12.75" hidden="1" customHeight="1">
      <c r="A935" s="4" t="s">
        <v>822</v>
      </c>
      <c r="B935" s="8">
        <v>8.61</v>
      </c>
      <c r="C935" s="6" t="s">
        <v>823</v>
      </c>
      <c r="D935" s="37">
        <f>Prec.!$C$5</f>
        <v>425</v>
      </c>
      <c r="E935" s="25">
        <f t="shared" ref="E935:E942" si="81">ROUND(B935*D935,2)</f>
        <v>3659.25</v>
      </c>
    </row>
    <row r="936" spans="1:6" ht="12.75" hidden="1" customHeight="1">
      <c r="A936" s="4" t="s">
        <v>824</v>
      </c>
      <c r="B936" s="8">
        <v>0.50800000000000001</v>
      </c>
      <c r="C936" s="6" t="s">
        <v>825</v>
      </c>
      <c r="D936" s="37">
        <f>Prec.!$C$13</f>
        <v>900</v>
      </c>
      <c r="E936" s="25">
        <f t="shared" si="81"/>
        <v>457.2</v>
      </c>
    </row>
    <row r="937" spans="1:6" ht="12.75" hidden="1" customHeight="1">
      <c r="A937" s="4" t="s">
        <v>1308</v>
      </c>
      <c r="B937" s="8">
        <v>0.70199999999999996</v>
      </c>
      <c r="C937" s="6" t="s">
        <v>825</v>
      </c>
      <c r="D937" s="37">
        <f>D927</f>
        <v>900</v>
      </c>
      <c r="E937" s="25">
        <f t="shared" si="81"/>
        <v>631.79999999999995</v>
      </c>
    </row>
    <row r="938" spans="1:6" ht="12.75" hidden="1" customHeight="1">
      <c r="A938" s="4" t="s">
        <v>827</v>
      </c>
      <c r="B938" s="8">
        <v>51.48</v>
      </c>
      <c r="C938" s="6" t="s">
        <v>828</v>
      </c>
      <c r="D938" s="37">
        <f>Prec.!$C$80</f>
        <v>0.68</v>
      </c>
      <c r="E938" s="25">
        <f t="shared" si="81"/>
        <v>35.01</v>
      </c>
    </row>
    <row r="939" spans="1:6" ht="12.75" hidden="1" customHeight="1">
      <c r="A939" s="4" t="s">
        <v>452</v>
      </c>
      <c r="B939" s="8">
        <v>8.61</v>
      </c>
      <c r="C939" s="6" t="s">
        <v>823</v>
      </c>
      <c r="D939" s="37">
        <f>D929</f>
        <v>26.49</v>
      </c>
      <c r="E939" s="25">
        <f t="shared" si="81"/>
        <v>228.08</v>
      </c>
    </row>
    <row r="940" spans="1:6" ht="12.75" hidden="1" customHeight="1">
      <c r="A940" s="4" t="s">
        <v>365</v>
      </c>
      <c r="B940" s="8">
        <v>0.50800000000000001</v>
      </c>
      <c r="C940" s="6" t="s">
        <v>825</v>
      </c>
      <c r="D940" s="37">
        <f>D930</f>
        <v>551.95000000000005</v>
      </c>
      <c r="E940" s="25">
        <f t="shared" si="81"/>
        <v>280.39</v>
      </c>
    </row>
    <row r="941" spans="1:6" ht="12.75" hidden="1" customHeight="1">
      <c r="A941" s="4" t="s">
        <v>366</v>
      </c>
      <c r="B941" s="8">
        <v>0.70199999999999996</v>
      </c>
      <c r="C941" s="6" t="s">
        <v>825</v>
      </c>
      <c r="D941" s="37">
        <f>D931</f>
        <v>735.93</v>
      </c>
      <c r="E941" s="25">
        <f t="shared" si="81"/>
        <v>516.62</v>
      </c>
    </row>
    <row r="942" spans="1:6" ht="12.75" hidden="1" customHeight="1">
      <c r="A942" s="4" t="s">
        <v>208</v>
      </c>
      <c r="B942" s="8">
        <f>SUM(E935:E941)</f>
        <v>5808.35</v>
      </c>
      <c r="C942" s="6" t="s">
        <v>209</v>
      </c>
      <c r="D942" s="37">
        <f>Prec.!C302</f>
        <v>1.4999999999999999E-2</v>
      </c>
      <c r="E942" s="25">
        <f t="shared" si="81"/>
        <v>87.13</v>
      </c>
      <c r="F942" s="26">
        <f>SUM(E935:E942)</f>
        <v>5895.4800000000005</v>
      </c>
    </row>
    <row r="943" spans="1:6" ht="12.75" hidden="1" customHeight="1"/>
    <row r="944" spans="1:6" ht="12.75" hidden="1" customHeight="1">
      <c r="A944" s="1" t="s">
        <v>395</v>
      </c>
      <c r="B944" s="11" t="s">
        <v>151</v>
      </c>
      <c r="C944" s="2" t="s">
        <v>825</v>
      </c>
    </row>
    <row r="945" spans="1:6" ht="12.75" hidden="1" customHeight="1">
      <c r="A945" s="4" t="s">
        <v>822</v>
      </c>
      <c r="B945" s="8">
        <v>8.94</v>
      </c>
      <c r="C945" s="6" t="s">
        <v>823</v>
      </c>
      <c r="D945" s="37">
        <f>Prec.!$C$5</f>
        <v>425</v>
      </c>
      <c r="E945" s="25">
        <f t="shared" ref="E945:E952" si="82">ROUND(B945*D945,2)</f>
        <v>3799.5</v>
      </c>
    </row>
    <row r="946" spans="1:6" ht="12.75" hidden="1" customHeight="1">
      <c r="A946" s="4" t="s">
        <v>824</v>
      </c>
      <c r="B946" s="8">
        <v>0.505</v>
      </c>
      <c r="C946" s="6" t="s">
        <v>825</v>
      </c>
      <c r="D946" s="37">
        <f>Prec.!$C$13</f>
        <v>900</v>
      </c>
      <c r="E946" s="25">
        <f t="shared" si="82"/>
        <v>454.5</v>
      </c>
    </row>
    <row r="947" spans="1:6" ht="12.75" hidden="1" customHeight="1">
      <c r="A947" s="4" t="s">
        <v>1308</v>
      </c>
      <c r="B947" s="8">
        <v>0.69899999999999995</v>
      </c>
      <c r="C947" s="6" t="s">
        <v>825</v>
      </c>
      <c r="D947" s="37">
        <f>D937</f>
        <v>900</v>
      </c>
      <c r="E947" s="25">
        <f t="shared" si="82"/>
        <v>629.1</v>
      </c>
    </row>
    <row r="948" spans="1:6" ht="12.75" hidden="1" customHeight="1">
      <c r="A948" s="4" t="s">
        <v>827</v>
      </c>
      <c r="B948" s="8">
        <v>51.22</v>
      </c>
      <c r="C948" s="6" t="s">
        <v>828</v>
      </c>
      <c r="D948" s="37">
        <f>Prec.!$C$80</f>
        <v>0.68</v>
      </c>
      <c r="E948" s="25">
        <f t="shared" si="82"/>
        <v>34.83</v>
      </c>
    </row>
    <row r="949" spans="1:6" ht="12.75" hidden="1" customHeight="1">
      <c r="A949" s="4" t="s">
        <v>452</v>
      </c>
      <c r="B949" s="8">
        <v>8.94</v>
      </c>
      <c r="C949" s="6" t="s">
        <v>823</v>
      </c>
      <c r="D949" s="37">
        <f>D939</f>
        <v>26.49</v>
      </c>
      <c r="E949" s="25">
        <f t="shared" si="82"/>
        <v>236.82</v>
      </c>
    </row>
    <row r="950" spans="1:6" ht="12.75" hidden="1" customHeight="1">
      <c r="A950" s="4" t="s">
        <v>365</v>
      </c>
      <c r="B950" s="8">
        <v>0.505</v>
      </c>
      <c r="C950" s="6" t="s">
        <v>825</v>
      </c>
      <c r="D950" s="37">
        <f>D940</f>
        <v>551.95000000000005</v>
      </c>
      <c r="E950" s="25">
        <f t="shared" si="82"/>
        <v>278.73</v>
      </c>
    </row>
    <row r="951" spans="1:6" ht="12.75" hidden="1" customHeight="1">
      <c r="A951" s="4" t="s">
        <v>366</v>
      </c>
      <c r="B951" s="8">
        <v>0.69899999999999995</v>
      </c>
      <c r="C951" s="6" t="s">
        <v>825</v>
      </c>
      <c r="D951" s="37">
        <f>D941</f>
        <v>735.93</v>
      </c>
      <c r="E951" s="25">
        <f t="shared" si="82"/>
        <v>514.41999999999996</v>
      </c>
    </row>
    <row r="952" spans="1:6" ht="12.75" hidden="1" customHeight="1">
      <c r="A952" s="4" t="s">
        <v>208</v>
      </c>
      <c r="B952" s="8">
        <f>SUM(E945:E951)</f>
        <v>5947.9</v>
      </c>
      <c r="C952" s="6" t="s">
        <v>209</v>
      </c>
      <c r="D952" s="37">
        <f>Prec.!C302</f>
        <v>1.4999999999999999E-2</v>
      </c>
      <c r="E952" s="25">
        <f t="shared" si="82"/>
        <v>89.22</v>
      </c>
      <c r="F952" s="26">
        <f>SUM(E945:E952)</f>
        <v>6037.12</v>
      </c>
    </row>
    <row r="953" spans="1:6" ht="12.75" hidden="1" customHeight="1"/>
    <row r="954" spans="1:6" ht="12.75" hidden="1" customHeight="1">
      <c r="A954" s="1" t="s">
        <v>396</v>
      </c>
      <c r="B954" s="11" t="s">
        <v>151</v>
      </c>
      <c r="C954" s="2" t="s">
        <v>825</v>
      </c>
    </row>
    <row r="955" spans="1:6" ht="12.75" hidden="1" customHeight="1">
      <c r="A955" s="4" t="s">
        <v>822</v>
      </c>
      <c r="B955" s="8">
        <v>9.93</v>
      </c>
      <c r="C955" s="6" t="s">
        <v>823</v>
      </c>
      <c r="D955" s="37">
        <f>Prec.!$C$5</f>
        <v>425</v>
      </c>
      <c r="E955" s="25">
        <f t="shared" ref="E955:E962" si="83">ROUND(B955*D955,2)</f>
        <v>4220.25</v>
      </c>
    </row>
    <row r="956" spans="1:6" ht="12.75" hidden="1" customHeight="1">
      <c r="A956" s="4" t="s">
        <v>824</v>
      </c>
      <c r="B956" s="8">
        <v>0.499</v>
      </c>
      <c r="C956" s="6" t="s">
        <v>825</v>
      </c>
      <c r="D956" s="37">
        <f>Prec.!$C$13</f>
        <v>900</v>
      </c>
      <c r="E956" s="25">
        <f t="shared" si="83"/>
        <v>449.1</v>
      </c>
    </row>
    <row r="957" spans="1:6" ht="12.75" hidden="1" customHeight="1">
      <c r="A957" s="4" t="s">
        <v>1308</v>
      </c>
      <c r="B957" s="8">
        <v>0.69299999999999995</v>
      </c>
      <c r="C957" s="6" t="s">
        <v>825</v>
      </c>
      <c r="D957" s="37">
        <f>D947</f>
        <v>900</v>
      </c>
      <c r="E957" s="25">
        <f t="shared" si="83"/>
        <v>623.70000000000005</v>
      </c>
    </row>
    <row r="958" spans="1:6" ht="12.75" hidden="1" customHeight="1">
      <c r="A958" s="4" t="s">
        <v>827</v>
      </c>
      <c r="B958" s="8">
        <v>50.42</v>
      </c>
      <c r="C958" s="6" t="s">
        <v>828</v>
      </c>
      <c r="D958" s="37">
        <f>Prec.!$C$80</f>
        <v>0.68</v>
      </c>
      <c r="E958" s="25">
        <f t="shared" si="83"/>
        <v>34.29</v>
      </c>
    </row>
    <row r="959" spans="1:6" ht="12.75" hidden="1" customHeight="1">
      <c r="A959" s="4" t="s">
        <v>452</v>
      </c>
      <c r="B959" s="8">
        <v>9.93</v>
      </c>
      <c r="C959" s="6" t="s">
        <v>823</v>
      </c>
      <c r="D959" s="37">
        <f>D949</f>
        <v>26.49</v>
      </c>
      <c r="E959" s="25">
        <f t="shared" si="83"/>
        <v>263.05</v>
      </c>
    </row>
    <row r="960" spans="1:6" ht="12.75" hidden="1" customHeight="1">
      <c r="A960" s="4" t="s">
        <v>365</v>
      </c>
      <c r="B960" s="8">
        <v>0.499</v>
      </c>
      <c r="C960" s="6" t="s">
        <v>825</v>
      </c>
      <c r="D960" s="37">
        <f>D950</f>
        <v>551.95000000000005</v>
      </c>
      <c r="E960" s="25">
        <f t="shared" si="83"/>
        <v>275.42</v>
      </c>
    </row>
    <row r="961" spans="1:6" ht="12.75" hidden="1" customHeight="1">
      <c r="A961" s="4" t="s">
        <v>366</v>
      </c>
      <c r="B961" s="8">
        <v>0.69299999999999995</v>
      </c>
      <c r="C961" s="6" t="s">
        <v>825</v>
      </c>
      <c r="D961" s="37">
        <f>D951</f>
        <v>735.93</v>
      </c>
      <c r="E961" s="25">
        <f t="shared" si="83"/>
        <v>510</v>
      </c>
    </row>
    <row r="962" spans="1:6" ht="12.75" hidden="1" customHeight="1">
      <c r="A962" s="4" t="s">
        <v>208</v>
      </c>
      <c r="B962" s="8">
        <f>SUM(E955:E961)</f>
        <v>6375.81</v>
      </c>
      <c r="C962" s="6" t="s">
        <v>209</v>
      </c>
      <c r="D962" s="37">
        <f>Prec.!C302</f>
        <v>1.4999999999999999E-2</v>
      </c>
      <c r="E962" s="25">
        <f t="shared" si="83"/>
        <v>95.64</v>
      </c>
      <c r="F962" s="26">
        <f>SUM(E955:E962)</f>
        <v>6471.4500000000007</v>
      </c>
    </row>
    <row r="963" spans="1:6" ht="12.75" hidden="1" customHeight="1"/>
    <row r="964" spans="1:6" ht="12.75" hidden="1" customHeight="1">
      <c r="A964" s="1" t="s">
        <v>236</v>
      </c>
      <c r="B964" s="11" t="s">
        <v>151</v>
      </c>
      <c r="C964" s="2" t="s">
        <v>825</v>
      </c>
    </row>
    <row r="965" spans="1:6" ht="12.75" hidden="1" customHeight="1">
      <c r="A965" s="4" t="s">
        <v>822</v>
      </c>
      <c r="B965" s="8">
        <v>10.26</v>
      </c>
      <c r="C965" s="6" t="s">
        <v>823</v>
      </c>
      <c r="D965" s="37">
        <f>Prec.!$C$5</f>
        <v>425</v>
      </c>
      <c r="E965" s="25">
        <f t="shared" ref="E965:E972" si="84">ROUND(B965*D965,2)</f>
        <v>4360.5</v>
      </c>
    </row>
    <row r="966" spans="1:6" ht="12.75" hidden="1" customHeight="1">
      <c r="A966" s="4" t="s">
        <v>824</v>
      </c>
      <c r="B966" s="8">
        <v>0.497</v>
      </c>
      <c r="C966" s="6" t="s">
        <v>825</v>
      </c>
      <c r="D966" s="37">
        <f>Prec.!$C$13</f>
        <v>900</v>
      </c>
      <c r="E966" s="25">
        <f t="shared" si="84"/>
        <v>447.3</v>
      </c>
    </row>
    <row r="967" spans="1:6" ht="12.75" hidden="1" customHeight="1">
      <c r="A967" s="4" t="s">
        <v>1308</v>
      </c>
      <c r="B967" s="8">
        <v>0.69099999999999995</v>
      </c>
      <c r="C967" s="6" t="s">
        <v>825</v>
      </c>
      <c r="D967" s="37">
        <f>D957</f>
        <v>900</v>
      </c>
      <c r="E967" s="25">
        <f t="shared" si="84"/>
        <v>621.9</v>
      </c>
    </row>
    <row r="968" spans="1:6" ht="12.75" hidden="1" customHeight="1">
      <c r="A968" s="4" t="s">
        <v>827</v>
      </c>
      <c r="B968" s="8">
        <v>50.16</v>
      </c>
      <c r="C968" s="6" t="s">
        <v>828</v>
      </c>
      <c r="D968" s="37">
        <f>Prec.!$C$80</f>
        <v>0.68</v>
      </c>
      <c r="E968" s="25">
        <f t="shared" si="84"/>
        <v>34.11</v>
      </c>
    </row>
    <row r="969" spans="1:6" ht="12.75" hidden="1" customHeight="1">
      <c r="A969" s="4" t="s">
        <v>452</v>
      </c>
      <c r="B969" s="8">
        <v>10.26</v>
      </c>
      <c r="C969" s="6" t="s">
        <v>823</v>
      </c>
      <c r="D969" s="37">
        <f>D959</f>
        <v>26.49</v>
      </c>
      <c r="E969" s="25">
        <f t="shared" si="84"/>
        <v>271.79000000000002</v>
      </c>
    </row>
    <row r="970" spans="1:6" ht="12.75" hidden="1" customHeight="1">
      <c r="A970" s="4" t="s">
        <v>365</v>
      </c>
      <c r="B970" s="8">
        <v>0.497</v>
      </c>
      <c r="C970" s="6" t="s">
        <v>825</v>
      </c>
      <c r="D970" s="37">
        <f>D960</f>
        <v>551.95000000000005</v>
      </c>
      <c r="E970" s="25">
        <f t="shared" si="84"/>
        <v>274.32</v>
      </c>
    </row>
    <row r="971" spans="1:6" ht="12.75" hidden="1" customHeight="1">
      <c r="A971" s="4" t="s">
        <v>366</v>
      </c>
      <c r="B971" s="8">
        <v>0.69099999999999995</v>
      </c>
      <c r="C971" s="6" t="s">
        <v>825</v>
      </c>
      <c r="D971" s="37">
        <f>D961</f>
        <v>735.93</v>
      </c>
      <c r="E971" s="25">
        <f t="shared" si="84"/>
        <v>508.53</v>
      </c>
    </row>
    <row r="972" spans="1:6" ht="12.75" hidden="1" customHeight="1">
      <c r="A972" s="4" t="s">
        <v>208</v>
      </c>
      <c r="B972" s="8">
        <f>SUM(E965:E971)</f>
        <v>6518.4499999999989</v>
      </c>
      <c r="C972" s="6" t="s">
        <v>209</v>
      </c>
      <c r="D972" s="37">
        <f>Prec.!C302</f>
        <v>1.4999999999999999E-2</v>
      </c>
      <c r="E972" s="25">
        <f t="shared" si="84"/>
        <v>97.78</v>
      </c>
      <c r="F972" s="26">
        <f>SUM(E965:E972)</f>
        <v>6616.2299999999987</v>
      </c>
    </row>
    <row r="973" spans="1:6" ht="12.75" hidden="1" customHeight="1"/>
    <row r="974" spans="1:6" ht="12.75" hidden="1" customHeight="1">
      <c r="A974" s="1" t="s">
        <v>1163</v>
      </c>
      <c r="B974" s="11" t="s">
        <v>151</v>
      </c>
      <c r="C974" s="2" t="s">
        <v>825</v>
      </c>
    </row>
    <row r="975" spans="1:6" ht="12.75" hidden="1" customHeight="1">
      <c r="A975" s="4" t="s">
        <v>822</v>
      </c>
      <c r="B975" s="8">
        <v>6.68</v>
      </c>
      <c r="C975" s="6" t="s">
        <v>823</v>
      </c>
      <c r="D975" s="37">
        <f>Prec.!$C$5</f>
        <v>425</v>
      </c>
      <c r="E975" s="25">
        <f t="shared" ref="E975:E982" si="85">ROUND(B975*D975,2)</f>
        <v>2839</v>
      </c>
    </row>
    <row r="976" spans="1:6" ht="12.75" hidden="1" customHeight="1">
      <c r="A976" s="4" t="s">
        <v>824</v>
      </c>
      <c r="B976" s="8">
        <v>0.48299999999999998</v>
      </c>
      <c r="C976" s="6" t="s">
        <v>825</v>
      </c>
      <c r="D976" s="37">
        <f>Prec.!$C$13</f>
        <v>900</v>
      </c>
      <c r="E976" s="25">
        <f t="shared" si="85"/>
        <v>434.7</v>
      </c>
    </row>
    <row r="977" spans="1:6" ht="12.75" hidden="1" customHeight="1">
      <c r="A977" s="4" t="s">
        <v>1308</v>
      </c>
      <c r="B977" s="8">
        <v>0.77300000000000002</v>
      </c>
      <c r="C977" s="6" t="s">
        <v>825</v>
      </c>
      <c r="D977" s="37">
        <f>D967</f>
        <v>900</v>
      </c>
      <c r="E977" s="25">
        <f t="shared" si="85"/>
        <v>695.7</v>
      </c>
    </row>
    <row r="978" spans="1:6" ht="12.75" hidden="1" customHeight="1">
      <c r="A978" s="4" t="s">
        <v>827</v>
      </c>
      <c r="B978" s="8">
        <v>56</v>
      </c>
      <c r="C978" s="6" t="s">
        <v>828</v>
      </c>
      <c r="D978" s="37">
        <f>Prec.!$C$80</f>
        <v>0.68</v>
      </c>
      <c r="E978" s="25">
        <f t="shared" si="85"/>
        <v>38.08</v>
      </c>
    </row>
    <row r="979" spans="1:6" ht="12.75" hidden="1" customHeight="1">
      <c r="A979" s="4" t="s">
        <v>452</v>
      </c>
      <c r="B979" s="8">
        <v>6.68</v>
      </c>
      <c r="C979" s="6" t="s">
        <v>823</v>
      </c>
      <c r="D979" s="37">
        <f>D969</f>
        <v>26.49</v>
      </c>
      <c r="E979" s="25">
        <f t="shared" si="85"/>
        <v>176.95</v>
      </c>
    </row>
    <row r="980" spans="1:6" ht="12.75" hidden="1" customHeight="1">
      <c r="A980" s="4" t="s">
        <v>365</v>
      </c>
      <c r="B980" s="8">
        <v>0.48299999999999998</v>
      </c>
      <c r="C980" s="6" t="s">
        <v>825</v>
      </c>
      <c r="D980" s="37">
        <f>D970</f>
        <v>551.95000000000005</v>
      </c>
      <c r="E980" s="25">
        <f t="shared" si="85"/>
        <v>266.58999999999997</v>
      </c>
    </row>
    <row r="981" spans="1:6" ht="12.75" hidden="1" customHeight="1">
      <c r="A981" s="4" t="s">
        <v>366</v>
      </c>
      <c r="B981" s="8">
        <v>0.77300000000000002</v>
      </c>
      <c r="C981" s="6" t="s">
        <v>825</v>
      </c>
      <c r="D981" s="37">
        <f>D971</f>
        <v>735.93</v>
      </c>
      <c r="E981" s="25">
        <f t="shared" si="85"/>
        <v>568.87</v>
      </c>
    </row>
    <row r="982" spans="1:6" ht="12.75" hidden="1" customHeight="1">
      <c r="A982" s="4" t="s">
        <v>208</v>
      </c>
      <c r="B982" s="8">
        <f>SUM(E975:E981)</f>
        <v>5019.8899999999994</v>
      </c>
      <c r="C982" s="6" t="s">
        <v>209</v>
      </c>
      <c r="D982" s="37">
        <f>Prec.!C302</f>
        <v>1.4999999999999999E-2</v>
      </c>
      <c r="E982" s="25">
        <f t="shared" si="85"/>
        <v>75.3</v>
      </c>
      <c r="F982" s="26">
        <f>SUM(E975:E982)</f>
        <v>5095.1899999999996</v>
      </c>
    </row>
    <row r="983" spans="1:6" ht="12.75" hidden="1" customHeight="1"/>
    <row r="984" spans="1:6" ht="12.75" hidden="1" customHeight="1">
      <c r="A984" s="23" t="s">
        <v>957</v>
      </c>
    </row>
    <row r="985" spans="1:6" ht="12.75" hidden="1" customHeight="1">
      <c r="A985" s="2"/>
    </row>
    <row r="986" spans="1:6" ht="12.75" hidden="1" customHeight="1">
      <c r="A986" s="1" t="s">
        <v>1210</v>
      </c>
      <c r="B986" s="11" t="s">
        <v>151</v>
      </c>
      <c r="C986" s="2" t="s">
        <v>825</v>
      </c>
    </row>
    <row r="987" spans="1:6" ht="12.75" hidden="1" customHeight="1">
      <c r="A987" s="4" t="s">
        <v>822</v>
      </c>
      <c r="B987" s="8">
        <v>11.51</v>
      </c>
      <c r="C987" s="6" t="s">
        <v>823</v>
      </c>
      <c r="D987" s="37">
        <f>Prec.!$C$5</f>
        <v>425</v>
      </c>
      <c r="E987" s="25">
        <f t="shared" ref="E987:E992" si="86">ROUND(B987*D987,2)</f>
        <v>4891.75</v>
      </c>
    </row>
    <row r="988" spans="1:6" ht="12.75" hidden="1" customHeight="1">
      <c r="A988" s="4" t="s">
        <v>824</v>
      </c>
      <c r="B988" s="8">
        <v>1</v>
      </c>
      <c r="C988" s="6" t="s">
        <v>825</v>
      </c>
      <c r="D988" s="37">
        <f>Prec.!$C$13</f>
        <v>900</v>
      </c>
      <c r="E988" s="25">
        <f t="shared" si="86"/>
        <v>900</v>
      </c>
    </row>
    <row r="989" spans="1:6" ht="12.75" hidden="1" customHeight="1">
      <c r="A989" s="4" t="s">
        <v>827</v>
      </c>
      <c r="B989" s="8">
        <v>69.040000000000006</v>
      </c>
      <c r="C989" s="6" t="s">
        <v>828</v>
      </c>
      <c r="D989" s="37">
        <f>Prec.!$C$80</f>
        <v>0.68</v>
      </c>
      <c r="E989" s="25">
        <f t="shared" si="86"/>
        <v>46.95</v>
      </c>
    </row>
    <row r="990" spans="1:6" ht="12.75" hidden="1" customHeight="1">
      <c r="A990" s="4" t="s">
        <v>452</v>
      </c>
      <c r="B990" s="8">
        <v>11.51</v>
      </c>
      <c r="C990" s="6" t="s">
        <v>823</v>
      </c>
      <c r="D990" s="37">
        <f>Prec.!D395</f>
        <v>30.02</v>
      </c>
      <c r="E990" s="25">
        <f t="shared" si="86"/>
        <v>345.53</v>
      </c>
    </row>
    <row r="991" spans="1:6" ht="12.75" hidden="1" customHeight="1">
      <c r="A991" s="4" t="s">
        <v>365</v>
      </c>
      <c r="B991" s="8">
        <v>1</v>
      </c>
      <c r="C991" s="6" t="s">
        <v>825</v>
      </c>
      <c r="D991" s="37">
        <f>Prec.!D382</f>
        <v>662.34</v>
      </c>
      <c r="E991" s="25">
        <f t="shared" si="86"/>
        <v>662.34</v>
      </c>
    </row>
    <row r="992" spans="1:6" ht="12.75" hidden="1" customHeight="1">
      <c r="A992" s="4" t="s">
        <v>208</v>
      </c>
      <c r="B992" s="8">
        <f>SUM(E987:E991)</f>
        <v>6846.57</v>
      </c>
      <c r="C992" s="6" t="s">
        <v>209</v>
      </c>
      <c r="D992" s="37">
        <f>D982</f>
        <v>1.4999999999999999E-2</v>
      </c>
      <c r="E992" s="25">
        <f t="shared" si="86"/>
        <v>102.7</v>
      </c>
      <c r="F992" s="26">
        <f>SUM(E987:E992)</f>
        <v>6949.2699999999995</v>
      </c>
    </row>
    <row r="993" spans="1:6" ht="12.75" hidden="1" customHeight="1"/>
    <row r="994" spans="1:6" ht="12.75" customHeight="1">
      <c r="A994" s="39" t="s">
        <v>1288</v>
      </c>
    </row>
    <row r="995" spans="1:6" ht="12.75" customHeight="1">
      <c r="A995" s="2"/>
    </row>
    <row r="996" spans="1:6" ht="12.75" customHeight="1">
      <c r="A996" s="545" t="s">
        <v>658</v>
      </c>
      <c r="B996" s="555" t="s">
        <v>151</v>
      </c>
      <c r="C996" s="556" t="s">
        <v>213</v>
      </c>
      <c r="D996" s="548"/>
      <c r="E996" s="552"/>
      <c r="F996" s="553"/>
    </row>
    <row r="997" spans="1:6" ht="12.75" customHeight="1">
      <c r="A997" s="551" t="s">
        <v>182</v>
      </c>
      <c r="B997" s="546">
        <v>0.182</v>
      </c>
      <c r="C997" s="547" t="s">
        <v>211</v>
      </c>
      <c r="D997" s="548">
        <f>Prec.!C198</f>
        <v>44</v>
      </c>
      <c r="E997" s="552">
        <f>ROUND(B997*D997,2)</f>
        <v>8.01</v>
      </c>
      <c r="F997" s="553"/>
    </row>
    <row r="998" spans="1:6" ht="12.75" customHeight="1">
      <c r="A998" s="551" t="s">
        <v>212</v>
      </c>
      <c r="B998" s="546">
        <v>1</v>
      </c>
      <c r="C998" s="547" t="s">
        <v>213</v>
      </c>
      <c r="D998" s="548">
        <f>Prec.!D673</f>
        <v>10.66</v>
      </c>
      <c r="E998" s="552">
        <f>ROUND(B998*D998,2)</f>
        <v>10.66</v>
      </c>
      <c r="F998" s="553"/>
    </row>
    <row r="999" spans="1:6" ht="12.75" customHeight="1">
      <c r="A999" s="551" t="s">
        <v>208</v>
      </c>
      <c r="B999" s="546">
        <f>SUM(E997)</f>
        <v>8.01</v>
      </c>
      <c r="C999" s="547" t="s">
        <v>209</v>
      </c>
      <c r="D999" s="548">
        <v>0.02</v>
      </c>
      <c r="E999" s="552">
        <f>ROUND(B999*D999,2)</f>
        <v>0.16</v>
      </c>
      <c r="F999" s="553">
        <f>SUM(E997:E999)</f>
        <v>18.830000000000002</v>
      </c>
    </row>
    <row r="1000" spans="1:6" ht="12.75" customHeight="1">
      <c r="A1000" s="12"/>
      <c r="B1000" s="30"/>
      <c r="C1000" s="24"/>
      <c r="D1000" s="35"/>
      <c r="E1000" s="31"/>
      <c r="F1000" s="32"/>
    </row>
    <row r="1001" spans="1:6" ht="12.75" customHeight="1">
      <c r="A1001" s="545" t="s">
        <v>898</v>
      </c>
      <c r="B1001" s="555" t="s">
        <v>151</v>
      </c>
      <c r="C1001" s="556" t="s">
        <v>213</v>
      </c>
      <c r="D1001" s="548"/>
      <c r="E1001" s="552"/>
      <c r="F1001" s="553"/>
    </row>
    <row r="1002" spans="1:6" ht="12.75" customHeight="1">
      <c r="A1002" s="551" t="s">
        <v>182</v>
      </c>
      <c r="B1002" s="546">
        <v>0.182</v>
      </c>
      <c r="C1002" s="547" t="s">
        <v>211</v>
      </c>
      <c r="D1002" s="548">
        <f>D997</f>
        <v>44</v>
      </c>
      <c r="E1002" s="552">
        <f>ROUND(B1002*D1002,2)</f>
        <v>8.01</v>
      </c>
      <c r="F1002" s="553"/>
    </row>
    <row r="1003" spans="1:6" ht="12.75" customHeight="1">
      <c r="A1003" s="551" t="s">
        <v>212</v>
      </c>
      <c r="B1003" s="546">
        <v>1</v>
      </c>
      <c r="C1003" s="547" t="s">
        <v>213</v>
      </c>
      <c r="D1003" s="548">
        <f>D998</f>
        <v>10.66</v>
      </c>
      <c r="E1003" s="552">
        <f>ROUND(B1003*D1003,2)</f>
        <v>10.66</v>
      </c>
      <c r="F1003" s="553"/>
    </row>
    <row r="1004" spans="1:6" ht="12.75" customHeight="1">
      <c r="A1004" s="551" t="s">
        <v>721</v>
      </c>
      <c r="B1004" s="546">
        <v>0.182</v>
      </c>
      <c r="C1004" s="547" t="s">
        <v>211</v>
      </c>
      <c r="D1004" s="548">
        <f>Prec.!$D$658</f>
        <v>2.09</v>
      </c>
      <c r="E1004" s="552">
        <f>ROUND(B1004*D1004,2)</f>
        <v>0.38</v>
      </c>
      <c r="F1004" s="553"/>
    </row>
    <row r="1005" spans="1:6" ht="12.75" customHeight="1">
      <c r="A1005" s="551" t="s">
        <v>208</v>
      </c>
      <c r="B1005" s="546">
        <f>SUM(E1002)</f>
        <v>8.01</v>
      </c>
      <c r="C1005" s="547" t="s">
        <v>209</v>
      </c>
      <c r="D1005" s="548">
        <v>0.02</v>
      </c>
      <c r="E1005" s="552">
        <f>ROUND(B1005*D1005,2)</f>
        <v>0.16</v>
      </c>
      <c r="F1005" s="553">
        <f>SUM(E1002:E1005)</f>
        <v>19.21</v>
      </c>
    </row>
    <row r="1006" spans="1:6" ht="12.75" customHeight="1">
      <c r="A1006" s="12"/>
      <c r="B1006" s="30"/>
      <c r="C1006" s="24"/>
      <c r="D1006" s="35"/>
      <c r="E1006" s="31"/>
      <c r="F1006" s="32"/>
    </row>
    <row r="1007" spans="1:6" ht="12.75" customHeight="1">
      <c r="A1007" s="545" t="s">
        <v>323</v>
      </c>
      <c r="B1007" s="555" t="s">
        <v>151</v>
      </c>
      <c r="C1007" s="556" t="s">
        <v>213</v>
      </c>
      <c r="D1007" s="548"/>
      <c r="E1007" s="552"/>
      <c r="F1007" s="553"/>
    </row>
    <row r="1008" spans="1:6" ht="12.75" customHeight="1">
      <c r="A1008" s="551" t="s">
        <v>182</v>
      </c>
      <c r="B1008" s="546">
        <v>0.182</v>
      </c>
      <c r="C1008" s="547" t="s">
        <v>211</v>
      </c>
      <c r="D1008" s="548">
        <f>D997</f>
        <v>44</v>
      </c>
      <c r="E1008" s="552">
        <f>ROUND(B1008*D1008,2)</f>
        <v>8.01</v>
      </c>
      <c r="F1008" s="553"/>
    </row>
    <row r="1009" spans="1:6" ht="12.75" customHeight="1">
      <c r="A1009" s="551" t="s">
        <v>212</v>
      </c>
      <c r="B1009" s="546">
        <v>1</v>
      </c>
      <c r="C1009" s="547" t="s">
        <v>213</v>
      </c>
      <c r="D1009" s="548">
        <f>D998</f>
        <v>10.66</v>
      </c>
      <c r="E1009" s="552">
        <f>ROUND(B1009*D1009,2)</f>
        <v>10.66</v>
      </c>
      <c r="F1009" s="553"/>
    </row>
    <row r="1010" spans="1:6" ht="12.75" customHeight="1">
      <c r="A1010" s="551" t="s">
        <v>721</v>
      </c>
      <c r="B1010" s="546">
        <v>0.182</v>
      </c>
      <c r="C1010" s="547" t="s">
        <v>211</v>
      </c>
      <c r="D1010" s="548">
        <f>Prec.!$D$659</f>
        <v>3.33</v>
      </c>
      <c r="E1010" s="552">
        <f>ROUND(B1010*D1010,2)</f>
        <v>0.61</v>
      </c>
      <c r="F1010" s="553"/>
    </row>
    <row r="1011" spans="1:6" ht="12.75" customHeight="1">
      <c r="A1011" s="551" t="s">
        <v>208</v>
      </c>
      <c r="B1011" s="546">
        <f>SUM(E1008)</f>
        <v>8.01</v>
      </c>
      <c r="C1011" s="547" t="s">
        <v>209</v>
      </c>
      <c r="D1011" s="548">
        <v>0.02</v>
      </c>
      <c r="E1011" s="552">
        <f>ROUND(B1011*D1011,2)</f>
        <v>0.16</v>
      </c>
      <c r="F1011" s="553">
        <f>SUM(E1008:E1011)</f>
        <v>19.440000000000001</v>
      </c>
    </row>
    <row r="1012" spans="1:6" ht="12.75" customHeight="1">
      <c r="A1012" s="12"/>
      <c r="B1012" s="30"/>
      <c r="C1012" s="24"/>
      <c r="D1012" s="35"/>
      <c r="E1012" s="31"/>
      <c r="F1012" s="32"/>
    </row>
    <row r="1013" spans="1:6" ht="12.75" customHeight="1">
      <c r="A1013" s="545" t="s">
        <v>237</v>
      </c>
      <c r="B1013" s="555" t="s">
        <v>151</v>
      </c>
      <c r="C1013" s="556" t="s">
        <v>213</v>
      </c>
      <c r="D1013" s="548"/>
      <c r="E1013" s="552"/>
      <c r="F1013" s="553"/>
    </row>
    <row r="1014" spans="1:6" ht="12.75" customHeight="1">
      <c r="A1014" s="551" t="s">
        <v>182</v>
      </c>
      <c r="B1014" s="546">
        <v>0.182</v>
      </c>
      <c r="C1014" s="547" t="s">
        <v>211</v>
      </c>
      <c r="D1014" s="548">
        <f>D1008</f>
        <v>44</v>
      </c>
      <c r="E1014" s="552">
        <f>ROUND(B1014*D1014,2)</f>
        <v>8.01</v>
      </c>
      <c r="F1014" s="553"/>
    </row>
    <row r="1015" spans="1:6" ht="12.75" customHeight="1">
      <c r="A1015" s="551" t="s">
        <v>212</v>
      </c>
      <c r="B1015" s="546">
        <v>1</v>
      </c>
      <c r="C1015" s="547" t="s">
        <v>213</v>
      </c>
      <c r="D1015" s="548">
        <f>D1003</f>
        <v>10.66</v>
      </c>
      <c r="E1015" s="552">
        <f>ROUND(B1015*D1015,2)</f>
        <v>10.66</v>
      </c>
      <c r="F1015" s="553"/>
    </row>
    <row r="1016" spans="1:6" ht="12.75" customHeight="1">
      <c r="A1016" s="551" t="s">
        <v>721</v>
      </c>
      <c r="B1016" s="546">
        <v>0.182</v>
      </c>
      <c r="C1016" s="547" t="s">
        <v>211</v>
      </c>
      <c r="D1016" s="548">
        <f>Prec.!D660</f>
        <v>4.57</v>
      </c>
      <c r="E1016" s="552">
        <f>ROUND(B1016*D1016,2)</f>
        <v>0.83</v>
      </c>
      <c r="F1016" s="553"/>
    </row>
    <row r="1017" spans="1:6" ht="12.75" customHeight="1">
      <c r="A1017" s="551" t="s">
        <v>208</v>
      </c>
      <c r="B1017" s="546">
        <f>SUM(E1014)</f>
        <v>8.01</v>
      </c>
      <c r="C1017" s="547" t="s">
        <v>209</v>
      </c>
      <c r="D1017" s="548">
        <v>0.02</v>
      </c>
      <c r="E1017" s="552">
        <f>ROUND(B1017*D1017,2)</f>
        <v>0.16</v>
      </c>
      <c r="F1017" s="553">
        <f>SUM(E1014:E1017)</f>
        <v>19.66</v>
      </c>
    </row>
    <row r="1018" spans="1:6" ht="12.75" customHeight="1">
      <c r="A1018" s="12"/>
      <c r="B1018" s="30"/>
      <c r="C1018" s="24"/>
      <c r="D1018" s="35"/>
      <c r="E1018" s="31"/>
      <c r="F1018" s="32"/>
    </row>
    <row r="1019" spans="1:6" ht="12.75" hidden="1" customHeight="1">
      <c r="A1019" s="1" t="s">
        <v>238</v>
      </c>
      <c r="B1019" s="11" t="s">
        <v>151</v>
      </c>
      <c r="C1019" s="2" t="s">
        <v>213</v>
      </c>
    </row>
    <row r="1020" spans="1:6" ht="12.75" hidden="1" customHeight="1">
      <c r="A1020" s="4" t="s">
        <v>182</v>
      </c>
      <c r="B1020" s="8">
        <v>0.182</v>
      </c>
      <c r="C1020" s="6" t="s">
        <v>211</v>
      </c>
      <c r="D1020" s="37">
        <f>D1014</f>
        <v>44</v>
      </c>
      <c r="E1020" s="25">
        <f>ROUND(B1020*D1020,2)</f>
        <v>8.01</v>
      </c>
    </row>
    <row r="1021" spans="1:6" ht="12.75" hidden="1" customHeight="1">
      <c r="A1021" s="4" t="s">
        <v>212</v>
      </c>
      <c r="B1021" s="8">
        <v>1</v>
      </c>
      <c r="C1021" s="6" t="s">
        <v>213</v>
      </c>
      <c r="D1021" s="37">
        <f>D1003</f>
        <v>10.66</v>
      </c>
      <c r="E1021" s="25">
        <f>ROUND(B1021*D1021,2)</f>
        <v>10.66</v>
      </c>
    </row>
    <row r="1022" spans="1:6" ht="12.75" hidden="1" customHeight="1">
      <c r="A1022" s="4" t="s">
        <v>721</v>
      </c>
      <c r="B1022" s="8">
        <v>0.182</v>
      </c>
      <c r="C1022" s="6" t="s">
        <v>211</v>
      </c>
      <c r="D1022" s="37">
        <f>Prec.!D661</f>
        <v>5.81</v>
      </c>
      <c r="E1022" s="25">
        <f>ROUND(B1022*D1022,2)</f>
        <v>1.06</v>
      </c>
    </row>
    <row r="1023" spans="1:6" ht="12.75" hidden="1" customHeight="1">
      <c r="A1023" s="4" t="s">
        <v>208</v>
      </c>
      <c r="B1023" s="8">
        <f>SUM(E1020:E1022)</f>
        <v>19.73</v>
      </c>
      <c r="C1023" s="6" t="s">
        <v>209</v>
      </c>
      <c r="D1023" s="37">
        <f>Prec.!C302</f>
        <v>1.4999999999999999E-2</v>
      </c>
      <c r="E1023" s="25">
        <f>ROUND(B1023*D1023,2)</f>
        <v>0.3</v>
      </c>
      <c r="F1023" s="26">
        <f>SUM(E1020:E1023)</f>
        <v>20.03</v>
      </c>
    </row>
    <row r="1024" spans="1:6" ht="12.75" hidden="1" customHeight="1"/>
    <row r="1025" spans="1:6" ht="12.75" hidden="1" customHeight="1">
      <c r="A1025" s="1" t="s">
        <v>239</v>
      </c>
      <c r="B1025" s="11" t="s">
        <v>151</v>
      </c>
      <c r="C1025" s="2" t="s">
        <v>213</v>
      </c>
    </row>
    <row r="1026" spans="1:6" ht="12.75" hidden="1" customHeight="1">
      <c r="A1026" s="4" t="s">
        <v>182</v>
      </c>
      <c r="B1026" s="8">
        <v>0.182</v>
      </c>
      <c r="C1026" s="6" t="s">
        <v>211</v>
      </c>
      <c r="D1026" s="37">
        <f>D1020</f>
        <v>44</v>
      </c>
      <c r="E1026" s="25">
        <f>ROUND(B1026*D1026,2)</f>
        <v>8.01</v>
      </c>
    </row>
    <row r="1027" spans="1:6" ht="12.75" hidden="1" customHeight="1">
      <c r="A1027" s="4" t="s">
        <v>212</v>
      </c>
      <c r="B1027" s="8">
        <v>1</v>
      </c>
      <c r="C1027" s="6" t="s">
        <v>213</v>
      </c>
      <c r="D1027" s="37">
        <f>D1021</f>
        <v>10.66</v>
      </c>
      <c r="E1027" s="25">
        <f>ROUND(B1027*D1027,2)</f>
        <v>10.66</v>
      </c>
    </row>
    <row r="1028" spans="1:6" ht="12.75" hidden="1" customHeight="1">
      <c r="A1028" s="4" t="s">
        <v>721</v>
      </c>
      <c r="B1028" s="8">
        <v>0.182</v>
      </c>
      <c r="C1028" s="6" t="s">
        <v>211</v>
      </c>
      <c r="D1028" s="37">
        <f>Prec.!D662</f>
        <v>7.06</v>
      </c>
      <c r="E1028" s="25">
        <f>ROUND(B1028*D1028,2)</f>
        <v>1.28</v>
      </c>
    </row>
    <row r="1029" spans="1:6" ht="12.75" hidden="1" customHeight="1">
      <c r="A1029" s="4" t="s">
        <v>208</v>
      </c>
      <c r="B1029" s="8">
        <f>SUM(E1026:E1028)</f>
        <v>19.950000000000003</v>
      </c>
      <c r="C1029" s="6" t="s">
        <v>209</v>
      </c>
      <c r="D1029" s="37">
        <f>Prec.!C302</f>
        <v>1.4999999999999999E-2</v>
      </c>
      <c r="E1029" s="25">
        <f>ROUND(B1029*D1029,2)</f>
        <v>0.3</v>
      </c>
      <c r="F1029" s="26">
        <f>SUM(E1026:E1029)</f>
        <v>20.250000000000004</v>
      </c>
    </row>
    <row r="1030" spans="1:6" ht="12.75" hidden="1" customHeight="1"/>
    <row r="1031" spans="1:6" ht="12.75" customHeight="1">
      <c r="A1031" s="39" t="s">
        <v>869</v>
      </c>
    </row>
    <row r="1033" spans="1:6" ht="12.75" customHeight="1">
      <c r="A1033" s="545" t="s">
        <v>312</v>
      </c>
      <c r="B1033" s="551"/>
      <c r="C1033" s="547"/>
      <c r="D1033" s="548"/>
      <c r="E1033" s="552"/>
      <c r="F1033" s="553"/>
    </row>
    <row r="1034" spans="1:6" ht="12.75" customHeight="1">
      <c r="A1034" s="545" t="s">
        <v>313</v>
      </c>
      <c r="B1034" s="555" t="s">
        <v>151</v>
      </c>
      <c r="C1034" s="556" t="s">
        <v>213</v>
      </c>
      <c r="D1034" s="548"/>
      <c r="E1034" s="552"/>
      <c r="F1034" s="553"/>
    </row>
    <row r="1035" spans="1:6" ht="12.75" customHeight="1">
      <c r="A1035" s="551" t="s">
        <v>182</v>
      </c>
      <c r="B1035" s="546">
        <v>1.1499999999999999</v>
      </c>
      <c r="C1035" s="547" t="s">
        <v>211</v>
      </c>
      <c r="D1035" s="548">
        <f>D1026</f>
        <v>44</v>
      </c>
      <c r="E1035" s="552">
        <f t="shared" ref="E1035:E1040" si="87">ROUND(B1035*D1035,2)</f>
        <v>50.6</v>
      </c>
      <c r="F1035" s="553"/>
    </row>
    <row r="1036" spans="1:6" ht="12.75" customHeight="1">
      <c r="A1036" s="551" t="s">
        <v>6</v>
      </c>
      <c r="B1036" s="546">
        <v>0.16</v>
      </c>
      <c r="C1036" s="547" t="s">
        <v>1204</v>
      </c>
      <c r="D1036" s="548">
        <f>Prec.!C151</f>
        <v>40</v>
      </c>
      <c r="E1036" s="552">
        <f t="shared" si="87"/>
        <v>6.4</v>
      </c>
      <c r="F1036" s="553"/>
    </row>
    <row r="1037" spans="1:6" ht="12.75" customHeight="1">
      <c r="A1037" s="551" t="s">
        <v>1084</v>
      </c>
      <c r="B1037" s="546">
        <v>0.03</v>
      </c>
      <c r="C1037" s="547" t="s">
        <v>1204</v>
      </c>
      <c r="D1037" s="548">
        <f>Prec.!C159</f>
        <v>37.99</v>
      </c>
      <c r="E1037" s="552">
        <f t="shared" si="87"/>
        <v>1.1399999999999999</v>
      </c>
      <c r="F1037" s="553"/>
    </row>
    <row r="1038" spans="1:6" ht="12.75" customHeight="1">
      <c r="A1038" s="551" t="s">
        <v>1191</v>
      </c>
      <c r="B1038" s="546">
        <v>11.41</v>
      </c>
      <c r="C1038" s="547" t="s">
        <v>211</v>
      </c>
      <c r="D1038" s="548">
        <f>Prec.!D671</f>
        <v>5.34</v>
      </c>
      <c r="E1038" s="552">
        <f t="shared" si="87"/>
        <v>60.93</v>
      </c>
      <c r="F1038" s="553"/>
    </row>
    <row r="1039" spans="1:6" ht="12.75" customHeight="1">
      <c r="A1039" s="551" t="s">
        <v>846</v>
      </c>
      <c r="B1039" s="546">
        <v>11.41</v>
      </c>
      <c r="C1039" s="547" t="s">
        <v>211</v>
      </c>
      <c r="D1039" s="548">
        <f>D1038/2</f>
        <v>2.67</v>
      </c>
      <c r="E1039" s="552">
        <f t="shared" si="87"/>
        <v>30.46</v>
      </c>
      <c r="F1039" s="553"/>
    </row>
    <row r="1040" spans="1:6" ht="12.75" customHeight="1">
      <c r="A1040" s="551" t="s">
        <v>208</v>
      </c>
      <c r="B1040" s="546">
        <f>SUM(E1035:E1037)</f>
        <v>58.14</v>
      </c>
      <c r="C1040" s="547" t="s">
        <v>209</v>
      </c>
      <c r="D1040" s="548">
        <v>0.02</v>
      </c>
      <c r="E1040" s="552">
        <f t="shared" si="87"/>
        <v>1.1599999999999999</v>
      </c>
      <c r="F1040" s="553">
        <f>SUM(E1035:E1040)</f>
        <v>150.69</v>
      </c>
    </row>
    <row r="1041" spans="1:6" ht="12.75" customHeight="1">
      <c r="A1041" s="12"/>
      <c r="B1041" s="30"/>
      <c r="C1041" s="24"/>
      <c r="D1041" s="35"/>
      <c r="E1041" s="31"/>
      <c r="F1041" s="32"/>
    </row>
    <row r="1042" spans="1:6" ht="12.75" customHeight="1">
      <c r="A1042" s="12"/>
      <c r="B1042" s="30"/>
      <c r="C1042" s="24"/>
      <c r="D1042" s="35"/>
      <c r="E1042" s="31"/>
      <c r="F1042" s="32"/>
    </row>
    <row r="1043" spans="1:6" ht="12.75" customHeight="1">
      <c r="A1043" s="12"/>
      <c r="B1043" s="30"/>
      <c r="C1043" s="24"/>
      <c r="D1043" s="35"/>
      <c r="E1043" s="31"/>
      <c r="F1043" s="32"/>
    </row>
    <row r="1044" spans="1:6" ht="12.75" hidden="1" customHeight="1">
      <c r="A1044" s="13" t="s">
        <v>310</v>
      </c>
      <c r="B1044" s="42" t="s">
        <v>151</v>
      </c>
      <c r="C1044" s="29" t="s">
        <v>213</v>
      </c>
      <c r="D1044" s="35"/>
      <c r="E1044" s="31"/>
      <c r="F1044" s="32" t="s">
        <v>1085</v>
      </c>
    </row>
    <row r="1045" spans="1:6" ht="12.75" hidden="1" customHeight="1">
      <c r="A1045" s="12" t="s">
        <v>182</v>
      </c>
      <c r="B1045" s="30">
        <v>1.1499999999999999</v>
      </c>
      <c r="C1045" s="24" t="s">
        <v>211</v>
      </c>
      <c r="D1045" s="35">
        <f>D1035</f>
        <v>44</v>
      </c>
      <c r="E1045" s="31">
        <f t="shared" ref="E1045:E1051" si="88">ROUND(B1045*D1045,2)</f>
        <v>50.6</v>
      </c>
      <c r="F1045" s="32"/>
    </row>
    <row r="1046" spans="1:6" ht="12.75" hidden="1" customHeight="1">
      <c r="A1046" s="12" t="s">
        <v>6</v>
      </c>
      <c r="B1046" s="30">
        <v>0.16</v>
      </c>
      <c r="C1046" s="24" t="s">
        <v>1204</v>
      </c>
      <c r="D1046" s="35">
        <f>D1036</f>
        <v>40</v>
      </c>
      <c r="E1046" s="31">
        <f t="shared" si="88"/>
        <v>6.4</v>
      </c>
      <c r="F1046" s="32"/>
    </row>
    <row r="1047" spans="1:6" ht="12.75" hidden="1" customHeight="1">
      <c r="A1047" s="12" t="s">
        <v>1084</v>
      </c>
      <c r="B1047" s="30">
        <v>0.03</v>
      </c>
      <c r="C1047" s="24" t="s">
        <v>1204</v>
      </c>
      <c r="D1047" s="35">
        <f>D1037</f>
        <v>37.99</v>
      </c>
      <c r="E1047" s="31">
        <f t="shared" si="88"/>
        <v>1.1399999999999999</v>
      </c>
      <c r="F1047" s="32"/>
    </row>
    <row r="1048" spans="1:6" ht="12.75" hidden="1" customHeight="1">
      <c r="A1048" s="12" t="s">
        <v>1203</v>
      </c>
      <c r="B1048" s="30">
        <v>11.41</v>
      </c>
      <c r="C1048" s="24" t="s">
        <v>211</v>
      </c>
      <c r="D1048" s="35">
        <f>D1038</f>
        <v>5.34</v>
      </c>
      <c r="E1048" s="31">
        <f t="shared" si="88"/>
        <v>60.93</v>
      </c>
      <c r="F1048" s="32"/>
    </row>
    <row r="1049" spans="1:6" ht="12.75" hidden="1" customHeight="1">
      <c r="A1049" s="12" t="s">
        <v>846</v>
      </c>
      <c r="B1049" s="30">
        <v>11.41</v>
      </c>
      <c r="C1049" s="24" t="s">
        <v>211</v>
      </c>
      <c r="D1049" s="35">
        <f>D1039</f>
        <v>2.67</v>
      </c>
      <c r="E1049" s="31">
        <f>ROUND(B1049*D1049,2)</f>
        <v>30.46</v>
      </c>
      <c r="F1049" s="32"/>
    </row>
    <row r="1050" spans="1:6" ht="12.75" hidden="1" customHeight="1">
      <c r="A1050" s="12" t="s">
        <v>721</v>
      </c>
      <c r="B1050" s="30">
        <v>1.1499999999999999</v>
      </c>
      <c r="C1050" s="24" t="s">
        <v>211</v>
      </c>
      <c r="D1050" s="35">
        <f>Prec.!D661</f>
        <v>5.81</v>
      </c>
      <c r="E1050" s="31">
        <f t="shared" si="88"/>
        <v>6.68</v>
      </c>
      <c r="F1050" s="32"/>
    </row>
    <row r="1051" spans="1:6" ht="12.75" hidden="1" customHeight="1">
      <c r="A1051" s="12" t="s">
        <v>208</v>
      </c>
      <c r="B1051" s="30">
        <f>SUM(E1045:E1050)</f>
        <v>156.21</v>
      </c>
      <c r="C1051" s="24" t="s">
        <v>209</v>
      </c>
      <c r="D1051" s="35">
        <v>0.02</v>
      </c>
      <c r="E1051" s="31">
        <f t="shared" si="88"/>
        <v>3.12</v>
      </c>
      <c r="F1051" s="32">
        <f>SUM(E1045:E1051)</f>
        <v>159.33000000000001</v>
      </c>
    </row>
    <row r="1052" spans="1:6" ht="12.75" hidden="1" customHeight="1"/>
    <row r="1053" spans="1:6" ht="12.75" hidden="1" customHeight="1">
      <c r="A1053" s="1" t="s">
        <v>311</v>
      </c>
      <c r="B1053" s="11" t="s">
        <v>151</v>
      </c>
      <c r="C1053" s="2" t="s">
        <v>213</v>
      </c>
    </row>
    <row r="1054" spans="1:6" ht="12.75" hidden="1" customHeight="1">
      <c r="A1054" s="4" t="s">
        <v>182</v>
      </c>
      <c r="B1054" s="8">
        <v>1.1499999999999999</v>
      </c>
      <c r="C1054" s="6" t="s">
        <v>211</v>
      </c>
      <c r="D1054" s="37">
        <f>D1045</f>
        <v>44</v>
      </c>
      <c r="E1054" s="25">
        <f t="shared" ref="E1054:E1060" si="89">ROUND(B1054*D1054,2)</f>
        <v>50.6</v>
      </c>
    </row>
    <row r="1055" spans="1:6" ht="12.75" hidden="1" customHeight="1">
      <c r="A1055" s="4" t="s">
        <v>6</v>
      </c>
      <c r="B1055" s="8">
        <v>0.16</v>
      </c>
      <c r="C1055" s="6" t="s">
        <v>1204</v>
      </c>
      <c r="D1055" s="37">
        <f>D1046</f>
        <v>40</v>
      </c>
      <c r="E1055" s="25">
        <f t="shared" si="89"/>
        <v>6.4</v>
      </c>
    </row>
    <row r="1056" spans="1:6" ht="12.75" hidden="1" customHeight="1">
      <c r="A1056" s="4" t="s">
        <v>1084</v>
      </c>
      <c r="B1056" s="8">
        <v>0.03</v>
      </c>
      <c r="C1056" s="6" t="s">
        <v>1204</v>
      </c>
      <c r="D1056" s="37">
        <f>D1047</f>
        <v>37.99</v>
      </c>
      <c r="E1056" s="25">
        <f t="shared" si="89"/>
        <v>1.1399999999999999</v>
      </c>
    </row>
    <row r="1057" spans="1:7" ht="12.75" hidden="1" customHeight="1">
      <c r="A1057" s="4" t="s">
        <v>1203</v>
      </c>
      <c r="B1057" s="8">
        <v>11.41</v>
      </c>
      <c r="C1057" s="6" t="s">
        <v>211</v>
      </c>
      <c r="D1057" s="37">
        <f>D1038</f>
        <v>5.34</v>
      </c>
      <c r="E1057" s="25">
        <f t="shared" si="89"/>
        <v>60.93</v>
      </c>
    </row>
    <row r="1058" spans="1:7" ht="12.75" hidden="1" customHeight="1">
      <c r="A1058" s="4" t="s">
        <v>846</v>
      </c>
      <c r="B1058" s="8">
        <v>11.41</v>
      </c>
      <c r="C1058" s="6" t="s">
        <v>211</v>
      </c>
      <c r="D1058" s="37">
        <f>D1039</f>
        <v>2.67</v>
      </c>
      <c r="E1058" s="25">
        <f>ROUND(B1058*D1058,2)</f>
        <v>30.46</v>
      </c>
    </row>
    <row r="1059" spans="1:7" ht="12.75" hidden="1" customHeight="1">
      <c r="A1059" s="4" t="s">
        <v>721</v>
      </c>
      <c r="B1059" s="8">
        <v>1.1499999999999999</v>
      </c>
      <c r="C1059" s="6" t="s">
        <v>211</v>
      </c>
      <c r="D1059" s="37">
        <f>Prec.!D662</f>
        <v>7.06</v>
      </c>
      <c r="E1059" s="25">
        <f t="shared" si="89"/>
        <v>8.1199999999999992</v>
      </c>
    </row>
    <row r="1060" spans="1:7" ht="12.75" hidden="1" customHeight="1">
      <c r="A1060" s="4" t="s">
        <v>208</v>
      </c>
      <c r="B1060" s="8">
        <f>SUM(E1054:E1059)</f>
        <v>157.65</v>
      </c>
      <c r="C1060" s="6" t="s">
        <v>209</v>
      </c>
      <c r="D1060" s="37">
        <f>D1051</f>
        <v>0.02</v>
      </c>
      <c r="E1060" s="25">
        <f t="shared" si="89"/>
        <v>3.15</v>
      </c>
      <c r="F1060" s="26">
        <f>SUM(E1054:E1060)</f>
        <v>160.80000000000001</v>
      </c>
    </row>
    <row r="1061" spans="1:7" ht="12.75" hidden="1" customHeight="1"/>
    <row r="1062" spans="1:7" ht="12.75" customHeight="1">
      <c r="A1062" s="39" t="s">
        <v>227</v>
      </c>
    </row>
    <row r="1063" spans="1:7" ht="12.75" customHeight="1">
      <c r="A1063" s="29"/>
    </row>
    <row r="1064" spans="1:7" ht="12.75" customHeight="1">
      <c r="A1064" s="23" t="s">
        <v>1165</v>
      </c>
    </row>
    <row r="1066" spans="1:7" ht="12.75" customHeight="1">
      <c r="A1066" s="1530" t="s">
        <v>510</v>
      </c>
      <c r="B1066" s="1537"/>
      <c r="C1066" s="1538"/>
      <c r="D1066" s="1533"/>
      <c r="E1066" s="1534" t="s">
        <v>151</v>
      </c>
      <c r="F1066" s="1535" t="s">
        <v>213</v>
      </c>
    </row>
    <row r="1067" spans="1:7" ht="12.75" customHeight="1">
      <c r="A1067" s="1536" t="s">
        <v>214</v>
      </c>
      <c r="B1067" s="1537">
        <v>13</v>
      </c>
      <c r="C1067" s="1538" t="s">
        <v>1017</v>
      </c>
      <c r="D1067" s="1533">
        <f>Prec.!$C$85</f>
        <v>48</v>
      </c>
      <c r="E1067" s="1539">
        <f t="shared" ref="E1067:E1075" si="90">ROUND(B1067*D1067,2)</f>
        <v>624</v>
      </c>
      <c r="F1067" s="1540"/>
    </row>
    <row r="1068" spans="1:7" ht="12.75" customHeight="1">
      <c r="A1068" s="1536" t="s">
        <v>117</v>
      </c>
      <c r="B1068" s="1537">
        <v>3.2000000000000001E-2</v>
      </c>
      <c r="C1068" s="1538" t="s">
        <v>216</v>
      </c>
      <c r="D1068" s="1533">
        <f>Prec.!$C$54</f>
        <v>3200</v>
      </c>
      <c r="E1068" s="1539">
        <f t="shared" si="90"/>
        <v>102.4</v>
      </c>
      <c r="F1068" s="1540"/>
    </row>
    <row r="1069" spans="1:7" ht="12.75" customHeight="1">
      <c r="A1069" s="1536" t="s">
        <v>217</v>
      </c>
      <c r="B1069" s="1537">
        <f>B1068*2</f>
        <v>6.4000000000000001E-2</v>
      </c>
      <c r="C1069" s="1538" t="s">
        <v>218</v>
      </c>
      <c r="D1069" s="1533">
        <f>Prec.!$C$75</f>
        <v>60</v>
      </c>
      <c r="E1069" s="1539">
        <f t="shared" si="90"/>
        <v>3.84</v>
      </c>
      <c r="F1069" s="1540"/>
    </row>
    <row r="1070" spans="1:7" ht="12.75" customHeight="1">
      <c r="A1070" s="1536" t="s">
        <v>427</v>
      </c>
      <c r="B1070" s="1537">
        <v>3.9E-2</v>
      </c>
      <c r="C1070" s="1538" t="s">
        <v>825</v>
      </c>
      <c r="D1070" s="1533">
        <f>horm.ymez.!C8</f>
        <v>6653.49</v>
      </c>
      <c r="E1070" s="1539">
        <f t="shared" si="90"/>
        <v>259.49</v>
      </c>
      <c r="F1070" s="1540"/>
    </row>
    <row r="1071" spans="1:7" ht="12.75" customHeight="1">
      <c r="A1071" s="1536" t="s">
        <v>421</v>
      </c>
      <c r="B1071" s="1537">
        <v>7.8E-2</v>
      </c>
      <c r="C1071" s="1538" t="s">
        <v>825</v>
      </c>
      <c r="D1071" s="1533">
        <f>horm.ymez.!C14</f>
        <v>5147.68</v>
      </c>
      <c r="E1071" s="1539">
        <f t="shared" si="90"/>
        <v>401.52</v>
      </c>
      <c r="F1071" s="1540"/>
    </row>
    <row r="1072" spans="1:7" ht="12.75" customHeight="1">
      <c r="A1072" s="1536" t="s">
        <v>428</v>
      </c>
      <c r="B1072" s="1537">
        <v>13</v>
      </c>
      <c r="C1072" s="1538" t="s">
        <v>1017</v>
      </c>
      <c r="D1072" s="1623"/>
      <c r="E1072" s="1539">
        <f t="shared" si="90"/>
        <v>0</v>
      </c>
      <c r="F1072" s="1540"/>
      <c r="G1072" s="1642" t="s">
        <v>5396</v>
      </c>
    </row>
    <row r="1073" spans="1:6" ht="12.75" customHeight="1">
      <c r="A1073" s="1536" t="s">
        <v>432</v>
      </c>
      <c r="B1073" s="1537">
        <v>13</v>
      </c>
      <c r="C1073" s="1538" t="s">
        <v>1017</v>
      </c>
      <c r="D1073" s="1533">
        <f>Prec.!C541</f>
        <v>0.97749999999999992</v>
      </c>
      <c r="E1073" s="1539">
        <f t="shared" si="90"/>
        <v>12.71</v>
      </c>
      <c r="F1073" s="1540"/>
    </row>
    <row r="1074" spans="1:6" ht="12.75" customHeight="1">
      <c r="A1074" s="1536" t="s">
        <v>433</v>
      </c>
      <c r="B1074" s="1537">
        <v>13</v>
      </c>
      <c r="C1074" s="1538" t="s">
        <v>1017</v>
      </c>
      <c r="D1074" s="1533">
        <f>Prec.!$D$544</f>
        <v>4.2699999999999996</v>
      </c>
      <c r="E1074" s="1539">
        <f t="shared" si="90"/>
        <v>55.51</v>
      </c>
      <c r="F1074" s="1540"/>
    </row>
    <row r="1075" spans="1:6" ht="12.75" customHeight="1">
      <c r="A1075" s="1536" t="s">
        <v>208</v>
      </c>
      <c r="B1075" s="1541">
        <f>SUM(E1067:E1074)</f>
        <v>1459.47</v>
      </c>
      <c r="C1075" s="1538" t="s">
        <v>209</v>
      </c>
      <c r="D1075" s="1533">
        <f>Prec.!C302</f>
        <v>1.4999999999999999E-2</v>
      </c>
      <c r="E1075" s="1539">
        <f t="shared" si="90"/>
        <v>21.89</v>
      </c>
      <c r="F1075" s="1540">
        <f>SUM(E1067:E1075)</f>
        <v>1481.3600000000001</v>
      </c>
    </row>
    <row r="1076" spans="1:6" ht="12.75" customHeight="1">
      <c r="B1076" s="7"/>
    </row>
    <row r="1077" spans="1:6" ht="12.75" customHeight="1">
      <c r="A1077" s="1" t="s">
        <v>506</v>
      </c>
      <c r="E1077" s="27" t="s">
        <v>151</v>
      </c>
      <c r="F1077" s="28" t="s">
        <v>213</v>
      </c>
    </row>
    <row r="1078" spans="1:6" ht="12.75" customHeight="1">
      <c r="A1078" s="4" t="s">
        <v>214</v>
      </c>
      <c r="B1078" s="8">
        <v>13</v>
      </c>
      <c r="C1078" s="6" t="s">
        <v>1017</v>
      </c>
      <c r="D1078" s="37">
        <f>Prec.!$C$85</f>
        <v>48</v>
      </c>
      <c r="E1078" s="25">
        <f t="shared" ref="E1078:E1086" si="91">ROUND(B1078*D1078,2)</f>
        <v>624</v>
      </c>
    </row>
    <row r="1079" spans="1:6" ht="12.75" customHeight="1">
      <c r="A1079" s="4" t="s">
        <v>117</v>
      </c>
      <c r="B1079" s="8">
        <v>3.6999999999999998E-2</v>
      </c>
      <c r="C1079" s="6" t="s">
        <v>216</v>
      </c>
      <c r="D1079" s="37">
        <f>Prec.!$C$54</f>
        <v>3200</v>
      </c>
      <c r="E1079" s="25">
        <f t="shared" si="91"/>
        <v>118.4</v>
      </c>
    </row>
    <row r="1080" spans="1:6" ht="12.75" customHeight="1">
      <c r="A1080" s="4" t="s">
        <v>217</v>
      </c>
      <c r="B1080" s="8">
        <f>B1079*2</f>
        <v>7.3999999999999996E-2</v>
      </c>
      <c r="C1080" s="6" t="s">
        <v>218</v>
      </c>
      <c r="D1080" s="37">
        <f>Prec.!$C$75</f>
        <v>60</v>
      </c>
      <c r="E1080" s="25">
        <f t="shared" si="91"/>
        <v>4.4400000000000004</v>
      </c>
    </row>
    <row r="1081" spans="1:6" ht="12.75" customHeight="1">
      <c r="A1081" s="4" t="s">
        <v>427</v>
      </c>
      <c r="B1081" s="8">
        <v>3.9E-2</v>
      </c>
      <c r="C1081" s="6" t="s">
        <v>825</v>
      </c>
      <c r="D1081" s="37">
        <f>horm.ymez.!C8</f>
        <v>6653.49</v>
      </c>
      <c r="E1081" s="25">
        <f t="shared" si="91"/>
        <v>259.49</v>
      </c>
    </row>
    <row r="1082" spans="1:6" ht="12.75" customHeight="1">
      <c r="A1082" s="4" t="s">
        <v>421</v>
      </c>
      <c r="B1082" s="8">
        <v>7.8E-2</v>
      </c>
      <c r="C1082" s="6" t="s">
        <v>825</v>
      </c>
      <c r="D1082" s="37">
        <f>D1071</f>
        <v>5147.68</v>
      </c>
      <c r="E1082" s="25">
        <f t="shared" si="91"/>
        <v>401.52</v>
      </c>
    </row>
    <row r="1083" spans="1:6" ht="12.75" customHeight="1">
      <c r="A1083" s="4" t="s">
        <v>428</v>
      </c>
      <c r="B1083" s="8">
        <v>13</v>
      </c>
      <c r="C1083" s="6" t="s">
        <v>1017</v>
      </c>
      <c r="D1083" s="37">
        <f>Prec.!$D$330</f>
        <v>0</v>
      </c>
      <c r="E1083" s="25">
        <f t="shared" si="91"/>
        <v>0</v>
      </c>
    </row>
    <row r="1084" spans="1:6" ht="12.75" customHeight="1">
      <c r="A1084" s="4" t="s">
        <v>432</v>
      </c>
      <c r="B1084" s="8">
        <v>13</v>
      </c>
      <c r="C1084" s="6" t="s">
        <v>1017</v>
      </c>
      <c r="D1084" s="37">
        <f>Prec.!$D$540</f>
        <v>1.1499999999999999</v>
      </c>
      <c r="E1084" s="25">
        <f t="shared" si="91"/>
        <v>14.95</v>
      </c>
    </row>
    <row r="1085" spans="1:6" ht="12.75" customHeight="1">
      <c r="A1085" s="4" t="s">
        <v>433</v>
      </c>
      <c r="B1085" s="8">
        <v>13</v>
      </c>
      <c r="C1085" s="6" t="s">
        <v>1017</v>
      </c>
      <c r="D1085" s="37">
        <f>Prec.!D544</f>
        <v>4.2699999999999996</v>
      </c>
      <c r="E1085" s="25">
        <f t="shared" si="91"/>
        <v>55.51</v>
      </c>
    </row>
    <row r="1086" spans="1:6" ht="12.75" customHeight="1">
      <c r="A1086" s="4" t="s">
        <v>208</v>
      </c>
      <c r="B1086" s="7">
        <f>SUM(E1078:E1085)</f>
        <v>1478.31</v>
      </c>
      <c r="C1086" s="6" t="s">
        <v>209</v>
      </c>
      <c r="D1086" s="37">
        <f>Prec.!C302</f>
        <v>1.4999999999999999E-2</v>
      </c>
      <c r="E1086" s="25">
        <f t="shared" si="91"/>
        <v>22.17</v>
      </c>
      <c r="F1086" s="26">
        <f>SUM(E1078:E1086)</f>
        <v>1500.48</v>
      </c>
    </row>
    <row r="1087" spans="1:6" ht="12.75" customHeight="1">
      <c r="B1087" s="7"/>
    </row>
    <row r="1088" spans="1:6" ht="12.75" customHeight="1">
      <c r="B1088" s="7"/>
    </row>
    <row r="1089" spans="1:6" ht="12.75" customHeight="1">
      <c r="B1089" s="7"/>
    </row>
    <row r="1090" spans="1:6" ht="12.75" customHeight="1">
      <c r="B1090" s="7"/>
    </row>
    <row r="1091" spans="1:6" ht="12.75" customHeight="1">
      <c r="B1091" s="7"/>
    </row>
    <row r="1092" spans="1:6" ht="12.75" customHeight="1">
      <c r="B1092" s="7"/>
    </row>
    <row r="1093" spans="1:6" ht="12.75" customHeight="1">
      <c r="B1093" s="7"/>
    </row>
    <row r="1094" spans="1:6" ht="12.75" customHeight="1">
      <c r="A1094" s="1530" t="s">
        <v>1565</v>
      </c>
      <c r="B1094" s="1537"/>
      <c r="C1094" s="1538"/>
      <c r="D1094" s="1533"/>
      <c r="E1094" s="1534" t="s">
        <v>151</v>
      </c>
      <c r="F1094" s="1535" t="s">
        <v>213</v>
      </c>
    </row>
    <row r="1095" spans="1:6" ht="12.75" customHeight="1">
      <c r="A1095" s="1536" t="s">
        <v>214</v>
      </c>
      <c r="B1095" s="1537">
        <v>13</v>
      </c>
      <c r="C1095" s="1538" t="s">
        <v>1017</v>
      </c>
      <c r="D1095" s="1533">
        <f>Prec.!$C$85</f>
        <v>48</v>
      </c>
      <c r="E1095" s="1539">
        <f t="shared" ref="E1095:E1103" si="92">ROUND(B1095*D1095,2)</f>
        <v>624</v>
      </c>
      <c r="F1095" s="1540"/>
    </row>
    <row r="1096" spans="1:6" ht="12.75" customHeight="1">
      <c r="A1096" s="1536" t="s">
        <v>710</v>
      </c>
      <c r="B1096" s="1537">
        <v>3.2000000000000001E-2</v>
      </c>
      <c r="C1096" s="1538" t="s">
        <v>216</v>
      </c>
      <c r="D1096" s="1533">
        <f>Prec.!$C$54</f>
        <v>3200</v>
      </c>
      <c r="E1096" s="1539">
        <f t="shared" si="92"/>
        <v>102.4</v>
      </c>
      <c r="F1096" s="1540"/>
    </row>
    <row r="1097" spans="1:6" ht="12.75" customHeight="1">
      <c r="A1097" s="1536" t="s">
        <v>217</v>
      </c>
      <c r="B1097" s="1537">
        <f>B1096*2</f>
        <v>6.4000000000000001E-2</v>
      </c>
      <c r="C1097" s="1538" t="s">
        <v>218</v>
      </c>
      <c r="D1097" s="1533">
        <f>Prec.!$C$75</f>
        <v>60</v>
      </c>
      <c r="E1097" s="1539">
        <f t="shared" si="92"/>
        <v>3.84</v>
      </c>
      <c r="F1097" s="1540"/>
    </row>
    <row r="1098" spans="1:6" ht="12.75" customHeight="1">
      <c r="A1098" s="1536" t="s">
        <v>427</v>
      </c>
      <c r="B1098" s="1537">
        <v>3.9E-2</v>
      </c>
      <c r="C1098" s="1538" t="s">
        <v>825</v>
      </c>
      <c r="D1098" s="1533">
        <f>$F$46</f>
        <v>6653.49</v>
      </c>
      <c r="E1098" s="1539">
        <f t="shared" si="92"/>
        <v>259.49</v>
      </c>
      <c r="F1098" s="1540"/>
    </row>
    <row r="1099" spans="1:6" ht="12.75" customHeight="1">
      <c r="A1099" s="1536" t="s">
        <v>421</v>
      </c>
      <c r="B1099" s="1537">
        <v>7.8E-2</v>
      </c>
      <c r="C1099" s="1538" t="s">
        <v>825</v>
      </c>
      <c r="D1099" s="1533">
        <f>horm.ymez.!C14</f>
        <v>5147.68</v>
      </c>
      <c r="E1099" s="1539">
        <f t="shared" si="92"/>
        <v>401.52</v>
      </c>
      <c r="F1099" s="1540"/>
    </row>
    <row r="1100" spans="1:6" ht="12.75" customHeight="1">
      <c r="A1100" s="1536" t="s">
        <v>428</v>
      </c>
      <c r="B1100" s="1537">
        <v>13</v>
      </c>
      <c r="C1100" s="1538" t="s">
        <v>1017</v>
      </c>
      <c r="D1100" s="1533">
        <f>Prec.!$D$330</f>
        <v>0</v>
      </c>
      <c r="E1100" s="1539">
        <f t="shared" si="92"/>
        <v>0</v>
      </c>
      <c r="F1100" s="1540"/>
    </row>
    <row r="1101" spans="1:6" ht="12.75" customHeight="1">
      <c r="A1101" s="1536" t="s">
        <v>432</v>
      </c>
      <c r="B1101" s="1537">
        <v>13</v>
      </c>
      <c r="C1101" s="1538" t="s">
        <v>1017</v>
      </c>
      <c r="D1101" s="1533">
        <f>Prec.!D541</f>
        <v>0.85</v>
      </c>
      <c r="E1101" s="1539">
        <f t="shared" si="92"/>
        <v>11.05</v>
      </c>
      <c r="F1101" s="1540"/>
    </row>
    <row r="1102" spans="1:6" ht="12.75" customHeight="1">
      <c r="A1102" s="1536" t="s">
        <v>433</v>
      </c>
      <c r="B1102" s="1537">
        <v>13</v>
      </c>
      <c r="C1102" s="1538" t="s">
        <v>1017</v>
      </c>
      <c r="D1102" s="1533">
        <f>Prec.!D544</f>
        <v>4.2699999999999996</v>
      </c>
      <c r="E1102" s="1539">
        <f t="shared" si="92"/>
        <v>55.51</v>
      </c>
      <c r="F1102" s="1540"/>
    </row>
    <row r="1103" spans="1:6" ht="12.75" customHeight="1">
      <c r="A1103" s="1536" t="s">
        <v>208</v>
      </c>
      <c r="B1103" s="1541">
        <f>SUM(E1095:E1099)</f>
        <v>1391.25</v>
      </c>
      <c r="C1103" s="1538" t="s">
        <v>209</v>
      </c>
      <c r="D1103" s="1533">
        <v>0.02</v>
      </c>
      <c r="E1103" s="1539">
        <f t="shared" si="92"/>
        <v>27.83</v>
      </c>
      <c r="F1103" s="1540">
        <f>SUM(E1095:E1103)</f>
        <v>1485.6399999999999</v>
      </c>
    </row>
    <row r="1104" spans="1:6" ht="12.75" customHeight="1">
      <c r="A1104" s="12"/>
      <c r="B1104" s="14"/>
      <c r="C1104" s="24"/>
      <c r="D1104" s="35"/>
      <c r="E1104" s="31"/>
      <c r="F1104" s="32"/>
    </row>
    <row r="1105" spans="1:13" s="166" customFormat="1" ht="37.5" customHeight="1">
      <c r="A1105" s="1621" t="s">
        <v>5395</v>
      </c>
      <c r="B1105" s="1537"/>
      <c r="C1105" s="1538"/>
      <c r="D1105" s="1533"/>
      <c r="E1105" s="1534" t="s">
        <v>151</v>
      </c>
      <c r="F1105" s="1535" t="s">
        <v>213</v>
      </c>
      <c r="G1105" s="15"/>
      <c r="H1105" s="21"/>
      <c r="I1105" s="15"/>
      <c r="J1105" s="15"/>
      <c r="K1105" s="15"/>
      <c r="L1105" s="21"/>
      <c r="M1105" s="15"/>
    </row>
    <row r="1106" spans="1:13" s="166" customFormat="1" ht="12.75" customHeight="1">
      <c r="A1106" s="1536" t="s">
        <v>214</v>
      </c>
      <c r="B1106" s="1537">
        <v>13</v>
      </c>
      <c r="C1106" s="1538" t="s">
        <v>1017</v>
      </c>
      <c r="D1106" s="1533">
        <f>Prec.!$C$85</f>
        <v>48</v>
      </c>
      <c r="E1106" s="1539">
        <f t="shared" ref="E1106:E1114" si="93">ROUND(B1106*D1106,2)</f>
        <v>624</v>
      </c>
      <c r="F1106" s="1540"/>
      <c r="G1106" s="15"/>
      <c r="H1106" s="21"/>
      <c r="I1106" s="15"/>
      <c r="J1106" s="15"/>
      <c r="K1106" s="15"/>
      <c r="L1106" s="21"/>
      <c r="M1106" s="15"/>
    </row>
    <row r="1107" spans="1:13" s="166" customFormat="1" ht="12.75" customHeight="1">
      <c r="A1107" s="1536" t="s">
        <v>710</v>
      </c>
      <c r="B1107" s="1537">
        <f>'ana A1'!I110</f>
        <v>0.08</v>
      </c>
      <c r="C1107" s="1538" t="s">
        <v>216</v>
      </c>
      <c r="D1107" s="1533">
        <f>Prec.!$C$54</f>
        <v>3200</v>
      </c>
      <c r="E1107" s="1539">
        <f t="shared" si="93"/>
        <v>256</v>
      </c>
      <c r="F1107" s="1540"/>
      <c r="G1107" s="15">
        <f>0.0205+0.032</f>
        <v>5.2500000000000005E-2</v>
      </c>
      <c r="H1107" s="21"/>
      <c r="I1107" s="15"/>
      <c r="J1107" s="15"/>
      <c r="K1107" s="15"/>
      <c r="L1107" s="21"/>
      <c r="M1107" s="15"/>
    </row>
    <row r="1108" spans="1:13" s="166" customFormat="1" ht="12.75" customHeight="1">
      <c r="A1108" s="1536" t="s">
        <v>217</v>
      </c>
      <c r="B1108" s="1537">
        <f>B1107*2</f>
        <v>0.16</v>
      </c>
      <c r="C1108" s="1538" t="s">
        <v>218</v>
      </c>
      <c r="D1108" s="1533">
        <f>Prec.!$C$75</f>
        <v>60</v>
      </c>
      <c r="E1108" s="1539">
        <f t="shared" si="93"/>
        <v>9.6</v>
      </c>
      <c r="F1108" s="1540"/>
      <c r="G1108" s="15"/>
      <c r="H1108" s="21"/>
      <c r="I1108" s="15"/>
      <c r="J1108" s="15"/>
      <c r="K1108" s="15"/>
      <c r="L1108" s="21"/>
      <c r="M1108" s="15"/>
    </row>
    <row r="1109" spans="1:13" s="166" customFormat="1" ht="12.75" customHeight="1">
      <c r="A1109" s="1536" t="s">
        <v>427</v>
      </c>
      <c r="B1109" s="1537">
        <v>3.9E-2</v>
      </c>
      <c r="C1109" s="1538" t="s">
        <v>825</v>
      </c>
      <c r="D1109" s="1533">
        <f>$F$46</f>
        <v>6653.49</v>
      </c>
      <c r="E1109" s="1539">
        <f t="shared" si="93"/>
        <v>259.49</v>
      </c>
      <c r="F1109" s="1540"/>
      <c r="G1109" s="15"/>
      <c r="H1109" s="21"/>
      <c r="I1109" s="15"/>
      <c r="J1109" s="15"/>
      <c r="K1109" s="15"/>
      <c r="L1109" s="21"/>
      <c r="M1109" s="15"/>
    </row>
    <row r="1110" spans="1:13" s="166" customFormat="1" ht="12.75" customHeight="1">
      <c r="A1110" s="1536" t="s">
        <v>421</v>
      </c>
      <c r="B1110" s="1537">
        <v>7.8E-2</v>
      </c>
      <c r="C1110" s="1538" t="s">
        <v>825</v>
      </c>
      <c r="D1110" s="1533">
        <f>D1099</f>
        <v>5147.68</v>
      </c>
      <c r="E1110" s="1539">
        <f t="shared" si="93"/>
        <v>401.52</v>
      </c>
      <c r="F1110" s="1540"/>
      <c r="G1110" s="15"/>
      <c r="H1110" s="21"/>
      <c r="I1110" s="15"/>
      <c r="J1110" s="15"/>
      <c r="K1110" s="15"/>
      <c r="L1110" s="21"/>
      <c r="M1110" s="15"/>
    </row>
    <row r="1111" spans="1:13" s="166" customFormat="1" ht="12.75" customHeight="1">
      <c r="A1111" s="1536" t="s">
        <v>428</v>
      </c>
      <c r="B1111" s="1537">
        <v>13</v>
      </c>
      <c r="C1111" s="1538" t="s">
        <v>1017</v>
      </c>
      <c r="D1111" s="1533">
        <f>Prec.!$D$330</f>
        <v>0</v>
      </c>
      <c r="E1111" s="1539">
        <f t="shared" si="93"/>
        <v>0</v>
      </c>
      <c r="F1111" s="1540"/>
      <c r="G1111" s="15"/>
      <c r="H1111" s="21"/>
      <c r="I1111" s="15"/>
      <c r="J1111" s="15"/>
      <c r="K1111" s="15"/>
      <c r="L1111" s="21"/>
      <c r="M1111" s="15"/>
    </row>
    <row r="1112" spans="1:13" s="166" customFormat="1" ht="12.75" customHeight="1">
      <c r="A1112" s="1536" t="s">
        <v>432</v>
      </c>
      <c r="B1112" s="1537">
        <v>13</v>
      </c>
      <c r="C1112" s="1538" t="s">
        <v>1017</v>
      </c>
      <c r="D1112" s="1533">
        <f>D1101</f>
        <v>0.85</v>
      </c>
      <c r="E1112" s="1539">
        <f t="shared" si="93"/>
        <v>11.05</v>
      </c>
      <c r="F1112" s="1540"/>
      <c r="G1112" s="15"/>
      <c r="H1112" s="21"/>
      <c r="I1112" s="15"/>
      <c r="J1112" s="15"/>
      <c r="K1112" s="15"/>
      <c r="L1112" s="21"/>
      <c r="M1112" s="15"/>
    </row>
    <row r="1113" spans="1:13" s="166" customFormat="1" ht="12.75" customHeight="1">
      <c r="A1113" s="1536" t="s">
        <v>433</v>
      </c>
      <c r="B1113" s="1537">
        <v>13</v>
      </c>
      <c r="C1113" s="1538" t="s">
        <v>1017</v>
      </c>
      <c r="D1113" s="1533">
        <f>D1102</f>
        <v>4.2699999999999996</v>
      </c>
      <c r="E1113" s="1539">
        <f t="shared" si="93"/>
        <v>55.51</v>
      </c>
      <c r="F1113" s="1540"/>
      <c r="G1113" s="15"/>
      <c r="H1113" s="21"/>
      <c r="I1113" s="15"/>
      <c r="J1113" s="15"/>
      <c r="K1113" s="15"/>
      <c r="L1113" s="21"/>
      <c r="M1113" s="15"/>
    </row>
    <row r="1114" spans="1:13" s="166" customFormat="1" ht="12.75" customHeight="1">
      <c r="A1114" s="1536" t="s">
        <v>208</v>
      </c>
      <c r="B1114" s="1541">
        <f>SUM(E1106:E1110)</f>
        <v>1550.6100000000001</v>
      </c>
      <c r="C1114" s="1538" t="s">
        <v>209</v>
      </c>
      <c r="D1114" s="1533">
        <v>0.02</v>
      </c>
      <c r="E1114" s="1539">
        <f t="shared" si="93"/>
        <v>31.01</v>
      </c>
      <c r="F1114" s="1540">
        <f>SUM(E1106:E1114)</f>
        <v>1648.18</v>
      </c>
      <c r="G1114" s="15"/>
      <c r="H1114" s="21"/>
      <c r="I1114" s="15"/>
      <c r="J1114" s="15"/>
      <c r="K1114" s="15"/>
      <c r="L1114" s="21"/>
      <c r="M1114" s="15"/>
    </row>
    <row r="1115" spans="1:13" s="166" customFormat="1" ht="12.75" customHeight="1">
      <c r="A1115" s="12"/>
      <c r="B1115" s="14"/>
      <c r="C1115" s="24"/>
      <c r="D1115" s="35"/>
      <c r="E1115" s="31"/>
      <c r="F1115" s="32"/>
      <c r="G1115" s="15"/>
      <c r="H1115" s="21"/>
      <c r="I1115" s="15"/>
      <c r="J1115" s="15"/>
      <c r="K1115" s="15"/>
      <c r="L1115" s="21"/>
      <c r="M1115" s="15"/>
    </row>
    <row r="1116" spans="1:13" s="166" customFormat="1" ht="12.75" customHeight="1">
      <c r="A1116" s="12"/>
      <c r="B1116" s="14"/>
      <c r="C1116" s="24"/>
      <c r="D1116" s="35"/>
      <c r="E1116" s="31"/>
      <c r="F1116" s="32"/>
      <c r="G1116" s="15"/>
      <c r="H1116" s="21"/>
      <c r="I1116" s="15"/>
      <c r="J1116" s="15"/>
      <c r="K1116" s="15"/>
      <c r="L1116" s="21"/>
      <c r="M1116" s="15"/>
    </row>
    <row r="1117" spans="1:13" s="166" customFormat="1" ht="12.75" customHeight="1">
      <c r="A1117" s="12"/>
      <c r="B1117" s="14"/>
      <c r="C1117" s="24"/>
      <c r="D1117" s="35"/>
      <c r="E1117" s="31"/>
      <c r="F1117" s="32"/>
      <c r="G1117" s="15"/>
      <c r="H1117" s="21"/>
      <c r="I1117" s="15"/>
      <c r="J1117" s="15"/>
      <c r="K1117" s="15"/>
      <c r="L1117" s="21"/>
      <c r="M1117" s="15"/>
    </row>
    <row r="1118" spans="1:13" ht="12.75" customHeight="1">
      <c r="A1118" s="13" t="s">
        <v>505</v>
      </c>
      <c r="B1118" s="30"/>
      <c r="C1118" s="24"/>
      <c r="D1118" s="35"/>
      <c r="E1118" s="43" t="s">
        <v>151</v>
      </c>
      <c r="F1118" s="44" t="s">
        <v>213</v>
      </c>
    </row>
    <row r="1119" spans="1:13" ht="12.75" customHeight="1">
      <c r="A1119" s="12" t="s">
        <v>214</v>
      </c>
      <c r="B1119" s="30">
        <v>13</v>
      </c>
      <c r="C1119" s="24" t="s">
        <v>1017</v>
      </c>
      <c r="D1119" s="35">
        <f>Prec.!$C$85</f>
        <v>48</v>
      </c>
      <c r="E1119" s="31">
        <f t="shared" ref="E1119:E1127" si="94">ROUND(B1119*D1119,2)</f>
        <v>624</v>
      </c>
      <c r="F1119" s="32"/>
    </row>
    <row r="1120" spans="1:13" ht="12.75" customHeight="1">
      <c r="A1120" s="12" t="s">
        <v>117</v>
      </c>
      <c r="B1120" s="30">
        <v>2.4E-2</v>
      </c>
      <c r="C1120" s="24" t="s">
        <v>216</v>
      </c>
      <c r="D1120" s="35">
        <f>Prec.!$C$54</f>
        <v>3200</v>
      </c>
      <c r="E1120" s="31">
        <f t="shared" si="94"/>
        <v>76.8</v>
      </c>
      <c r="F1120" s="32"/>
    </row>
    <row r="1121" spans="1:6" ht="12.75" customHeight="1">
      <c r="A1121" s="12" t="s">
        <v>217</v>
      </c>
      <c r="B1121" s="30">
        <f>B1120*2</f>
        <v>4.8000000000000001E-2</v>
      </c>
      <c r="C1121" s="24" t="s">
        <v>218</v>
      </c>
      <c r="D1121" s="35">
        <f>Prec.!$C$75</f>
        <v>60</v>
      </c>
      <c r="E1121" s="31">
        <f t="shared" si="94"/>
        <v>2.88</v>
      </c>
      <c r="F1121" s="32"/>
    </row>
    <row r="1122" spans="1:6" ht="12.75" customHeight="1">
      <c r="A1122" s="4" t="s">
        <v>427</v>
      </c>
      <c r="B1122" s="8">
        <v>3.9E-2</v>
      </c>
      <c r="C1122" s="6" t="s">
        <v>825</v>
      </c>
      <c r="D1122" s="37">
        <f>$F$46</f>
        <v>6653.49</v>
      </c>
      <c r="E1122" s="25">
        <f t="shared" si="94"/>
        <v>259.49</v>
      </c>
    </row>
    <row r="1123" spans="1:6" ht="12.75" customHeight="1">
      <c r="A1123" s="4" t="s">
        <v>421</v>
      </c>
      <c r="B1123" s="8">
        <v>7.8E-2</v>
      </c>
      <c r="C1123" s="6" t="s">
        <v>825</v>
      </c>
      <c r="D1123" s="37">
        <f>D1082</f>
        <v>5147.68</v>
      </c>
      <c r="E1123" s="25">
        <f t="shared" si="94"/>
        <v>401.52</v>
      </c>
    </row>
    <row r="1124" spans="1:6" ht="12.75" customHeight="1">
      <c r="A1124" s="4" t="s">
        <v>428</v>
      </c>
      <c r="B1124" s="8">
        <v>13</v>
      </c>
      <c r="C1124" s="6" t="s">
        <v>1017</v>
      </c>
      <c r="D1124" s="37">
        <f>Prec.!$D$330</f>
        <v>0</v>
      </c>
      <c r="E1124" s="25">
        <f t="shared" si="94"/>
        <v>0</v>
      </c>
    </row>
    <row r="1125" spans="1:6" ht="12.75" customHeight="1">
      <c r="A1125" s="4" t="s">
        <v>432</v>
      </c>
      <c r="B1125" s="8">
        <v>13</v>
      </c>
      <c r="C1125" s="6" t="s">
        <v>1017</v>
      </c>
      <c r="D1125" s="37">
        <f>Prec.!$D$542</f>
        <v>0.55000000000000004</v>
      </c>
      <c r="E1125" s="25">
        <f t="shared" si="94"/>
        <v>7.15</v>
      </c>
    </row>
    <row r="1126" spans="1:6" ht="12.75" customHeight="1">
      <c r="A1126" s="4" t="s">
        <v>433</v>
      </c>
      <c r="B1126" s="8">
        <v>13</v>
      </c>
      <c r="C1126" s="6" t="s">
        <v>1017</v>
      </c>
      <c r="D1126" s="37">
        <f>Prec.!D544</f>
        <v>4.2699999999999996</v>
      </c>
      <c r="E1126" s="25">
        <f t="shared" si="94"/>
        <v>55.51</v>
      </c>
    </row>
    <row r="1127" spans="1:6" ht="12.75" customHeight="1">
      <c r="A1127" s="4" t="s">
        <v>208</v>
      </c>
      <c r="B1127" s="7">
        <f>SUM(E1119:E1126)</f>
        <v>1427.3500000000001</v>
      </c>
      <c r="C1127" s="6" t="s">
        <v>209</v>
      </c>
      <c r="D1127" s="37">
        <f>Prec.!C302</f>
        <v>1.4999999999999999E-2</v>
      </c>
      <c r="E1127" s="25">
        <f t="shared" si="94"/>
        <v>21.41</v>
      </c>
      <c r="F1127" s="26">
        <f>SUM(E1119:E1127)</f>
        <v>1448.7600000000002</v>
      </c>
    </row>
    <row r="1128" spans="1:6" ht="12.75" customHeight="1">
      <c r="B1128" s="7"/>
    </row>
    <row r="1129" spans="1:6" ht="12.75" customHeight="1">
      <c r="A1129" s="1" t="s">
        <v>508</v>
      </c>
      <c r="E1129" s="27" t="s">
        <v>151</v>
      </c>
      <c r="F1129" s="28" t="s">
        <v>213</v>
      </c>
    </row>
    <row r="1130" spans="1:6" ht="12.75" customHeight="1">
      <c r="A1130" s="4" t="s">
        <v>214</v>
      </c>
      <c r="B1130" s="8">
        <v>13</v>
      </c>
      <c r="C1130" s="6" t="s">
        <v>1017</v>
      </c>
      <c r="D1130" s="37">
        <f>Prec.!$C$85</f>
        <v>48</v>
      </c>
      <c r="E1130" s="25">
        <f t="shared" ref="E1130:E1138" si="95">ROUND(B1130*D1130,2)</f>
        <v>624</v>
      </c>
    </row>
    <row r="1131" spans="1:6" ht="12.75" customHeight="1">
      <c r="A1131" s="4" t="s">
        <v>509</v>
      </c>
      <c r="B1131" s="8">
        <v>3.6999999999999998E-2</v>
      </c>
      <c r="C1131" s="6" t="s">
        <v>216</v>
      </c>
      <c r="D1131" s="37">
        <f>Prec.!$C$54</f>
        <v>3200</v>
      </c>
      <c r="E1131" s="25">
        <f t="shared" si="95"/>
        <v>118.4</v>
      </c>
    </row>
    <row r="1132" spans="1:6" ht="12.75" customHeight="1">
      <c r="A1132" s="4" t="s">
        <v>217</v>
      </c>
      <c r="B1132" s="8">
        <f>B1131*2</f>
        <v>7.3999999999999996E-2</v>
      </c>
      <c r="C1132" s="6" t="s">
        <v>218</v>
      </c>
      <c r="D1132" s="37">
        <f>Prec.!$C$75</f>
        <v>60</v>
      </c>
      <c r="E1132" s="25">
        <f t="shared" si="95"/>
        <v>4.4400000000000004</v>
      </c>
    </row>
    <row r="1133" spans="1:6" ht="12.75" customHeight="1">
      <c r="A1133" s="4" t="s">
        <v>427</v>
      </c>
      <c r="B1133" s="8">
        <v>3.9E-2</v>
      </c>
      <c r="C1133" s="6" t="s">
        <v>825</v>
      </c>
      <c r="D1133" s="37">
        <f>$F$46</f>
        <v>6653.49</v>
      </c>
      <c r="E1133" s="25">
        <f t="shared" si="95"/>
        <v>259.49</v>
      </c>
    </row>
    <row r="1134" spans="1:6" ht="12.75" customHeight="1">
      <c r="A1134" s="4" t="s">
        <v>421</v>
      </c>
      <c r="B1134" s="8">
        <v>5.1999999999999998E-2</v>
      </c>
      <c r="C1134" s="6" t="s">
        <v>825</v>
      </c>
      <c r="D1134" s="37">
        <f>D1162</f>
        <v>5147.68</v>
      </c>
      <c r="E1134" s="25">
        <f t="shared" si="95"/>
        <v>267.68</v>
      </c>
    </row>
    <row r="1135" spans="1:6" ht="12.75" customHeight="1">
      <c r="A1135" s="4" t="s">
        <v>428</v>
      </c>
      <c r="B1135" s="8">
        <v>13</v>
      </c>
      <c r="C1135" s="6" t="s">
        <v>1017</v>
      </c>
      <c r="D1135" s="37">
        <f>Prec.!$D$330</f>
        <v>0</v>
      </c>
      <c r="E1135" s="25">
        <f t="shared" si="95"/>
        <v>0</v>
      </c>
    </row>
    <row r="1136" spans="1:6" ht="12.75" customHeight="1">
      <c r="A1136" s="4" t="s">
        <v>432</v>
      </c>
      <c r="B1136" s="8">
        <v>13</v>
      </c>
      <c r="C1136" s="6" t="s">
        <v>1017</v>
      </c>
      <c r="D1136" s="37">
        <f>Prec.!$D$540</f>
        <v>1.1499999999999999</v>
      </c>
      <c r="E1136" s="25">
        <f t="shared" si="95"/>
        <v>14.95</v>
      </c>
    </row>
    <row r="1137" spans="1:6" ht="12.75" customHeight="1">
      <c r="A1137" s="4" t="s">
        <v>433</v>
      </c>
      <c r="B1137" s="8">
        <v>13</v>
      </c>
      <c r="C1137" s="6" t="s">
        <v>1017</v>
      </c>
      <c r="D1137" s="37">
        <f>Prec.!$D$545</f>
        <v>2.33</v>
      </c>
      <c r="E1137" s="25">
        <f t="shared" si="95"/>
        <v>30.29</v>
      </c>
    </row>
    <row r="1138" spans="1:6" ht="12.75" customHeight="1">
      <c r="A1138" s="4" t="s">
        <v>208</v>
      </c>
      <c r="B1138" s="7">
        <f>SUM(E1130:E1137)</f>
        <v>1319.25</v>
      </c>
      <c r="C1138" s="6" t="s">
        <v>209</v>
      </c>
      <c r="D1138" s="37">
        <f>Prec.!C302</f>
        <v>1.4999999999999999E-2</v>
      </c>
      <c r="E1138" s="25">
        <f t="shared" si="95"/>
        <v>19.79</v>
      </c>
      <c r="F1138" s="26">
        <f>SUM(E1130:E1138)</f>
        <v>1339.04</v>
      </c>
    </row>
    <row r="1139" spans="1:6" ht="12.75" customHeight="1">
      <c r="B1139" s="7"/>
    </row>
    <row r="1140" spans="1:6" ht="18" customHeight="1">
      <c r="A1140" s="1530" t="s">
        <v>5399</v>
      </c>
      <c r="B1140" s="1537"/>
      <c r="C1140" s="1538"/>
      <c r="D1140" s="1533"/>
      <c r="E1140" s="1534" t="s">
        <v>151</v>
      </c>
      <c r="F1140" s="1535" t="s">
        <v>213</v>
      </c>
    </row>
    <row r="1141" spans="1:6" ht="12.75" customHeight="1">
      <c r="A1141" s="1536" t="s">
        <v>214</v>
      </c>
      <c r="B1141" s="1537">
        <v>13</v>
      </c>
      <c r="C1141" s="1538" t="s">
        <v>1017</v>
      </c>
      <c r="D1141" s="1533">
        <f>Prec.!$C$85</f>
        <v>48</v>
      </c>
      <c r="E1141" s="1539">
        <f t="shared" ref="E1141:E1149" si="96">ROUND(B1141*D1141,2)</f>
        <v>624</v>
      </c>
      <c r="F1141" s="1540"/>
    </row>
    <row r="1142" spans="1:6" ht="12.75" customHeight="1">
      <c r="A1142" s="1536" t="s">
        <v>710</v>
      </c>
      <c r="B1142" s="1537">
        <f>'ana A1'!I110</f>
        <v>0.08</v>
      </c>
      <c r="C1142" s="1538" t="s">
        <v>216</v>
      </c>
      <c r="D1142" s="1533">
        <f>Prec.!$C$54</f>
        <v>3200</v>
      </c>
      <c r="E1142" s="1539">
        <f t="shared" si="96"/>
        <v>256</v>
      </c>
      <c r="F1142" s="1540"/>
    </row>
    <row r="1143" spans="1:6" ht="12.75" customHeight="1">
      <c r="A1143" s="1536" t="s">
        <v>217</v>
      </c>
      <c r="B1143" s="1537">
        <f>B1142*2</f>
        <v>0.16</v>
      </c>
      <c r="C1143" s="1538" t="s">
        <v>218</v>
      </c>
      <c r="D1143" s="1533">
        <f>Prec.!$C$75</f>
        <v>60</v>
      </c>
      <c r="E1143" s="1539">
        <f t="shared" si="96"/>
        <v>9.6</v>
      </c>
      <c r="F1143" s="1540"/>
    </row>
    <row r="1144" spans="1:6" ht="12.75" customHeight="1">
      <c r="A1144" s="1536" t="s">
        <v>427</v>
      </c>
      <c r="B1144" s="1537">
        <v>3.9E-2</v>
      </c>
      <c r="C1144" s="1538" t="s">
        <v>825</v>
      </c>
      <c r="D1144" s="1533">
        <f>$F$46</f>
        <v>6653.49</v>
      </c>
      <c r="E1144" s="1539">
        <f t="shared" si="96"/>
        <v>259.49</v>
      </c>
      <c r="F1144" s="1540"/>
    </row>
    <row r="1145" spans="1:6" ht="12.75" customHeight="1">
      <c r="A1145" s="1536" t="s">
        <v>421</v>
      </c>
      <c r="B1145" s="1537">
        <v>3.3000000000000002E-2</v>
      </c>
      <c r="C1145" s="1538" t="s">
        <v>825</v>
      </c>
      <c r="D1145" s="1533">
        <f>D1134</f>
        <v>5147.68</v>
      </c>
      <c r="E1145" s="1539">
        <f t="shared" si="96"/>
        <v>169.87</v>
      </c>
      <c r="F1145" s="1540"/>
    </row>
    <row r="1146" spans="1:6" ht="12.75" customHeight="1">
      <c r="A1146" s="1536" t="s">
        <v>428</v>
      </c>
      <c r="B1146" s="1537">
        <v>13</v>
      </c>
      <c r="C1146" s="1538" t="s">
        <v>1017</v>
      </c>
      <c r="D1146" s="1533">
        <f>Prec.!$D$330</f>
        <v>0</v>
      </c>
      <c r="E1146" s="1539">
        <f t="shared" si="96"/>
        <v>0</v>
      </c>
      <c r="F1146" s="1540"/>
    </row>
    <row r="1147" spans="1:6" ht="12.75" customHeight="1">
      <c r="A1147" s="1536" t="s">
        <v>432</v>
      </c>
      <c r="B1147" s="1537">
        <v>13</v>
      </c>
      <c r="C1147" s="1538" t="s">
        <v>1017</v>
      </c>
      <c r="D1147" s="1533">
        <f>Prec.!D541</f>
        <v>0.85</v>
      </c>
      <c r="E1147" s="1539">
        <f t="shared" si="96"/>
        <v>11.05</v>
      </c>
      <c r="F1147" s="1540"/>
    </row>
    <row r="1148" spans="1:6" ht="12.75" customHeight="1">
      <c r="A1148" s="1536" t="s">
        <v>433</v>
      </c>
      <c r="B1148" s="1537">
        <v>13</v>
      </c>
      <c r="C1148" s="1538" t="s">
        <v>1017</v>
      </c>
      <c r="D1148" s="1533">
        <f>Prec.!D546</f>
        <v>1.7</v>
      </c>
      <c r="E1148" s="1539">
        <f t="shared" si="96"/>
        <v>22.1</v>
      </c>
      <c r="F1148" s="1540"/>
    </row>
    <row r="1149" spans="1:6" ht="12.75" customHeight="1">
      <c r="A1149" s="1536" t="s">
        <v>208</v>
      </c>
      <c r="B1149" s="1541">
        <f>SUM(E1141:E1148)</f>
        <v>1352.11</v>
      </c>
      <c r="C1149" s="1538" t="s">
        <v>209</v>
      </c>
      <c r="D1149" s="1533">
        <f>D1138</f>
        <v>1.4999999999999999E-2</v>
      </c>
      <c r="E1149" s="1539">
        <f t="shared" si="96"/>
        <v>20.28</v>
      </c>
      <c r="F1149" s="1540">
        <f>SUM(E1141:E1149)</f>
        <v>1372.3899999999999</v>
      </c>
    </row>
    <row r="1150" spans="1:6" ht="12.75" customHeight="1">
      <c r="B1150" s="7"/>
    </row>
    <row r="1151" spans="1:6" ht="12.75" customHeight="1">
      <c r="B1151" s="7"/>
    </row>
    <row r="1152" spans="1:6" ht="12.75" customHeight="1">
      <c r="B1152" s="7"/>
    </row>
    <row r="1153" spans="1:6" ht="12.75" customHeight="1">
      <c r="B1153" s="7"/>
    </row>
    <row r="1154" spans="1:6" ht="12.75" customHeight="1">
      <c r="B1154" s="7"/>
    </row>
    <row r="1155" spans="1:6" ht="12.75" customHeight="1">
      <c r="B1155" s="7"/>
    </row>
    <row r="1156" spans="1:6" ht="12.75" customHeight="1">
      <c r="B1156" s="7"/>
    </row>
    <row r="1157" spans="1:6" ht="12.75" customHeight="1">
      <c r="A1157" s="1" t="s">
        <v>507</v>
      </c>
      <c r="E1157" s="27" t="s">
        <v>151</v>
      </c>
      <c r="F1157" s="28" t="s">
        <v>213</v>
      </c>
    </row>
    <row r="1158" spans="1:6" ht="12.75" customHeight="1">
      <c r="A1158" s="4" t="s">
        <v>214</v>
      </c>
      <c r="B1158" s="8">
        <v>13</v>
      </c>
      <c r="C1158" s="6" t="s">
        <v>1017</v>
      </c>
      <c r="D1158" s="37">
        <f>Prec.!$C$85</f>
        <v>48</v>
      </c>
      <c r="E1158" s="25">
        <f t="shared" ref="E1158:E1166" si="97">ROUND(B1158*D1158,2)</f>
        <v>624</v>
      </c>
    </row>
    <row r="1159" spans="1:6" ht="12.75" customHeight="1">
      <c r="A1159" s="4" t="s">
        <v>117</v>
      </c>
      <c r="B1159" s="8">
        <v>2.4E-2</v>
      </c>
      <c r="C1159" s="6" t="s">
        <v>216</v>
      </c>
      <c r="D1159" s="37">
        <f>Prec.!$C$54</f>
        <v>3200</v>
      </c>
      <c r="E1159" s="25">
        <f t="shared" si="97"/>
        <v>76.8</v>
      </c>
    </row>
    <row r="1160" spans="1:6" ht="12.75" customHeight="1">
      <c r="A1160" s="4" t="s">
        <v>217</v>
      </c>
      <c r="B1160" s="8">
        <f>B1159*2</f>
        <v>4.8000000000000001E-2</v>
      </c>
      <c r="C1160" s="6" t="s">
        <v>218</v>
      </c>
      <c r="D1160" s="37">
        <f>Prec.!$C$75</f>
        <v>60</v>
      </c>
      <c r="E1160" s="25">
        <f t="shared" si="97"/>
        <v>2.88</v>
      </c>
    </row>
    <row r="1161" spans="1:6" ht="12.75" customHeight="1">
      <c r="A1161" s="4" t="s">
        <v>427</v>
      </c>
      <c r="B1161" s="8">
        <v>3.9E-2</v>
      </c>
      <c r="C1161" s="6" t="s">
        <v>825</v>
      </c>
      <c r="D1161" s="37">
        <f>$F$46</f>
        <v>6653.49</v>
      </c>
      <c r="E1161" s="25">
        <f t="shared" si="97"/>
        <v>259.49</v>
      </c>
    </row>
    <row r="1162" spans="1:6" ht="12.75" customHeight="1">
      <c r="A1162" s="4" t="s">
        <v>421</v>
      </c>
      <c r="B1162" s="8">
        <v>3.1E-2</v>
      </c>
      <c r="C1162" s="6" t="s">
        <v>825</v>
      </c>
      <c r="D1162" s="37">
        <f>D1123</f>
        <v>5147.68</v>
      </c>
      <c r="E1162" s="25">
        <f t="shared" si="97"/>
        <v>159.58000000000001</v>
      </c>
    </row>
    <row r="1163" spans="1:6" ht="12.75" customHeight="1">
      <c r="A1163" s="4" t="s">
        <v>428</v>
      </c>
      <c r="B1163" s="8">
        <v>13</v>
      </c>
      <c r="C1163" s="6" t="s">
        <v>1017</v>
      </c>
      <c r="D1163" s="37">
        <f>Prec.!$D$330</f>
        <v>0</v>
      </c>
      <c r="E1163" s="25">
        <f t="shared" si="97"/>
        <v>0</v>
      </c>
    </row>
    <row r="1164" spans="1:6" ht="12.75" customHeight="1">
      <c r="A1164" s="4" t="s">
        <v>432</v>
      </c>
      <c r="B1164" s="8">
        <v>13</v>
      </c>
      <c r="C1164" s="6" t="s">
        <v>1017</v>
      </c>
      <c r="D1164" s="37">
        <f>Prec.!$D$542</f>
        <v>0.55000000000000004</v>
      </c>
      <c r="E1164" s="25">
        <f t="shared" si="97"/>
        <v>7.15</v>
      </c>
    </row>
    <row r="1165" spans="1:6" ht="12.75" customHeight="1">
      <c r="A1165" s="4" t="s">
        <v>433</v>
      </c>
      <c r="B1165" s="8">
        <v>13</v>
      </c>
      <c r="C1165" s="6" t="s">
        <v>1017</v>
      </c>
      <c r="D1165" s="37">
        <f>Prec.!$D$547</f>
        <v>1.1499999999999999</v>
      </c>
      <c r="E1165" s="25">
        <f t="shared" si="97"/>
        <v>14.95</v>
      </c>
    </row>
    <row r="1166" spans="1:6" ht="12.75" customHeight="1">
      <c r="A1166" s="4" t="s">
        <v>208</v>
      </c>
      <c r="B1166" s="7">
        <f>SUM(E1158:E1165)</f>
        <v>1144.8500000000001</v>
      </c>
      <c r="C1166" s="6" t="s">
        <v>209</v>
      </c>
      <c r="D1166" s="37">
        <f>Prec.!C302</f>
        <v>1.4999999999999999E-2</v>
      </c>
      <c r="E1166" s="25">
        <f t="shared" si="97"/>
        <v>17.170000000000002</v>
      </c>
      <c r="F1166" s="26">
        <f>SUM(E1158:E1166)</f>
        <v>1162.0200000000002</v>
      </c>
    </row>
    <row r="1167" spans="1:6" ht="12.75" customHeight="1">
      <c r="B1167" s="7"/>
    </row>
    <row r="1168" spans="1:6" ht="12.75" customHeight="1">
      <c r="A1168" s="1" t="s">
        <v>131</v>
      </c>
      <c r="E1168" s="27" t="s">
        <v>151</v>
      </c>
      <c r="F1168" s="28" t="s">
        <v>213</v>
      </c>
    </row>
    <row r="1169" spans="1:6" ht="12.75" customHeight="1">
      <c r="A1169" s="4" t="s">
        <v>102</v>
      </c>
      <c r="B1169" s="8">
        <v>13</v>
      </c>
      <c r="C1169" s="6" t="s">
        <v>1017</v>
      </c>
      <c r="D1169" s="37">
        <f>Prec.!$C$86</f>
        <v>44</v>
      </c>
      <c r="E1169" s="25">
        <f t="shared" ref="E1169:E1177" si="98">ROUND(B1169*D1169,2)</f>
        <v>572</v>
      </c>
    </row>
    <row r="1170" spans="1:6" ht="12.75" customHeight="1">
      <c r="A1170" s="4" t="s">
        <v>117</v>
      </c>
      <c r="B1170" s="8">
        <v>6.2E-2</v>
      </c>
      <c r="C1170" s="6" t="s">
        <v>216</v>
      </c>
      <c r="D1170" s="37">
        <f>Prec.!$C$54</f>
        <v>3200</v>
      </c>
      <c r="E1170" s="25">
        <f t="shared" si="98"/>
        <v>198.4</v>
      </c>
    </row>
    <row r="1171" spans="1:6" ht="12.75" customHeight="1">
      <c r="A1171" s="4" t="s">
        <v>217</v>
      </c>
      <c r="B1171" s="8">
        <f>B1170*2</f>
        <v>0.124</v>
      </c>
      <c r="C1171" s="6" t="s">
        <v>218</v>
      </c>
      <c r="D1171" s="37">
        <f>Prec.!$C$75</f>
        <v>60</v>
      </c>
      <c r="E1171" s="25">
        <f t="shared" si="98"/>
        <v>7.44</v>
      </c>
    </row>
    <row r="1172" spans="1:6" ht="12.75" customHeight="1">
      <c r="A1172" s="4" t="s">
        <v>427</v>
      </c>
      <c r="B1172" s="8">
        <v>3.1E-2</v>
      </c>
      <c r="C1172" s="6" t="s">
        <v>825</v>
      </c>
      <c r="D1172" s="37">
        <f>$F$46</f>
        <v>6653.49</v>
      </c>
      <c r="E1172" s="25">
        <f t="shared" si="98"/>
        <v>206.26</v>
      </c>
    </row>
    <row r="1173" spans="1:6" ht="12.75" customHeight="1">
      <c r="A1173" s="4" t="s">
        <v>421</v>
      </c>
      <c r="B1173" s="8">
        <v>4.8000000000000001E-2</v>
      </c>
      <c r="C1173" s="6" t="s">
        <v>825</v>
      </c>
      <c r="D1173" s="37">
        <f>D1184</f>
        <v>5147.68</v>
      </c>
      <c r="E1173" s="25">
        <f t="shared" si="98"/>
        <v>247.09</v>
      </c>
    </row>
    <row r="1174" spans="1:6" ht="12.75" customHeight="1">
      <c r="A1174" s="4" t="s">
        <v>428</v>
      </c>
      <c r="B1174" s="8">
        <v>13</v>
      </c>
      <c r="C1174" s="6" t="s">
        <v>1017</v>
      </c>
      <c r="D1174" s="37">
        <f>Prec.!$D$329</f>
        <v>0</v>
      </c>
      <c r="E1174" s="25">
        <f t="shared" si="98"/>
        <v>0</v>
      </c>
    </row>
    <row r="1175" spans="1:6" ht="12.75" customHeight="1">
      <c r="A1175" s="4" t="s">
        <v>432</v>
      </c>
      <c r="B1175" s="8">
        <v>13</v>
      </c>
      <c r="C1175" s="6" t="s">
        <v>1017</v>
      </c>
      <c r="D1175" s="37">
        <f>Prec.!$D$539</f>
        <v>1.7</v>
      </c>
      <c r="E1175" s="25">
        <f t="shared" si="98"/>
        <v>22.1</v>
      </c>
    </row>
    <row r="1176" spans="1:6" ht="12.75" customHeight="1">
      <c r="A1176" s="4" t="s">
        <v>433</v>
      </c>
      <c r="B1176" s="8">
        <v>13</v>
      </c>
      <c r="C1176" s="6" t="s">
        <v>1017</v>
      </c>
      <c r="D1176" s="37">
        <f>Prec.!$D$544</f>
        <v>4.2699999999999996</v>
      </c>
      <c r="E1176" s="25">
        <f t="shared" si="98"/>
        <v>55.51</v>
      </c>
    </row>
    <row r="1177" spans="1:6" ht="12.75" customHeight="1">
      <c r="A1177" s="4" t="s">
        <v>208</v>
      </c>
      <c r="B1177" s="7">
        <f>SUM(E1169:E1176)</f>
        <v>1308.8</v>
      </c>
      <c r="C1177" s="6" t="s">
        <v>209</v>
      </c>
      <c r="D1177" s="37">
        <f>Prec.!C302</f>
        <v>1.4999999999999999E-2</v>
      </c>
      <c r="E1177" s="25">
        <f t="shared" si="98"/>
        <v>19.63</v>
      </c>
      <c r="F1177" s="26">
        <f>SUM(E1169:E1177)</f>
        <v>1328.43</v>
      </c>
    </row>
    <row r="1178" spans="1:6" ht="12.75" customHeight="1">
      <c r="B1178" s="7"/>
    </row>
    <row r="1179" spans="1:6" ht="12.75" customHeight="1">
      <c r="A1179" s="13" t="s">
        <v>627</v>
      </c>
      <c r="B1179" s="30"/>
      <c r="C1179" s="24"/>
      <c r="D1179" s="35"/>
      <c r="E1179" s="43" t="s">
        <v>151</v>
      </c>
      <c r="F1179" s="44" t="s">
        <v>213</v>
      </c>
    </row>
    <row r="1180" spans="1:6" ht="12.75" customHeight="1">
      <c r="A1180" s="12" t="s">
        <v>102</v>
      </c>
      <c r="B1180" s="30">
        <v>13</v>
      </c>
      <c r="C1180" s="24" t="s">
        <v>1017</v>
      </c>
      <c r="D1180" s="35">
        <f>Prec.!C86</f>
        <v>44</v>
      </c>
      <c r="E1180" s="31">
        <f t="shared" ref="E1180:E1188" si="99">ROUND(B1180*D1180,2)</f>
        <v>572</v>
      </c>
      <c r="F1180" s="32"/>
    </row>
    <row r="1181" spans="1:6" ht="12.75" customHeight="1">
      <c r="A1181" s="12" t="s">
        <v>117</v>
      </c>
      <c r="B1181" s="30">
        <v>3.6999999999999998E-2</v>
      </c>
      <c r="C1181" s="24" t="s">
        <v>216</v>
      </c>
      <c r="D1181" s="35">
        <f>Prec.!C54</f>
        <v>3200</v>
      </c>
      <c r="E1181" s="31">
        <f t="shared" si="99"/>
        <v>118.4</v>
      </c>
      <c r="F1181" s="32"/>
    </row>
    <row r="1182" spans="1:6" ht="12.75" customHeight="1">
      <c r="A1182" s="12" t="s">
        <v>217</v>
      </c>
      <c r="B1182" s="30">
        <f>B1181*2</f>
        <v>7.3999999999999996E-2</v>
      </c>
      <c r="C1182" s="24" t="s">
        <v>218</v>
      </c>
      <c r="D1182" s="35">
        <f>Prec.!C75</f>
        <v>60</v>
      </c>
      <c r="E1182" s="31">
        <f t="shared" si="99"/>
        <v>4.4400000000000004</v>
      </c>
      <c r="F1182" s="32"/>
    </row>
    <row r="1183" spans="1:6" ht="12.75" customHeight="1">
      <c r="A1183" s="12" t="s">
        <v>427</v>
      </c>
      <c r="B1183" s="30">
        <v>3.1E-2</v>
      </c>
      <c r="C1183" s="24" t="s">
        <v>825</v>
      </c>
      <c r="D1183" s="35">
        <f>horm.ymez.!C8</f>
        <v>6653.49</v>
      </c>
      <c r="E1183" s="31">
        <f t="shared" si="99"/>
        <v>206.26</v>
      </c>
      <c r="F1183" s="32"/>
    </row>
    <row r="1184" spans="1:6" ht="12.75" customHeight="1">
      <c r="A1184" s="12" t="s">
        <v>421</v>
      </c>
      <c r="B1184" s="30">
        <v>4.8000000000000001E-2</v>
      </c>
      <c r="C1184" s="24" t="s">
        <v>825</v>
      </c>
      <c r="D1184" s="35">
        <f>horm.ymez.!C14</f>
        <v>5147.68</v>
      </c>
      <c r="E1184" s="31">
        <f t="shared" si="99"/>
        <v>247.09</v>
      </c>
      <c r="F1184" s="32"/>
    </row>
    <row r="1185" spans="1:6" ht="12.75" customHeight="1">
      <c r="A1185" s="12" t="s">
        <v>428</v>
      </c>
      <c r="B1185" s="30">
        <v>13</v>
      </c>
      <c r="C1185" s="24" t="s">
        <v>1017</v>
      </c>
      <c r="D1185" s="35">
        <f>Prec.!D329</f>
        <v>0</v>
      </c>
      <c r="E1185" s="31">
        <f t="shared" si="99"/>
        <v>0</v>
      </c>
      <c r="F1185" s="32"/>
    </row>
    <row r="1186" spans="1:6" ht="12.75" customHeight="1">
      <c r="A1186" s="12" t="s">
        <v>432</v>
      </c>
      <c r="B1186" s="30">
        <v>13</v>
      </c>
      <c r="C1186" s="24" t="s">
        <v>1017</v>
      </c>
      <c r="D1186" s="35">
        <f>Prec.!D540</f>
        <v>1.1499999999999999</v>
      </c>
      <c r="E1186" s="31">
        <f t="shared" si="99"/>
        <v>14.95</v>
      </c>
      <c r="F1186" s="32"/>
    </row>
    <row r="1187" spans="1:6" ht="12.75" customHeight="1">
      <c r="A1187" s="12" t="s">
        <v>433</v>
      </c>
      <c r="B1187" s="30">
        <v>13</v>
      </c>
      <c r="C1187" s="24" t="s">
        <v>1017</v>
      </c>
      <c r="D1187" s="35">
        <f>Prec.!D544</f>
        <v>4.2699999999999996</v>
      </c>
      <c r="E1187" s="31">
        <f t="shared" si="99"/>
        <v>55.51</v>
      </c>
      <c r="F1187" s="32"/>
    </row>
    <row r="1188" spans="1:6" ht="12.75" customHeight="1">
      <c r="A1188" s="12" t="s">
        <v>208</v>
      </c>
      <c r="B1188" s="14">
        <f>SUM(E1180:E1187)</f>
        <v>1218.6500000000001</v>
      </c>
      <c r="C1188" s="24" t="s">
        <v>209</v>
      </c>
      <c r="D1188" s="35">
        <f>D1149</f>
        <v>1.4999999999999999E-2</v>
      </c>
      <c r="E1188" s="31">
        <f t="shared" si="99"/>
        <v>18.28</v>
      </c>
      <c r="F1188" s="32">
        <f>SUM(E1180:E1188)</f>
        <v>1236.93</v>
      </c>
    </row>
    <row r="1189" spans="1:6" ht="12.75" customHeight="1">
      <c r="A1189" s="12"/>
      <c r="B1189" s="14"/>
      <c r="C1189" s="24"/>
      <c r="D1189" s="35"/>
      <c r="E1189" s="31"/>
      <c r="F1189" s="32"/>
    </row>
    <row r="1190" spans="1:6" ht="37.5" customHeight="1">
      <c r="A1190" s="1621" t="s">
        <v>5397</v>
      </c>
      <c r="B1190" s="1537"/>
      <c r="C1190" s="1538"/>
      <c r="D1190" s="1533"/>
      <c r="E1190" s="1534" t="s">
        <v>151</v>
      </c>
      <c r="F1190" s="1535" t="s">
        <v>213</v>
      </c>
    </row>
    <row r="1191" spans="1:6" ht="12.75" customHeight="1">
      <c r="A1191" s="1536" t="s">
        <v>102</v>
      </c>
      <c r="B1191" s="1537">
        <v>13</v>
      </c>
      <c r="C1191" s="1538" t="s">
        <v>1017</v>
      </c>
      <c r="D1191" s="1533">
        <f>Prec.!$C$86</f>
        <v>44</v>
      </c>
      <c r="E1191" s="1539">
        <f t="shared" ref="E1191:E1199" si="100">ROUND(B1191*D1191,2)</f>
        <v>572</v>
      </c>
      <c r="F1191" s="1540"/>
    </row>
    <row r="1192" spans="1:6" ht="12.75" customHeight="1">
      <c r="A1192" s="1536" t="s">
        <v>117</v>
      </c>
      <c r="B1192" s="1537">
        <f>'ana A1'!I110</f>
        <v>0.08</v>
      </c>
      <c r="C1192" s="1538" t="s">
        <v>216</v>
      </c>
      <c r="D1192" s="1533">
        <f>Prec.!$C$54</f>
        <v>3200</v>
      </c>
      <c r="E1192" s="1539">
        <f t="shared" si="100"/>
        <v>256</v>
      </c>
      <c r="F1192" s="1540"/>
    </row>
    <row r="1193" spans="1:6" ht="12.75" customHeight="1">
      <c r="A1193" s="1536" t="s">
        <v>217</v>
      </c>
      <c r="B1193" s="1537">
        <f>B1192*2</f>
        <v>0.16</v>
      </c>
      <c r="C1193" s="1538" t="s">
        <v>218</v>
      </c>
      <c r="D1193" s="1533">
        <f>Prec.!$C$75</f>
        <v>60</v>
      </c>
      <c r="E1193" s="1539">
        <f t="shared" si="100"/>
        <v>9.6</v>
      </c>
      <c r="F1193" s="1540"/>
    </row>
    <row r="1194" spans="1:6" ht="12.75" customHeight="1">
      <c r="A1194" s="1536" t="s">
        <v>427</v>
      </c>
      <c r="B1194" s="1537">
        <v>3.1E-2</v>
      </c>
      <c r="C1194" s="1538" t="s">
        <v>825</v>
      </c>
      <c r="D1194" s="1533">
        <f>$F$46</f>
        <v>6653.49</v>
      </c>
      <c r="E1194" s="1539">
        <f t="shared" si="100"/>
        <v>206.26</v>
      </c>
      <c r="F1194" s="1540"/>
    </row>
    <row r="1195" spans="1:6" ht="12.75" customHeight="1">
      <c r="A1195" s="1536" t="s">
        <v>421</v>
      </c>
      <c r="B1195" s="1537">
        <v>4.8000000000000001E-2</v>
      </c>
      <c r="C1195" s="1538" t="s">
        <v>825</v>
      </c>
      <c r="D1195" s="1533">
        <f>D1212</f>
        <v>5147.68</v>
      </c>
      <c r="E1195" s="1539">
        <f t="shared" si="100"/>
        <v>247.09</v>
      </c>
      <c r="F1195" s="1540"/>
    </row>
    <row r="1196" spans="1:6" ht="12.75" customHeight="1">
      <c r="A1196" s="1536" t="s">
        <v>428</v>
      </c>
      <c r="B1196" s="1537">
        <v>13</v>
      </c>
      <c r="C1196" s="1538" t="s">
        <v>1017</v>
      </c>
      <c r="D1196" s="1533">
        <f>Prec.!$D$329</f>
        <v>0</v>
      </c>
      <c r="E1196" s="1539">
        <f t="shared" si="100"/>
        <v>0</v>
      </c>
      <c r="F1196" s="1540"/>
    </row>
    <row r="1197" spans="1:6" ht="12.75" customHeight="1">
      <c r="A1197" s="1536" t="s">
        <v>432</v>
      </c>
      <c r="B1197" s="1537">
        <v>13</v>
      </c>
      <c r="C1197" s="1538" t="s">
        <v>1017</v>
      </c>
      <c r="D1197" s="1533">
        <f>Prec.!D541</f>
        <v>0.85</v>
      </c>
      <c r="E1197" s="1539">
        <f t="shared" si="100"/>
        <v>11.05</v>
      </c>
      <c r="F1197" s="1540"/>
    </row>
    <row r="1198" spans="1:6" ht="12.75" customHeight="1">
      <c r="A1198" s="1624" t="s">
        <v>433</v>
      </c>
      <c r="B1198" s="1537">
        <v>13</v>
      </c>
      <c r="C1198" s="1538" t="s">
        <v>1017</v>
      </c>
      <c r="D1198" s="1533">
        <f>Prec.!D544</f>
        <v>4.2699999999999996</v>
      </c>
      <c r="E1198" s="1539">
        <f t="shared" si="100"/>
        <v>55.51</v>
      </c>
      <c r="F1198" s="1540"/>
    </row>
    <row r="1199" spans="1:6" ht="12.75" customHeight="1">
      <c r="A1199" s="1536" t="s">
        <v>208</v>
      </c>
      <c r="B1199" s="1541">
        <f>SUM(E1191:E1195)</f>
        <v>1290.95</v>
      </c>
      <c r="C1199" s="1538" t="s">
        <v>209</v>
      </c>
      <c r="D1199" s="1533">
        <v>0.02</v>
      </c>
      <c r="E1199" s="1539">
        <f t="shared" si="100"/>
        <v>25.82</v>
      </c>
      <c r="F1199" s="1540">
        <f>SUM(E1191:E1199)</f>
        <v>1383.33</v>
      </c>
    </row>
    <row r="1200" spans="1:6" ht="12.75" customHeight="1">
      <c r="A1200" s="12"/>
      <c r="B1200" s="14"/>
      <c r="C1200" s="24"/>
      <c r="D1200" s="35"/>
      <c r="E1200" s="31"/>
      <c r="F1200" s="32"/>
    </row>
    <row r="1201" spans="1:6" ht="12.75" customHeight="1">
      <c r="A1201" s="12"/>
      <c r="B1201" s="14"/>
      <c r="C1201" s="24"/>
      <c r="D1201" s="35"/>
      <c r="E1201" s="31"/>
      <c r="F1201" s="32"/>
    </row>
    <row r="1202" spans="1:6" ht="12.75" customHeight="1">
      <c r="A1202" s="12"/>
      <c r="B1202" s="14"/>
      <c r="C1202" s="24"/>
      <c r="D1202" s="35"/>
      <c r="E1202" s="31"/>
      <c r="F1202" s="32"/>
    </row>
    <row r="1203" spans="1:6" ht="12.75" customHeight="1">
      <c r="A1203" s="12"/>
      <c r="B1203" s="14"/>
      <c r="C1203" s="24"/>
      <c r="D1203" s="35"/>
      <c r="E1203" s="31"/>
      <c r="F1203" s="32"/>
    </row>
    <row r="1204" spans="1:6" ht="12.75" customHeight="1">
      <c r="A1204" s="12"/>
      <c r="B1204" s="14"/>
      <c r="C1204" s="24"/>
      <c r="D1204" s="35"/>
      <c r="E1204" s="31"/>
      <c r="F1204" s="32"/>
    </row>
    <row r="1205" spans="1:6" ht="12.75" customHeight="1">
      <c r="A1205" s="12"/>
      <c r="B1205" s="14"/>
      <c r="C1205" s="24"/>
      <c r="D1205" s="35"/>
      <c r="E1205" s="31"/>
      <c r="F1205" s="32"/>
    </row>
    <row r="1206" spans="1:6" ht="12.75" customHeight="1">
      <c r="A1206" s="12"/>
      <c r="B1206" s="14"/>
      <c r="C1206" s="24"/>
      <c r="D1206" s="35"/>
      <c r="E1206" s="31"/>
      <c r="F1206" s="32"/>
    </row>
    <row r="1207" spans="1:6" ht="12.75" customHeight="1">
      <c r="A1207" s="13" t="s">
        <v>118</v>
      </c>
      <c r="B1207" s="30"/>
      <c r="C1207" s="24"/>
      <c r="D1207" s="35"/>
      <c r="E1207" s="43" t="s">
        <v>151</v>
      </c>
      <c r="F1207" s="44" t="s">
        <v>213</v>
      </c>
    </row>
    <row r="1208" spans="1:6" ht="12.75" customHeight="1">
      <c r="A1208" s="12" t="s">
        <v>102</v>
      </c>
      <c r="B1208" s="30">
        <v>13</v>
      </c>
      <c r="C1208" s="24" t="s">
        <v>1017</v>
      </c>
      <c r="D1208" s="35">
        <f>Prec.!$C$86</f>
        <v>44</v>
      </c>
      <c r="E1208" s="31">
        <f t="shared" ref="E1208:E1216" si="101">ROUND(B1208*D1208,2)</f>
        <v>572</v>
      </c>
      <c r="F1208" s="32"/>
    </row>
    <row r="1209" spans="1:6" ht="12.75" customHeight="1">
      <c r="A1209" s="12" t="s">
        <v>117</v>
      </c>
      <c r="B1209" s="30">
        <v>2.4E-2</v>
      </c>
      <c r="C1209" s="24" t="s">
        <v>216</v>
      </c>
      <c r="D1209" s="35">
        <f>Prec.!$C$54</f>
        <v>3200</v>
      </c>
      <c r="E1209" s="31">
        <f t="shared" si="101"/>
        <v>76.8</v>
      </c>
      <c r="F1209" s="32"/>
    </row>
    <row r="1210" spans="1:6" ht="12.75" customHeight="1">
      <c r="A1210" s="12" t="s">
        <v>217</v>
      </c>
      <c r="B1210" s="30">
        <f>B1209*2</f>
        <v>4.8000000000000001E-2</v>
      </c>
      <c r="C1210" s="24" t="s">
        <v>218</v>
      </c>
      <c r="D1210" s="35">
        <f>Prec.!$C$75</f>
        <v>60</v>
      </c>
      <c r="E1210" s="31">
        <f t="shared" si="101"/>
        <v>2.88</v>
      </c>
      <c r="F1210" s="32"/>
    </row>
    <row r="1211" spans="1:6" ht="12.75" customHeight="1">
      <c r="A1211" s="12" t="s">
        <v>427</v>
      </c>
      <c r="B1211" s="30">
        <v>3.1E-2</v>
      </c>
      <c r="C1211" s="24" t="s">
        <v>825</v>
      </c>
      <c r="D1211" s="35">
        <f>$F$46</f>
        <v>6653.49</v>
      </c>
      <c r="E1211" s="31">
        <f t="shared" si="101"/>
        <v>206.26</v>
      </c>
      <c r="F1211" s="32"/>
    </row>
    <row r="1212" spans="1:6" ht="12.75" customHeight="1">
      <c r="A1212" s="12" t="s">
        <v>421</v>
      </c>
      <c r="B1212" s="30">
        <v>4.8000000000000001E-2</v>
      </c>
      <c r="C1212" s="24" t="s">
        <v>825</v>
      </c>
      <c r="D1212" s="35">
        <f>D1173</f>
        <v>5147.68</v>
      </c>
      <c r="E1212" s="31">
        <f t="shared" si="101"/>
        <v>247.09</v>
      </c>
      <c r="F1212" s="32"/>
    </row>
    <row r="1213" spans="1:6" ht="12.75" customHeight="1">
      <c r="A1213" s="12" t="s">
        <v>428</v>
      </c>
      <c r="B1213" s="30">
        <v>13</v>
      </c>
      <c r="C1213" s="24" t="s">
        <v>1017</v>
      </c>
      <c r="D1213" s="35">
        <f>Prec.!$D$329</f>
        <v>0</v>
      </c>
      <c r="E1213" s="31">
        <f t="shared" si="101"/>
        <v>0</v>
      </c>
      <c r="F1213" s="32"/>
    </row>
    <row r="1214" spans="1:6" ht="12.75" customHeight="1">
      <c r="A1214" s="12" t="s">
        <v>432</v>
      </c>
      <c r="B1214" s="30">
        <v>13</v>
      </c>
      <c r="C1214" s="24" t="s">
        <v>1017</v>
      </c>
      <c r="D1214" s="35">
        <f>Prec.!$D$542</f>
        <v>0.55000000000000004</v>
      </c>
      <c r="E1214" s="31">
        <f t="shared" si="101"/>
        <v>7.15</v>
      </c>
      <c r="F1214" s="32"/>
    </row>
    <row r="1215" spans="1:6" ht="12.75" customHeight="1">
      <c r="A1215" s="12" t="s">
        <v>433</v>
      </c>
      <c r="B1215" s="30">
        <v>13</v>
      </c>
      <c r="C1215" s="24" t="s">
        <v>1017</v>
      </c>
      <c r="D1215" s="35">
        <f>Prec.!D544</f>
        <v>4.2699999999999996</v>
      </c>
      <c r="E1215" s="31">
        <f t="shared" si="101"/>
        <v>55.51</v>
      </c>
      <c r="F1215" s="32"/>
    </row>
    <row r="1216" spans="1:6" ht="12.75" customHeight="1">
      <c r="A1216" s="12" t="s">
        <v>208</v>
      </c>
      <c r="B1216" s="14">
        <f>SUM(E1208:E1215)</f>
        <v>1167.69</v>
      </c>
      <c r="C1216" s="24" t="s">
        <v>209</v>
      </c>
      <c r="D1216" s="35">
        <f>Prec.!C302</f>
        <v>1.4999999999999999E-2</v>
      </c>
      <c r="E1216" s="31">
        <f t="shared" si="101"/>
        <v>17.52</v>
      </c>
      <c r="F1216" s="32">
        <f>SUM(E1208:E1216)</f>
        <v>1185.21</v>
      </c>
    </row>
    <row r="1217" spans="1:6" ht="12.75" customHeight="1">
      <c r="A1217" s="12"/>
      <c r="B1217" s="14"/>
      <c r="C1217" s="24"/>
      <c r="D1217" s="35"/>
      <c r="E1217" s="31"/>
      <c r="F1217" s="32"/>
    </row>
    <row r="1218" spans="1:6" ht="12.75" customHeight="1">
      <c r="A1218" s="13" t="s">
        <v>120</v>
      </c>
      <c r="B1218" s="30"/>
      <c r="C1218" s="24"/>
      <c r="D1218" s="35"/>
      <c r="E1218" s="43" t="s">
        <v>151</v>
      </c>
      <c r="F1218" s="44" t="s">
        <v>213</v>
      </c>
    </row>
    <row r="1219" spans="1:6" ht="12.75" customHeight="1">
      <c r="A1219" s="12" t="s">
        <v>102</v>
      </c>
      <c r="B1219" s="30">
        <v>13</v>
      </c>
      <c r="C1219" s="24" t="s">
        <v>1017</v>
      </c>
      <c r="D1219" s="35">
        <f>Prec.!$C$86</f>
        <v>44</v>
      </c>
      <c r="E1219" s="31">
        <f t="shared" ref="E1219:E1227" si="102">ROUND(B1219*D1219,2)</f>
        <v>572</v>
      </c>
      <c r="F1219" s="32"/>
    </row>
    <row r="1220" spans="1:6" ht="12.75" customHeight="1">
      <c r="A1220" s="12" t="s">
        <v>117</v>
      </c>
      <c r="B1220" s="30">
        <v>3.6999999999999998E-2</v>
      </c>
      <c r="C1220" s="24" t="s">
        <v>216</v>
      </c>
      <c r="D1220" s="35">
        <f>Prec.!$C$54</f>
        <v>3200</v>
      </c>
      <c r="E1220" s="31">
        <f t="shared" si="102"/>
        <v>118.4</v>
      </c>
      <c r="F1220" s="32"/>
    </row>
    <row r="1221" spans="1:6" ht="12.75" customHeight="1">
      <c r="A1221" s="12" t="s">
        <v>217</v>
      </c>
      <c r="B1221" s="30">
        <f>B1220*2</f>
        <v>7.3999999999999996E-2</v>
      </c>
      <c r="C1221" s="24" t="s">
        <v>218</v>
      </c>
      <c r="D1221" s="35">
        <f>Prec.!$C$75</f>
        <v>60</v>
      </c>
      <c r="E1221" s="31">
        <f t="shared" si="102"/>
        <v>4.4400000000000004</v>
      </c>
      <c r="F1221" s="32"/>
    </row>
    <row r="1222" spans="1:6" ht="12.75" customHeight="1">
      <c r="A1222" s="12" t="s">
        <v>427</v>
      </c>
      <c r="B1222" s="30">
        <v>3.1E-2</v>
      </c>
      <c r="C1222" s="24" t="s">
        <v>825</v>
      </c>
      <c r="D1222" s="35">
        <f>$F$46</f>
        <v>6653.49</v>
      </c>
      <c r="E1222" s="31">
        <f t="shared" si="102"/>
        <v>206.26</v>
      </c>
      <c r="F1222" s="32"/>
    </row>
    <row r="1223" spans="1:6" ht="12.75" customHeight="1">
      <c r="A1223" s="12" t="s">
        <v>421</v>
      </c>
      <c r="B1223" s="30">
        <v>3.9E-2</v>
      </c>
      <c r="C1223" s="24" t="s">
        <v>825</v>
      </c>
      <c r="D1223" s="35">
        <f>D1245</f>
        <v>5147.68</v>
      </c>
      <c r="E1223" s="31">
        <f t="shared" si="102"/>
        <v>200.76</v>
      </c>
      <c r="F1223" s="32"/>
    </row>
    <row r="1224" spans="1:6" ht="12.75" customHeight="1">
      <c r="A1224" s="12" t="s">
        <v>428</v>
      </c>
      <c r="B1224" s="30">
        <v>13</v>
      </c>
      <c r="C1224" s="24" t="s">
        <v>1017</v>
      </c>
      <c r="D1224" s="35">
        <f>Prec.!$D$329</f>
        <v>0</v>
      </c>
      <c r="E1224" s="31">
        <f t="shared" si="102"/>
        <v>0</v>
      </c>
      <c r="F1224" s="32"/>
    </row>
    <row r="1225" spans="1:6" ht="12.75" customHeight="1">
      <c r="A1225" s="12" t="s">
        <v>432</v>
      </c>
      <c r="B1225" s="30">
        <v>13</v>
      </c>
      <c r="C1225" s="24" t="s">
        <v>1017</v>
      </c>
      <c r="D1225" s="35">
        <f>Prec.!$D$540</f>
        <v>1.1499999999999999</v>
      </c>
      <c r="E1225" s="31">
        <f t="shared" si="102"/>
        <v>14.95</v>
      </c>
      <c r="F1225" s="32"/>
    </row>
    <row r="1226" spans="1:6" ht="12.75" customHeight="1">
      <c r="A1226" s="12" t="s">
        <v>433</v>
      </c>
      <c r="B1226" s="30">
        <v>13</v>
      </c>
      <c r="C1226" s="24" t="s">
        <v>1017</v>
      </c>
      <c r="D1226" s="35">
        <f>Prec.!$D$545</f>
        <v>2.33</v>
      </c>
      <c r="E1226" s="31">
        <f t="shared" si="102"/>
        <v>30.29</v>
      </c>
      <c r="F1226" s="32"/>
    </row>
    <row r="1227" spans="1:6" ht="12.75" customHeight="1">
      <c r="A1227" s="12" t="s">
        <v>208</v>
      </c>
      <c r="B1227" s="14">
        <f>SUM(E1219:E1226)</f>
        <v>1147.1000000000001</v>
      </c>
      <c r="C1227" s="24" t="s">
        <v>209</v>
      </c>
      <c r="D1227" s="35">
        <f>Prec.!C302</f>
        <v>1.4999999999999999E-2</v>
      </c>
      <c r="E1227" s="31">
        <f t="shared" si="102"/>
        <v>17.21</v>
      </c>
      <c r="F1227" s="32">
        <f>SUM(E1219:E1227)</f>
        <v>1164.3100000000002</v>
      </c>
    </row>
    <row r="1228" spans="1:6" ht="12.75" customHeight="1">
      <c r="A1228" s="12"/>
      <c r="B1228" s="14"/>
      <c r="C1228" s="24"/>
      <c r="D1228" s="35"/>
      <c r="E1228" s="31"/>
      <c r="F1228" s="32"/>
    </row>
    <row r="1229" spans="1:6" ht="12.75" customHeight="1">
      <c r="A1229" s="1530" t="s">
        <v>5398</v>
      </c>
      <c r="B1229" s="1537"/>
      <c r="C1229" s="1538"/>
      <c r="D1229" s="1533"/>
      <c r="E1229" s="1534" t="s">
        <v>151</v>
      </c>
      <c r="F1229" s="1535" t="s">
        <v>213</v>
      </c>
    </row>
    <row r="1230" spans="1:6" ht="12.75" customHeight="1">
      <c r="A1230" s="1536" t="s">
        <v>102</v>
      </c>
      <c r="B1230" s="1537">
        <v>13</v>
      </c>
      <c r="C1230" s="1538" t="s">
        <v>1017</v>
      </c>
      <c r="D1230" s="1533">
        <f>Prec.!$C$86</f>
        <v>44</v>
      </c>
      <c r="E1230" s="1539">
        <f t="shared" ref="E1230:E1238" si="103">ROUND(B1230*D1230,2)</f>
        <v>572</v>
      </c>
      <c r="F1230" s="1540"/>
    </row>
    <row r="1231" spans="1:6" ht="12.75" customHeight="1">
      <c r="A1231" s="1536" t="s">
        <v>117</v>
      </c>
      <c r="B1231" s="1537">
        <f>'ana A1'!I110</f>
        <v>0.08</v>
      </c>
      <c r="C1231" s="1538" t="s">
        <v>216</v>
      </c>
      <c r="D1231" s="1533">
        <f>Prec.!$C$54</f>
        <v>3200</v>
      </c>
      <c r="E1231" s="1539">
        <f t="shared" si="103"/>
        <v>256</v>
      </c>
      <c r="F1231" s="1540"/>
    </row>
    <row r="1232" spans="1:6" ht="12.75" customHeight="1">
      <c r="A1232" s="1536" t="s">
        <v>217</v>
      </c>
      <c r="B1232" s="1537">
        <f>B1231*2</f>
        <v>0.16</v>
      </c>
      <c r="C1232" s="1538" t="s">
        <v>218</v>
      </c>
      <c r="D1232" s="1533">
        <f>Prec.!$C$75</f>
        <v>60</v>
      </c>
      <c r="E1232" s="1539">
        <f t="shared" si="103"/>
        <v>9.6</v>
      </c>
      <c r="F1232" s="1540"/>
    </row>
    <row r="1233" spans="1:6" ht="12.75" customHeight="1">
      <c r="A1233" s="1536" t="s">
        <v>427</v>
      </c>
      <c r="B1233" s="1537">
        <v>3.1E-2</v>
      </c>
      <c r="C1233" s="1538" t="s">
        <v>825</v>
      </c>
      <c r="D1233" s="1533">
        <f>$F$46</f>
        <v>6653.49</v>
      </c>
      <c r="E1233" s="1539">
        <f t="shared" si="103"/>
        <v>206.26</v>
      </c>
      <c r="F1233" s="1540"/>
    </row>
    <row r="1234" spans="1:6" ht="12.75" customHeight="1">
      <c r="A1234" s="1536" t="s">
        <v>421</v>
      </c>
      <c r="B1234" s="1537">
        <v>0.03</v>
      </c>
      <c r="C1234" s="1538" t="s">
        <v>825</v>
      </c>
      <c r="D1234" s="1533">
        <f>D1223</f>
        <v>5147.68</v>
      </c>
      <c r="E1234" s="1539">
        <f t="shared" si="103"/>
        <v>154.43</v>
      </c>
      <c r="F1234" s="1540"/>
    </row>
    <row r="1235" spans="1:6" ht="12.75" customHeight="1">
      <c r="A1235" s="1536" t="s">
        <v>428</v>
      </c>
      <c r="B1235" s="1537">
        <v>13</v>
      </c>
      <c r="C1235" s="1538" t="s">
        <v>1017</v>
      </c>
      <c r="D1235" s="1533">
        <f>Prec.!C331</f>
        <v>21.68</v>
      </c>
      <c r="E1235" s="1539">
        <f t="shared" si="103"/>
        <v>281.83999999999997</v>
      </c>
      <c r="F1235" s="1540"/>
    </row>
    <row r="1236" spans="1:6" ht="12.75" customHeight="1">
      <c r="A1236" s="1536" t="s">
        <v>432</v>
      </c>
      <c r="B1236" s="1537">
        <v>13</v>
      </c>
      <c r="C1236" s="1538" t="s">
        <v>1017</v>
      </c>
      <c r="D1236" s="1533">
        <f>Prec.!D541</f>
        <v>0.85</v>
      </c>
      <c r="E1236" s="1539">
        <f t="shared" si="103"/>
        <v>11.05</v>
      </c>
      <c r="F1236" s="1540"/>
    </row>
    <row r="1237" spans="1:6" ht="12.75" customHeight="1">
      <c r="A1237" s="1536" t="s">
        <v>433</v>
      </c>
      <c r="B1237" s="1537">
        <v>13</v>
      </c>
      <c r="C1237" s="1538" t="s">
        <v>1017</v>
      </c>
      <c r="D1237" s="1533">
        <f>Prec.!D546</f>
        <v>1.7</v>
      </c>
      <c r="E1237" s="1539">
        <f t="shared" si="103"/>
        <v>22.1</v>
      </c>
      <c r="F1237" s="1540"/>
    </row>
    <row r="1238" spans="1:6" ht="12.75" customHeight="1">
      <c r="A1238" s="1536" t="s">
        <v>208</v>
      </c>
      <c r="B1238" s="1541">
        <f>SUM(E1230:E1237)</f>
        <v>1513.28</v>
      </c>
      <c r="C1238" s="1538" t="s">
        <v>209</v>
      </c>
      <c r="D1238" s="1533">
        <v>0.02</v>
      </c>
      <c r="E1238" s="1539">
        <f t="shared" si="103"/>
        <v>30.27</v>
      </c>
      <c r="F1238" s="1540">
        <f>SUM(E1230:E1238)</f>
        <v>1543.55</v>
      </c>
    </row>
    <row r="1239" spans="1:6" ht="12.75" customHeight="1">
      <c r="A1239" s="12"/>
      <c r="B1239" s="14"/>
      <c r="C1239" s="24"/>
      <c r="D1239" s="35"/>
      <c r="E1239" s="31"/>
      <c r="F1239" s="32"/>
    </row>
    <row r="1240" spans="1:6" ht="12.75" customHeight="1">
      <c r="A1240" s="13" t="s">
        <v>119</v>
      </c>
      <c r="B1240" s="30"/>
      <c r="C1240" s="24"/>
      <c r="D1240" s="35"/>
      <c r="E1240" s="43" t="s">
        <v>151</v>
      </c>
      <c r="F1240" s="44" t="s">
        <v>213</v>
      </c>
    </row>
    <row r="1241" spans="1:6" ht="12.75" customHeight="1">
      <c r="A1241" s="12" t="s">
        <v>102</v>
      </c>
      <c r="B1241" s="30">
        <v>13</v>
      </c>
      <c r="C1241" s="24" t="s">
        <v>1017</v>
      </c>
      <c r="D1241" s="35">
        <f>Prec.!$C$86</f>
        <v>44</v>
      </c>
      <c r="E1241" s="31">
        <f t="shared" ref="E1241:E1249" si="104">ROUND(B1241*D1241,2)</f>
        <v>572</v>
      </c>
      <c r="F1241" s="32"/>
    </row>
    <row r="1242" spans="1:6" ht="12.75" customHeight="1">
      <c r="A1242" s="12" t="s">
        <v>117</v>
      </c>
      <c r="B1242" s="30">
        <v>2.4E-2</v>
      </c>
      <c r="C1242" s="24" t="s">
        <v>216</v>
      </c>
      <c r="D1242" s="35">
        <f>Prec.!$C$54</f>
        <v>3200</v>
      </c>
      <c r="E1242" s="31">
        <f t="shared" si="104"/>
        <v>76.8</v>
      </c>
      <c r="F1242" s="32"/>
    </row>
    <row r="1243" spans="1:6" ht="12.75" customHeight="1">
      <c r="A1243" s="12" t="s">
        <v>217</v>
      </c>
      <c r="B1243" s="30">
        <f>B1242*2</f>
        <v>4.8000000000000001E-2</v>
      </c>
      <c r="C1243" s="24" t="s">
        <v>218</v>
      </c>
      <c r="D1243" s="35">
        <f>Prec.!$C$75</f>
        <v>60</v>
      </c>
      <c r="E1243" s="31">
        <f t="shared" si="104"/>
        <v>2.88</v>
      </c>
      <c r="F1243" s="32"/>
    </row>
    <row r="1244" spans="1:6" ht="12.75" customHeight="1">
      <c r="A1244" s="12" t="s">
        <v>427</v>
      </c>
      <c r="B1244" s="30">
        <v>3.1E-2</v>
      </c>
      <c r="C1244" s="24" t="s">
        <v>825</v>
      </c>
      <c r="D1244" s="35">
        <f>$F$46</f>
        <v>6653.49</v>
      </c>
      <c r="E1244" s="31">
        <f t="shared" si="104"/>
        <v>206.26</v>
      </c>
      <c r="F1244" s="32"/>
    </row>
    <row r="1245" spans="1:6" ht="12.75" customHeight="1">
      <c r="A1245" s="12" t="s">
        <v>421</v>
      </c>
      <c r="B1245" s="30">
        <v>0.03</v>
      </c>
      <c r="C1245" s="24" t="s">
        <v>825</v>
      </c>
      <c r="D1245" s="35">
        <f>D1195</f>
        <v>5147.68</v>
      </c>
      <c r="E1245" s="31">
        <f t="shared" si="104"/>
        <v>154.43</v>
      </c>
      <c r="F1245" s="32"/>
    </row>
    <row r="1246" spans="1:6" ht="12.75" customHeight="1">
      <c r="A1246" s="12" t="s">
        <v>428</v>
      </c>
      <c r="B1246" s="30">
        <v>13</v>
      </c>
      <c r="C1246" s="24" t="s">
        <v>1017</v>
      </c>
      <c r="D1246" s="35">
        <f>Prec.!$D$329</f>
        <v>0</v>
      </c>
      <c r="E1246" s="31">
        <f t="shared" si="104"/>
        <v>0</v>
      </c>
      <c r="F1246" s="32"/>
    </row>
    <row r="1247" spans="1:6" ht="12.75" customHeight="1">
      <c r="A1247" s="12" t="s">
        <v>432</v>
      </c>
      <c r="B1247" s="30">
        <v>13</v>
      </c>
      <c r="C1247" s="24" t="s">
        <v>1017</v>
      </c>
      <c r="D1247" s="35">
        <f>Prec.!$D$542</f>
        <v>0.55000000000000004</v>
      </c>
      <c r="E1247" s="31">
        <f t="shared" si="104"/>
        <v>7.15</v>
      </c>
      <c r="F1247" s="32"/>
    </row>
    <row r="1248" spans="1:6" ht="12.75" customHeight="1">
      <c r="A1248" s="12" t="s">
        <v>433</v>
      </c>
      <c r="B1248" s="30">
        <v>13</v>
      </c>
      <c r="C1248" s="24" t="s">
        <v>1017</v>
      </c>
      <c r="D1248" s="35">
        <f>Prec.!$D$547</f>
        <v>1.1499999999999999</v>
      </c>
      <c r="E1248" s="31">
        <f t="shared" si="104"/>
        <v>14.95</v>
      </c>
      <c r="F1248" s="32"/>
    </row>
    <row r="1249" spans="1:6" ht="12.75" customHeight="1">
      <c r="A1249" s="12" t="s">
        <v>208</v>
      </c>
      <c r="B1249" s="14">
        <f>SUM(E1241:E1248)</f>
        <v>1034.4699999999998</v>
      </c>
      <c r="C1249" s="24" t="s">
        <v>209</v>
      </c>
      <c r="D1249" s="35">
        <f>Prec.!C302</f>
        <v>1.4999999999999999E-2</v>
      </c>
      <c r="E1249" s="31">
        <f t="shared" si="104"/>
        <v>15.52</v>
      </c>
      <c r="F1249" s="32">
        <f>SUM(E1241:E1249)</f>
        <v>1049.9899999999998</v>
      </c>
    </row>
    <row r="1250" spans="1:6" ht="12.75" customHeight="1">
      <c r="A1250" s="12"/>
      <c r="B1250" s="14"/>
      <c r="C1250" s="24"/>
      <c r="D1250" s="35"/>
      <c r="E1250" s="31"/>
      <c r="F1250" s="32"/>
    </row>
    <row r="1251" spans="1:6" ht="12.75" customHeight="1">
      <c r="A1251" s="12"/>
      <c r="B1251" s="14"/>
      <c r="C1251" s="24"/>
      <c r="D1251" s="35"/>
      <c r="E1251" s="31"/>
      <c r="F1251" s="32"/>
    </row>
    <row r="1252" spans="1:6" ht="12.75" customHeight="1">
      <c r="A1252" s="12"/>
      <c r="B1252" s="14"/>
      <c r="C1252" s="24"/>
      <c r="D1252" s="35"/>
      <c r="E1252" s="31"/>
      <c r="F1252" s="32"/>
    </row>
    <row r="1253" spans="1:6" ht="12.75" customHeight="1">
      <c r="A1253" s="12"/>
      <c r="B1253" s="14"/>
      <c r="C1253" s="24"/>
      <c r="D1253" s="35"/>
      <c r="E1253" s="31"/>
      <c r="F1253" s="32"/>
    </row>
    <row r="1254" spans="1:6" ht="12.75" customHeight="1">
      <c r="A1254" s="12"/>
      <c r="B1254" s="14"/>
      <c r="C1254" s="24"/>
      <c r="D1254" s="35"/>
      <c r="E1254" s="31"/>
      <c r="F1254" s="32"/>
    </row>
    <row r="1255" spans="1:6" ht="12.75" customHeight="1">
      <c r="A1255" s="12"/>
      <c r="B1255" s="14"/>
      <c r="C1255" s="24"/>
      <c r="D1255" s="35"/>
      <c r="E1255" s="31"/>
      <c r="F1255" s="32"/>
    </row>
    <row r="1256" spans="1:6" ht="12.75" customHeight="1">
      <c r="A1256" s="12"/>
      <c r="B1256" s="14"/>
      <c r="C1256" s="24"/>
      <c r="D1256" s="35"/>
      <c r="E1256" s="31"/>
      <c r="F1256" s="32"/>
    </row>
    <row r="1257" spans="1:6" ht="12.75" customHeight="1">
      <c r="A1257" s="13" t="s">
        <v>1570</v>
      </c>
      <c r="B1257" s="30"/>
      <c r="C1257" s="24"/>
      <c r="D1257" s="35"/>
      <c r="E1257" s="43" t="s">
        <v>151</v>
      </c>
      <c r="F1257" s="44" t="s">
        <v>213</v>
      </c>
    </row>
    <row r="1258" spans="1:6" ht="12.75" customHeight="1">
      <c r="A1258" s="12" t="s">
        <v>429</v>
      </c>
      <c r="B1258" s="30">
        <v>13</v>
      </c>
      <c r="C1258" s="24" t="s">
        <v>1017</v>
      </c>
      <c r="D1258" s="35">
        <f>Prec.!$C$87</f>
        <v>34</v>
      </c>
      <c r="E1258" s="31">
        <f t="shared" ref="E1258:E1266" si="105">ROUND(B1258*D1258,2)</f>
        <v>442</v>
      </c>
      <c r="F1258" s="32"/>
    </row>
    <row r="1259" spans="1:6" ht="12.75" customHeight="1">
      <c r="A1259" s="12" t="s">
        <v>121</v>
      </c>
      <c r="B1259" s="30">
        <v>2.4E-2</v>
      </c>
      <c r="C1259" s="24" t="s">
        <v>216</v>
      </c>
      <c r="D1259" s="35">
        <f>Prec.!$C$53</f>
        <v>3200</v>
      </c>
      <c r="E1259" s="31">
        <f t="shared" si="105"/>
        <v>76.8</v>
      </c>
      <c r="F1259" s="32"/>
    </row>
    <row r="1260" spans="1:6" ht="12.75" customHeight="1">
      <c r="A1260" s="12" t="s">
        <v>217</v>
      </c>
      <c r="B1260" s="30">
        <f>B1259*2</f>
        <v>4.8000000000000001E-2</v>
      </c>
      <c r="C1260" s="24" t="s">
        <v>218</v>
      </c>
      <c r="D1260" s="35">
        <f>Prec.!$C$75</f>
        <v>60</v>
      </c>
      <c r="E1260" s="31">
        <f t="shared" si="105"/>
        <v>2.88</v>
      </c>
      <c r="F1260" s="32"/>
    </row>
    <row r="1261" spans="1:6" ht="12.75" customHeight="1">
      <c r="A1261" s="12" t="s">
        <v>427</v>
      </c>
      <c r="B1261" s="30">
        <v>0.02</v>
      </c>
      <c r="C1261" s="24" t="s">
        <v>825</v>
      </c>
      <c r="D1261" s="35">
        <f>$F$46</f>
        <v>6653.49</v>
      </c>
      <c r="E1261" s="31">
        <f t="shared" si="105"/>
        <v>133.07</v>
      </c>
      <c r="F1261" s="32"/>
    </row>
    <row r="1262" spans="1:6" ht="12.75" customHeight="1">
      <c r="A1262" s="12" t="s">
        <v>421</v>
      </c>
      <c r="B1262" s="30">
        <v>8.9999999999999993E-3</v>
      </c>
      <c r="C1262" s="24" t="s">
        <v>825</v>
      </c>
      <c r="D1262" s="35">
        <f>horm.ymez.!C14</f>
        <v>5147.68</v>
      </c>
      <c r="E1262" s="31">
        <f t="shared" si="105"/>
        <v>46.33</v>
      </c>
      <c r="F1262" s="32"/>
    </row>
    <row r="1263" spans="1:6" ht="12.75" customHeight="1">
      <c r="A1263" s="12" t="s">
        <v>428</v>
      </c>
      <c r="B1263" s="30">
        <v>13</v>
      </c>
      <c r="C1263" s="24" t="s">
        <v>1017</v>
      </c>
      <c r="D1263" s="35">
        <f>Prec.!$D$328</f>
        <v>0</v>
      </c>
      <c r="E1263" s="31">
        <f t="shared" si="105"/>
        <v>0</v>
      </c>
      <c r="F1263" s="32"/>
    </row>
    <row r="1264" spans="1:6" ht="12.75" customHeight="1">
      <c r="A1264" s="12" t="s">
        <v>432</v>
      </c>
      <c r="B1264" s="30">
        <v>13</v>
      </c>
      <c r="C1264" s="24" t="s">
        <v>1017</v>
      </c>
      <c r="D1264" s="35">
        <f>Prec.!$D$542</f>
        <v>0.55000000000000004</v>
      </c>
      <c r="E1264" s="31">
        <f t="shared" si="105"/>
        <v>7.15</v>
      </c>
      <c r="F1264" s="32"/>
    </row>
    <row r="1265" spans="1:6" ht="12.75" customHeight="1">
      <c r="A1265" s="12" t="s">
        <v>433</v>
      </c>
      <c r="B1265" s="30">
        <v>13</v>
      </c>
      <c r="C1265" s="24" t="s">
        <v>1017</v>
      </c>
      <c r="D1265" s="35">
        <f>Prec.!$D$547</f>
        <v>1.1499999999999999</v>
      </c>
      <c r="E1265" s="31">
        <f t="shared" si="105"/>
        <v>14.95</v>
      </c>
      <c r="F1265" s="32"/>
    </row>
    <row r="1266" spans="1:6" ht="12.75" customHeight="1">
      <c r="A1266" s="12" t="s">
        <v>208</v>
      </c>
      <c r="B1266" s="14">
        <f>SUM(E1258:E1265)</f>
        <v>723.18000000000006</v>
      </c>
      <c r="C1266" s="24" t="s">
        <v>209</v>
      </c>
      <c r="D1266" s="35">
        <f>Prec.!C302</f>
        <v>1.4999999999999999E-2</v>
      </c>
      <c r="E1266" s="31">
        <f t="shared" si="105"/>
        <v>10.85</v>
      </c>
      <c r="F1266" s="32">
        <f>SUM(E1258:E1266)</f>
        <v>734.03000000000009</v>
      </c>
    </row>
    <row r="1267" spans="1:6" ht="12.75" customHeight="1">
      <c r="A1267" s="12"/>
      <c r="B1267" s="14"/>
      <c r="C1267" s="24"/>
      <c r="D1267" s="35"/>
      <c r="E1267" s="31"/>
      <c r="F1267" s="32"/>
    </row>
    <row r="1268" spans="1:6" ht="12.75" customHeight="1">
      <c r="A1268" s="13" t="s">
        <v>1566</v>
      </c>
      <c r="B1268" s="30"/>
      <c r="C1268" s="24"/>
      <c r="D1268" s="35"/>
      <c r="E1268" s="43" t="s">
        <v>151</v>
      </c>
      <c r="F1268" s="44" t="s">
        <v>213</v>
      </c>
    </row>
    <row r="1269" spans="1:6" ht="12.75" customHeight="1">
      <c r="A1269" s="12" t="s">
        <v>214</v>
      </c>
      <c r="B1269" s="30">
        <v>13</v>
      </c>
      <c r="C1269" s="24" t="s">
        <v>1017</v>
      </c>
      <c r="D1269" s="35">
        <f>Prec.!$C$85</f>
        <v>48</v>
      </c>
      <c r="E1269" s="31">
        <f t="shared" ref="E1269:E1278" si="106">ROUND(B1269*D1269,2)</f>
        <v>624</v>
      </c>
      <c r="F1269" s="32"/>
    </row>
    <row r="1270" spans="1:6" ht="12.75" customHeight="1">
      <c r="A1270" s="12" t="s">
        <v>117</v>
      </c>
      <c r="B1270" s="30">
        <v>6.2E-2</v>
      </c>
      <c r="C1270" s="24" t="s">
        <v>216</v>
      </c>
      <c r="D1270" s="35">
        <f>Prec.!$C$54</f>
        <v>3200</v>
      </c>
      <c r="E1270" s="31">
        <f t="shared" si="106"/>
        <v>198.4</v>
      </c>
      <c r="F1270" s="32"/>
    </row>
    <row r="1271" spans="1:6" ht="12.75" customHeight="1">
      <c r="A1271" s="12" t="s">
        <v>217</v>
      </c>
      <c r="B1271" s="30">
        <f>B1270*2</f>
        <v>0.124</v>
      </c>
      <c r="C1271" s="24" t="s">
        <v>218</v>
      </c>
      <c r="D1271" s="35">
        <f>Prec.!$C$75</f>
        <v>60</v>
      </c>
      <c r="E1271" s="31">
        <f t="shared" si="106"/>
        <v>7.44</v>
      </c>
      <c r="F1271" s="32"/>
    </row>
    <row r="1272" spans="1:6" ht="12.75" customHeight="1">
      <c r="A1272" s="12" t="s">
        <v>427</v>
      </c>
      <c r="B1272" s="30">
        <v>3.9E-2</v>
      </c>
      <c r="C1272" s="24" t="s">
        <v>825</v>
      </c>
      <c r="D1272" s="35">
        <f>$F$46</f>
        <v>6653.49</v>
      </c>
      <c r="E1272" s="31">
        <f t="shared" si="106"/>
        <v>259.49</v>
      </c>
      <c r="F1272" s="32"/>
    </row>
    <row r="1273" spans="1:6" ht="12.75" customHeight="1">
      <c r="A1273" s="12" t="s">
        <v>421</v>
      </c>
      <c r="B1273" s="30">
        <v>7.8E-2</v>
      </c>
      <c r="C1273" s="24" t="s">
        <v>825</v>
      </c>
      <c r="D1273" s="35">
        <f>D1285</f>
        <v>5147.68</v>
      </c>
      <c r="E1273" s="31">
        <f t="shared" si="106"/>
        <v>401.52</v>
      </c>
      <c r="F1273" s="32"/>
    </row>
    <row r="1274" spans="1:6" ht="12.75" customHeight="1">
      <c r="A1274" s="12" t="s">
        <v>430</v>
      </c>
      <c r="B1274" s="30">
        <v>1</v>
      </c>
      <c r="C1274" s="24" t="s">
        <v>213</v>
      </c>
      <c r="D1274" s="35">
        <f>$F$999</f>
        <v>18.830000000000002</v>
      </c>
      <c r="E1274" s="31">
        <f t="shared" si="106"/>
        <v>18.829999999999998</v>
      </c>
      <c r="F1274" s="32"/>
    </row>
    <row r="1275" spans="1:6" ht="12.75" customHeight="1">
      <c r="A1275" s="12" t="s">
        <v>428</v>
      </c>
      <c r="B1275" s="30">
        <v>13</v>
      </c>
      <c r="C1275" s="24" t="s">
        <v>1017</v>
      </c>
      <c r="D1275" s="35">
        <f>Prec.!$D$330</f>
        <v>0</v>
      </c>
      <c r="E1275" s="31">
        <f t="shared" si="106"/>
        <v>0</v>
      </c>
      <c r="F1275" s="32"/>
    </row>
    <row r="1276" spans="1:6" ht="12.75" customHeight="1">
      <c r="A1276" s="12" t="s">
        <v>432</v>
      </c>
      <c r="B1276" s="30">
        <v>13</v>
      </c>
      <c r="C1276" s="24" t="s">
        <v>1017</v>
      </c>
      <c r="D1276" s="35">
        <f>Prec.!$D$539</f>
        <v>1.7</v>
      </c>
      <c r="E1276" s="31">
        <f t="shared" si="106"/>
        <v>22.1</v>
      </c>
      <c r="F1276" s="32"/>
    </row>
    <row r="1277" spans="1:6" ht="12.75" customHeight="1">
      <c r="A1277" s="12" t="s">
        <v>433</v>
      </c>
      <c r="B1277" s="30">
        <v>13</v>
      </c>
      <c r="C1277" s="24" t="s">
        <v>1017</v>
      </c>
      <c r="D1277" s="35">
        <f>Prec.!$D$544</f>
        <v>4.2699999999999996</v>
      </c>
      <c r="E1277" s="31">
        <f t="shared" si="106"/>
        <v>55.51</v>
      </c>
      <c r="F1277" s="32"/>
    </row>
    <row r="1278" spans="1:6" ht="12.75" customHeight="1">
      <c r="A1278" s="12" t="s">
        <v>208</v>
      </c>
      <c r="B1278" s="14">
        <f>SUM(E1269:E1277)</f>
        <v>1587.2899999999997</v>
      </c>
      <c r="C1278" s="24" t="s">
        <v>209</v>
      </c>
      <c r="D1278" s="35">
        <f>Prec.!C302</f>
        <v>1.4999999999999999E-2</v>
      </c>
      <c r="E1278" s="31">
        <f t="shared" si="106"/>
        <v>23.81</v>
      </c>
      <c r="F1278" s="32">
        <f>SUM(E1269:E1278)</f>
        <v>1611.0999999999997</v>
      </c>
    </row>
    <row r="1279" spans="1:6" ht="12.75" customHeight="1">
      <c r="A1279" s="12"/>
      <c r="B1279" s="14"/>
      <c r="C1279" s="24"/>
      <c r="D1279" s="35"/>
      <c r="E1279" s="31"/>
      <c r="F1279" s="32"/>
    </row>
    <row r="1280" spans="1:6" ht="12.75" customHeight="1">
      <c r="A1280" s="13" t="s">
        <v>122</v>
      </c>
      <c r="B1280" s="30"/>
      <c r="C1280" s="24"/>
      <c r="D1280" s="35"/>
      <c r="E1280" s="43" t="s">
        <v>151</v>
      </c>
      <c r="F1280" s="44" t="s">
        <v>213</v>
      </c>
    </row>
    <row r="1281" spans="1:6" ht="12.75" customHeight="1">
      <c r="A1281" s="12" t="s">
        <v>214</v>
      </c>
      <c r="B1281" s="30">
        <v>13</v>
      </c>
      <c r="C1281" s="24" t="s">
        <v>1017</v>
      </c>
      <c r="D1281" s="35">
        <f>Prec.!$C$85</f>
        <v>48</v>
      </c>
      <c r="E1281" s="31">
        <f t="shared" ref="E1281:E1290" si="107">ROUND(B1281*D1281,2)</f>
        <v>624</v>
      </c>
      <c r="F1281" s="32"/>
    </row>
    <row r="1282" spans="1:6" ht="12.75" customHeight="1">
      <c r="A1282" s="12" t="s">
        <v>117</v>
      </c>
      <c r="B1282" s="30">
        <v>3.6999999999999998E-2</v>
      </c>
      <c r="C1282" s="24" t="s">
        <v>216</v>
      </c>
      <c r="D1282" s="35">
        <f>Prec.!$C$54</f>
        <v>3200</v>
      </c>
      <c r="E1282" s="31">
        <f t="shared" si="107"/>
        <v>118.4</v>
      </c>
      <c r="F1282" s="32"/>
    </row>
    <row r="1283" spans="1:6" ht="12.75" customHeight="1">
      <c r="A1283" s="12" t="s">
        <v>217</v>
      </c>
      <c r="B1283" s="30">
        <f>B1282*2</f>
        <v>7.3999999999999996E-2</v>
      </c>
      <c r="C1283" s="24" t="s">
        <v>218</v>
      </c>
      <c r="D1283" s="35">
        <f>Prec.!$C$75</f>
        <v>60</v>
      </c>
      <c r="E1283" s="31">
        <f t="shared" si="107"/>
        <v>4.4400000000000004</v>
      </c>
      <c r="F1283" s="32"/>
    </row>
    <row r="1284" spans="1:6" ht="12.75" customHeight="1">
      <c r="A1284" s="12" t="s">
        <v>427</v>
      </c>
      <c r="B1284" s="30">
        <v>3.9E-2</v>
      </c>
      <c r="C1284" s="24" t="s">
        <v>825</v>
      </c>
      <c r="D1284" s="35">
        <f>$F$46</f>
        <v>6653.49</v>
      </c>
      <c r="E1284" s="31">
        <f t="shared" si="107"/>
        <v>259.49</v>
      </c>
      <c r="F1284" s="32"/>
    </row>
    <row r="1285" spans="1:6" ht="12.75" customHeight="1">
      <c r="A1285" s="12" t="s">
        <v>421</v>
      </c>
      <c r="B1285" s="30">
        <v>7.8E-2</v>
      </c>
      <c r="C1285" s="24" t="s">
        <v>825</v>
      </c>
      <c r="D1285" s="35">
        <f>D1262</f>
        <v>5147.68</v>
      </c>
      <c r="E1285" s="31">
        <f t="shared" si="107"/>
        <v>401.52</v>
      </c>
      <c r="F1285" s="32"/>
    </row>
    <row r="1286" spans="1:6" ht="12.75" customHeight="1">
      <c r="A1286" s="12" t="s">
        <v>430</v>
      </c>
      <c r="B1286" s="30">
        <v>1</v>
      </c>
      <c r="C1286" s="24" t="s">
        <v>213</v>
      </c>
      <c r="D1286" s="35">
        <f>$F$999</f>
        <v>18.830000000000002</v>
      </c>
      <c r="E1286" s="31">
        <f t="shared" si="107"/>
        <v>18.829999999999998</v>
      </c>
      <c r="F1286" s="32"/>
    </row>
    <row r="1287" spans="1:6" ht="12.75" customHeight="1">
      <c r="A1287" s="12" t="s">
        <v>428</v>
      </c>
      <c r="B1287" s="30">
        <v>13</v>
      </c>
      <c r="C1287" s="24" t="s">
        <v>1017</v>
      </c>
      <c r="D1287" s="35">
        <f>Prec.!$D$330</f>
        <v>0</v>
      </c>
      <c r="E1287" s="31">
        <f t="shared" si="107"/>
        <v>0</v>
      </c>
      <c r="F1287" s="32"/>
    </row>
    <row r="1288" spans="1:6" ht="12.75" customHeight="1">
      <c r="A1288" s="12" t="s">
        <v>432</v>
      </c>
      <c r="B1288" s="30">
        <v>13</v>
      </c>
      <c r="C1288" s="24" t="s">
        <v>1017</v>
      </c>
      <c r="D1288" s="35">
        <f>Prec.!$D$540</f>
        <v>1.1499999999999999</v>
      </c>
      <c r="E1288" s="31">
        <f t="shared" si="107"/>
        <v>14.95</v>
      </c>
      <c r="F1288" s="32"/>
    </row>
    <row r="1289" spans="1:6" ht="12.75" customHeight="1">
      <c r="A1289" s="12" t="s">
        <v>433</v>
      </c>
      <c r="B1289" s="30">
        <v>13</v>
      </c>
      <c r="C1289" s="24" t="s">
        <v>1017</v>
      </c>
      <c r="D1289" s="35">
        <f>Prec.!D544</f>
        <v>4.2699999999999996</v>
      </c>
      <c r="E1289" s="31">
        <f t="shared" si="107"/>
        <v>55.51</v>
      </c>
      <c r="F1289" s="32"/>
    </row>
    <row r="1290" spans="1:6" ht="12.75" customHeight="1">
      <c r="A1290" s="12" t="s">
        <v>208</v>
      </c>
      <c r="B1290" s="14">
        <f>SUM(E1281:E1289)</f>
        <v>1497.1399999999999</v>
      </c>
      <c r="C1290" s="24" t="s">
        <v>209</v>
      </c>
      <c r="D1290" s="35">
        <f>Prec.!C302</f>
        <v>1.4999999999999999E-2</v>
      </c>
      <c r="E1290" s="31">
        <f t="shared" si="107"/>
        <v>22.46</v>
      </c>
      <c r="F1290" s="32">
        <f>SUM(E1281:E1290)</f>
        <v>1519.6</v>
      </c>
    </row>
    <row r="1291" spans="1:6" ht="12.75" customHeight="1">
      <c r="A1291" s="12"/>
      <c r="B1291" s="14"/>
      <c r="C1291" s="24"/>
      <c r="D1291" s="35"/>
      <c r="E1291" s="31"/>
      <c r="F1291" s="32"/>
    </row>
    <row r="1292" spans="1:6" ht="12.75" customHeight="1">
      <c r="A1292" s="1530" t="s">
        <v>1567</v>
      </c>
      <c r="B1292" s="1537"/>
      <c r="C1292" s="1538"/>
      <c r="D1292" s="1533"/>
      <c r="E1292" s="1534" t="s">
        <v>151</v>
      </c>
      <c r="F1292" s="1535" t="s">
        <v>213</v>
      </c>
    </row>
    <row r="1293" spans="1:6" ht="12.75" customHeight="1">
      <c r="A1293" s="1536" t="s">
        <v>214</v>
      </c>
      <c r="B1293" s="1537">
        <v>13</v>
      </c>
      <c r="C1293" s="1538" t="s">
        <v>1017</v>
      </c>
      <c r="D1293" s="1533">
        <f>Prec.!$C$85</f>
        <v>48</v>
      </c>
      <c r="E1293" s="1539">
        <f t="shared" ref="E1293:E1302" si="108">ROUND(B1293*D1293,2)</f>
        <v>624</v>
      </c>
      <c r="F1293" s="1540"/>
    </row>
    <row r="1294" spans="1:6" ht="12.75" customHeight="1">
      <c r="A1294" s="1536" t="s">
        <v>710</v>
      </c>
      <c r="B1294" s="1537">
        <v>3.2000000000000001E-2</v>
      </c>
      <c r="C1294" s="1538" t="s">
        <v>216</v>
      </c>
      <c r="D1294" s="1533">
        <f>Prec.!$C$54</f>
        <v>3200</v>
      </c>
      <c r="E1294" s="1539">
        <f t="shared" si="108"/>
        <v>102.4</v>
      </c>
      <c r="F1294" s="1540"/>
    </row>
    <row r="1295" spans="1:6" ht="12.75" customHeight="1">
      <c r="A1295" s="1536" t="s">
        <v>217</v>
      </c>
      <c r="B1295" s="1537">
        <f>B1294*2</f>
        <v>6.4000000000000001E-2</v>
      </c>
      <c r="C1295" s="1538" t="s">
        <v>218</v>
      </c>
      <c r="D1295" s="1533">
        <f>Prec.!$C$75</f>
        <v>60</v>
      </c>
      <c r="E1295" s="1539">
        <f t="shared" si="108"/>
        <v>3.84</v>
      </c>
      <c r="F1295" s="1540"/>
    </row>
    <row r="1296" spans="1:6" ht="12.75" customHeight="1">
      <c r="A1296" s="1536" t="s">
        <v>427</v>
      </c>
      <c r="B1296" s="1537">
        <v>3.9E-2</v>
      </c>
      <c r="C1296" s="1538" t="s">
        <v>825</v>
      </c>
      <c r="D1296" s="1533">
        <f>$F$46</f>
        <v>6653.49</v>
      </c>
      <c r="E1296" s="1539">
        <f t="shared" si="108"/>
        <v>259.49</v>
      </c>
      <c r="F1296" s="1540"/>
    </row>
    <row r="1297" spans="1:6" ht="12.75" customHeight="1">
      <c r="A1297" s="1536" t="s">
        <v>421</v>
      </c>
      <c r="B1297" s="1537">
        <v>7.8E-2</v>
      </c>
      <c r="C1297" s="1538" t="s">
        <v>825</v>
      </c>
      <c r="D1297" s="1533">
        <f>D1285</f>
        <v>5147.68</v>
      </c>
      <c r="E1297" s="1539">
        <f t="shared" si="108"/>
        <v>401.52</v>
      </c>
      <c r="F1297" s="1540"/>
    </row>
    <row r="1298" spans="1:6" ht="12.75" customHeight="1">
      <c r="A1298" s="1536" t="s">
        <v>430</v>
      </c>
      <c r="B1298" s="1537">
        <v>1</v>
      </c>
      <c r="C1298" s="1538" t="s">
        <v>213</v>
      </c>
      <c r="D1298" s="1533">
        <f>$F$999</f>
        <v>18.830000000000002</v>
      </c>
      <c r="E1298" s="1539">
        <f t="shared" si="108"/>
        <v>18.829999999999998</v>
      </c>
      <c r="F1298" s="1540"/>
    </row>
    <row r="1299" spans="1:6" ht="12.75" customHeight="1">
      <c r="A1299" s="1536" t="s">
        <v>428</v>
      </c>
      <c r="B1299" s="1537">
        <v>13</v>
      </c>
      <c r="C1299" s="1538" t="s">
        <v>1017</v>
      </c>
      <c r="D1299" s="1533">
        <f>Prec.!$D$330</f>
        <v>0</v>
      </c>
      <c r="E1299" s="1539">
        <f t="shared" si="108"/>
        <v>0</v>
      </c>
      <c r="F1299" s="1540"/>
    </row>
    <row r="1300" spans="1:6" ht="12.75" customHeight="1">
      <c r="A1300" s="1536" t="s">
        <v>432</v>
      </c>
      <c r="B1300" s="1537">
        <v>13</v>
      </c>
      <c r="C1300" s="1538" t="s">
        <v>1017</v>
      </c>
      <c r="D1300" s="1533">
        <f>Prec.!D541</f>
        <v>0.85</v>
      </c>
      <c r="E1300" s="1539">
        <f t="shared" si="108"/>
        <v>11.05</v>
      </c>
      <c r="F1300" s="1540"/>
    </row>
    <row r="1301" spans="1:6" ht="12.75" customHeight="1">
      <c r="A1301" s="1536" t="s">
        <v>433</v>
      </c>
      <c r="B1301" s="1537">
        <v>13</v>
      </c>
      <c r="C1301" s="1538" t="s">
        <v>1017</v>
      </c>
      <c r="D1301" s="1533">
        <f>D1289</f>
        <v>4.2699999999999996</v>
      </c>
      <c r="E1301" s="1539">
        <f t="shared" si="108"/>
        <v>55.51</v>
      </c>
      <c r="F1301" s="1540"/>
    </row>
    <row r="1302" spans="1:6" ht="12.75" customHeight="1">
      <c r="A1302" s="1536" t="s">
        <v>208</v>
      </c>
      <c r="B1302" s="1541">
        <f>SUM(E1293:E1301)</f>
        <v>1476.6399999999999</v>
      </c>
      <c r="C1302" s="1538" t="s">
        <v>209</v>
      </c>
      <c r="D1302" s="1533">
        <f>D1290</f>
        <v>1.4999999999999999E-2</v>
      </c>
      <c r="E1302" s="1539">
        <f t="shared" si="108"/>
        <v>22.15</v>
      </c>
      <c r="F1302" s="1540">
        <f>SUM(E1293:E1302)</f>
        <v>1498.79</v>
      </c>
    </row>
    <row r="1303" spans="1:6" ht="12.75" customHeight="1">
      <c r="A1303" s="12"/>
      <c r="B1303" s="14"/>
      <c r="C1303" s="24"/>
      <c r="D1303" s="35"/>
      <c r="E1303" s="31"/>
      <c r="F1303" s="32"/>
    </row>
    <row r="1304" spans="1:6" ht="12.75" customHeight="1">
      <c r="A1304" s="12"/>
      <c r="B1304" s="14"/>
      <c r="C1304" s="24"/>
      <c r="D1304" s="35"/>
      <c r="E1304" s="31"/>
      <c r="F1304" s="32"/>
    </row>
    <row r="1305" spans="1:6" ht="12.75" customHeight="1">
      <c r="A1305" s="12"/>
      <c r="B1305" s="14"/>
      <c r="C1305" s="24"/>
      <c r="D1305" s="35"/>
      <c r="E1305" s="31"/>
      <c r="F1305" s="32"/>
    </row>
    <row r="1306" spans="1:6" ht="12.75" customHeight="1">
      <c r="A1306" s="12"/>
      <c r="B1306" s="14"/>
      <c r="C1306" s="24"/>
      <c r="D1306" s="35"/>
      <c r="E1306" s="31"/>
      <c r="F1306" s="32"/>
    </row>
    <row r="1307" spans="1:6" ht="12.75" customHeight="1">
      <c r="A1307" s="13" t="s">
        <v>123</v>
      </c>
      <c r="B1307" s="30"/>
      <c r="C1307" s="24"/>
      <c r="D1307" s="35"/>
      <c r="E1307" s="43" t="s">
        <v>151</v>
      </c>
      <c r="F1307" s="44" t="s">
        <v>213</v>
      </c>
    </row>
    <row r="1308" spans="1:6" ht="12.75" customHeight="1">
      <c r="A1308" s="12" t="s">
        <v>214</v>
      </c>
      <c r="B1308" s="30">
        <v>13</v>
      </c>
      <c r="C1308" s="24" t="s">
        <v>1017</v>
      </c>
      <c r="D1308" s="35">
        <f>Prec.!$C$85</f>
        <v>48</v>
      </c>
      <c r="E1308" s="31">
        <f t="shared" ref="E1308:E1317" si="109">ROUND(B1308*D1308,2)</f>
        <v>624</v>
      </c>
      <c r="F1308" s="32"/>
    </row>
    <row r="1309" spans="1:6" ht="12.75" customHeight="1">
      <c r="A1309" s="12" t="s">
        <v>117</v>
      </c>
      <c r="B1309" s="30">
        <v>2.4E-2</v>
      </c>
      <c r="C1309" s="24" t="s">
        <v>216</v>
      </c>
      <c r="D1309" s="35">
        <f>Prec.!$C$54</f>
        <v>3200</v>
      </c>
      <c r="E1309" s="31">
        <f t="shared" si="109"/>
        <v>76.8</v>
      </c>
      <c r="F1309" s="32"/>
    </row>
    <row r="1310" spans="1:6" ht="12.75" customHeight="1">
      <c r="A1310" s="12" t="s">
        <v>217</v>
      </c>
      <c r="B1310" s="30">
        <f>B1309*2</f>
        <v>4.8000000000000001E-2</v>
      </c>
      <c r="C1310" s="24" t="s">
        <v>218</v>
      </c>
      <c r="D1310" s="35">
        <f>Prec.!$C$75</f>
        <v>60</v>
      </c>
      <c r="E1310" s="31">
        <f t="shared" si="109"/>
        <v>2.88</v>
      </c>
      <c r="F1310" s="32"/>
    </row>
    <row r="1311" spans="1:6" ht="12.75" customHeight="1">
      <c r="A1311" s="12" t="s">
        <v>427</v>
      </c>
      <c r="B1311" s="30">
        <v>3.9E-2</v>
      </c>
      <c r="C1311" s="24" t="s">
        <v>825</v>
      </c>
      <c r="D1311" s="35">
        <f>$F$46</f>
        <v>6653.49</v>
      </c>
      <c r="E1311" s="31">
        <f t="shared" si="109"/>
        <v>259.49</v>
      </c>
      <c r="F1311" s="32"/>
    </row>
    <row r="1312" spans="1:6" ht="12.75" customHeight="1">
      <c r="A1312" s="12" t="s">
        <v>421</v>
      </c>
      <c r="B1312" s="30">
        <v>7.8E-2</v>
      </c>
      <c r="C1312" s="24" t="s">
        <v>825</v>
      </c>
      <c r="D1312" s="35">
        <f>D1273</f>
        <v>5147.68</v>
      </c>
      <c r="E1312" s="31">
        <f t="shared" si="109"/>
        <v>401.52</v>
      </c>
      <c r="F1312" s="32"/>
    </row>
    <row r="1313" spans="1:6" ht="12.75" customHeight="1">
      <c r="A1313" s="12" t="s">
        <v>430</v>
      </c>
      <c r="B1313" s="30">
        <v>1</v>
      </c>
      <c r="C1313" s="24" t="s">
        <v>213</v>
      </c>
      <c r="D1313" s="35">
        <f>$F$999</f>
        <v>18.830000000000002</v>
      </c>
      <c r="E1313" s="31">
        <f t="shared" si="109"/>
        <v>18.829999999999998</v>
      </c>
      <c r="F1313" s="32"/>
    </row>
    <row r="1314" spans="1:6" ht="12.75" customHeight="1">
      <c r="A1314" s="12" t="s">
        <v>428</v>
      </c>
      <c r="B1314" s="30">
        <v>13</v>
      </c>
      <c r="C1314" s="24" t="s">
        <v>1017</v>
      </c>
      <c r="D1314" s="35">
        <f>Prec.!$D$330</f>
        <v>0</v>
      </c>
      <c r="E1314" s="31">
        <f t="shared" si="109"/>
        <v>0</v>
      </c>
      <c r="F1314" s="32"/>
    </row>
    <row r="1315" spans="1:6" ht="12.75" customHeight="1">
      <c r="A1315" s="12" t="s">
        <v>432</v>
      </c>
      <c r="B1315" s="30">
        <v>13</v>
      </c>
      <c r="C1315" s="24" t="s">
        <v>1017</v>
      </c>
      <c r="D1315" s="35">
        <f>Prec.!$D$542</f>
        <v>0.55000000000000004</v>
      </c>
      <c r="E1315" s="31">
        <f t="shared" si="109"/>
        <v>7.15</v>
      </c>
      <c r="F1315" s="32"/>
    </row>
    <row r="1316" spans="1:6" ht="12.75" customHeight="1">
      <c r="A1316" s="12" t="s">
        <v>433</v>
      </c>
      <c r="B1316" s="30">
        <v>13</v>
      </c>
      <c r="C1316" s="24" t="s">
        <v>1017</v>
      </c>
      <c r="D1316" s="35">
        <f>Prec.!D544</f>
        <v>4.2699999999999996</v>
      </c>
      <c r="E1316" s="31">
        <f t="shared" si="109"/>
        <v>55.51</v>
      </c>
      <c r="F1316" s="32"/>
    </row>
    <row r="1317" spans="1:6" ht="12.75" customHeight="1">
      <c r="A1317" s="12" t="s">
        <v>208</v>
      </c>
      <c r="B1317" s="14">
        <f>SUM(E1308:E1316)</f>
        <v>1446.18</v>
      </c>
      <c r="C1317" s="24" t="s">
        <v>209</v>
      </c>
      <c r="D1317" s="35">
        <f>Prec.!C302</f>
        <v>1.4999999999999999E-2</v>
      </c>
      <c r="E1317" s="31">
        <f t="shared" si="109"/>
        <v>21.69</v>
      </c>
      <c r="F1317" s="32">
        <f>SUM(E1308:E1317)</f>
        <v>1467.8700000000001</v>
      </c>
    </row>
    <row r="1318" spans="1:6" ht="12.75" customHeight="1">
      <c r="A1318" s="12"/>
      <c r="B1318" s="14"/>
      <c r="C1318" s="24"/>
      <c r="D1318" s="35"/>
      <c r="E1318" s="31"/>
      <c r="F1318" s="32"/>
    </row>
    <row r="1319" spans="1:6" ht="12.75" customHeight="1">
      <c r="A1319" s="13" t="s">
        <v>642</v>
      </c>
      <c r="B1319" s="30"/>
      <c r="C1319" s="24"/>
      <c r="D1319" s="35"/>
      <c r="E1319" s="43" t="s">
        <v>151</v>
      </c>
      <c r="F1319" s="44" t="s">
        <v>213</v>
      </c>
    </row>
    <row r="1320" spans="1:6" ht="12.75" customHeight="1">
      <c r="A1320" s="12" t="s">
        <v>214</v>
      </c>
      <c r="B1320" s="30">
        <v>13</v>
      </c>
      <c r="C1320" s="24" t="s">
        <v>1017</v>
      </c>
      <c r="D1320" s="35">
        <f>Prec.!$C$85</f>
        <v>48</v>
      </c>
      <c r="E1320" s="31">
        <f t="shared" ref="E1320:E1329" si="110">ROUND(B1320*D1320,2)</f>
        <v>624</v>
      </c>
      <c r="F1320" s="32"/>
    </row>
    <row r="1321" spans="1:6" ht="12.75" customHeight="1">
      <c r="A1321" s="12" t="s">
        <v>117</v>
      </c>
      <c r="B1321" s="30">
        <v>3.6999999999999998E-2</v>
      </c>
      <c r="C1321" s="24" t="s">
        <v>216</v>
      </c>
      <c r="D1321" s="35">
        <f>Prec.!$C$54</f>
        <v>3200</v>
      </c>
      <c r="E1321" s="31">
        <f t="shared" si="110"/>
        <v>118.4</v>
      </c>
      <c r="F1321" s="32"/>
    </row>
    <row r="1322" spans="1:6" ht="12.75" customHeight="1">
      <c r="A1322" s="12" t="s">
        <v>217</v>
      </c>
      <c r="B1322" s="30">
        <f>B1321*2</f>
        <v>7.3999999999999996E-2</v>
      </c>
      <c r="C1322" s="24" t="s">
        <v>218</v>
      </c>
      <c r="D1322" s="35">
        <f>Prec.!$C$75</f>
        <v>60</v>
      </c>
      <c r="E1322" s="31">
        <f t="shared" si="110"/>
        <v>4.4400000000000004</v>
      </c>
      <c r="F1322" s="32"/>
    </row>
    <row r="1323" spans="1:6" ht="12.75" customHeight="1">
      <c r="A1323" s="12" t="s">
        <v>427</v>
      </c>
      <c r="B1323" s="30">
        <v>3.9E-2</v>
      </c>
      <c r="C1323" s="24" t="s">
        <v>825</v>
      </c>
      <c r="D1323" s="35">
        <f>$F$46</f>
        <v>6653.49</v>
      </c>
      <c r="E1323" s="31">
        <f t="shared" si="110"/>
        <v>259.49</v>
      </c>
      <c r="F1323" s="32"/>
    </row>
    <row r="1324" spans="1:6" ht="12.75" customHeight="1">
      <c r="A1324" s="12" t="s">
        <v>421</v>
      </c>
      <c r="B1324" s="30">
        <v>5.1999999999999998E-2</v>
      </c>
      <c r="C1324" s="24" t="s">
        <v>825</v>
      </c>
      <c r="D1324" s="35">
        <f>D1375</f>
        <v>5147.68</v>
      </c>
      <c r="E1324" s="31">
        <f t="shared" si="110"/>
        <v>267.68</v>
      </c>
      <c r="F1324" s="32"/>
    </row>
    <row r="1325" spans="1:6" ht="12.75" customHeight="1">
      <c r="A1325" s="12" t="s">
        <v>430</v>
      </c>
      <c r="B1325" s="30">
        <v>1</v>
      </c>
      <c r="C1325" s="24" t="s">
        <v>213</v>
      </c>
      <c r="D1325" s="35">
        <f>$F$999</f>
        <v>18.830000000000002</v>
      </c>
      <c r="E1325" s="31">
        <f t="shared" si="110"/>
        <v>18.829999999999998</v>
      </c>
      <c r="F1325" s="32"/>
    </row>
    <row r="1326" spans="1:6" ht="12.75" customHeight="1">
      <c r="A1326" s="12" t="s">
        <v>428</v>
      </c>
      <c r="B1326" s="30">
        <v>13</v>
      </c>
      <c r="C1326" s="24" t="s">
        <v>1017</v>
      </c>
      <c r="D1326" s="35">
        <f>Prec.!$D$330</f>
        <v>0</v>
      </c>
      <c r="E1326" s="31">
        <f t="shared" si="110"/>
        <v>0</v>
      </c>
      <c r="F1326" s="32"/>
    </row>
    <row r="1327" spans="1:6" ht="12.75" customHeight="1">
      <c r="A1327" s="12" t="s">
        <v>432</v>
      </c>
      <c r="B1327" s="30">
        <v>13</v>
      </c>
      <c r="C1327" s="24" t="s">
        <v>1017</v>
      </c>
      <c r="D1327" s="35">
        <f>Prec.!$D$540</f>
        <v>1.1499999999999999</v>
      </c>
      <c r="E1327" s="31">
        <f t="shared" si="110"/>
        <v>14.95</v>
      </c>
      <c r="F1327" s="32"/>
    </row>
    <row r="1328" spans="1:6" ht="12.75" customHeight="1">
      <c r="A1328" s="12" t="s">
        <v>433</v>
      </c>
      <c r="B1328" s="30">
        <v>13</v>
      </c>
      <c r="C1328" s="24" t="s">
        <v>1017</v>
      </c>
      <c r="D1328" s="35">
        <f>Prec.!$D$545</f>
        <v>2.33</v>
      </c>
      <c r="E1328" s="31">
        <f t="shared" si="110"/>
        <v>30.29</v>
      </c>
      <c r="F1328" s="32"/>
    </row>
    <row r="1329" spans="1:13" ht="12.75" customHeight="1">
      <c r="A1329" s="12" t="s">
        <v>208</v>
      </c>
      <c r="B1329" s="14">
        <f>SUM(E1320:E1328)</f>
        <v>1338.08</v>
      </c>
      <c r="C1329" s="24" t="s">
        <v>209</v>
      </c>
      <c r="D1329" s="35">
        <f>Prec.!C302</f>
        <v>1.4999999999999999E-2</v>
      </c>
      <c r="E1329" s="31">
        <f t="shared" si="110"/>
        <v>20.07</v>
      </c>
      <c r="F1329" s="32">
        <f>SUM(E1320:E1329)</f>
        <v>1358.1499999999999</v>
      </c>
    </row>
    <row r="1330" spans="1:13" ht="12.75" customHeight="1">
      <c r="A1330" s="12"/>
      <c r="B1330" s="14"/>
      <c r="C1330" s="24"/>
      <c r="D1330" s="35"/>
      <c r="E1330" s="31"/>
      <c r="F1330" s="32"/>
    </row>
    <row r="1331" spans="1:13" s="166" customFormat="1" ht="12.75" customHeight="1">
      <c r="A1331" s="698" t="s">
        <v>642</v>
      </c>
      <c r="B1331" s="705"/>
      <c r="C1331" s="700"/>
      <c r="D1331" s="708"/>
      <c r="E1331" s="709" t="s">
        <v>151</v>
      </c>
      <c r="F1331" s="710" t="s">
        <v>213</v>
      </c>
      <c r="G1331" s="15"/>
      <c r="H1331" s="21"/>
      <c r="I1331" s="15"/>
      <c r="J1331" s="15"/>
      <c r="K1331" s="15"/>
      <c r="L1331" s="21"/>
      <c r="M1331" s="15"/>
    </row>
    <row r="1332" spans="1:13" s="166" customFormat="1" ht="12.75" customHeight="1">
      <c r="A1332" s="704" t="s">
        <v>214</v>
      </c>
      <c r="B1332" s="705">
        <v>13</v>
      </c>
      <c r="C1332" s="700" t="s">
        <v>1017</v>
      </c>
      <c r="D1332" s="708">
        <f>D1320</f>
        <v>48</v>
      </c>
      <c r="E1332" s="702">
        <f t="shared" ref="E1332:E1342" si="111">ROUND(B1332*D1332,2)</f>
        <v>624</v>
      </c>
      <c r="F1332" s="703"/>
      <c r="G1332" s="15"/>
      <c r="H1332" s="21"/>
      <c r="I1332" s="15"/>
      <c r="J1332" s="15"/>
      <c r="K1332" s="15"/>
      <c r="L1332" s="21"/>
      <c r="M1332" s="15"/>
    </row>
    <row r="1333" spans="1:13" s="166" customFormat="1" ht="12.75" customHeight="1">
      <c r="A1333" s="704" t="s">
        <v>117</v>
      </c>
      <c r="B1333" s="705">
        <v>3.6999999999999998E-2</v>
      </c>
      <c r="C1333" s="700" t="s">
        <v>216</v>
      </c>
      <c r="D1333" s="708">
        <f t="shared" ref="D1333" si="112">D1321</f>
        <v>3200</v>
      </c>
      <c r="E1333" s="702">
        <f t="shared" si="111"/>
        <v>118.4</v>
      </c>
      <c r="F1333" s="703"/>
      <c r="G1333" s="15"/>
      <c r="H1333" s="21"/>
      <c r="I1333" s="15"/>
      <c r="J1333" s="15"/>
      <c r="K1333" s="15"/>
      <c r="L1333" s="21"/>
      <c r="M1333" s="15"/>
    </row>
    <row r="1334" spans="1:13" s="166" customFormat="1" ht="12.75" customHeight="1">
      <c r="A1334" s="704" t="s">
        <v>4424</v>
      </c>
      <c r="B1334" s="705">
        <v>3.2000000000000001E-2</v>
      </c>
      <c r="C1334" s="700" t="s">
        <v>216</v>
      </c>
      <c r="D1334" s="708">
        <f>D1333</f>
        <v>3200</v>
      </c>
      <c r="E1334" s="702">
        <f t="shared" ref="E1334" si="113">ROUND(B1334*D1334,2)</f>
        <v>102.4</v>
      </c>
      <c r="F1334" s="703"/>
      <c r="G1334" s="15"/>
      <c r="H1334" s="21"/>
      <c r="I1334" s="15"/>
      <c r="J1334" s="15"/>
      <c r="K1334" s="15"/>
      <c r="L1334" s="21"/>
      <c r="M1334" s="15"/>
    </row>
    <row r="1335" spans="1:13" s="166" customFormat="1" ht="12.75" customHeight="1">
      <c r="A1335" s="704" t="s">
        <v>217</v>
      </c>
      <c r="B1335" s="705">
        <f>(B1333+B1334)*2</f>
        <v>0.13800000000000001</v>
      </c>
      <c r="C1335" s="700" t="s">
        <v>218</v>
      </c>
      <c r="D1335" s="708">
        <f>D1322</f>
        <v>60</v>
      </c>
      <c r="E1335" s="702">
        <f t="shared" si="111"/>
        <v>8.2799999999999994</v>
      </c>
      <c r="F1335" s="703"/>
      <c r="G1335" s="15"/>
      <c r="H1335" s="21"/>
      <c r="I1335" s="15"/>
      <c r="J1335" s="15"/>
      <c r="K1335" s="15"/>
      <c r="L1335" s="21"/>
      <c r="M1335" s="15"/>
    </row>
    <row r="1336" spans="1:13" s="166" customFormat="1" ht="12.75" customHeight="1">
      <c r="A1336" s="704" t="s">
        <v>427</v>
      </c>
      <c r="B1336" s="705">
        <v>3.9E-2</v>
      </c>
      <c r="C1336" s="700" t="s">
        <v>825</v>
      </c>
      <c r="D1336" s="708">
        <f>D1323</f>
        <v>6653.49</v>
      </c>
      <c r="E1336" s="702">
        <f t="shared" si="111"/>
        <v>259.49</v>
      </c>
      <c r="F1336" s="703"/>
      <c r="G1336" s="15"/>
      <c r="H1336" s="21"/>
      <c r="I1336" s="15"/>
      <c r="J1336" s="15"/>
      <c r="K1336" s="15"/>
      <c r="L1336" s="21"/>
      <c r="M1336" s="15"/>
    </row>
    <row r="1337" spans="1:13" s="166" customFormat="1" ht="12.75" customHeight="1">
      <c r="A1337" s="704" t="s">
        <v>421</v>
      </c>
      <c r="B1337" s="705">
        <v>5.1999999999999998E-2</v>
      </c>
      <c r="C1337" s="700" t="s">
        <v>825</v>
      </c>
      <c r="D1337" s="708">
        <f>D1324</f>
        <v>5147.68</v>
      </c>
      <c r="E1337" s="702">
        <f t="shared" si="111"/>
        <v>267.68</v>
      </c>
      <c r="F1337" s="703"/>
      <c r="G1337" s="15"/>
      <c r="H1337" s="21"/>
      <c r="I1337" s="15"/>
      <c r="J1337" s="15"/>
      <c r="K1337" s="15"/>
      <c r="L1337" s="21"/>
      <c r="M1337" s="15"/>
    </row>
    <row r="1338" spans="1:13" s="166" customFormat="1" ht="12.75" customHeight="1">
      <c r="A1338" s="704" t="s">
        <v>430</v>
      </c>
      <c r="B1338" s="705">
        <v>1</v>
      </c>
      <c r="C1338" s="700" t="s">
        <v>213</v>
      </c>
      <c r="D1338" s="708">
        <f>D1325</f>
        <v>18.830000000000002</v>
      </c>
      <c r="E1338" s="702">
        <f t="shared" si="111"/>
        <v>18.829999999999998</v>
      </c>
      <c r="F1338" s="703"/>
      <c r="G1338" s="15"/>
      <c r="H1338" s="21"/>
      <c r="I1338" s="15"/>
      <c r="J1338" s="15"/>
      <c r="K1338" s="15"/>
      <c r="L1338" s="21"/>
      <c r="M1338" s="15"/>
    </row>
    <row r="1339" spans="1:13" s="166" customFormat="1" ht="12.75" customHeight="1">
      <c r="A1339" s="704" t="s">
        <v>428</v>
      </c>
      <c r="B1339" s="705">
        <v>13</v>
      </c>
      <c r="C1339" s="700" t="s">
        <v>1017</v>
      </c>
      <c r="D1339" s="708">
        <f>Prec.!C331</f>
        <v>21.68</v>
      </c>
      <c r="E1339" s="702">
        <f t="shared" si="111"/>
        <v>281.83999999999997</v>
      </c>
      <c r="F1339" s="703"/>
      <c r="G1339" s="15"/>
      <c r="H1339" s="21"/>
      <c r="I1339" s="15"/>
      <c r="J1339" s="15"/>
      <c r="K1339" s="15"/>
      <c r="L1339" s="21"/>
      <c r="M1339" s="15"/>
    </row>
    <row r="1340" spans="1:13" s="166" customFormat="1" ht="12.75" customHeight="1">
      <c r="A1340" s="704" t="s">
        <v>432</v>
      </c>
      <c r="B1340" s="705">
        <v>13</v>
      </c>
      <c r="C1340" s="700" t="s">
        <v>1017</v>
      </c>
      <c r="D1340" s="708">
        <f>D1327</f>
        <v>1.1499999999999999</v>
      </c>
      <c r="E1340" s="702">
        <f t="shared" si="111"/>
        <v>14.95</v>
      </c>
      <c r="F1340" s="703"/>
      <c r="G1340" s="15"/>
      <c r="H1340" s="21"/>
      <c r="I1340" s="15"/>
      <c r="J1340" s="15"/>
      <c r="K1340" s="15"/>
      <c r="L1340" s="21"/>
      <c r="M1340" s="15"/>
    </row>
    <row r="1341" spans="1:13" s="166" customFormat="1" ht="12.75" customHeight="1">
      <c r="A1341" s="704" t="s">
        <v>433</v>
      </c>
      <c r="B1341" s="705">
        <v>13</v>
      </c>
      <c r="C1341" s="700" t="s">
        <v>1017</v>
      </c>
      <c r="D1341" s="708">
        <f>D1328</f>
        <v>2.33</v>
      </c>
      <c r="E1341" s="702">
        <f t="shared" si="111"/>
        <v>30.29</v>
      </c>
      <c r="F1341" s="703"/>
      <c r="G1341" s="15"/>
      <c r="H1341" s="21"/>
      <c r="I1341" s="15"/>
      <c r="J1341" s="15"/>
      <c r="K1341" s="15"/>
      <c r="L1341" s="21"/>
      <c r="M1341" s="15"/>
    </row>
    <row r="1342" spans="1:13" s="166" customFormat="1" ht="12.75" customHeight="1">
      <c r="A1342" s="704" t="s">
        <v>208</v>
      </c>
      <c r="B1342" s="711">
        <f>SUM(E1332:E1337)</f>
        <v>1380.25</v>
      </c>
      <c r="C1342" s="700" t="s">
        <v>209</v>
      </c>
      <c r="D1342" s="708">
        <v>0.02</v>
      </c>
      <c r="E1342" s="702">
        <f t="shared" si="111"/>
        <v>27.61</v>
      </c>
      <c r="F1342" s="703">
        <f>SUM(E1332:E1342)</f>
        <v>1753.7699999999998</v>
      </c>
      <c r="G1342" s="15"/>
      <c r="H1342" s="21"/>
      <c r="I1342" s="15"/>
      <c r="J1342" s="15"/>
      <c r="K1342" s="15"/>
      <c r="L1342" s="21"/>
      <c r="M1342" s="15"/>
    </row>
    <row r="1343" spans="1:13" s="166" customFormat="1" ht="12.75" customHeight="1">
      <c r="A1343" s="12"/>
      <c r="B1343" s="14"/>
      <c r="C1343" s="24"/>
      <c r="D1343" s="35"/>
      <c r="E1343" s="31"/>
      <c r="F1343" s="32"/>
      <c r="G1343" s="15"/>
      <c r="H1343" s="21"/>
      <c r="I1343" s="15"/>
      <c r="J1343" s="15"/>
      <c r="K1343" s="15"/>
      <c r="L1343" s="21"/>
      <c r="M1343" s="15"/>
    </row>
    <row r="1344" spans="1:13" ht="12.75" customHeight="1">
      <c r="A1344" s="1530" t="s">
        <v>643</v>
      </c>
      <c r="B1344" s="1537"/>
      <c r="C1344" s="1538"/>
      <c r="D1344" s="1533"/>
      <c r="E1344" s="1534" t="s">
        <v>151</v>
      </c>
      <c r="F1344" s="1535" t="s">
        <v>213</v>
      </c>
    </row>
    <row r="1345" spans="1:13" ht="12.75" customHeight="1">
      <c r="A1345" s="1536" t="s">
        <v>214</v>
      </c>
      <c r="B1345" s="1537">
        <v>13</v>
      </c>
      <c r="C1345" s="1538" t="s">
        <v>1017</v>
      </c>
      <c r="D1345" s="1533">
        <f>Prec.!$C$85</f>
        <v>48</v>
      </c>
      <c r="E1345" s="1539">
        <f t="shared" ref="E1345:E1353" si="114">ROUND(B1345*D1345,2)</f>
        <v>624</v>
      </c>
      <c r="F1345" s="1540"/>
    </row>
    <row r="1346" spans="1:13" ht="12.75" customHeight="1">
      <c r="A1346" s="1536" t="s">
        <v>117</v>
      </c>
      <c r="B1346" s="1537">
        <v>3.2000000000000001E-2</v>
      </c>
      <c r="C1346" s="1538" t="s">
        <v>216</v>
      </c>
      <c r="D1346" s="1533">
        <f>Prec.!$C$54</f>
        <v>3200</v>
      </c>
      <c r="E1346" s="1539">
        <f t="shared" si="114"/>
        <v>102.4</v>
      </c>
      <c r="F1346" s="1540"/>
    </row>
    <row r="1347" spans="1:13" ht="12.75" customHeight="1">
      <c r="A1347" s="1536" t="s">
        <v>217</v>
      </c>
      <c r="B1347" s="1537">
        <f>B1346*2</f>
        <v>6.4000000000000001E-2</v>
      </c>
      <c r="C1347" s="1538" t="s">
        <v>218</v>
      </c>
      <c r="D1347" s="1533">
        <f>Prec.!$C$75</f>
        <v>60</v>
      </c>
      <c r="E1347" s="1539">
        <f t="shared" si="114"/>
        <v>3.84</v>
      </c>
      <c r="F1347" s="1540"/>
    </row>
    <row r="1348" spans="1:13" ht="12.75" customHeight="1">
      <c r="A1348" s="1536" t="s">
        <v>427</v>
      </c>
      <c r="B1348" s="1537">
        <v>3.9E-2</v>
      </c>
      <c r="C1348" s="1538" t="s">
        <v>825</v>
      </c>
      <c r="D1348" s="1533">
        <f>$F$46</f>
        <v>6653.49</v>
      </c>
      <c r="E1348" s="1539">
        <f t="shared" si="114"/>
        <v>259.49</v>
      </c>
      <c r="F1348" s="1540"/>
    </row>
    <row r="1349" spans="1:13" ht="12.75" customHeight="1">
      <c r="A1349" s="1536" t="s">
        <v>421</v>
      </c>
      <c r="B1349" s="1537">
        <v>3.3000000000000002E-2</v>
      </c>
      <c r="C1349" s="1538" t="s">
        <v>825</v>
      </c>
      <c r="D1349" s="1533">
        <f>D1324</f>
        <v>5147.68</v>
      </c>
      <c r="E1349" s="1539">
        <f t="shared" si="114"/>
        <v>169.87</v>
      </c>
      <c r="F1349" s="1540"/>
    </row>
    <row r="1350" spans="1:13" ht="12.75" customHeight="1">
      <c r="A1350" s="1536" t="s">
        <v>430</v>
      </c>
      <c r="B1350" s="1537">
        <v>1</v>
      </c>
      <c r="C1350" s="1538" t="s">
        <v>213</v>
      </c>
      <c r="D1350" s="1533">
        <f>$F$999</f>
        <v>18.830000000000002</v>
      </c>
      <c r="E1350" s="1539">
        <f t="shared" si="114"/>
        <v>18.829999999999998</v>
      </c>
      <c r="F1350" s="1540"/>
    </row>
    <row r="1351" spans="1:13" ht="12.75" customHeight="1">
      <c r="A1351" s="1536" t="s">
        <v>428</v>
      </c>
      <c r="B1351" s="1537">
        <v>13</v>
      </c>
      <c r="C1351" s="1538" t="s">
        <v>1017</v>
      </c>
      <c r="D1351" s="1533">
        <f>Prec.!$D$330</f>
        <v>0</v>
      </c>
      <c r="E1351" s="1539">
        <f t="shared" si="114"/>
        <v>0</v>
      </c>
      <c r="F1351" s="1540"/>
    </row>
    <row r="1352" spans="1:13" ht="12.75" customHeight="1">
      <c r="A1352" s="1536" t="s">
        <v>432</v>
      </c>
      <c r="B1352" s="1537">
        <v>13</v>
      </c>
      <c r="C1352" s="1538" t="s">
        <v>1017</v>
      </c>
      <c r="D1352" s="1533">
        <f>Prec.!D541</f>
        <v>0.85</v>
      </c>
      <c r="E1352" s="1539">
        <f t="shared" si="114"/>
        <v>11.05</v>
      </c>
      <c r="F1352" s="1540"/>
    </row>
    <row r="1353" spans="1:13" ht="12.75" customHeight="1">
      <c r="A1353" s="1536" t="s">
        <v>433</v>
      </c>
      <c r="B1353" s="1537">
        <v>13</v>
      </c>
      <c r="C1353" s="1538" t="s">
        <v>1017</v>
      </c>
      <c r="D1353" s="1533">
        <f>Prec.!D546</f>
        <v>1.7</v>
      </c>
      <c r="E1353" s="1539">
        <f t="shared" si="114"/>
        <v>22.1</v>
      </c>
      <c r="F1353" s="1540"/>
    </row>
    <row r="1354" spans="1:13" ht="12.75" customHeight="1">
      <c r="A1354" s="1536" t="s">
        <v>208</v>
      </c>
      <c r="B1354" s="1541">
        <f>SUM(E1345:E1353)</f>
        <v>1211.5799999999997</v>
      </c>
      <c r="C1354" s="1538" t="s">
        <v>209</v>
      </c>
      <c r="D1354" s="1533">
        <v>0.02</v>
      </c>
      <c r="E1354" s="1539">
        <f>ROUND(B1354*D1354,2)</f>
        <v>24.23</v>
      </c>
      <c r="F1354" s="1540">
        <f>SUM(E1345:E1354)</f>
        <v>1235.8099999999997</v>
      </c>
    </row>
    <row r="1355" spans="1:13" ht="12.75" customHeight="1">
      <c r="A1355" s="12"/>
      <c r="B1355" s="14"/>
      <c r="C1355" s="24"/>
      <c r="D1355" s="35"/>
      <c r="E1355" s="31"/>
      <c r="F1355" s="32"/>
    </row>
    <row r="1356" spans="1:13" s="166" customFormat="1" ht="12.75" customHeight="1">
      <c r="A1356" s="698" t="s">
        <v>643</v>
      </c>
      <c r="B1356" s="705"/>
      <c r="C1356" s="700"/>
      <c r="D1356" s="708"/>
      <c r="E1356" s="709" t="s">
        <v>151</v>
      </c>
      <c r="F1356" s="710" t="s">
        <v>213</v>
      </c>
      <c r="G1356" s="15"/>
      <c r="H1356" s="21"/>
      <c r="I1356" s="15"/>
      <c r="J1356" s="15"/>
      <c r="K1356" s="15"/>
      <c r="L1356" s="21"/>
      <c r="M1356" s="15"/>
    </row>
    <row r="1357" spans="1:13" s="166" customFormat="1" ht="12.75" customHeight="1">
      <c r="A1357" s="704" t="s">
        <v>214</v>
      </c>
      <c r="B1357" s="705">
        <v>13</v>
      </c>
      <c r="C1357" s="700" t="s">
        <v>1017</v>
      </c>
      <c r="D1357" s="708">
        <f>Prec.!$C$85</f>
        <v>48</v>
      </c>
      <c r="E1357" s="702">
        <f t="shared" ref="E1357:E1366" si="115">ROUND(B1357*D1357,2)</f>
        <v>624</v>
      </c>
      <c r="F1357" s="703"/>
      <c r="G1357" s="15"/>
      <c r="H1357" s="21"/>
      <c r="I1357" s="15"/>
      <c r="J1357" s="15"/>
      <c r="K1357" s="15"/>
      <c r="L1357" s="21"/>
      <c r="M1357" s="15"/>
    </row>
    <row r="1358" spans="1:13" s="166" customFormat="1" ht="12.75" customHeight="1">
      <c r="A1358" s="704" t="s">
        <v>117</v>
      </c>
      <c r="B1358" s="705">
        <v>3.2000000000000001E-2</v>
      </c>
      <c r="C1358" s="700" t="s">
        <v>216</v>
      </c>
      <c r="D1358" s="708">
        <f>Prec.!$C$54</f>
        <v>3200</v>
      </c>
      <c r="E1358" s="702">
        <f t="shared" si="115"/>
        <v>102.4</v>
      </c>
      <c r="F1358" s="703"/>
      <c r="G1358" s="15"/>
      <c r="H1358" s="21"/>
      <c r="I1358" s="15"/>
      <c r="J1358" s="15"/>
      <c r="K1358" s="15"/>
      <c r="L1358" s="21"/>
      <c r="M1358" s="15"/>
    </row>
    <row r="1359" spans="1:13" s="166" customFormat="1" ht="12.75" customHeight="1">
      <c r="A1359" s="704" t="s">
        <v>4424</v>
      </c>
      <c r="B1359" s="705">
        <v>3.2000000000000001E-2</v>
      </c>
      <c r="C1359" s="700" t="s">
        <v>216</v>
      </c>
      <c r="D1359" s="708">
        <f>D1358</f>
        <v>3200</v>
      </c>
      <c r="E1359" s="702">
        <f t="shared" si="115"/>
        <v>102.4</v>
      </c>
      <c r="F1359" s="703"/>
      <c r="G1359" s="15"/>
      <c r="H1359" s="21"/>
      <c r="I1359" s="15"/>
      <c r="J1359" s="15"/>
      <c r="K1359" s="15"/>
      <c r="L1359" s="21"/>
      <c r="M1359" s="15"/>
    </row>
    <row r="1360" spans="1:13" s="166" customFormat="1" ht="12.75" customHeight="1">
      <c r="A1360" s="704" t="s">
        <v>217</v>
      </c>
      <c r="B1360" s="705">
        <f>(B1358+B1359)*2</f>
        <v>0.128</v>
      </c>
      <c r="C1360" s="700" t="s">
        <v>218</v>
      </c>
      <c r="D1360" s="708">
        <f>Prec.!$C$75</f>
        <v>60</v>
      </c>
      <c r="E1360" s="702">
        <f t="shared" si="115"/>
        <v>7.68</v>
      </c>
      <c r="F1360" s="703"/>
      <c r="G1360" s="15"/>
      <c r="H1360" s="21"/>
      <c r="I1360" s="15"/>
      <c r="J1360" s="15"/>
      <c r="K1360" s="15"/>
      <c r="L1360" s="21"/>
      <c r="M1360" s="15"/>
    </row>
    <row r="1361" spans="1:13" s="166" customFormat="1" ht="12.75" customHeight="1">
      <c r="A1361" s="704" t="s">
        <v>427</v>
      </c>
      <c r="B1361" s="705">
        <v>3.9E-2</v>
      </c>
      <c r="C1361" s="700" t="s">
        <v>825</v>
      </c>
      <c r="D1361" s="708">
        <f>$F$46</f>
        <v>6653.49</v>
      </c>
      <c r="E1361" s="702">
        <f t="shared" si="115"/>
        <v>259.49</v>
      </c>
      <c r="F1361" s="703"/>
      <c r="G1361" s="15"/>
      <c r="H1361" s="21"/>
      <c r="I1361" s="15"/>
      <c r="J1361" s="15"/>
      <c r="K1361" s="15"/>
      <c r="L1361" s="21"/>
      <c r="M1361" s="15"/>
    </row>
    <row r="1362" spans="1:13" s="166" customFormat="1" ht="12.75" customHeight="1">
      <c r="A1362" s="704" t="s">
        <v>421</v>
      </c>
      <c r="B1362" s="705">
        <v>3.3000000000000002E-2</v>
      </c>
      <c r="C1362" s="700" t="s">
        <v>825</v>
      </c>
      <c r="D1362" s="708">
        <f>D1337</f>
        <v>5147.68</v>
      </c>
      <c r="E1362" s="702">
        <f t="shared" si="115"/>
        <v>169.87</v>
      </c>
      <c r="F1362" s="703"/>
      <c r="G1362" s="15"/>
      <c r="H1362" s="21"/>
      <c r="I1362" s="15"/>
      <c r="J1362" s="15"/>
      <c r="K1362" s="15"/>
      <c r="L1362" s="21"/>
      <c r="M1362" s="15"/>
    </row>
    <row r="1363" spans="1:13" s="166" customFormat="1" ht="12.75" customHeight="1">
      <c r="A1363" s="704" t="s">
        <v>430</v>
      </c>
      <c r="B1363" s="705">
        <v>1</v>
      </c>
      <c r="C1363" s="700" t="s">
        <v>213</v>
      </c>
      <c r="D1363" s="708">
        <f>$F$999</f>
        <v>18.830000000000002</v>
      </c>
      <c r="E1363" s="702">
        <f t="shared" si="115"/>
        <v>18.829999999999998</v>
      </c>
      <c r="F1363" s="703"/>
      <c r="G1363" s="15"/>
      <c r="H1363" s="21"/>
      <c r="I1363" s="15"/>
      <c r="J1363" s="15"/>
      <c r="K1363" s="15"/>
      <c r="L1363" s="21"/>
      <c r="M1363" s="15"/>
    </row>
    <row r="1364" spans="1:13" s="166" customFormat="1" ht="12.75" customHeight="1">
      <c r="A1364" s="704" t="s">
        <v>428</v>
      </c>
      <c r="B1364" s="705">
        <v>13</v>
      </c>
      <c r="C1364" s="700" t="s">
        <v>1017</v>
      </c>
      <c r="D1364" s="708">
        <f>D1339</f>
        <v>21.68</v>
      </c>
      <c r="E1364" s="702">
        <f t="shared" si="115"/>
        <v>281.83999999999997</v>
      </c>
      <c r="F1364" s="703"/>
      <c r="G1364" s="15"/>
      <c r="H1364" s="21"/>
      <c r="I1364" s="15"/>
      <c r="J1364" s="15"/>
      <c r="K1364" s="15"/>
      <c r="L1364" s="21"/>
      <c r="M1364" s="15"/>
    </row>
    <row r="1365" spans="1:13" s="166" customFormat="1" ht="12.75" customHeight="1">
      <c r="A1365" s="704" t="s">
        <v>432</v>
      </c>
      <c r="B1365" s="705">
        <v>13</v>
      </c>
      <c r="C1365" s="700" t="s">
        <v>1017</v>
      </c>
      <c r="D1365" s="708">
        <f t="shared" ref="D1365:D1367" si="116">D1340</f>
        <v>1.1499999999999999</v>
      </c>
      <c r="E1365" s="702">
        <f t="shared" si="115"/>
        <v>14.95</v>
      </c>
      <c r="F1365" s="703"/>
      <c r="G1365" s="15"/>
      <c r="H1365" s="21"/>
      <c r="I1365" s="15"/>
      <c r="J1365" s="15"/>
      <c r="K1365" s="15"/>
      <c r="L1365" s="21"/>
      <c r="M1365" s="15"/>
    </row>
    <row r="1366" spans="1:13" s="166" customFormat="1" ht="12.75" customHeight="1">
      <c r="A1366" s="704" t="s">
        <v>433</v>
      </c>
      <c r="B1366" s="705">
        <v>13</v>
      </c>
      <c r="C1366" s="700" t="s">
        <v>1017</v>
      </c>
      <c r="D1366" s="708">
        <f t="shared" si="116"/>
        <v>2.33</v>
      </c>
      <c r="E1366" s="702">
        <f t="shared" si="115"/>
        <v>30.29</v>
      </c>
      <c r="F1366" s="703"/>
      <c r="G1366" s="15"/>
      <c r="H1366" s="21"/>
      <c r="I1366" s="15"/>
      <c r="J1366" s="15"/>
      <c r="K1366" s="15"/>
      <c r="L1366" s="21"/>
      <c r="M1366" s="15"/>
    </row>
    <row r="1367" spans="1:13" s="166" customFormat="1" ht="12.75" customHeight="1">
      <c r="A1367" s="704" t="s">
        <v>208</v>
      </c>
      <c r="B1367" s="711">
        <f>SUM(E1357:E1366)</f>
        <v>1611.7499999999995</v>
      </c>
      <c r="C1367" s="700" t="s">
        <v>209</v>
      </c>
      <c r="D1367" s="708">
        <f t="shared" si="116"/>
        <v>0.02</v>
      </c>
      <c r="E1367" s="702">
        <f>ROUND(B1367*D1367,2)</f>
        <v>32.24</v>
      </c>
      <c r="F1367" s="703">
        <f>SUM(E1357:E1367)</f>
        <v>1643.9899999999996</v>
      </c>
      <c r="G1367" s="15"/>
      <c r="H1367" s="21"/>
      <c r="I1367" s="15"/>
      <c r="J1367" s="15"/>
      <c r="K1367" s="15"/>
      <c r="L1367" s="21"/>
      <c r="M1367" s="15"/>
    </row>
    <row r="1368" spans="1:13" s="166" customFormat="1" ht="12.75" customHeight="1">
      <c r="A1368" s="12"/>
      <c r="B1368" s="14"/>
      <c r="C1368" s="24"/>
      <c r="D1368" s="35"/>
      <c r="E1368" s="31"/>
      <c r="F1368" s="32"/>
      <c r="G1368" s="15"/>
      <c r="H1368" s="21"/>
      <c r="I1368" s="15"/>
      <c r="J1368" s="15"/>
      <c r="K1368" s="15"/>
      <c r="L1368" s="21"/>
      <c r="M1368" s="15"/>
    </row>
    <row r="1369" spans="1:13" s="166" customFormat="1" ht="12.75" customHeight="1">
      <c r="A1369" s="12"/>
      <c r="B1369" s="14"/>
      <c r="C1369" s="24"/>
      <c r="D1369" s="35"/>
      <c r="E1369" s="31"/>
      <c r="F1369" s="32"/>
      <c r="G1369" s="15"/>
      <c r="H1369" s="21"/>
      <c r="I1369" s="15"/>
      <c r="J1369" s="15"/>
      <c r="K1369" s="15"/>
      <c r="L1369" s="21"/>
      <c r="M1369" s="15"/>
    </row>
    <row r="1370" spans="1:13" ht="12.75" customHeight="1">
      <c r="A1370" s="13" t="s">
        <v>641</v>
      </c>
      <c r="B1370" s="30"/>
      <c r="C1370" s="24"/>
      <c r="D1370" s="35"/>
      <c r="E1370" s="43" t="s">
        <v>151</v>
      </c>
      <c r="F1370" s="44" t="s">
        <v>213</v>
      </c>
    </row>
    <row r="1371" spans="1:13" ht="12.75" customHeight="1">
      <c r="A1371" s="12" t="s">
        <v>214</v>
      </c>
      <c r="B1371" s="30">
        <v>13</v>
      </c>
      <c r="C1371" s="24" t="s">
        <v>1017</v>
      </c>
      <c r="D1371" s="35">
        <f>Prec.!$C$85</f>
        <v>48</v>
      </c>
      <c r="E1371" s="31">
        <f t="shared" ref="E1371:E1380" si="117">ROUND(B1371*D1371,2)</f>
        <v>624</v>
      </c>
      <c r="F1371" s="32"/>
    </row>
    <row r="1372" spans="1:13" ht="12.75" customHeight="1">
      <c r="A1372" s="12" t="s">
        <v>117</v>
      </c>
      <c r="B1372" s="30">
        <v>2.4E-2</v>
      </c>
      <c r="C1372" s="24" t="s">
        <v>216</v>
      </c>
      <c r="D1372" s="35">
        <f>Prec.!$C$54</f>
        <v>3200</v>
      </c>
      <c r="E1372" s="31">
        <f t="shared" si="117"/>
        <v>76.8</v>
      </c>
      <c r="F1372" s="32"/>
    </row>
    <row r="1373" spans="1:13" ht="12.75" customHeight="1">
      <c r="A1373" s="12" t="s">
        <v>217</v>
      </c>
      <c r="B1373" s="30">
        <f>B1372*2</f>
        <v>4.8000000000000001E-2</v>
      </c>
      <c r="C1373" s="24" t="s">
        <v>218</v>
      </c>
      <c r="D1373" s="35">
        <f>Prec.!$C$75</f>
        <v>60</v>
      </c>
      <c r="E1373" s="31">
        <f t="shared" si="117"/>
        <v>2.88</v>
      </c>
      <c r="F1373" s="32"/>
    </row>
    <row r="1374" spans="1:13" ht="12.75" customHeight="1">
      <c r="A1374" s="12" t="s">
        <v>427</v>
      </c>
      <c r="B1374" s="30">
        <v>3.9E-2</v>
      </c>
      <c r="C1374" s="24" t="s">
        <v>825</v>
      </c>
      <c r="D1374" s="35">
        <f>$F$46</f>
        <v>6653.49</v>
      </c>
      <c r="E1374" s="31">
        <f t="shared" si="117"/>
        <v>259.49</v>
      </c>
      <c r="F1374" s="32"/>
    </row>
    <row r="1375" spans="1:13" ht="12.75" customHeight="1">
      <c r="A1375" s="12" t="s">
        <v>421</v>
      </c>
      <c r="B1375" s="30">
        <v>3.1E-2</v>
      </c>
      <c r="C1375" s="24" t="s">
        <v>825</v>
      </c>
      <c r="D1375" s="35">
        <f>D1312</f>
        <v>5147.68</v>
      </c>
      <c r="E1375" s="31">
        <f t="shared" si="117"/>
        <v>159.58000000000001</v>
      </c>
      <c r="F1375" s="32"/>
    </row>
    <row r="1376" spans="1:13" ht="12.75" customHeight="1">
      <c r="A1376" s="12" t="s">
        <v>430</v>
      </c>
      <c r="B1376" s="30">
        <v>1</v>
      </c>
      <c r="C1376" s="24" t="s">
        <v>213</v>
      </c>
      <c r="D1376" s="35">
        <f>$F$999</f>
        <v>18.830000000000002</v>
      </c>
      <c r="E1376" s="31">
        <f t="shared" si="117"/>
        <v>18.829999999999998</v>
      </c>
      <c r="F1376" s="32"/>
    </row>
    <row r="1377" spans="1:6" ht="12.75" customHeight="1">
      <c r="A1377" s="12" t="s">
        <v>428</v>
      </c>
      <c r="B1377" s="30">
        <v>13</v>
      </c>
      <c r="C1377" s="24" t="s">
        <v>1017</v>
      </c>
      <c r="D1377" s="35">
        <f>Prec.!$D$330</f>
        <v>0</v>
      </c>
      <c r="E1377" s="31">
        <f t="shared" si="117"/>
        <v>0</v>
      </c>
      <c r="F1377" s="32"/>
    </row>
    <row r="1378" spans="1:6" ht="12.75" customHeight="1">
      <c r="A1378" s="12" t="s">
        <v>432</v>
      </c>
      <c r="B1378" s="30">
        <v>13</v>
      </c>
      <c r="C1378" s="24" t="s">
        <v>1017</v>
      </c>
      <c r="D1378" s="35">
        <f>Prec.!$D$542</f>
        <v>0.55000000000000004</v>
      </c>
      <c r="E1378" s="31">
        <f t="shared" si="117"/>
        <v>7.15</v>
      </c>
      <c r="F1378" s="32"/>
    </row>
    <row r="1379" spans="1:6" ht="12.75" customHeight="1">
      <c r="A1379" s="12" t="s">
        <v>433</v>
      </c>
      <c r="B1379" s="30">
        <v>13</v>
      </c>
      <c r="C1379" s="24" t="s">
        <v>1017</v>
      </c>
      <c r="D1379" s="35">
        <f>Prec.!$D$547</f>
        <v>1.1499999999999999</v>
      </c>
      <c r="E1379" s="31">
        <f t="shared" si="117"/>
        <v>14.95</v>
      </c>
      <c r="F1379" s="32"/>
    </row>
    <row r="1380" spans="1:6" ht="12.75" customHeight="1">
      <c r="A1380" s="12" t="s">
        <v>208</v>
      </c>
      <c r="B1380" s="14">
        <f>SUM(E1371:E1379)</f>
        <v>1163.68</v>
      </c>
      <c r="C1380" s="24" t="s">
        <v>209</v>
      </c>
      <c r="D1380" s="35">
        <f>Prec.!C302</f>
        <v>1.4999999999999999E-2</v>
      </c>
      <c r="E1380" s="31">
        <f t="shared" si="117"/>
        <v>17.46</v>
      </c>
      <c r="F1380" s="32">
        <f>SUM(E1371:E1380)</f>
        <v>1181.1400000000001</v>
      </c>
    </row>
    <row r="1381" spans="1:6" ht="12.75" customHeight="1">
      <c r="A1381" s="12"/>
      <c r="B1381" s="14"/>
      <c r="C1381" s="24"/>
      <c r="D1381" s="35"/>
      <c r="E1381" s="31"/>
      <c r="F1381" s="32"/>
    </row>
    <row r="1382" spans="1:6" ht="12.75" customHeight="1">
      <c r="A1382" s="12"/>
      <c r="B1382" s="14"/>
      <c r="C1382" s="24"/>
      <c r="D1382" s="35"/>
      <c r="E1382" s="31"/>
      <c r="F1382" s="32"/>
    </row>
    <row r="1383" spans="1:6" ht="12.75" customHeight="1">
      <c r="A1383" s="12"/>
      <c r="B1383" s="14"/>
      <c r="C1383" s="24"/>
      <c r="D1383" s="35"/>
      <c r="E1383" s="31"/>
      <c r="F1383" s="32"/>
    </row>
    <row r="1384" spans="1:6" ht="12.75" customHeight="1">
      <c r="A1384" s="13" t="s">
        <v>267</v>
      </c>
      <c r="B1384" s="30"/>
      <c r="C1384" s="24"/>
      <c r="D1384" s="35"/>
      <c r="E1384" s="43" t="s">
        <v>151</v>
      </c>
      <c r="F1384" s="44" t="s">
        <v>213</v>
      </c>
    </row>
    <row r="1385" spans="1:6" ht="12.75" customHeight="1">
      <c r="A1385" s="12" t="s">
        <v>102</v>
      </c>
      <c r="B1385" s="30">
        <v>13</v>
      </c>
      <c r="C1385" s="24" t="s">
        <v>1017</v>
      </c>
      <c r="D1385" s="35">
        <f>Prec.!$C$86</f>
        <v>44</v>
      </c>
      <c r="E1385" s="31">
        <f t="shared" ref="E1385:E1394" si="118">ROUND(B1385*D1385,2)</f>
        <v>572</v>
      </c>
      <c r="F1385" s="32"/>
    </row>
    <row r="1386" spans="1:6" ht="12.75" customHeight="1">
      <c r="A1386" s="12" t="s">
        <v>117</v>
      </c>
      <c r="B1386" s="30">
        <v>6.2E-2</v>
      </c>
      <c r="C1386" s="24" t="s">
        <v>216</v>
      </c>
      <c r="D1386" s="35">
        <f>Prec.!$C$54</f>
        <v>3200</v>
      </c>
      <c r="E1386" s="31">
        <f t="shared" si="118"/>
        <v>198.4</v>
      </c>
      <c r="F1386" s="32"/>
    </row>
    <row r="1387" spans="1:6" ht="12.75" customHeight="1">
      <c r="A1387" s="12" t="s">
        <v>217</v>
      </c>
      <c r="B1387" s="30">
        <f>B1386*2</f>
        <v>0.124</v>
      </c>
      <c r="C1387" s="24" t="s">
        <v>218</v>
      </c>
      <c r="D1387" s="35">
        <f>Prec.!$C$75</f>
        <v>60</v>
      </c>
      <c r="E1387" s="31">
        <f t="shared" si="118"/>
        <v>7.44</v>
      </c>
      <c r="F1387" s="32"/>
    </row>
    <row r="1388" spans="1:6" ht="12.75" customHeight="1">
      <c r="A1388" s="12" t="s">
        <v>427</v>
      </c>
      <c r="B1388" s="30">
        <v>3.1E-2</v>
      </c>
      <c r="C1388" s="24" t="s">
        <v>825</v>
      </c>
      <c r="D1388" s="35">
        <f>$F$46</f>
        <v>6653.49</v>
      </c>
      <c r="E1388" s="31">
        <f t="shared" si="118"/>
        <v>206.26</v>
      </c>
      <c r="F1388" s="32"/>
    </row>
    <row r="1389" spans="1:6" ht="12.75" customHeight="1">
      <c r="A1389" s="12" t="s">
        <v>421</v>
      </c>
      <c r="B1389" s="30">
        <v>4.8000000000000001E-2</v>
      </c>
      <c r="C1389" s="24" t="s">
        <v>825</v>
      </c>
      <c r="D1389" s="35">
        <f>horm.ymez.!C14</f>
        <v>5147.68</v>
      </c>
      <c r="E1389" s="31">
        <f t="shared" si="118"/>
        <v>247.09</v>
      </c>
      <c r="F1389" s="32"/>
    </row>
    <row r="1390" spans="1:6" ht="12.75" customHeight="1">
      <c r="A1390" s="12" t="s">
        <v>430</v>
      </c>
      <c r="B1390" s="30">
        <v>1</v>
      </c>
      <c r="C1390" s="24" t="s">
        <v>213</v>
      </c>
      <c r="D1390" s="35">
        <f>$F$999</f>
        <v>18.830000000000002</v>
      </c>
      <c r="E1390" s="31">
        <f t="shared" si="118"/>
        <v>18.829999999999998</v>
      </c>
      <c r="F1390" s="32"/>
    </row>
    <row r="1391" spans="1:6" ht="12.75" customHeight="1">
      <c r="A1391" s="12" t="s">
        <v>428</v>
      </c>
      <c r="B1391" s="30">
        <v>13</v>
      </c>
      <c r="C1391" s="24" t="s">
        <v>1017</v>
      </c>
      <c r="D1391" s="35">
        <f>Prec.!C330</f>
        <v>21.68</v>
      </c>
      <c r="E1391" s="31">
        <f t="shared" si="118"/>
        <v>281.83999999999997</v>
      </c>
      <c r="F1391" s="32"/>
    </row>
    <row r="1392" spans="1:6" ht="12.75" customHeight="1">
      <c r="A1392" s="12" t="s">
        <v>432</v>
      </c>
      <c r="B1392" s="30">
        <v>13</v>
      </c>
      <c r="C1392" s="24" t="s">
        <v>1017</v>
      </c>
      <c r="D1392" s="35">
        <f>Prec.!C539</f>
        <v>1.9549999999999998</v>
      </c>
      <c r="E1392" s="31">
        <f t="shared" si="118"/>
        <v>25.42</v>
      </c>
      <c r="F1392" s="32"/>
    </row>
    <row r="1393" spans="1:13" ht="12.75" customHeight="1">
      <c r="A1393" s="12" t="s">
        <v>433</v>
      </c>
      <c r="B1393" s="30">
        <v>13</v>
      </c>
      <c r="C1393" s="24" t="s">
        <v>1017</v>
      </c>
      <c r="D1393" s="35">
        <f>Prec.!C544</f>
        <v>4.910499999999999</v>
      </c>
      <c r="E1393" s="31">
        <f t="shared" si="118"/>
        <v>63.84</v>
      </c>
      <c r="F1393" s="32"/>
    </row>
    <row r="1394" spans="1:13" ht="12.75" customHeight="1">
      <c r="A1394" s="12" t="s">
        <v>208</v>
      </c>
      <c r="B1394" s="14">
        <f>SUM(E1385:E1393)</f>
        <v>1621.12</v>
      </c>
      <c r="C1394" s="24" t="s">
        <v>209</v>
      </c>
      <c r="D1394" s="35">
        <v>0.02</v>
      </c>
      <c r="E1394" s="31">
        <f t="shared" si="118"/>
        <v>32.42</v>
      </c>
      <c r="F1394" s="32">
        <f>SUM(E1385:E1394)</f>
        <v>1653.54</v>
      </c>
    </row>
    <row r="1395" spans="1:13" ht="12.75" customHeight="1">
      <c r="A1395" s="12"/>
      <c r="B1395" s="14"/>
      <c r="C1395" s="24"/>
      <c r="D1395" s="35"/>
      <c r="E1395" s="31"/>
      <c r="F1395" s="32"/>
    </row>
    <row r="1396" spans="1:13" s="166" customFormat="1" ht="26.25" customHeight="1">
      <c r="A1396" s="1622" t="s">
        <v>5394</v>
      </c>
      <c r="B1396" s="510"/>
      <c r="C1396" s="511"/>
      <c r="D1396" s="507"/>
      <c r="E1396" s="514" t="s">
        <v>151</v>
      </c>
      <c r="F1396" s="515" t="s">
        <v>213</v>
      </c>
      <c r="G1396" s="15"/>
      <c r="H1396" s="21"/>
      <c r="I1396" s="15"/>
      <c r="J1396" s="15"/>
      <c r="K1396" s="15"/>
      <c r="L1396" s="21"/>
      <c r="M1396" s="15"/>
    </row>
    <row r="1397" spans="1:13" s="166" customFormat="1" ht="12.75" customHeight="1">
      <c r="A1397" s="512" t="s">
        <v>102</v>
      </c>
      <c r="B1397" s="510">
        <v>13</v>
      </c>
      <c r="C1397" s="511" t="s">
        <v>1017</v>
      </c>
      <c r="D1397" s="507">
        <f>D1385</f>
        <v>44</v>
      </c>
      <c r="E1397" s="508">
        <f t="shared" ref="E1397:E1407" si="119">ROUND(B1397*D1397,2)</f>
        <v>572</v>
      </c>
      <c r="F1397" s="509"/>
      <c r="G1397" s="15"/>
      <c r="H1397" s="21"/>
      <c r="I1397" s="15"/>
      <c r="J1397" s="15"/>
      <c r="K1397" s="15"/>
      <c r="L1397" s="21"/>
      <c r="M1397" s="15"/>
    </row>
    <row r="1398" spans="1:13" s="166" customFormat="1" ht="12.75" customHeight="1">
      <c r="A1398" s="512" t="s">
        <v>117</v>
      </c>
      <c r="B1398" s="510">
        <v>6.2E-2</v>
      </c>
      <c r="C1398" s="511" t="s">
        <v>216</v>
      </c>
      <c r="D1398" s="507">
        <f t="shared" ref="D1398" si="120">D1386</f>
        <v>3200</v>
      </c>
      <c r="E1398" s="508">
        <f t="shared" si="119"/>
        <v>198.4</v>
      </c>
      <c r="F1398" s="509"/>
      <c r="G1398" s="15"/>
      <c r="H1398" s="21"/>
      <c r="I1398" s="15"/>
      <c r="J1398" s="15"/>
      <c r="K1398" s="15"/>
      <c r="L1398" s="21"/>
      <c r="M1398" s="15"/>
    </row>
    <row r="1399" spans="1:13" s="166" customFormat="1" ht="12.75" customHeight="1">
      <c r="A1399" s="512" t="s">
        <v>117</v>
      </c>
      <c r="B1399" s="510">
        <f>B1423</f>
        <v>3.2000000000000001E-2</v>
      </c>
      <c r="C1399" s="511" t="s">
        <v>216</v>
      </c>
      <c r="D1399" s="507">
        <f>D1398</f>
        <v>3200</v>
      </c>
      <c r="E1399" s="508">
        <f t="shared" ref="E1399" si="121">ROUND(B1399*D1399,2)</f>
        <v>102.4</v>
      </c>
      <c r="F1399" s="509"/>
      <c r="G1399" s="15"/>
      <c r="H1399" s="21"/>
      <c r="I1399" s="15"/>
      <c r="J1399" s="15"/>
      <c r="K1399" s="15"/>
      <c r="L1399" s="21"/>
      <c r="M1399" s="15"/>
    </row>
    <row r="1400" spans="1:13" s="166" customFormat="1" ht="12.75" customHeight="1">
      <c r="A1400" s="512" t="s">
        <v>217</v>
      </c>
      <c r="B1400" s="510">
        <f>(B1398+B1399)*2</f>
        <v>0.188</v>
      </c>
      <c r="C1400" s="511" t="s">
        <v>218</v>
      </c>
      <c r="D1400" s="507">
        <f t="shared" ref="D1400:D1407" si="122">D1387</f>
        <v>60</v>
      </c>
      <c r="E1400" s="508">
        <f t="shared" si="119"/>
        <v>11.28</v>
      </c>
      <c r="F1400" s="509"/>
      <c r="G1400" s="15"/>
      <c r="H1400" s="21"/>
      <c r="I1400" s="15"/>
      <c r="J1400" s="15"/>
      <c r="K1400" s="15"/>
      <c r="L1400" s="21"/>
      <c r="M1400" s="15"/>
    </row>
    <row r="1401" spans="1:13" s="166" customFormat="1" ht="12.75" customHeight="1">
      <c r="A1401" s="512" t="s">
        <v>427</v>
      </c>
      <c r="B1401" s="510">
        <v>3.1E-2</v>
      </c>
      <c r="C1401" s="511" t="s">
        <v>825</v>
      </c>
      <c r="D1401" s="507">
        <f t="shared" si="122"/>
        <v>6653.49</v>
      </c>
      <c r="E1401" s="508">
        <f t="shared" si="119"/>
        <v>206.26</v>
      </c>
      <c r="F1401" s="509"/>
      <c r="G1401" s="15"/>
      <c r="H1401" s="21"/>
      <c r="I1401" s="15"/>
      <c r="J1401" s="15"/>
      <c r="K1401" s="15"/>
      <c r="L1401" s="21"/>
      <c r="M1401" s="15"/>
    </row>
    <row r="1402" spans="1:13" s="166" customFormat="1" ht="12.75" customHeight="1">
      <c r="A1402" s="512" t="s">
        <v>421</v>
      </c>
      <c r="B1402" s="510">
        <v>4.8000000000000001E-2</v>
      </c>
      <c r="C1402" s="511" t="s">
        <v>825</v>
      </c>
      <c r="D1402" s="507">
        <f t="shared" si="122"/>
        <v>5147.68</v>
      </c>
      <c r="E1402" s="508">
        <f t="shared" si="119"/>
        <v>247.09</v>
      </c>
      <c r="F1402" s="509"/>
      <c r="G1402" s="15"/>
      <c r="H1402" s="21"/>
      <c r="I1402" s="15"/>
      <c r="J1402" s="15"/>
      <c r="K1402" s="15"/>
      <c r="L1402" s="21"/>
      <c r="M1402" s="15"/>
    </row>
    <row r="1403" spans="1:13" s="166" customFormat="1" ht="12.75" customHeight="1">
      <c r="A1403" s="512" t="s">
        <v>430</v>
      </c>
      <c r="B1403" s="510">
        <v>1</v>
      </c>
      <c r="C1403" s="511" t="s">
        <v>213</v>
      </c>
      <c r="D1403" s="507">
        <f t="shared" si="122"/>
        <v>18.830000000000002</v>
      </c>
      <c r="E1403" s="508">
        <f t="shared" si="119"/>
        <v>18.829999999999998</v>
      </c>
      <c r="F1403" s="509"/>
      <c r="G1403" s="15"/>
      <c r="H1403" s="21"/>
      <c r="I1403" s="15"/>
      <c r="J1403" s="15"/>
      <c r="K1403" s="15"/>
      <c r="L1403" s="21"/>
      <c r="M1403" s="15"/>
    </row>
    <row r="1404" spans="1:13" s="166" customFormat="1" ht="12.75" customHeight="1">
      <c r="A1404" s="512" t="s">
        <v>428</v>
      </c>
      <c r="B1404" s="510">
        <v>13</v>
      </c>
      <c r="C1404" s="511" t="s">
        <v>1017</v>
      </c>
      <c r="D1404" s="507">
        <f t="shared" si="122"/>
        <v>21.68</v>
      </c>
      <c r="E1404" s="508">
        <f t="shared" si="119"/>
        <v>281.83999999999997</v>
      </c>
      <c r="F1404" s="509"/>
      <c r="G1404" s="15"/>
      <c r="H1404" s="21"/>
      <c r="I1404" s="15"/>
      <c r="J1404" s="15"/>
      <c r="K1404" s="15"/>
      <c r="L1404" s="21"/>
      <c r="M1404" s="15"/>
    </row>
    <row r="1405" spans="1:13" s="166" customFormat="1" ht="12.75" customHeight="1">
      <c r="A1405" s="512" t="s">
        <v>432</v>
      </c>
      <c r="B1405" s="510">
        <v>13</v>
      </c>
      <c r="C1405" s="511" t="s">
        <v>1017</v>
      </c>
      <c r="D1405" s="507">
        <f t="shared" si="122"/>
        <v>1.9549999999999998</v>
      </c>
      <c r="E1405" s="508">
        <f t="shared" si="119"/>
        <v>25.42</v>
      </c>
      <c r="F1405" s="509"/>
      <c r="G1405" s="15"/>
      <c r="H1405" s="21"/>
      <c r="I1405" s="15"/>
      <c r="J1405" s="15"/>
      <c r="K1405" s="15"/>
      <c r="L1405" s="21"/>
      <c r="M1405" s="15"/>
    </row>
    <row r="1406" spans="1:13" s="166" customFormat="1" ht="12.75" customHeight="1">
      <c r="A1406" s="512" t="s">
        <v>433</v>
      </c>
      <c r="B1406" s="510">
        <v>13</v>
      </c>
      <c r="C1406" s="511" t="s">
        <v>1017</v>
      </c>
      <c r="D1406" s="507">
        <f t="shared" si="122"/>
        <v>4.910499999999999</v>
      </c>
      <c r="E1406" s="508">
        <f t="shared" si="119"/>
        <v>63.84</v>
      </c>
      <c r="F1406" s="509"/>
      <c r="G1406" s="15"/>
      <c r="H1406" s="21"/>
      <c r="I1406" s="15"/>
      <c r="J1406" s="15"/>
      <c r="K1406" s="15"/>
      <c r="L1406" s="21"/>
      <c r="M1406" s="15"/>
    </row>
    <row r="1407" spans="1:13" s="166" customFormat="1" ht="12.75" customHeight="1">
      <c r="A1407" s="512" t="s">
        <v>208</v>
      </c>
      <c r="B1407" s="516">
        <f>SUM(E1397:E1402)</f>
        <v>1337.4299999999998</v>
      </c>
      <c r="C1407" s="511" t="s">
        <v>209</v>
      </c>
      <c r="D1407" s="507">
        <f t="shared" si="122"/>
        <v>0.02</v>
      </c>
      <c r="E1407" s="508">
        <f t="shared" si="119"/>
        <v>26.75</v>
      </c>
      <c r="F1407" s="509">
        <f>SUM(E1397:E1407)</f>
        <v>1754.1099999999997</v>
      </c>
      <c r="G1407" s="15"/>
      <c r="H1407" s="21"/>
      <c r="I1407" s="15"/>
      <c r="J1407" s="15"/>
      <c r="K1407" s="15"/>
      <c r="L1407" s="21"/>
      <c r="M1407" s="15"/>
    </row>
    <row r="1408" spans="1:13" s="166" customFormat="1" ht="12.75" customHeight="1">
      <c r="A1408" s="12"/>
      <c r="B1408" s="14"/>
      <c r="C1408" s="24"/>
      <c r="D1408" s="35"/>
      <c r="E1408" s="31"/>
      <c r="F1408" s="32"/>
      <c r="G1408" s="15"/>
      <c r="H1408" s="21"/>
      <c r="I1408" s="15"/>
      <c r="J1408" s="15"/>
      <c r="K1408" s="15"/>
      <c r="L1408" s="21"/>
      <c r="M1408" s="15"/>
    </row>
    <row r="1409" spans="1:6" ht="12.75" customHeight="1">
      <c r="A1409" s="13" t="s">
        <v>644</v>
      </c>
      <c r="B1409" s="30"/>
      <c r="C1409" s="24"/>
      <c r="D1409" s="35"/>
      <c r="E1409" s="43" t="s">
        <v>151</v>
      </c>
      <c r="F1409" s="44" t="s">
        <v>213</v>
      </c>
    </row>
    <row r="1410" spans="1:6" ht="12.75" customHeight="1">
      <c r="A1410" s="12" t="s">
        <v>102</v>
      </c>
      <c r="B1410" s="30">
        <v>13</v>
      </c>
      <c r="C1410" s="24" t="s">
        <v>1017</v>
      </c>
      <c r="D1410" s="35">
        <f>Prec.!$C$86</f>
        <v>44</v>
      </c>
      <c r="E1410" s="31">
        <f t="shared" ref="E1410:E1419" si="123">ROUND(B1410*D1410,2)</f>
        <v>572</v>
      </c>
      <c r="F1410" s="32"/>
    </row>
    <row r="1411" spans="1:6" ht="12.75" customHeight="1">
      <c r="A1411" s="12" t="s">
        <v>117</v>
      </c>
      <c r="B1411" s="30">
        <v>3.6999999999999998E-2</v>
      </c>
      <c r="C1411" s="24" t="s">
        <v>216</v>
      </c>
      <c r="D1411" s="35">
        <f>Prec.!$C$54</f>
        <v>3200</v>
      </c>
      <c r="E1411" s="31">
        <f t="shared" si="123"/>
        <v>118.4</v>
      </c>
      <c r="F1411" s="32"/>
    </row>
    <row r="1412" spans="1:6" ht="12.75" customHeight="1">
      <c r="A1412" s="12" t="s">
        <v>217</v>
      </c>
      <c r="B1412" s="30">
        <f>B1411*2</f>
        <v>7.3999999999999996E-2</v>
      </c>
      <c r="C1412" s="24" t="s">
        <v>218</v>
      </c>
      <c r="D1412" s="35">
        <f>Prec.!$C$75</f>
        <v>60</v>
      </c>
      <c r="E1412" s="31">
        <f t="shared" si="123"/>
        <v>4.4400000000000004</v>
      </c>
      <c r="F1412" s="32"/>
    </row>
    <row r="1413" spans="1:6" ht="12.75" customHeight="1">
      <c r="A1413" s="12" t="s">
        <v>427</v>
      </c>
      <c r="B1413" s="30">
        <v>3.1E-2</v>
      </c>
      <c r="C1413" s="24" t="s">
        <v>825</v>
      </c>
      <c r="D1413" s="35">
        <f>$F$46</f>
        <v>6653.49</v>
      </c>
      <c r="E1413" s="31">
        <f t="shared" si="123"/>
        <v>206.26</v>
      </c>
      <c r="F1413" s="32"/>
    </row>
    <row r="1414" spans="1:6" ht="12.75" customHeight="1">
      <c r="A1414" s="12" t="s">
        <v>421</v>
      </c>
      <c r="B1414" s="30">
        <v>4.8000000000000001E-2</v>
      </c>
      <c r="C1414" s="24" t="s">
        <v>825</v>
      </c>
      <c r="D1414" s="35">
        <f>D1389</f>
        <v>5147.68</v>
      </c>
      <c r="E1414" s="31">
        <f t="shared" si="123"/>
        <v>247.09</v>
      </c>
      <c r="F1414" s="32"/>
    </row>
    <row r="1415" spans="1:6" ht="12.75" customHeight="1">
      <c r="A1415" s="12" t="s">
        <v>430</v>
      </c>
      <c r="B1415" s="30">
        <v>1</v>
      </c>
      <c r="C1415" s="24" t="s">
        <v>213</v>
      </c>
      <c r="D1415" s="35">
        <f>$F$999</f>
        <v>18.830000000000002</v>
      </c>
      <c r="E1415" s="31">
        <f t="shared" si="123"/>
        <v>18.829999999999998</v>
      </c>
      <c r="F1415" s="32"/>
    </row>
    <row r="1416" spans="1:6" ht="12.75" customHeight="1">
      <c r="A1416" s="12" t="s">
        <v>428</v>
      </c>
      <c r="B1416" s="30">
        <v>13</v>
      </c>
      <c r="C1416" s="24" t="s">
        <v>1017</v>
      </c>
      <c r="D1416" s="35">
        <f>Prec.!$D$329</f>
        <v>0</v>
      </c>
      <c r="E1416" s="31">
        <f t="shared" si="123"/>
        <v>0</v>
      </c>
      <c r="F1416" s="32"/>
    </row>
    <row r="1417" spans="1:6" ht="12.75" customHeight="1">
      <c r="A1417" s="12" t="s">
        <v>432</v>
      </c>
      <c r="B1417" s="30">
        <v>13</v>
      </c>
      <c r="C1417" s="24" t="s">
        <v>1017</v>
      </c>
      <c r="D1417" s="35">
        <f>Prec.!$D$540</f>
        <v>1.1499999999999999</v>
      </c>
      <c r="E1417" s="31">
        <f t="shared" si="123"/>
        <v>14.95</v>
      </c>
      <c r="F1417" s="32"/>
    </row>
    <row r="1418" spans="1:6" ht="12.75" customHeight="1">
      <c r="A1418" s="12" t="s">
        <v>433</v>
      </c>
      <c r="B1418" s="30">
        <v>13</v>
      </c>
      <c r="C1418" s="24" t="s">
        <v>1017</v>
      </c>
      <c r="D1418" s="35">
        <f>Prec.!D544</f>
        <v>4.2699999999999996</v>
      </c>
      <c r="E1418" s="31">
        <f t="shared" si="123"/>
        <v>55.51</v>
      </c>
      <c r="F1418" s="32"/>
    </row>
    <row r="1419" spans="1:6" ht="12.75" customHeight="1">
      <c r="A1419" s="12" t="s">
        <v>208</v>
      </c>
      <c r="B1419" s="14">
        <f>SUM(E1410:E1418)</f>
        <v>1237.48</v>
      </c>
      <c r="C1419" s="24" t="s">
        <v>209</v>
      </c>
      <c r="D1419" s="35">
        <f>Prec.!C302</f>
        <v>1.4999999999999999E-2</v>
      </c>
      <c r="E1419" s="31">
        <f t="shared" si="123"/>
        <v>18.559999999999999</v>
      </c>
      <c r="F1419" s="32">
        <f>SUM(E1410:E1419)</f>
        <v>1256.04</v>
      </c>
    </row>
    <row r="1420" spans="1:6" ht="12.75" customHeight="1">
      <c r="A1420" s="12"/>
      <c r="B1420" s="14"/>
      <c r="C1420" s="24"/>
      <c r="D1420" s="35"/>
      <c r="E1420" s="31"/>
      <c r="F1420" s="32"/>
    </row>
    <row r="1421" spans="1:6" ht="12.75" customHeight="1">
      <c r="A1421" s="13" t="s">
        <v>1093</v>
      </c>
      <c r="B1421" s="30"/>
      <c r="C1421" s="24"/>
      <c r="D1421" s="35"/>
      <c r="E1421" s="43" t="s">
        <v>151</v>
      </c>
      <c r="F1421" s="44" t="s">
        <v>213</v>
      </c>
    </row>
    <row r="1422" spans="1:6" ht="12.75" customHeight="1">
      <c r="A1422" s="12" t="s">
        <v>102</v>
      </c>
      <c r="B1422" s="30">
        <v>13</v>
      </c>
      <c r="C1422" s="24" t="s">
        <v>1017</v>
      </c>
      <c r="D1422" s="35">
        <f>Prec.!$C$86</f>
        <v>44</v>
      </c>
      <c r="E1422" s="31">
        <f t="shared" ref="E1422:E1431" si="124">ROUND(B1422*D1422,2)</f>
        <v>572</v>
      </c>
      <c r="F1422" s="32"/>
    </row>
    <row r="1423" spans="1:6" ht="12.75" customHeight="1">
      <c r="A1423" s="12" t="s">
        <v>117</v>
      </c>
      <c r="B1423" s="30">
        <v>3.2000000000000001E-2</v>
      </c>
      <c r="C1423" s="24" t="s">
        <v>216</v>
      </c>
      <c r="D1423" s="35">
        <f>Prec.!$C$54</f>
        <v>3200</v>
      </c>
      <c r="E1423" s="31">
        <f t="shared" si="124"/>
        <v>102.4</v>
      </c>
      <c r="F1423" s="32"/>
    </row>
    <row r="1424" spans="1:6" ht="12.75" customHeight="1">
      <c r="A1424" s="12" t="s">
        <v>217</v>
      </c>
      <c r="B1424" s="30">
        <f>B1423*2</f>
        <v>6.4000000000000001E-2</v>
      </c>
      <c r="C1424" s="24" t="s">
        <v>218</v>
      </c>
      <c r="D1424" s="35">
        <f>Prec.!$C$75</f>
        <v>60</v>
      </c>
      <c r="E1424" s="31">
        <f t="shared" si="124"/>
        <v>3.84</v>
      </c>
      <c r="F1424" s="32"/>
    </row>
    <row r="1425" spans="1:6" ht="12.75" customHeight="1">
      <c r="A1425" s="12" t="s">
        <v>427</v>
      </c>
      <c r="B1425" s="30">
        <v>3.1E-2</v>
      </c>
      <c r="C1425" s="24" t="s">
        <v>825</v>
      </c>
      <c r="D1425" s="35">
        <f>D1437</f>
        <v>6653.49</v>
      </c>
      <c r="E1425" s="31">
        <f t="shared" si="124"/>
        <v>206.26</v>
      </c>
      <c r="F1425" s="32"/>
    </row>
    <row r="1426" spans="1:6" ht="12.75" customHeight="1">
      <c r="A1426" s="12" t="s">
        <v>421</v>
      </c>
      <c r="B1426" s="30">
        <v>4.8000000000000001E-2</v>
      </c>
      <c r="C1426" s="24" t="s">
        <v>825</v>
      </c>
      <c r="D1426" s="35">
        <f>D1438</f>
        <v>5147.68</v>
      </c>
      <c r="E1426" s="31">
        <f t="shared" si="124"/>
        <v>247.09</v>
      </c>
      <c r="F1426" s="32"/>
    </row>
    <row r="1427" spans="1:6" ht="12.75" customHeight="1">
      <c r="A1427" s="12" t="s">
        <v>430</v>
      </c>
      <c r="B1427" s="30">
        <v>1</v>
      </c>
      <c r="C1427" s="24" t="s">
        <v>213</v>
      </c>
      <c r="D1427" s="35">
        <f>$F$999</f>
        <v>18.830000000000002</v>
      </c>
      <c r="E1427" s="31">
        <f t="shared" si="124"/>
        <v>18.829999999999998</v>
      </c>
      <c r="F1427" s="32"/>
    </row>
    <row r="1428" spans="1:6" ht="12.75" customHeight="1">
      <c r="A1428" s="12" t="s">
        <v>428</v>
      </c>
      <c r="B1428" s="30">
        <v>13</v>
      </c>
      <c r="C1428" s="24" t="s">
        <v>1017</v>
      </c>
      <c r="D1428" s="35">
        <f>Prec.!$D$329</f>
        <v>0</v>
      </c>
      <c r="E1428" s="31">
        <f t="shared" si="124"/>
        <v>0</v>
      </c>
      <c r="F1428" s="32"/>
    </row>
    <row r="1429" spans="1:6" ht="12.75" customHeight="1">
      <c r="A1429" s="12" t="s">
        <v>432</v>
      </c>
      <c r="B1429" s="30">
        <v>13</v>
      </c>
      <c r="C1429" s="24" t="s">
        <v>1017</v>
      </c>
      <c r="D1429" s="35">
        <f>Prec.!D541</f>
        <v>0.85</v>
      </c>
      <c r="E1429" s="31">
        <f t="shared" si="124"/>
        <v>11.05</v>
      </c>
      <c r="F1429" s="32"/>
    </row>
    <row r="1430" spans="1:6" ht="12.75" customHeight="1">
      <c r="A1430" s="12" t="s">
        <v>433</v>
      </c>
      <c r="B1430" s="30">
        <v>13</v>
      </c>
      <c r="C1430" s="24" t="s">
        <v>1017</v>
      </c>
      <c r="D1430" s="35">
        <f>Prec.!D544</f>
        <v>4.2699999999999996</v>
      </c>
      <c r="E1430" s="31">
        <f t="shared" si="124"/>
        <v>55.51</v>
      </c>
      <c r="F1430" s="32"/>
    </row>
    <row r="1431" spans="1:6" ht="12.75" customHeight="1">
      <c r="A1431" s="12" t="s">
        <v>208</v>
      </c>
      <c r="B1431" s="14">
        <f>SUM(E1422:E1430)</f>
        <v>1216.9799999999998</v>
      </c>
      <c r="C1431" s="24" t="s">
        <v>209</v>
      </c>
      <c r="D1431" s="35">
        <f>Prec.!C302</f>
        <v>1.4999999999999999E-2</v>
      </c>
      <c r="E1431" s="31">
        <f t="shared" si="124"/>
        <v>18.25</v>
      </c>
      <c r="F1431" s="32">
        <f>SUM(E1422:E1431)</f>
        <v>1235.2299999999998</v>
      </c>
    </row>
    <row r="1432" spans="1:6" ht="12.75" customHeight="1">
      <c r="A1432" s="12"/>
      <c r="B1432" s="14"/>
      <c r="C1432" s="24"/>
      <c r="D1432" s="35"/>
      <c r="E1432" s="31"/>
      <c r="F1432" s="32"/>
    </row>
    <row r="1433" spans="1:6" ht="12.75" customHeight="1">
      <c r="A1433" s="13" t="s">
        <v>1092</v>
      </c>
      <c r="B1433" s="30"/>
      <c r="C1433" s="24"/>
      <c r="D1433" s="35"/>
      <c r="E1433" s="43" t="s">
        <v>151</v>
      </c>
      <c r="F1433" s="44" t="s">
        <v>213</v>
      </c>
    </row>
    <row r="1434" spans="1:6" ht="12.75" customHeight="1">
      <c r="A1434" s="12" t="s">
        <v>544</v>
      </c>
      <c r="B1434" s="30">
        <v>13</v>
      </c>
      <c r="C1434" s="24" t="s">
        <v>1017</v>
      </c>
      <c r="D1434" s="35">
        <f>Prec.!$C$86</f>
        <v>44</v>
      </c>
      <c r="E1434" s="31">
        <f t="shared" ref="E1434:E1443" si="125">ROUND(B1434*D1434,2)</f>
        <v>572</v>
      </c>
      <c r="F1434" s="32"/>
    </row>
    <row r="1435" spans="1:6" ht="12.75" customHeight="1">
      <c r="A1435" s="12" t="s">
        <v>117</v>
      </c>
      <c r="B1435" s="30">
        <v>2.4E-2</v>
      </c>
      <c r="C1435" s="24" t="s">
        <v>216</v>
      </c>
      <c r="D1435" s="35">
        <f>Prec.!$C$54</f>
        <v>3200</v>
      </c>
      <c r="E1435" s="31">
        <f t="shared" si="125"/>
        <v>76.8</v>
      </c>
      <c r="F1435" s="32"/>
    </row>
    <row r="1436" spans="1:6" ht="12.75" customHeight="1">
      <c r="A1436" s="12" t="s">
        <v>217</v>
      </c>
      <c r="B1436" s="30">
        <f>B1435*2</f>
        <v>4.8000000000000001E-2</v>
      </c>
      <c r="C1436" s="24" t="s">
        <v>218</v>
      </c>
      <c r="D1436" s="35">
        <f>Prec.!$C$75</f>
        <v>60</v>
      </c>
      <c r="E1436" s="31">
        <f t="shared" si="125"/>
        <v>2.88</v>
      </c>
      <c r="F1436" s="32"/>
    </row>
    <row r="1437" spans="1:6" ht="12.75" customHeight="1">
      <c r="A1437" s="12" t="s">
        <v>427</v>
      </c>
      <c r="B1437" s="30">
        <v>3.1E-2</v>
      </c>
      <c r="C1437" s="24" t="s">
        <v>825</v>
      </c>
      <c r="D1437" s="35">
        <f>$F$46</f>
        <v>6653.49</v>
      </c>
      <c r="E1437" s="31">
        <f t="shared" si="125"/>
        <v>206.26</v>
      </c>
      <c r="F1437" s="32"/>
    </row>
    <row r="1438" spans="1:6" ht="12.75" customHeight="1">
      <c r="A1438" s="12" t="s">
        <v>421</v>
      </c>
      <c r="B1438" s="30">
        <v>4.8000000000000001E-2</v>
      </c>
      <c r="C1438" s="24" t="s">
        <v>825</v>
      </c>
      <c r="D1438" s="35">
        <f>D1389</f>
        <v>5147.68</v>
      </c>
      <c r="E1438" s="31">
        <f t="shared" si="125"/>
        <v>247.09</v>
      </c>
      <c r="F1438" s="32"/>
    </row>
    <row r="1439" spans="1:6" ht="12.75" customHeight="1">
      <c r="A1439" s="12" t="s">
        <v>430</v>
      </c>
      <c r="B1439" s="30">
        <v>1</v>
      </c>
      <c r="C1439" s="24" t="s">
        <v>213</v>
      </c>
      <c r="D1439" s="35">
        <f>$F$999</f>
        <v>18.830000000000002</v>
      </c>
      <c r="E1439" s="31">
        <f t="shared" si="125"/>
        <v>18.829999999999998</v>
      </c>
      <c r="F1439" s="32"/>
    </row>
    <row r="1440" spans="1:6" ht="12.75" customHeight="1">
      <c r="A1440" s="12" t="s">
        <v>428</v>
      </c>
      <c r="B1440" s="30">
        <v>13</v>
      </c>
      <c r="C1440" s="24" t="s">
        <v>1017</v>
      </c>
      <c r="D1440" s="35">
        <f>Prec.!$D$329</f>
        <v>0</v>
      </c>
      <c r="E1440" s="31">
        <f t="shared" si="125"/>
        <v>0</v>
      </c>
      <c r="F1440" s="32"/>
    </row>
    <row r="1441" spans="1:6" ht="12.75" customHeight="1">
      <c r="A1441" s="12" t="s">
        <v>432</v>
      </c>
      <c r="B1441" s="30">
        <v>13</v>
      </c>
      <c r="C1441" s="24" t="s">
        <v>1017</v>
      </c>
      <c r="D1441" s="35">
        <f>Prec.!$D$542</f>
        <v>0.55000000000000004</v>
      </c>
      <c r="E1441" s="31">
        <f t="shared" si="125"/>
        <v>7.15</v>
      </c>
      <c r="F1441" s="32"/>
    </row>
    <row r="1442" spans="1:6" ht="12.75" customHeight="1">
      <c r="A1442" s="12" t="s">
        <v>433</v>
      </c>
      <c r="B1442" s="30">
        <v>13</v>
      </c>
      <c r="C1442" s="24" t="s">
        <v>1017</v>
      </c>
      <c r="D1442" s="35">
        <f>Prec.!D544</f>
        <v>4.2699999999999996</v>
      </c>
      <c r="E1442" s="31">
        <f t="shared" si="125"/>
        <v>55.51</v>
      </c>
      <c r="F1442" s="32"/>
    </row>
    <row r="1443" spans="1:6" ht="12.75" customHeight="1">
      <c r="A1443" s="12" t="s">
        <v>208</v>
      </c>
      <c r="B1443" s="14">
        <f>SUM(E1434:E1442)</f>
        <v>1186.52</v>
      </c>
      <c r="C1443" s="24" t="s">
        <v>209</v>
      </c>
      <c r="D1443" s="35">
        <f>Prec.!C302</f>
        <v>1.4999999999999999E-2</v>
      </c>
      <c r="E1443" s="31">
        <f t="shared" si="125"/>
        <v>17.8</v>
      </c>
      <c r="F1443" s="32">
        <f>SUM(E1434:E1443)</f>
        <v>1204.32</v>
      </c>
    </row>
    <row r="1444" spans="1:6" ht="12.75" customHeight="1">
      <c r="A1444" s="12"/>
      <c r="B1444" s="14"/>
      <c r="C1444" s="24"/>
      <c r="D1444" s="35"/>
      <c r="E1444" s="31"/>
      <c r="F1444" s="32"/>
    </row>
    <row r="1445" spans="1:6" ht="12.75" customHeight="1">
      <c r="A1445" s="12"/>
      <c r="B1445" s="14"/>
      <c r="C1445" s="24"/>
      <c r="D1445" s="35"/>
      <c r="E1445" s="31"/>
      <c r="F1445" s="32"/>
    </row>
    <row r="1446" spans="1:6" ht="12.75" customHeight="1">
      <c r="A1446" s="12"/>
      <c r="B1446" s="14"/>
      <c r="C1446" s="24"/>
      <c r="D1446" s="35"/>
      <c r="E1446" s="31"/>
      <c r="F1446" s="32"/>
    </row>
    <row r="1447" spans="1:6" ht="12.75" customHeight="1">
      <c r="A1447" s="13" t="s">
        <v>1095</v>
      </c>
      <c r="B1447" s="30"/>
      <c r="C1447" s="24"/>
      <c r="D1447" s="35"/>
      <c r="E1447" s="43" t="s">
        <v>151</v>
      </c>
      <c r="F1447" s="44" t="s">
        <v>213</v>
      </c>
    </row>
    <row r="1448" spans="1:6" ht="12.75" customHeight="1">
      <c r="A1448" s="12" t="s">
        <v>102</v>
      </c>
      <c r="B1448" s="30">
        <v>13</v>
      </c>
      <c r="C1448" s="24" t="s">
        <v>1017</v>
      </c>
      <c r="D1448" s="35">
        <f>Prec.!$C$86</f>
        <v>44</v>
      </c>
      <c r="E1448" s="31">
        <f t="shared" ref="E1448:E1457" si="126">ROUND(B1448*D1448,2)</f>
        <v>572</v>
      </c>
      <c r="F1448" s="32"/>
    </row>
    <row r="1449" spans="1:6" ht="12.75" customHeight="1">
      <c r="A1449" s="12" t="s">
        <v>117</v>
      </c>
      <c r="B1449" s="30">
        <v>3.6999999999999998E-2</v>
      </c>
      <c r="C1449" s="24" t="s">
        <v>216</v>
      </c>
      <c r="D1449" s="35">
        <f>Prec.!$C$54</f>
        <v>3200</v>
      </c>
      <c r="E1449" s="31">
        <f t="shared" si="126"/>
        <v>118.4</v>
      </c>
      <c r="F1449" s="32"/>
    </row>
    <row r="1450" spans="1:6" ht="12.75" customHeight="1">
      <c r="A1450" s="12" t="s">
        <v>217</v>
      </c>
      <c r="B1450" s="30">
        <f>B1449*2</f>
        <v>7.3999999999999996E-2</v>
      </c>
      <c r="C1450" s="24" t="s">
        <v>218</v>
      </c>
      <c r="D1450" s="35">
        <f>Prec.!$C$75</f>
        <v>60</v>
      </c>
      <c r="E1450" s="31">
        <f t="shared" si="126"/>
        <v>4.4400000000000004</v>
      </c>
      <c r="F1450" s="32"/>
    </row>
    <row r="1451" spans="1:6" ht="12.75" customHeight="1">
      <c r="A1451" s="12" t="s">
        <v>427</v>
      </c>
      <c r="B1451" s="30">
        <v>3.1E-2</v>
      </c>
      <c r="C1451" s="24" t="s">
        <v>825</v>
      </c>
      <c r="D1451" s="35">
        <f>$F$46</f>
        <v>6653.49</v>
      </c>
      <c r="E1451" s="31">
        <f t="shared" si="126"/>
        <v>206.26</v>
      </c>
      <c r="F1451" s="32"/>
    </row>
    <row r="1452" spans="1:6" ht="12.75" customHeight="1">
      <c r="A1452" s="12" t="s">
        <v>421</v>
      </c>
      <c r="B1452" s="30">
        <v>3.9E-2</v>
      </c>
      <c r="C1452" s="24" t="s">
        <v>825</v>
      </c>
      <c r="D1452" s="35">
        <f>D1502</f>
        <v>5147.68</v>
      </c>
      <c r="E1452" s="31">
        <f t="shared" si="126"/>
        <v>200.76</v>
      </c>
      <c r="F1452" s="32"/>
    </row>
    <row r="1453" spans="1:6" ht="12.75" customHeight="1">
      <c r="A1453" s="12" t="s">
        <v>430</v>
      </c>
      <c r="B1453" s="30">
        <v>1</v>
      </c>
      <c r="C1453" s="24" t="s">
        <v>213</v>
      </c>
      <c r="D1453" s="35">
        <f>$F$999</f>
        <v>18.830000000000002</v>
      </c>
      <c r="E1453" s="31">
        <f t="shared" si="126"/>
        <v>18.829999999999998</v>
      </c>
      <c r="F1453" s="32"/>
    </row>
    <row r="1454" spans="1:6" ht="12.75" customHeight="1">
      <c r="A1454" s="12" t="s">
        <v>428</v>
      </c>
      <c r="B1454" s="30">
        <v>13</v>
      </c>
      <c r="C1454" s="24" t="s">
        <v>1017</v>
      </c>
      <c r="D1454" s="35">
        <f>D1404</f>
        <v>21.68</v>
      </c>
      <c r="E1454" s="31">
        <f t="shared" si="126"/>
        <v>281.83999999999997</v>
      </c>
      <c r="F1454" s="32"/>
    </row>
    <row r="1455" spans="1:6" ht="12.75" customHeight="1">
      <c r="A1455" s="12" t="s">
        <v>432</v>
      </c>
      <c r="B1455" s="30">
        <v>13</v>
      </c>
      <c r="C1455" s="24" t="s">
        <v>1017</v>
      </c>
      <c r="D1455" s="35">
        <f>Prec.!C540</f>
        <v>1.3224999999999998</v>
      </c>
      <c r="E1455" s="31">
        <f t="shared" si="126"/>
        <v>17.190000000000001</v>
      </c>
      <c r="F1455" s="32"/>
    </row>
    <row r="1456" spans="1:6" ht="12.75" customHeight="1">
      <c r="A1456" s="12" t="s">
        <v>433</v>
      </c>
      <c r="B1456" s="30">
        <v>13</v>
      </c>
      <c r="C1456" s="24" t="s">
        <v>1017</v>
      </c>
      <c r="D1456" s="35">
        <f>Prec.!C545</f>
        <v>2.6795</v>
      </c>
      <c r="E1456" s="31">
        <f t="shared" si="126"/>
        <v>34.83</v>
      </c>
      <c r="F1456" s="32"/>
    </row>
    <row r="1457" spans="1:13" ht="12.75" customHeight="1">
      <c r="A1457" s="12" t="s">
        <v>208</v>
      </c>
      <c r="B1457" s="14">
        <f>SUM(E1448:E1456)</f>
        <v>1454.55</v>
      </c>
      <c r="C1457" s="24" t="s">
        <v>209</v>
      </c>
      <c r="D1457" s="35">
        <v>0.02</v>
      </c>
      <c r="E1457" s="31">
        <f t="shared" si="126"/>
        <v>29.09</v>
      </c>
      <c r="F1457" s="32">
        <f>SUM(E1448:E1457)</f>
        <v>1483.6399999999999</v>
      </c>
    </row>
    <row r="1458" spans="1:13" ht="12.75" customHeight="1">
      <c r="A1458" s="12"/>
      <c r="B1458" s="14"/>
      <c r="C1458" s="24"/>
      <c r="D1458" s="35"/>
      <c r="E1458" s="31"/>
      <c r="F1458" s="32"/>
    </row>
    <row r="1459" spans="1:13" s="166" customFormat="1" ht="12.75" customHeight="1">
      <c r="A1459" s="513" t="s">
        <v>4162</v>
      </c>
      <c r="B1459" s="510"/>
      <c r="C1459" s="511"/>
      <c r="D1459" s="507"/>
      <c r="E1459" s="514" t="s">
        <v>151</v>
      </c>
      <c r="F1459" s="515" t="s">
        <v>213</v>
      </c>
      <c r="G1459" s="15"/>
      <c r="H1459" s="21"/>
      <c r="I1459" s="15"/>
      <c r="J1459" s="15"/>
      <c r="K1459" s="15"/>
      <c r="L1459" s="21"/>
      <c r="M1459" s="15"/>
    </row>
    <row r="1460" spans="1:13" s="166" customFormat="1" ht="12.75" customHeight="1">
      <c r="A1460" s="512" t="s">
        <v>102</v>
      </c>
      <c r="B1460" s="510">
        <v>13</v>
      </c>
      <c r="C1460" s="511" t="s">
        <v>1017</v>
      </c>
      <c r="D1460" s="507">
        <f>D1448</f>
        <v>44</v>
      </c>
      <c r="E1460" s="508">
        <f t="shared" ref="E1460:E1470" si="127">ROUND(B1460*D1460,2)</f>
        <v>572</v>
      </c>
      <c r="F1460" s="509"/>
      <c r="G1460" s="15"/>
      <c r="H1460" s="21"/>
      <c r="I1460" s="15"/>
      <c r="J1460" s="15"/>
      <c r="K1460" s="15"/>
      <c r="L1460" s="21"/>
      <c r="M1460" s="15"/>
    </row>
    <row r="1461" spans="1:13" s="166" customFormat="1" ht="12.75" customHeight="1">
      <c r="A1461" s="512" t="s">
        <v>117</v>
      </c>
      <c r="B1461" s="510">
        <v>3.6999999999999998E-2</v>
      </c>
      <c r="C1461" s="511" t="s">
        <v>216</v>
      </c>
      <c r="D1461" s="507">
        <f t="shared" ref="D1461" si="128">D1449</f>
        <v>3200</v>
      </c>
      <c r="E1461" s="508">
        <f t="shared" si="127"/>
        <v>118.4</v>
      </c>
      <c r="F1461" s="509"/>
      <c r="G1461" s="15"/>
      <c r="H1461" s="21"/>
      <c r="I1461" s="15"/>
      <c r="J1461" s="15"/>
      <c r="K1461" s="15"/>
      <c r="L1461" s="21"/>
      <c r="M1461" s="15"/>
    </row>
    <row r="1462" spans="1:13" s="166" customFormat="1" ht="12.75" customHeight="1">
      <c r="A1462" s="512" t="s">
        <v>117</v>
      </c>
      <c r="B1462" s="510">
        <f>B1474</f>
        <v>3.2000000000000001E-2</v>
      </c>
      <c r="C1462" s="511" t="s">
        <v>216</v>
      </c>
      <c r="D1462" s="507">
        <f>D1461</f>
        <v>3200</v>
      </c>
      <c r="E1462" s="508">
        <f t="shared" ref="E1462" si="129">ROUND(B1462*D1462,2)</f>
        <v>102.4</v>
      </c>
      <c r="F1462" s="509"/>
      <c r="G1462" s="15"/>
      <c r="H1462" s="21"/>
      <c r="I1462" s="15"/>
      <c r="J1462" s="15"/>
      <c r="K1462" s="15"/>
      <c r="L1462" s="21"/>
      <c r="M1462" s="15"/>
    </row>
    <row r="1463" spans="1:13" s="166" customFormat="1" ht="12.75" customHeight="1">
      <c r="A1463" s="512" t="s">
        <v>217</v>
      </c>
      <c r="B1463" s="510">
        <f>(B1461+B1462)*2</f>
        <v>0.13800000000000001</v>
      </c>
      <c r="C1463" s="511" t="s">
        <v>218</v>
      </c>
      <c r="D1463" s="507">
        <f t="shared" ref="D1463:D1470" si="130">D1450</f>
        <v>60</v>
      </c>
      <c r="E1463" s="508">
        <f t="shared" si="127"/>
        <v>8.2799999999999994</v>
      </c>
      <c r="F1463" s="509"/>
      <c r="G1463" s="15"/>
      <c r="H1463" s="21"/>
      <c r="I1463" s="15"/>
      <c r="J1463" s="15"/>
      <c r="K1463" s="15"/>
      <c r="L1463" s="21"/>
      <c r="M1463" s="15"/>
    </row>
    <row r="1464" spans="1:13" s="166" customFormat="1" ht="12.75" customHeight="1">
      <c r="A1464" s="512" t="s">
        <v>427</v>
      </c>
      <c r="B1464" s="510">
        <v>3.1E-2</v>
      </c>
      <c r="C1464" s="511" t="s">
        <v>825</v>
      </c>
      <c r="D1464" s="507">
        <f t="shared" si="130"/>
        <v>6653.49</v>
      </c>
      <c r="E1464" s="508">
        <f t="shared" si="127"/>
        <v>206.26</v>
      </c>
      <c r="F1464" s="509"/>
      <c r="G1464" s="15"/>
      <c r="H1464" s="21"/>
      <c r="I1464" s="15"/>
      <c r="J1464" s="15"/>
      <c r="K1464" s="15"/>
      <c r="L1464" s="21"/>
      <c r="M1464" s="15"/>
    </row>
    <row r="1465" spans="1:13" s="166" customFormat="1" ht="12.75" customHeight="1">
      <c r="A1465" s="512" t="s">
        <v>421</v>
      </c>
      <c r="B1465" s="510">
        <v>3.9E-2</v>
      </c>
      <c r="C1465" s="511" t="s">
        <v>825</v>
      </c>
      <c r="D1465" s="507">
        <f t="shared" si="130"/>
        <v>5147.68</v>
      </c>
      <c r="E1465" s="508">
        <f t="shared" si="127"/>
        <v>200.76</v>
      </c>
      <c r="F1465" s="509"/>
      <c r="G1465" s="15"/>
      <c r="H1465" s="21"/>
      <c r="I1465" s="15"/>
      <c r="J1465" s="15"/>
      <c r="K1465" s="15"/>
      <c r="L1465" s="21"/>
      <c r="M1465" s="15"/>
    </row>
    <row r="1466" spans="1:13" s="166" customFormat="1" ht="12.75" customHeight="1">
      <c r="A1466" s="512" t="s">
        <v>430</v>
      </c>
      <c r="B1466" s="510">
        <v>1</v>
      </c>
      <c r="C1466" s="511" t="s">
        <v>213</v>
      </c>
      <c r="D1466" s="507">
        <f t="shared" si="130"/>
        <v>18.830000000000002</v>
      </c>
      <c r="E1466" s="508">
        <f t="shared" si="127"/>
        <v>18.829999999999998</v>
      </c>
      <c r="F1466" s="509"/>
      <c r="G1466" s="15"/>
      <c r="H1466" s="21"/>
      <c r="I1466" s="15"/>
      <c r="J1466" s="15"/>
      <c r="K1466" s="15"/>
      <c r="L1466" s="21"/>
      <c r="M1466" s="15"/>
    </row>
    <row r="1467" spans="1:13" s="166" customFormat="1" ht="12.75" customHeight="1">
      <c r="A1467" s="512" t="s">
        <v>428</v>
      </c>
      <c r="B1467" s="510">
        <v>13</v>
      </c>
      <c r="C1467" s="511" t="s">
        <v>1017</v>
      </c>
      <c r="D1467" s="507">
        <f t="shared" si="130"/>
        <v>21.68</v>
      </c>
      <c r="E1467" s="508">
        <f t="shared" si="127"/>
        <v>281.83999999999997</v>
      </c>
      <c r="F1467" s="509"/>
      <c r="G1467" s="15"/>
      <c r="H1467" s="21"/>
      <c r="I1467" s="15"/>
      <c r="J1467" s="15"/>
      <c r="K1467" s="15"/>
      <c r="L1467" s="21"/>
      <c r="M1467" s="15"/>
    </row>
    <row r="1468" spans="1:13" s="166" customFormat="1" ht="12.75" customHeight="1">
      <c r="A1468" s="512" t="s">
        <v>432</v>
      </c>
      <c r="B1468" s="510">
        <v>13</v>
      </c>
      <c r="C1468" s="511" t="s">
        <v>1017</v>
      </c>
      <c r="D1468" s="507">
        <f t="shared" si="130"/>
        <v>1.3224999999999998</v>
      </c>
      <c r="E1468" s="508">
        <f t="shared" si="127"/>
        <v>17.190000000000001</v>
      </c>
      <c r="F1468" s="509"/>
      <c r="G1468" s="15"/>
      <c r="H1468" s="21"/>
      <c r="I1468" s="15"/>
      <c r="J1468" s="15"/>
      <c r="K1468" s="15"/>
      <c r="L1468" s="21"/>
      <c r="M1468" s="15"/>
    </row>
    <row r="1469" spans="1:13" s="166" customFormat="1" ht="12.75" customHeight="1">
      <c r="A1469" s="512" t="s">
        <v>433</v>
      </c>
      <c r="B1469" s="510">
        <v>13</v>
      </c>
      <c r="C1469" s="511" t="s">
        <v>1017</v>
      </c>
      <c r="D1469" s="507">
        <f t="shared" si="130"/>
        <v>2.6795</v>
      </c>
      <c r="E1469" s="508">
        <f t="shared" si="127"/>
        <v>34.83</v>
      </c>
      <c r="F1469" s="509"/>
      <c r="G1469" s="15"/>
      <c r="H1469" s="21"/>
      <c r="I1469" s="15"/>
      <c r="J1469" s="15"/>
      <c r="K1469" s="15"/>
      <c r="L1469" s="21"/>
      <c r="M1469" s="15"/>
    </row>
    <row r="1470" spans="1:13" s="166" customFormat="1" ht="12.75" customHeight="1">
      <c r="A1470" s="512" t="s">
        <v>208</v>
      </c>
      <c r="B1470" s="516">
        <f>SUM(E1460:E1469)</f>
        <v>1560.7899999999997</v>
      </c>
      <c r="C1470" s="511" t="s">
        <v>209</v>
      </c>
      <c r="D1470" s="507">
        <f t="shared" si="130"/>
        <v>0.02</v>
      </c>
      <c r="E1470" s="508">
        <f t="shared" si="127"/>
        <v>31.22</v>
      </c>
      <c r="F1470" s="509">
        <f>SUM(E1460:E1470)</f>
        <v>1592.0099999999998</v>
      </c>
      <c r="G1470" s="15"/>
      <c r="H1470" s="21"/>
      <c r="I1470" s="15"/>
      <c r="J1470" s="15"/>
      <c r="K1470" s="15"/>
      <c r="L1470" s="21"/>
      <c r="M1470" s="15"/>
    </row>
    <row r="1471" spans="1:13" s="166" customFormat="1" ht="12.75" customHeight="1">
      <c r="A1471" s="12"/>
      <c r="B1471" s="14"/>
      <c r="C1471" s="24"/>
      <c r="D1471" s="35"/>
      <c r="E1471" s="31"/>
      <c r="F1471" s="32"/>
      <c r="G1471" s="15"/>
      <c r="H1471" s="21"/>
      <c r="I1471" s="15"/>
      <c r="J1471" s="15"/>
      <c r="K1471" s="15"/>
      <c r="L1471" s="21"/>
      <c r="M1471" s="15"/>
    </row>
    <row r="1472" spans="1:13" ht="12.75" customHeight="1">
      <c r="A1472" s="545" t="s">
        <v>4163</v>
      </c>
      <c r="B1472" s="546"/>
      <c r="C1472" s="547"/>
      <c r="D1472" s="548"/>
      <c r="E1472" s="549" t="s">
        <v>151</v>
      </c>
      <c r="F1472" s="550" t="s">
        <v>213</v>
      </c>
    </row>
    <row r="1473" spans="1:13" ht="12.75" customHeight="1">
      <c r="A1473" s="551" t="s">
        <v>102</v>
      </c>
      <c r="B1473" s="546">
        <v>13</v>
      </c>
      <c r="C1473" s="547" t="s">
        <v>1017</v>
      </c>
      <c r="D1473" s="548">
        <f>Prec.!$C$86</f>
        <v>44</v>
      </c>
      <c r="E1473" s="552">
        <f t="shared" ref="E1473:E1483" si="131">ROUND(B1473*D1473,2)</f>
        <v>572</v>
      </c>
      <c r="F1473" s="553"/>
    </row>
    <row r="1474" spans="1:13" ht="12.75" customHeight="1">
      <c r="A1474" s="551" t="s">
        <v>117</v>
      </c>
      <c r="B1474" s="546">
        <v>3.2000000000000001E-2</v>
      </c>
      <c r="C1474" s="547" t="s">
        <v>216</v>
      </c>
      <c r="D1474" s="548">
        <f>Prec.!$C$54</f>
        <v>3200</v>
      </c>
      <c r="E1474" s="552">
        <f t="shared" si="131"/>
        <v>102.4</v>
      </c>
      <c r="F1474" s="553"/>
    </row>
    <row r="1475" spans="1:13" s="166" customFormat="1" ht="12.75" customHeight="1">
      <c r="A1475" s="551" t="s">
        <v>117</v>
      </c>
      <c r="B1475" s="546">
        <v>3.2000000000000001E-2</v>
      </c>
      <c r="C1475" s="547" t="s">
        <v>216</v>
      </c>
      <c r="D1475" s="548">
        <f>Prec.!$C$54</f>
        <v>3200</v>
      </c>
      <c r="E1475" s="552">
        <f t="shared" ref="E1475" si="132">ROUND(B1475*D1475,2)</f>
        <v>102.4</v>
      </c>
      <c r="F1475" s="553"/>
      <c r="G1475" s="15"/>
      <c r="H1475" s="21"/>
      <c r="I1475" s="15"/>
      <c r="J1475" s="15"/>
      <c r="K1475" s="15"/>
      <c r="L1475" s="21"/>
      <c r="M1475" s="15"/>
    </row>
    <row r="1476" spans="1:13" ht="12.75" customHeight="1">
      <c r="A1476" s="551" t="s">
        <v>217</v>
      </c>
      <c r="B1476" s="546">
        <f>(B1474+B1475)*2</f>
        <v>0.128</v>
      </c>
      <c r="C1476" s="547" t="s">
        <v>218</v>
      </c>
      <c r="D1476" s="548">
        <f>Prec.!$C$75</f>
        <v>60</v>
      </c>
      <c r="E1476" s="552">
        <f t="shared" si="131"/>
        <v>7.68</v>
      </c>
      <c r="F1476" s="553"/>
    </row>
    <row r="1477" spans="1:13" ht="12.75" customHeight="1">
      <c r="A1477" s="551" t="s">
        <v>427</v>
      </c>
      <c r="B1477" s="546">
        <v>3.1E-2</v>
      </c>
      <c r="C1477" s="547" t="s">
        <v>825</v>
      </c>
      <c r="D1477" s="548">
        <f>D1501</f>
        <v>6653.49</v>
      </c>
      <c r="E1477" s="552">
        <f t="shared" si="131"/>
        <v>206.26</v>
      </c>
      <c r="F1477" s="553"/>
    </row>
    <row r="1478" spans="1:13" ht="12.75" customHeight="1">
      <c r="A1478" s="551" t="s">
        <v>421</v>
      </c>
      <c r="B1478" s="546">
        <v>0.03</v>
      </c>
      <c r="C1478" s="547" t="s">
        <v>825</v>
      </c>
      <c r="D1478" s="548">
        <f>D1502</f>
        <v>5147.68</v>
      </c>
      <c r="E1478" s="552">
        <f t="shared" si="131"/>
        <v>154.43</v>
      </c>
      <c r="F1478" s="553"/>
    </row>
    <row r="1479" spans="1:13" ht="12.75" customHeight="1">
      <c r="A1479" s="551" t="s">
        <v>430</v>
      </c>
      <c r="B1479" s="546">
        <v>1</v>
      </c>
      <c r="C1479" s="547" t="s">
        <v>213</v>
      </c>
      <c r="D1479" s="548">
        <f>$F$999</f>
        <v>18.830000000000002</v>
      </c>
      <c r="E1479" s="552">
        <f t="shared" si="131"/>
        <v>18.829999999999998</v>
      </c>
      <c r="F1479" s="553"/>
    </row>
    <row r="1480" spans="1:13" ht="12.75" customHeight="1">
      <c r="A1480" s="551" t="s">
        <v>428</v>
      </c>
      <c r="B1480" s="546">
        <v>13</v>
      </c>
      <c r="C1480" s="547" t="s">
        <v>1017</v>
      </c>
      <c r="D1480" s="548">
        <f>D1467</f>
        <v>21.68</v>
      </c>
      <c r="E1480" s="552">
        <f t="shared" si="131"/>
        <v>281.83999999999997</v>
      </c>
      <c r="F1480" s="553"/>
    </row>
    <row r="1481" spans="1:13" ht="12.75" customHeight="1">
      <c r="A1481" s="551" t="s">
        <v>432</v>
      </c>
      <c r="B1481" s="546">
        <v>13</v>
      </c>
      <c r="C1481" s="547" t="s">
        <v>1017</v>
      </c>
      <c r="D1481" s="548">
        <f>Prec.!C541</f>
        <v>0.97749999999999992</v>
      </c>
      <c r="E1481" s="552">
        <f t="shared" si="131"/>
        <v>12.71</v>
      </c>
      <c r="F1481" s="553"/>
    </row>
    <row r="1482" spans="1:13" ht="12.75" customHeight="1">
      <c r="A1482" s="551" t="s">
        <v>433</v>
      </c>
      <c r="B1482" s="546">
        <v>13</v>
      </c>
      <c r="C1482" s="547" t="s">
        <v>1017</v>
      </c>
      <c r="D1482" s="548">
        <f>Prec.!C546</f>
        <v>1.9549999999999998</v>
      </c>
      <c r="E1482" s="552">
        <f t="shared" si="131"/>
        <v>25.42</v>
      </c>
      <c r="F1482" s="553"/>
    </row>
    <row r="1483" spans="1:13" ht="12.75" customHeight="1">
      <c r="A1483" s="551" t="s">
        <v>208</v>
      </c>
      <c r="B1483" s="554">
        <f>SUM(E1473:E1478)</f>
        <v>1145.1699999999998</v>
      </c>
      <c r="C1483" s="547" t="s">
        <v>209</v>
      </c>
      <c r="D1483" s="548">
        <v>0.02</v>
      </c>
      <c r="E1483" s="552">
        <f t="shared" si="131"/>
        <v>22.9</v>
      </c>
      <c r="F1483" s="553">
        <f>SUM(E1473:E1483)</f>
        <v>1506.87</v>
      </c>
    </row>
    <row r="1484" spans="1:13" ht="12.75" customHeight="1">
      <c r="A1484" s="12"/>
      <c r="B1484" s="14"/>
      <c r="C1484" s="24"/>
      <c r="D1484" s="35"/>
      <c r="E1484" s="31"/>
      <c r="F1484" s="32"/>
    </row>
    <row r="1485" spans="1:13" s="166" customFormat="1" ht="12.75" customHeight="1">
      <c r="A1485" s="698" t="s">
        <v>1568</v>
      </c>
      <c r="B1485" s="705"/>
      <c r="C1485" s="700"/>
      <c r="D1485" s="708"/>
      <c r="E1485" s="709" t="s">
        <v>151</v>
      </c>
      <c r="F1485" s="710" t="s">
        <v>213</v>
      </c>
      <c r="G1485" s="15"/>
      <c r="H1485" s="21"/>
      <c r="I1485" s="15"/>
      <c r="J1485" s="15"/>
      <c r="K1485" s="15"/>
      <c r="L1485" s="21"/>
      <c r="M1485" s="15"/>
    </row>
    <row r="1486" spans="1:13" s="166" customFormat="1" ht="12.75" customHeight="1">
      <c r="A1486" s="704" t="s">
        <v>102</v>
      </c>
      <c r="B1486" s="705">
        <v>13</v>
      </c>
      <c r="C1486" s="700" t="s">
        <v>1017</v>
      </c>
      <c r="D1486" s="708">
        <f>D1473</f>
        <v>44</v>
      </c>
      <c r="E1486" s="702">
        <f t="shared" ref="E1486:E1495" si="133">ROUND(B1486*D1486,2)</f>
        <v>572</v>
      </c>
      <c r="F1486" s="703"/>
      <c r="G1486" s="15"/>
      <c r="H1486" s="21"/>
      <c r="I1486" s="15"/>
      <c r="J1486" s="15"/>
      <c r="K1486" s="15"/>
      <c r="L1486" s="21"/>
      <c r="M1486" s="15"/>
    </row>
    <row r="1487" spans="1:13" s="166" customFormat="1" ht="12.75" customHeight="1">
      <c r="A1487" s="704" t="s">
        <v>117</v>
      </c>
      <c r="B1487" s="705">
        <v>3.2000000000000001E-2</v>
      </c>
      <c r="C1487" s="700" t="s">
        <v>216</v>
      </c>
      <c r="D1487" s="708">
        <f>D1474</f>
        <v>3200</v>
      </c>
      <c r="E1487" s="702">
        <f t="shared" si="133"/>
        <v>102.4</v>
      </c>
      <c r="F1487" s="703"/>
      <c r="G1487" s="15"/>
      <c r="H1487" s="21"/>
      <c r="I1487" s="15"/>
      <c r="J1487" s="15"/>
      <c r="K1487" s="15"/>
      <c r="L1487" s="21"/>
      <c r="M1487" s="15"/>
    </row>
    <row r="1488" spans="1:13" s="166" customFormat="1" ht="12.75" customHeight="1">
      <c r="A1488" s="704" t="s">
        <v>217</v>
      </c>
      <c r="B1488" s="705">
        <f>B1487*2</f>
        <v>6.4000000000000001E-2</v>
      </c>
      <c r="C1488" s="700" t="s">
        <v>218</v>
      </c>
      <c r="D1488" s="708">
        <f t="shared" ref="D1488:D1495" si="134">D1476</f>
        <v>60</v>
      </c>
      <c r="E1488" s="702">
        <f t="shared" si="133"/>
        <v>3.84</v>
      </c>
      <c r="F1488" s="703"/>
      <c r="G1488" s="15"/>
      <c r="H1488" s="21"/>
      <c r="I1488" s="15"/>
      <c r="J1488" s="15"/>
      <c r="K1488" s="15"/>
      <c r="L1488" s="21"/>
      <c r="M1488" s="15"/>
    </row>
    <row r="1489" spans="1:13" s="166" customFormat="1" ht="12.75" customHeight="1">
      <c r="A1489" s="704" t="s">
        <v>427</v>
      </c>
      <c r="B1489" s="705">
        <v>3.1E-2</v>
      </c>
      <c r="C1489" s="700" t="s">
        <v>825</v>
      </c>
      <c r="D1489" s="708">
        <f t="shared" si="134"/>
        <v>6653.49</v>
      </c>
      <c r="E1489" s="702">
        <f t="shared" si="133"/>
        <v>206.26</v>
      </c>
      <c r="F1489" s="703"/>
      <c r="G1489" s="15"/>
      <c r="H1489" s="21"/>
      <c r="I1489" s="15"/>
      <c r="J1489" s="15"/>
      <c r="K1489" s="15"/>
      <c r="L1489" s="21"/>
      <c r="M1489" s="15"/>
    </row>
    <row r="1490" spans="1:13" s="166" customFormat="1" ht="12.75" customHeight="1">
      <c r="A1490" s="704" t="s">
        <v>421</v>
      </c>
      <c r="B1490" s="705">
        <v>0.03</v>
      </c>
      <c r="C1490" s="700" t="s">
        <v>825</v>
      </c>
      <c r="D1490" s="708">
        <f t="shared" si="134"/>
        <v>5147.68</v>
      </c>
      <c r="E1490" s="702">
        <f t="shared" si="133"/>
        <v>154.43</v>
      </c>
      <c r="F1490" s="703"/>
      <c r="G1490" s="15"/>
      <c r="H1490" s="21"/>
      <c r="I1490" s="15"/>
      <c r="J1490" s="15"/>
      <c r="K1490" s="15"/>
      <c r="L1490" s="21"/>
      <c r="M1490" s="15"/>
    </row>
    <row r="1491" spans="1:13" s="166" customFormat="1" ht="12.75" customHeight="1">
      <c r="A1491" s="704" t="s">
        <v>430</v>
      </c>
      <c r="B1491" s="705">
        <v>1</v>
      </c>
      <c r="C1491" s="700" t="s">
        <v>213</v>
      </c>
      <c r="D1491" s="708">
        <f t="shared" si="134"/>
        <v>18.830000000000002</v>
      </c>
      <c r="E1491" s="702">
        <f t="shared" si="133"/>
        <v>18.829999999999998</v>
      </c>
      <c r="F1491" s="703"/>
      <c r="G1491" s="15"/>
      <c r="H1491" s="21"/>
      <c r="I1491" s="15"/>
      <c r="J1491" s="15"/>
      <c r="K1491" s="15"/>
      <c r="L1491" s="21"/>
      <c r="M1491" s="15"/>
    </row>
    <row r="1492" spans="1:13" s="166" customFormat="1" ht="12.75" customHeight="1">
      <c r="A1492" s="704" t="s">
        <v>428</v>
      </c>
      <c r="B1492" s="705">
        <v>13</v>
      </c>
      <c r="C1492" s="700" t="s">
        <v>1017</v>
      </c>
      <c r="D1492" s="708">
        <f t="shared" si="134"/>
        <v>21.68</v>
      </c>
      <c r="E1492" s="702">
        <f t="shared" si="133"/>
        <v>281.83999999999997</v>
      </c>
      <c r="F1492" s="703"/>
      <c r="G1492" s="15"/>
      <c r="H1492" s="21"/>
      <c r="I1492" s="15"/>
      <c r="J1492" s="15"/>
      <c r="K1492" s="15"/>
      <c r="L1492" s="21"/>
      <c r="M1492" s="15"/>
    </row>
    <row r="1493" spans="1:13" s="166" customFormat="1" ht="12.75" customHeight="1">
      <c r="A1493" s="704" t="s">
        <v>432</v>
      </c>
      <c r="B1493" s="705">
        <v>13</v>
      </c>
      <c r="C1493" s="700" t="s">
        <v>1017</v>
      </c>
      <c r="D1493" s="708">
        <f t="shared" si="134"/>
        <v>0.97749999999999992</v>
      </c>
      <c r="E1493" s="702">
        <f t="shared" si="133"/>
        <v>12.71</v>
      </c>
      <c r="F1493" s="703"/>
      <c r="G1493" s="15"/>
      <c r="H1493" s="21"/>
      <c r="I1493" s="15"/>
      <c r="J1493" s="15"/>
      <c r="K1493" s="15"/>
      <c r="L1493" s="21"/>
      <c r="M1493" s="15"/>
    </row>
    <row r="1494" spans="1:13" s="166" customFormat="1" ht="12.75" customHeight="1">
      <c r="A1494" s="704" t="s">
        <v>433</v>
      </c>
      <c r="B1494" s="705">
        <v>13</v>
      </c>
      <c r="C1494" s="700" t="s">
        <v>1017</v>
      </c>
      <c r="D1494" s="708">
        <f t="shared" si="134"/>
        <v>1.9549999999999998</v>
      </c>
      <c r="E1494" s="702">
        <f t="shared" si="133"/>
        <v>25.42</v>
      </c>
      <c r="F1494" s="703"/>
      <c r="G1494" s="15"/>
      <c r="H1494" s="21"/>
      <c r="I1494" s="15"/>
      <c r="J1494" s="15"/>
      <c r="K1494" s="15"/>
      <c r="L1494" s="21"/>
      <c r="M1494" s="15"/>
    </row>
    <row r="1495" spans="1:13" s="166" customFormat="1" ht="12.75" customHeight="1">
      <c r="A1495" s="704" t="s">
        <v>208</v>
      </c>
      <c r="B1495" s="711">
        <f>SUM(E1486:E1491)</f>
        <v>1057.76</v>
      </c>
      <c r="C1495" s="700" t="s">
        <v>209</v>
      </c>
      <c r="D1495" s="708">
        <f t="shared" si="134"/>
        <v>0.02</v>
      </c>
      <c r="E1495" s="702">
        <f t="shared" si="133"/>
        <v>21.16</v>
      </c>
      <c r="F1495" s="703">
        <f>SUM(E1486:E1495)</f>
        <v>1398.89</v>
      </c>
      <c r="G1495" s="15"/>
      <c r="H1495" s="21"/>
      <c r="I1495" s="15"/>
      <c r="J1495" s="15"/>
      <c r="K1495" s="15"/>
      <c r="L1495" s="21"/>
      <c r="M1495" s="15"/>
    </row>
    <row r="1496" spans="1:13" s="166" customFormat="1" ht="12.75" customHeight="1">
      <c r="A1496" s="12"/>
      <c r="B1496" s="14"/>
      <c r="C1496" s="24"/>
      <c r="D1496" s="35"/>
      <c r="E1496" s="31"/>
      <c r="F1496" s="32"/>
      <c r="G1496" s="15"/>
      <c r="H1496" s="21"/>
      <c r="I1496" s="15"/>
      <c r="J1496" s="15"/>
      <c r="K1496" s="15"/>
      <c r="L1496" s="21"/>
      <c r="M1496" s="15"/>
    </row>
    <row r="1497" spans="1:13" ht="12.75" customHeight="1">
      <c r="A1497" s="13" t="s">
        <v>1094</v>
      </c>
      <c r="B1497" s="30"/>
      <c r="C1497" s="24"/>
      <c r="D1497" s="35"/>
      <c r="E1497" s="43" t="s">
        <v>151</v>
      </c>
      <c r="F1497" s="44" t="s">
        <v>213</v>
      </c>
    </row>
    <row r="1498" spans="1:13" ht="12.75" customHeight="1">
      <c r="A1498" s="12" t="s">
        <v>102</v>
      </c>
      <c r="B1498" s="30">
        <v>13</v>
      </c>
      <c r="C1498" s="24" t="s">
        <v>1017</v>
      </c>
      <c r="D1498" s="35">
        <f>Prec.!$C$86</f>
        <v>44</v>
      </c>
      <c r="E1498" s="31">
        <f t="shared" ref="E1498:E1507" si="135">ROUND(B1498*D1498,2)</f>
        <v>572</v>
      </c>
      <c r="F1498" s="32"/>
      <c r="G1498" s="22"/>
      <c r="H1498" s="22"/>
      <c r="I1498" s="20"/>
      <c r="J1498" s="20"/>
    </row>
    <row r="1499" spans="1:13" ht="12.75" customHeight="1">
      <c r="A1499" s="12" t="s">
        <v>117</v>
      </c>
      <c r="B1499" s="30">
        <v>2.4E-2</v>
      </c>
      <c r="C1499" s="24" t="s">
        <v>216</v>
      </c>
      <c r="D1499" s="35">
        <f>Prec.!$C$54</f>
        <v>3200</v>
      </c>
      <c r="E1499" s="31">
        <f t="shared" si="135"/>
        <v>76.8</v>
      </c>
      <c r="F1499" s="32"/>
      <c r="G1499" s="133"/>
      <c r="H1499" s="134"/>
      <c r="I1499" s="135"/>
      <c r="J1499" s="37"/>
      <c r="K1499" s="27"/>
      <c r="L1499" s="28"/>
    </row>
    <row r="1500" spans="1:13" ht="12.75" customHeight="1">
      <c r="A1500" s="12" t="s">
        <v>217</v>
      </c>
      <c r="B1500" s="30">
        <f>B1499*2</f>
        <v>4.8000000000000001E-2</v>
      </c>
      <c r="C1500" s="24" t="s">
        <v>218</v>
      </c>
      <c r="D1500" s="35">
        <f>Prec.!$C$75</f>
        <v>60</v>
      </c>
      <c r="E1500" s="31">
        <f t="shared" si="135"/>
        <v>2.88</v>
      </c>
      <c r="F1500" s="32"/>
      <c r="G1500" s="4"/>
      <c r="H1500" s="8"/>
      <c r="I1500" s="6"/>
      <c r="J1500" s="37"/>
      <c r="K1500" s="25"/>
      <c r="L1500" s="26"/>
    </row>
    <row r="1501" spans="1:13" ht="12.75" customHeight="1">
      <c r="A1501" s="12" t="s">
        <v>427</v>
      </c>
      <c r="B1501" s="30">
        <v>3.1E-2</v>
      </c>
      <c r="C1501" s="24" t="s">
        <v>825</v>
      </c>
      <c r="D1501" s="35">
        <f>$F$46</f>
        <v>6653.49</v>
      </c>
      <c r="E1501" s="31">
        <f t="shared" si="135"/>
        <v>206.26</v>
      </c>
      <c r="F1501" s="32"/>
      <c r="G1501" s="4"/>
      <c r="H1501" s="8"/>
      <c r="I1501" s="6"/>
      <c r="J1501" s="37"/>
      <c r="K1501" s="25"/>
      <c r="L1501" s="26"/>
    </row>
    <row r="1502" spans="1:13" ht="12.75" customHeight="1">
      <c r="A1502" s="12" t="s">
        <v>421</v>
      </c>
      <c r="B1502" s="30">
        <v>0.03</v>
      </c>
      <c r="C1502" s="24" t="s">
        <v>825</v>
      </c>
      <c r="D1502" s="35">
        <f>D1426</f>
        <v>5147.68</v>
      </c>
      <c r="E1502" s="31">
        <f t="shared" si="135"/>
        <v>154.43</v>
      </c>
      <c r="F1502" s="32"/>
      <c r="G1502" s="4"/>
      <c r="H1502" s="8"/>
      <c r="I1502" s="6"/>
      <c r="J1502" s="37"/>
      <c r="K1502" s="25"/>
      <c r="L1502" s="26"/>
    </row>
    <row r="1503" spans="1:13" ht="12.75" customHeight="1">
      <c r="A1503" s="12" t="s">
        <v>430</v>
      </c>
      <c r="B1503" s="30">
        <v>1</v>
      </c>
      <c r="C1503" s="24" t="s">
        <v>213</v>
      </c>
      <c r="D1503" s="35">
        <f>$F$999</f>
        <v>18.830000000000002</v>
      </c>
      <c r="E1503" s="31">
        <f t="shared" si="135"/>
        <v>18.829999999999998</v>
      </c>
      <c r="F1503" s="32"/>
      <c r="G1503" s="136"/>
      <c r="H1503" s="130"/>
      <c r="I1503" s="6"/>
      <c r="J1503" s="37"/>
      <c r="K1503" s="131"/>
      <c r="L1503" s="26"/>
    </row>
    <row r="1504" spans="1:13" ht="12.75" customHeight="1">
      <c r="A1504" s="12" t="s">
        <v>428</v>
      </c>
      <c r="B1504" s="30">
        <v>13</v>
      </c>
      <c r="C1504" s="24" t="s">
        <v>1017</v>
      </c>
      <c r="D1504" s="35">
        <f>Prec.!$D$329</f>
        <v>0</v>
      </c>
      <c r="E1504" s="31">
        <f t="shared" si="135"/>
        <v>0</v>
      </c>
      <c r="F1504" s="32"/>
      <c r="G1504" s="12"/>
      <c r="H1504" s="125"/>
      <c r="I1504" s="24"/>
      <c r="J1504" s="127"/>
      <c r="K1504" s="127"/>
    </row>
    <row r="1505" spans="1:13" ht="12.75" customHeight="1">
      <c r="A1505" s="12" t="s">
        <v>432</v>
      </c>
      <c r="B1505" s="30">
        <v>13</v>
      </c>
      <c r="C1505" s="24" t="s">
        <v>1017</v>
      </c>
      <c r="D1505" s="35">
        <f>Prec.!$D$542</f>
        <v>0.55000000000000004</v>
      </c>
      <c r="E1505" s="31">
        <f t="shared" si="135"/>
        <v>7.15</v>
      </c>
      <c r="F1505" s="32"/>
      <c r="G1505" s="4"/>
      <c r="H1505" s="8"/>
      <c r="I1505" s="6"/>
      <c r="J1505" s="37"/>
      <c r="K1505" s="25"/>
      <c r="L1505" s="26"/>
    </row>
    <row r="1506" spans="1:13" ht="12.75" customHeight="1">
      <c r="A1506" s="12" t="s">
        <v>433</v>
      </c>
      <c r="B1506" s="30">
        <v>13</v>
      </c>
      <c r="C1506" s="24" t="s">
        <v>1017</v>
      </c>
      <c r="D1506" s="35">
        <f>Prec.!$D$547</f>
        <v>1.1499999999999999</v>
      </c>
      <c r="E1506" s="31">
        <f t="shared" si="135"/>
        <v>14.95</v>
      </c>
      <c r="F1506" s="32"/>
      <c r="G1506" s="4"/>
      <c r="H1506" s="8"/>
      <c r="I1506" s="6"/>
      <c r="J1506" s="37"/>
      <c r="K1506" s="25"/>
      <c r="L1506" s="26"/>
    </row>
    <row r="1507" spans="1:13" ht="12.75" customHeight="1">
      <c r="A1507" s="12" t="s">
        <v>208</v>
      </c>
      <c r="B1507" s="14">
        <f>SUM(E1498:E1506)</f>
        <v>1053.3</v>
      </c>
      <c r="C1507" s="24" t="s">
        <v>209</v>
      </c>
      <c r="D1507" s="35">
        <f>Prec.!C302</f>
        <v>1.4999999999999999E-2</v>
      </c>
      <c r="E1507" s="31">
        <f t="shared" si="135"/>
        <v>15.8</v>
      </c>
      <c r="F1507" s="32">
        <f>SUM(E1498:E1507)</f>
        <v>1069.0999999999999</v>
      </c>
      <c r="G1507" s="4"/>
      <c r="H1507" s="8"/>
      <c r="I1507" s="6"/>
      <c r="J1507" s="37"/>
      <c r="K1507" s="25"/>
      <c r="L1507" s="26"/>
    </row>
    <row r="1508" spans="1:13" ht="12.75" customHeight="1">
      <c r="A1508" s="12"/>
      <c r="B1508" s="14"/>
      <c r="C1508" s="24"/>
      <c r="D1508" s="35"/>
      <c r="E1508" s="31"/>
      <c r="F1508" s="32"/>
      <c r="G1508" s="4"/>
      <c r="H1508" s="8"/>
      <c r="I1508" s="6"/>
      <c r="J1508" s="37"/>
      <c r="K1508" s="25"/>
      <c r="L1508" s="26"/>
    </row>
    <row r="1509" spans="1:13" s="166" customFormat="1" ht="12.75" customHeight="1">
      <c r="A1509" s="13" t="s">
        <v>1967</v>
      </c>
      <c r="B1509" s="30"/>
      <c r="C1509" s="24"/>
      <c r="D1509" s="35"/>
      <c r="E1509" s="43" t="s">
        <v>151</v>
      </c>
      <c r="F1509" s="44" t="s">
        <v>213</v>
      </c>
      <c r="H1509" s="8"/>
      <c r="I1509" s="165"/>
      <c r="J1509" s="37"/>
      <c r="K1509" s="25"/>
      <c r="L1509" s="26"/>
      <c r="M1509" s="15"/>
    </row>
    <row r="1510" spans="1:13" s="166" customFormat="1" ht="12.75" customHeight="1">
      <c r="A1510" s="12" t="s">
        <v>102</v>
      </c>
      <c r="B1510" s="30">
        <v>13</v>
      </c>
      <c r="C1510" s="24" t="s">
        <v>1017</v>
      </c>
      <c r="D1510" s="35">
        <f>D1498</f>
        <v>44</v>
      </c>
      <c r="E1510" s="31">
        <f t="shared" ref="E1510:E1520" si="136">ROUND(B1510*D1510,2)</f>
        <v>572</v>
      </c>
      <c r="F1510" s="32"/>
      <c r="H1510" s="8"/>
      <c r="I1510" s="165"/>
      <c r="J1510" s="37"/>
      <c r="K1510" s="25"/>
      <c r="L1510" s="26"/>
      <c r="M1510" s="15"/>
    </row>
    <row r="1511" spans="1:13" s="166" customFormat="1" ht="12.75" customHeight="1">
      <c r="A1511" s="12" t="s">
        <v>117</v>
      </c>
      <c r="B1511" s="30">
        <v>3.2000000000000001E-2</v>
      </c>
      <c r="C1511" s="24" t="s">
        <v>216</v>
      </c>
      <c r="D1511" s="35">
        <f>Prec.!$C$54</f>
        <v>3200</v>
      </c>
      <c r="E1511" s="31">
        <f t="shared" si="136"/>
        <v>102.4</v>
      </c>
      <c r="F1511" s="32"/>
      <c r="H1511" s="8"/>
      <c r="I1511" s="165"/>
      <c r="J1511" s="37"/>
      <c r="K1511" s="25"/>
      <c r="L1511" s="26"/>
      <c r="M1511" s="15"/>
    </row>
    <row r="1512" spans="1:13" s="166" customFormat="1" ht="12.75" customHeight="1">
      <c r="A1512" s="12" t="s">
        <v>117</v>
      </c>
      <c r="B1512" s="30">
        <v>2.4E-2</v>
      </c>
      <c r="C1512" s="24" t="s">
        <v>216</v>
      </c>
      <c r="D1512" s="35">
        <f>D1511</f>
        <v>3200</v>
      </c>
      <c r="E1512" s="31">
        <f t="shared" si="136"/>
        <v>76.8</v>
      </c>
      <c r="F1512" s="32"/>
      <c r="H1512" s="8"/>
      <c r="I1512" s="165"/>
      <c r="J1512" s="37"/>
      <c r="K1512" s="25"/>
      <c r="L1512" s="26"/>
      <c r="M1512" s="15"/>
    </row>
    <row r="1513" spans="1:13" s="166" customFormat="1" ht="12.75" customHeight="1">
      <c r="A1513" s="12" t="s">
        <v>217</v>
      </c>
      <c r="B1513" s="30">
        <f>(B1511+B1512)*2</f>
        <v>0.112</v>
      </c>
      <c r="C1513" s="24" t="s">
        <v>218</v>
      </c>
      <c r="D1513" s="35">
        <f>D1500</f>
        <v>60</v>
      </c>
      <c r="E1513" s="31">
        <f t="shared" si="136"/>
        <v>6.72</v>
      </c>
      <c r="F1513" s="32"/>
      <c r="H1513" s="8"/>
      <c r="I1513" s="165"/>
      <c r="J1513" s="37"/>
      <c r="K1513" s="25"/>
      <c r="L1513" s="26"/>
      <c r="M1513" s="15"/>
    </row>
    <row r="1514" spans="1:13" s="166" customFormat="1" ht="12.75" customHeight="1">
      <c r="A1514" s="12" t="s">
        <v>427</v>
      </c>
      <c r="B1514" s="30">
        <v>3.1E-2</v>
      </c>
      <c r="C1514" s="24" t="s">
        <v>825</v>
      </c>
      <c r="D1514" s="35">
        <f t="shared" ref="D1514:D1515" si="137">D1501</f>
        <v>6653.49</v>
      </c>
      <c r="E1514" s="31">
        <f t="shared" si="136"/>
        <v>206.26</v>
      </c>
      <c r="F1514" s="32"/>
      <c r="H1514" s="8"/>
      <c r="I1514" s="165"/>
      <c r="J1514" s="37"/>
      <c r="K1514" s="25"/>
      <c r="L1514" s="26"/>
      <c r="M1514" s="15"/>
    </row>
    <row r="1515" spans="1:13" s="166" customFormat="1" ht="12.75" customHeight="1">
      <c r="A1515" s="12" t="s">
        <v>421</v>
      </c>
      <c r="B1515" s="30">
        <v>0.03</v>
      </c>
      <c r="C1515" s="24" t="s">
        <v>825</v>
      </c>
      <c r="D1515" s="35">
        <f t="shared" si="137"/>
        <v>5147.68</v>
      </c>
      <c r="E1515" s="31">
        <f t="shared" si="136"/>
        <v>154.43</v>
      </c>
      <c r="F1515" s="32"/>
      <c r="H1515" s="8"/>
      <c r="I1515" s="165"/>
      <c r="J1515" s="37"/>
      <c r="K1515" s="25"/>
      <c r="L1515" s="26"/>
      <c r="M1515" s="15"/>
    </row>
    <row r="1516" spans="1:13" s="166" customFormat="1" ht="12.75" customHeight="1">
      <c r="A1516" s="12" t="s">
        <v>430</v>
      </c>
      <c r="B1516" s="30">
        <v>1</v>
      </c>
      <c r="C1516" s="24" t="s">
        <v>213</v>
      </c>
      <c r="D1516" s="35">
        <f>D1503</f>
        <v>18.830000000000002</v>
      </c>
      <c r="E1516" s="31">
        <f t="shared" si="136"/>
        <v>18.829999999999998</v>
      </c>
      <c r="F1516" s="32"/>
      <c r="H1516" s="8"/>
      <c r="I1516" s="165"/>
      <c r="J1516" s="37"/>
      <c r="K1516" s="25"/>
      <c r="L1516" s="26"/>
      <c r="M1516" s="15"/>
    </row>
    <row r="1517" spans="1:13" s="166" customFormat="1" ht="12.75" customHeight="1">
      <c r="A1517" s="12" t="s">
        <v>428</v>
      </c>
      <c r="B1517" s="30">
        <v>13</v>
      </c>
      <c r="C1517" s="24" t="s">
        <v>1017</v>
      </c>
      <c r="D1517" s="35">
        <f t="shared" ref="D1517:D1519" si="138">D1504</f>
        <v>0</v>
      </c>
      <c r="E1517" s="31">
        <f t="shared" si="136"/>
        <v>0</v>
      </c>
      <c r="F1517" s="32"/>
      <c r="H1517" s="8"/>
      <c r="I1517" s="165"/>
      <c r="J1517" s="37"/>
      <c r="K1517" s="25"/>
      <c r="L1517" s="26"/>
      <c r="M1517" s="15"/>
    </row>
    <row r="1518" spans="1:13" s="166" customFormat="1" ht="12.75" customHeight="1">
      <c r="A1518" s="12" t="s">
        <v>432</v>
      </c>
      <c r="B1518" s="30">
        <v>13</v>
      </c>
      <c r="C1518" s="24" t="s">
        <v>1017</v>
      </c>
      <c r="D1518" s="35">
        <f t="shared" si="138"/>
        <v>0.55000000000000004</v>
      </c>
      <c r="E1518" s="31">
        <f t="shared" si="136"/>
        <v>7.15</v>
      </c>
      <c r="F1518" s="32"/>
      <c r="H1518" s="8"/>
      <c r="I1518" s="165"/>
      <c r="J1518" s="37"/>
      <c r="K1518" s="25"/>
      <c r="L1518" s="26"/>
      <c r="M1518" s="15"/>
    </row>
    <row r="1519" spans="1:13" s="166" customFormat="1" ht="12.75" customHeight="1">
      <c r="A1519" s="12" t="s">
        <v>433</v>
      </c>
      <c r="B1519" s="30">
        <v>13</v>
      </c>
      <c r="C1519" s="24" t="s">
        <v>1017</v>
      </c>
      <c r="D1519" s="35">
        <f t="shared" si="138"/>
        <v>1.1499999999999999</v>
      </c>
      <c r="E1519" s="31">
        <f t="shared" si="136"/>
        <v>14.95</v>
      </c>
      <c r="F1519" s="32"/>
      <c r="H1519" s="8"/>
      <c r="I1519" s="165"/>
      <c r="J1519" s="37"/>
      <c r="K1519" s="25"/>
      <c r="L1519" s="26"/>
      <c r="M1519" s="15"/>
    </row>
    <row r="1520" spans="1:13" s="166" customFormat="1" ht="12.75" customHeight="1">
      <c r="A1520" s="12" t="s">
        <v>208</v>
      </c>
      <c r="B1520" s="14">
        <f>SUM(E1511:E1519)</f>
        <v>587.54</v>
      </c>
      <c r="C1520" s="24" t="s">
        <v>209</v>
      </c>
      <c r="D1520" s="35">
        <v>0.02</v>
      </c>
      <c r="E1520" s="31">
        <f t="shared" si="136"/>
        <v>11.75</v>
      </c>
      <c r="F1520" s="32">
        <f>SUM(E1510:E1520)</f>
        <v>1171.29</v>
      </c>
      <c r="H1520" s="8"/>
      <c r="I1520" s="165"/>
      <c r="J1520" s="37"/>
      <c r="K1520" s="25"/>
      <c r="L1520" s="26"/>
      <c r="M1520" s="15"/>
    </row>
    <row r="1521" spans="1:13" s="166" customFormat="1" ht="12.75" customHeight="1">
      <c r="A1521" s="12"/>
      <c r="B1521" s="14"/>
      <c r="C1521" s="24"/>
      <c r="D1521" s="35"/>
      <c r="E1521" s="31"/>
      <c r="F1521" s="32"/>
      <c r="H1521" s="8"/>
      <c r="I1521" s="165"/>
      <c r="J1521" s="37"/>
      <c r="K1521" s="25"/>
      <c r="L1521" s="26"/>
      <c r="M1521" s="15"/>
    </row>
    <row r="1522" spans="1:13" ht="12.75" customHeight="1">
      <c r="A1522" s="545" t="s">
        <v>1569</v>
      </c>
      <c r="B1522" s="546"/>
      <c r="C1522" s="547"/>
      <c r="D1522" s="548"/>
      <c r="E1522" s="549" t="s">
        <v>151</v>
      </c>
      <c r="F1522" s="550" t="s">
        <v>213</v>
      </c>
      <c r="G1522" s="4"/>
      <c r="H1522" s="8"/>
      <c r="I1522" s="6"/>
      <c r="J1522" s="37"/>
      <c r="K1522" s="25"/>
      <c r="L1522" s="26"/>
    </row>
    <row r="1523" spans="1:13" ht="12.75" customHeight="1">
      <c r="A1523" s="551" t="s">
        <v>429</v>
      </c>
      <c r="B1523" s="546">
        <v>13</v>
      </c>
      <c r="C1523" s="547" t="s">
        <v>1017</v>
      </c>
      <c r="D1523" s="548">
        <f>Prec.!$C$87</f>
        <v>34</v>
      </c>
      <c r="E1523" s="552">
        <f t="shared" ref="E1523:E1532" si="139">ROUND(B1523*D1523,2)</f>
        <v>442</v>
      </c>
      <c r="F1523" s="553"/>
      <c r="G1523" s="4"/>
      <c r="H1523" s="7"/>
      <c r="I1523" s="6"/>
      <c r="J1523" s="37"/>
      <c r="K1523" s="25"/>
      <c r="L1523" s="26"/>
    </row>
    <row r="1524" spans="1:13" ht="12.75" customHeight="1">
      <c r="A1524" s="551" t="s">
        <v>1575</v>
      </c>
      <c r="B1524" s="546">
        <v>2.4E-2</v>
      </c>
      <c r="C1524" s="547" t="s">
        <v>216</v>
      </c>
      <c r="D1524" s="548">
        <f>Prec.!$C$53</f>
        <v>3200</v>
      </c>
      <c r="E1524" s="552">
        <f t="shared" si="139"/>
        <v>76.8</v>
      </c>
      <c r="F1524" s="553"/>
      <c r="G1524" s="133"/>
      <c r="H1524" s="134"/>
      <c r="I1524" s="135"/>
      <c r="J1524" s="37"/>
      <c r="K1524" s="27"/>
      <c r="L1524" s="26"/>
    </row>
    <row r="1525" spans="1:13" ht="12.75" customHeight="1">
      <c r="A1525" s="551" t="s">
        <v>217</v>
      </c>
      <c r="B1525" s="546">
        <f>B1524*2</f>
        <v>4.8000000000000001E-2</v>
      </c>
      <c r="C1525" s="547" t="s">
        <v>218</v>
      </c>
      <c r="D1525" s="548">
        <f>Prec.!$C$75</f>
        <v>60</v>
      </c>
      <c r="E1525" s="552">
        <f t="shared" si="139"/>
        <v>2.88</v>
      </c>
      <c r="F1525" s="553"/>
      <c r="G1525" s="4"/>
      <c r="H1525" s="8"/>
      <c r="I1525" s="6"/>
      <c r="J1525" s="37"/>
      <c r="K1525" s="25"/>
      <c r="L1525" s="26"/>
    </row>
    <row r="1526" spans="1:13" ht="12.75" customHeight="1">
      <c r="A1526" s="551" t="s">
        <v>427</v>
      </c>
      <c r="B1526" s="546">
        <v>0.02</v>
      </c>
      <c r="C1526" s="547" t="s">
        <v>825</v>
      </c>
      <c r="D1526" s="548">
        <f>$F$46</f>
        <v>6653.49</v>
      </c>
      <c r="E1526" s="552">
        <f t="shared" si="139"/>
        <v>133.07</v>
      </c>
      <c r="F1526" s="553"/>
      <c r="G1526" s="4"/>
      <c r="H1526" s="8"/>
      <c r="I1526" s="6"/>
      <c r="J1526" s="37"/>
      <c r="K1526" s="25"/>
      <c r="L1526" s="26"/>
    </row>
    <row r="1527" spans="1:13" ht="12.75" customHeight="1">
      <c r="A1527" s="551" t="s">
        <v>421</v>
      </c>
      <c r="B1527" s="546">
        <v>8.9999999999999993E-3</v>
      </c>
      <c r="C1527" s="547" t="s">
        <v>825</v>
      </c>
      <c r="D1527" s="548">
        <f>horm.ymez.!C14</f>
        <v>5147.68</v>
      </c>
      <c r="E1527" s="552">
        <f t="shared" si="139"/>
        <v>46.33</v>
      </c>
      <c r="F1527" s="553"/>
      <c r="G1527" s="4"/>
      <c r="H1527" s="8"/>
      <c r="I1527" s="6"/>
      <c r="J1527" s="37"/>
      <c r="K1527" s="25"/>
      <c r="L1527" s="26"/>
    </row>
    <row r="1528" spans="1:13" ht="12.75" customHeight="1">
      <c r="A1528" s="551" t="s">
        <v>430</v>
      </c>
      <c r="B1528" s="546">
        <v>1</v>
      </c>
      <c r="C1528" s="547" t="s">
        <v>213</v>
      </c>
      <c r="D1528" s="548">
        <f>$F$999</f>
        <v>18.830000000000002</v>
      </c>
      <c r="E1528" s="552">
        <f t="shared" si="139"/>
        <v>18.829999999999998</v>
      </c>
      <c r="F1528" s="553"/>
      <c r="G1528" s="136"/>
      <c r="H1528" s="130"/>
      <c r="I1528" s="6"/>
      <c r="J1528" s="37"/>
      <c r="K1528" s="131"/>
      <c r="L1528" s="26"/>
    </row>
    <row r="1529" spans="1:13" ht="12.75" customHeight="1">
      <c r="A1529" s="551" t="s">
        <v>428</v>
      </c>
      <c r="B1529" s="546">
        <v>13</v>
      </c>
      <c r="C1529" s="547" t="s">
        <v>1017</v>
      </c>
      <c r="D1529" s="548">
        <f>Prec.!C328</f>
        <v>23.46</v>
      </c>
      <c r="E1529" s="552">
        <f t="shared" si="139"/>
        <v>304.98</v>
      </c>
      <c r="F1529" s="553"/>
      <c r="G1529" s="12"/>
      <c r="H1529" s="125"/>
      <c r="I1529" s="24"/>
      <c r="J1529" s="127"/>
      <c r="K1529" s="127"/>
    </row>
    <row r="1530" spans="1:13" ht="12.75" customHeight="1">
      <c r="A1530" s="551" t="s">
        <v>432</v>
      </c>
      <c r="B1530" s="546">
        <v>13</v>
      </c>
      <c r="C1530" s="547" t="s">
        <v>1017</v>
      </c>
      <c r="D1530" s="548">
        <f>Prec.!C542</f>
        <v>0.63249999999999995</v>
      </c>
      <c r="E1530" s="552">
        <f t="shared" si="139"/>
        <v>8.2200000000000006</v>
      </c>
      <c r="F1530" s="553"/>
      <c r="G1530" s="4"/>
      <c r="H1530" s="8"/>
      <c r="I1530" s="6"/>
      <c r="J1530" s="37"/>
      <c r="K1530" s="25"/>
      <c r="L1530" s="26"/>
    </row>
    <row r="1531" spans="1:13" ht="12.75" customHeight="1">
      <c r="A1531" s="551" t="s">
        <v>433</v>
      </c>
      <c r="B1531" s="546">
        <v>13</v>
      </c>
      <c r="C1531" s="547" t="s">
        <v>1017</v>
      </c>
      <c r="D1531" s="548">
        <f>Prec.!C547</f>
        <v>1.3224999999999998</v>
      </c>
      <c r="E1531" s="552">
        <f t="shared" si="139"/>
        <v>17.190000000000001</v>
      </c>
      <c r="F1531" s="553"/>
      <c r="G1531" s="4"/>
      <c r="H1531" s="8"/>
      <c r="I1531" s="6"/>
      <c r="J1531" s="37"/>
      <c r="K1531" s="25"/>
      <c r="L1531" s="26"/>
    </row>
    <row r="1532" spans="1:13" ht="12.75" customHeight="1">
      <c r="A1532" s="551" t="s">
        <v>208</v>
      </c>
      <c r="B1532" s="554">
        <f>SUM(E1523:E1527)</f>
        <v>701.08</v>
      </c>
      <c r="C1532" s="547" t="s">
        <v>209</v>
      </c>
      <c r="D1532" s="548">
        <v>0.02</v>
      </c>
      <c r="E1532" s="552">
        <f t="shared" si="139"/>
        <v>14.02</v>
      </c>
      <c r="F1532" s="553">
        <f>SUM(E1523:E1532)</f>
        <v>1064.3200000000002</v>
      </c>
      <c r="G1532" s="4"/>
      <c r="H1532" s="8"/>
      <c r="I1532" s="6"/>
      <c r="J1532" s="37"/>
      <c r="K1532" s="25"/>
      <c r="L1532" s="26"/>
    </row>
    <row r="1533" spans="1:13" ht="12.75" customHeight="1">
      <c r="A1533" s="12"/>
      <c r="B1533" s="14"/>
      <c r="C1533" s="24"/>
      <c r="D1533" s="35"/>
      <c r="E1533" s="31"/>
      <c r="F1533" s="32"/>
      <c r="G1533" s="4"/>
      <c r="H1533" s="8"/>
      <c r="I1533" s="6"/>
      <c r="J1533" s="37"/>
      <c r="K1533" s="25"/>
      <c r="L1533" s="26"/>
    </row>
    <row r="1534" spans="1:13" ht="12.75" customHeight="1" thickBot="1">
      <c r="A1534" s="12"/>
      <c r="B1534" s="14"/>
      <c r="C1534" s="24"/>
      <c r="D1534" s="35"/>
      <c r="E1534" s="31"/>
      <c r="F1534" s="32"/>
      <c r="G1534" s="4"/>
      <c r="H1534" s="8"/>
      <c r="I1534" s="6"/>
      <c r="J1534" s="37"/>
      <c r="K1534" s="25"/>
      <c r="L1534" s="26"/>
    </row>
    <row r="1535" spans="1:13" ht="12.75" customHeight="1" thickBot="1">
      <c r="A1535" s="12"/>
      <c r="B1535" s="14"/>
      <c r="C1535" s="24"/>
      <c r="D1535" s="35"/>
      <c r="E1535" s="31"/>
      <c r="F1535" s="32"/>
      <c r="G1535" s="12"/>
      <c r="H1535" s="128"/>
      <c r="I1535" s="24"/>
      <c r="J1535" s="129"/>
      <c r="K1535" s="127"/>
      <c r="L1535" s="132"/>
    </row>
    <row r="1536" spans="1:13" ht="12.75" customHeight="1">
      <c r="A1536" s="13" t="s">
        <v>220</v>
      </c>
      <c r="B1536" s="30"/>
      <c r="C1536" s="24"/>
      <c r="D1536" s="35"/>
      <c r="E1536" s="43" t="s">
        <v>151</v>
      </c>
      <c r="F1536" s="44" t="s">
        <v>213</v>
      </c>
    </row>
    <row r="1537" spans="1:6" ht="12.75" customHeight="1">
      <c r="A1537" s="12" t="s">
        <v>2</v>
      </c>
      <c r="B1537" s="30">
        <v>2.1000000000000001E-2</v>
      </c>
      <c r="C1537" s="24" t="s">
        <v>1172</v>
      </c>
      <c r="D1537" s="41">
        <f>Prec.!$C$6</f>
        <v>900</v>
      </c>
      <c r="E1537" s="31">
        <f t="shared" ref="E1537:E1542" si="140">ROUND(B1537*D1537,2)</f>
        <v>18.899999999999999</v>
      </c>
      <c r="F1537" s="44"/>
    </row>
    <row r="1538" spans="1:6" ht="12.75" customHeight="1">
      <c r="A1538" s="12" t="s">
        <v>170</v>
      </c>
      <c r="B1538" s="30">
        <v>25.75</v>
      </c>
      <c r="C1538" s="24" t="s">
        <v>1017</v>
      </c>
      <c r="D1538" s="35">
        <f>Prec.!$C$91</f>
        <v>225</v>
      </c>
      <c r="E1538" s="31">
        <f t="shared" si="140"/>
        <v>5793.75</v>
      </c>
      <c r="F1538" s="32"/>
    </row>
    <row r="1539" spans="1:6" ht="12.75" customHeight="1">
      <c r="A1539" s="12" t="s">
        <v>430</v>
      </c>
      <c r="B1539" s="30">
        <v>1</v>
      </c>
      <c r="C1539" s="24" t="s">
        <v>213</v>
      </c>
      <c r="D1539" s="35">
        <f>$F$999</f>
        <v>18.830000000000002</v>
      </c>
      <c r="E1539" s="31">
        <f t="shared" si="140"/>
        <v>18.829999999999998</v>
      </c>
      <c r="F1539" s="32"/>
    </row>
    <row r="1540" spans="1:6" ht="12.75" customHeight="1">
      <c r="A1540" s="12" t="s">
        <v>428</v>
      </c>
      <c r="B1540" s="30">
        <v>25</v>
      </c>
      <c r="C1540" s="24" t="s">
        <v>1017</v>
      </c>
      <c r="D1540" s="35">
        <f>Prec.!$D$336</f>
        <v>0</v>
      </c>
      <c r="E1540" s="31">
        <f t="shared" si="140"/>
        <v>0</v>
      </c>
      <c r="F1540" s="32"/>
    </row>
    <row r="1541" spans="1:6" ht="12.75" customHeight="1">
      <c r="A1541" s="12" t="s">
        <v>111</v>
      </c>
      <c r="B1541" s="30">
        <v>1</v>
      </c>
      <c r="C1541" s="24" t="s">
        <v>213</v>
      </c>
      <c r="D1541" s="35">
        <f>Prec.!$D$338</f>
        <v>0</v>
      </c>
      <c r="E1541" s="31">
        <f t="shared" si="140"/>
        <v>0</v>
      </c>
      <c r="F1541" s="32"/>
    </row>
    <row r="1542" spans="1:6" ht="12.75" customHeight="1">
      <c r="A1542" s="12" t="s">
        <v>208</v>
      </c>
      <c r="B1542" s="14">
        <f>SUM(E1537:E1541)</f>
        <v>5831.48</v>
      </c>
      <c r="C1542" s="24" t="s">
        <v>209</v>
      </c>
      <c r="D1542" s="35">
        <f>Prec.!C302</f>
        <v>1.4999999999999999E-2</v>
      </c>
      <c r="E1542" s="31">
        <f t="shared" si="140"/>
        <v>87.47</v>
      </c>
      <c r="F1542" s="32">
        <f>SUM(E1537:E1542)</f>
        <v>5918.95</v>
      </c>
    </row>
    <row r="1543" spans="1:6" ht="12.75" customHeight="1">
      <c r="A1543" s="12"/>
      <c r="B1543" s="14"/>
      <c r="C1543" s="24"/>
      <c r="D1543" s="35"/>
      <c r="E1543" s="31"/>
      <c r="F1543" s="32"/>
    </row>
    <row r="1544" spans="1:6" ht="12.75" customHeight="1">
      <c r="A1544" s="13" t="s">
        <v>80</v>
      </c>
      <c r="B1544" s="14"/>
      <c r="C1544" s="24"/>
      <c r="D1544" s="35"/>
      <c r="E1544" s="31"/>
      <c r="F1544" s="32"/>
    </row>
    <row r="1545" spans="1:6" ht="12.75" customHeight="1">
      <c r="A1545" s="12" t="s">
        <v>1241</v>
      </c>
      <c r="B1545" s="57">
        <v>45</v>
      </c>
      <c r="C1545" s="24" t="s">
        <v>1017</v>
      </c>
      <c r="D1545" s="35">
        <f>Prec.!C92</f>
        <v>21.2</v>
      </c>
      <c r="E1545" s="31">
        <f>ROUND(B1545*D1545,2)</f>
        <v>954</v>
      </c>
      <c r="F1545" s="32"/>
    </row>
    <row r="1546" spans="1:6" ht="12.75" customHeight="1">
      <c r="A1546" s="12" t="s">
        <v>427</v>
      </c>
      <c r="B1546" s="57">
        <v>1.7999999999999999E-2</v>
      </c>
      <c r="C1546" s="24" t="s">
        <v>825</v>
      </c>
      <c r="D1546" s="35">
        <f>D1526</f>
        <v>6653.49</v>
      </c>
      <c r="E1546" s="31">
        <f>ROUND(B1546*D1546,2)</f>
        <v>119.76</v>
      </c>
      <c r="F1546" s="32"/>
    </row>
    <row r="1547" spans="1:6" ht="12.75" customHeight="1">
      <c r="A1547" s="12" t="s">
        <v>47</v>
      </c>
      <c r="B1547" s="57">
        <v>44.44</v>
      </c>
      <c r="C1547" s="24" t="s">
        <v>1017</v>
      </c>
      <c r="D1547" s="35">
        <f>Prec.!$D$337</f>
        <v>0</v>
      </c>
      <c r="E1547" s="31">
        <f>ROUND(B1547*D1547,2)</f>
        <v>0</v>
      </c>
      <c r="F1547" s="32"/>
    </row>
    <row r="1548" spans="1:6" ht="12.75" customHeight="1">
      <c r="A1548" s="12" t="s">
        <v>208</v>
      </c>
      <c r="B1548" s="57">
        <f>SUM(E1545:E1547)</f>
        <v>1073.76</v>
      </c>
      <c r="C1548" s="24" t="s">
        <v>48</v>
      </c>
      <c r="D1548" s="35">
        <f>D1542</f>
        <v>1.4999999999999999E-2</v>
      </c>
      <c r="E1548" s="31">
        <f>ROUND(B1548*D1548,2)</f>
        <v>16.11</v>
      </c>
      <c r="F1548" s="32">
        <f>SUM(E1545:E1548)</f>
        <v>1089.8699999999999</v>
      </c>
    </row>
    <row r="1549" spans="1:6" ht="12.75" customHeight="1">
      <c r="A1549" s="12"/>
      <c r="B1549" s="57"/>
      <c r="C1549" s="24"/>
      <c r="D1549" s="35"/>
      <c r="E1549" s="31"/>
      <c r="F1549" s="32"/>
    </row>
    <row r="1550" spans="1:6" ht="12.75" customHeight="1">
      <c r="A1550" s="13" t="s">
        <v>51</v>
      </c>
      <c r="B1550" s="14"/>
      <c r="C1550" s="24"/>
      <c r="D1550" s="35"/>
      <c r="E1550" s="31"/>
      <c r="F1550" s="32"/>
    </row>
    <row r="1551" spans="1:6" ht="12.75" customHeight="1">
      <c r="A1551" s="12" t="s">
        <v>52</v>
      </c>
      <c r="B1551" s="57">
        <v>26</v>
      </c>
      <c r="C1551" s="24" t="s">
        <v>1017</v>
      </c>
      <c r="D1551" s="35"/>
      <c r="E1551" s="31">
        <f>ROUND(B1551*D1551,2)</f>
        <v>0</v>
      </c>
      <c r="F1551" s="32"/>
    </row>
    <row r="1552" spans="1:6" ht="12.75" customHeight="1">
      <c r="A1552" s="12" t="s">
        <v>427</v>
      </c>
      <c r="B1552" s="57">
        <v>1.2E-2</v>
      </c>
      <c r="C1552" s="24" t="s">
        <v>825</v>
      </c>
      <c r="D1552" s="35">
        <f>D1564</f>
        <v>6653.49</v>
      </c>
      <c r="E1552" s="31">
        <f>ROUND(B1552*D1552,2)</f>
        <v>79.84</v>
      </c>
      <c r="F1552" s="32"/>
    </row>
    <row r="1553" spans="1:6" ht="12.75" customHeight="1">
      <c r="A1553" s="12" t="s">
        <v>47</v>
      </c>
      <c r="B1553" s="57">
        <f>B1551</f>
        <v>26</v>
      </c>
      <c r="C1553" s="24" t="s">
        <v>1017</v>
      </c>
      <c r="D1553" s="35">
        <f>D1565</f>
        <v>43.27</v>
      </c>
      <c r="E1553" s="31">
        <f>ROUND(B1553*D1553,2)</f>
        <v>1125.02</v>
      </c>
      <c r="F1553" s="32"/>
    </row>
    <row r="1554" spans="1:6" ht="12.75" customHeight="1">
      <c r="A1554" s="12" t="s">
        <v>208</v>
      </c>
      <c r="B1554" s="57">
        <f>SUM(E1551:E1553)</f>
        <v>1204.8599999999999</v>
      </c>
      <c r="C1554" s="24" t="s">
        <v>48</v>
      </c>
      <c r="D1554" s="35">
        <f>D1566</f>
        <v>0.02</v>
      </c>
      <c r="E1554" s="31">
        <f>ROUND(B1554*D1554,2)</f>
        <v>24.1</v>
      </c>
      <c r="F1554" s="32">
        <f>SUM(E1551:E1554)</f>
        <v>1228.9599999999998</v>
      </c>
    </row>
    <row r="1555" spans="1:6" ht="12.75" customHeight="1">
      <c r="A1555" s="12"/>
      <c r="B1555" s="57"/>
      <c r="C1555" s="24"/>
      <c r="D1555" s="35"/>
      <c r="E1555" s="31"/>
      <c r="F1555" s="32"/>
    </row>
    <row r="1556" spans="1:6" ht="12.75" customHeight="1">
      <c r="A1556" s="13" t="s">
        <v>53</v>
      </c>
      <c r="B1556" s="14"/>
      <c r="C1556" s="24"/>
      <c r="D1556" s="35"/>
      <c r="E1556" s="31"/>
      <c r="F1556" s="32"/>
    </row>
    <row r="1557" spans="1:6" ht="12.75" customHeight="1">
      <c r="A1557" s="12" t="s">
        <v>54</v>
      </c>
      <c r="B1557" s="57">
        <v>26</v>
      </c>
      <c r="C1557" s="24" t="s">
        <v>1017</v>
      </c>
      <c r="D1557" s="35"/>
      <c r="E1557" s="31">
        <f>ROUND(B1557*D1557,2)</f>
        <v>0</v>
      </c>
      <c r="F1557" s="32"/>
    </row>
    <row r="1558" spans="1:6" ht="12.75" customHeight="1">
      <c r="A1558" s="12" t="s">
        <v>427</v>
      </c>
      <c r="B1558" s="57">
        <v>1.4999999999999999E-2</v>
      </c>
      <c r="C1558" s="24" t="s">
        <v>825</v>
      </c>
      <c r="D1558" s="35">
        <f>D1552</f>
        <v>6653.49</v>
      </c>
      <c r="E1558" s="31">
        <f>ROUND(B1558*D1558,2)</f>
        <v>99.8</v>
      </c>
      <c r="F1558" s="32"/>
    </row>
    <row r="1559" spans="1:6" ht="12.75" customHeight="1">
      <c r="A1559" s="12" t="s">
        <v>47</v>
      </c>
      <c r="B1559" s="57">
        <f>B1557</f>
        <v>26</v>
      </c>
      <c r="C1559" s="24" t="s">
        <v>1017</v>
      </c>
      <c r="D1559" s="35">
        <f>D1553</f>
        <v>43.27</v>
      </c>
      <c r="E1559" s="31">
        <f>ROUND(B1559*D1559,2)</f>
        <v>1125.02</v>
      </c>
      <c r="F1559" s="32"/>
    </row>
    <row r="1560" spans="1:6" ht="12.75" customHeight="1">
      <c r="A1560" s="12" t="s">
        <v>208</v>
      </c>
      <c r="B1560" s="57">
        <f>SUM(E1557:E1559)</f>
        <v>1224.82</v>
      </c>
      <c r="C1560" s="24" t="s">
        <v>48</v>
      </c>
      <c r="D1560" s="35">
        <f>D1554</f>
        <v>0.02</v>
      </c>
      <c r="E1560" s="31">
        <f>ROUND(B1560*D1560,2)</f>
        <v>24.5</v>
      </c>
      <c r="F1560" s="32">
        <f>SUM(E1557:E1560)</f>
        <v>1249.32</v>
      </c>
    </row>
    <row r="1561" spans="1:6" ht="12.75" customHeight="1">
      <c r="A1561" s="12"/>
      <c r="B1561" s="57"/>
      <c r="C1561" s="24"/>
      <c r="D1561" s="35"/>
      <c r="E1561" s="31"/>
      <c r="F1561" s="32"/>
    </row>
    <row r="1562" spans="1:6" ht="12.75" customHeight="1">
      <c r="A1562" s="698" t="s">
        <v>49</v>
      </c>
      <c r="B1562" s="711"/>
      <c r="C1562" s="700"/>
      <c r="D1562" s="708"/>
      <c r="E1562" s="702"/>
      <c r="F1562" s="703"/>
    </row>
    <row r="1563" spans="1:6" ht="12.75" customHeight="1">
      <c r="A1563" s="704" t="s">
        <v>50</v>
      </c>
      <c r="B1563" s="713">
        <v>13</v>
      </c>
      <c r="C1563" s="700" t="s">
        <v>1017</v>
      </c>
      <c r="D1563" s="708">
        <f>Prec.!C94</f>
        <v>85</v>
      </c>
      <c r="E1563" s="702">
        <f>B1563*D1563</f>
        <v>1105</v>
      </c>
      <c r="F1563" s="703"/>
    </row>
    <row r="1564" spans="1:6" ht="12.75" customHeight="1">
      <c r="A1564" s="704" t="s">
        <v>427</v>
      </c>
      <c r="B1564" s="713">
        <v>1.0999999999999999E-2</v>
      </c>
      <c r="C1564" s="700" t="s">
        <v>825</v>
      </c>
      <c r="D1564" s="708">
        <f>D1546</f>
        <v>6653.49</v>
      </c>
      <c r="E1564" s="702">
        <f>ROUND(B1564*D1564,2)</f>
        <v>73.19</v>
      </c>
      <c r="F1564" s="703"/>
    </row>
    <row r="1565" spans="1:6" ht="12.75" customHeight="1">
      <c r="A1565" s="704" t="s">
        <v>47</v>
      </c>
      <c r="B1565" s="713">
        <f>B1563</f>
        <v>13</v>
      </c>
      <c r="C1565" s="700" t="s">
        <v>1017</v>
      </c>
      <c r="D1565" s="708">
        <f>Prec.!C335</f>
        <v>43.27</v>
      </c>
      <c r="E1565" s="702">
        <f>ROUND(B1565*D1565,2)</f>
        <v>562.51</v>
      </c>
      <c r="F1565" s="703"/>
    </row>
    <row r="1566" spans="1:6" ht="12.75" customHeight="1">
      <c r="A1566" s="704" t="s">
        <v>208</v>
      </c>
      <c r="B1566" s="713">
        <f>SUM(E1563:E1564)</f>
        <v>1178.19</v>
      </c>
      <c r="C1566" s="700" t="s">
        <v>48</v>
      </c>
      <c r="D1566" s="708">
        <v>0.02</v>
      </c>
      <c r="E1566" s="702">
        <f>ROUND(B1566*D1566,2)</f>
        <v>23.56</v>
      </c>
      <c r="F1566" s="703">
        <f>SUM(E1563:E1566)</f>
        <v>1764.26</v>
      </c>
    </row>
    <row r="1567" spans="1:6" ht="12.75" customHeight="1">
      <c r="A1567" s="12"/>
      <c r="B1567" s="14"/>
      <c r="C1567" s="24"/>
      <c r="D1567" s="35"/>
      <c r="E1567" s="31"/>
      <c r="F1567" s="32"/>
    </row>
    <row r="1568" spans="1:6" ht="12.75" customHeight="1">
      <c r="A1568" s="13" t="s">
        <v>55</v>
      </c>
      <c r="B1568" s="14"/>
      <c r="C1568" s="24"/>
      <c r="D1568" s="35"/>
      <c r="E1568" s="31"/>
      <c r="F1568" s="32"/>
    </row>
    <row r="1569" spans="1:13" ht="12.75" customHeight="1">
      <c r="A1569" s="12" t="s">
        <v>56</v>
      </c>
      <c r="B1569" s="57">
        <v>13</v>
      </c>
      <c r="C1569" s="24" t="s">
        <v>1017</v>
      </c>
      <c r="D1569" s="35"/>
      <c r="E1569" s="31">
        <f>B1569*D1569</f>
        <v>0</v>
      </c>
      <c r="F1569" s="32"/>
    </row>
    <row r="1570" spans="1:13" ht="12.75" customHeight="1">
      <c r="A1570" s="12" t="s">
        <v>427</v>
      </c>
      <c r="B1570" s="57">
        <v>1.0999999999999999E-2</v>
      </c>
      <c r="C1570" s="24" t="s">
        <v>825</v>
      </c>
      <c r="D1570" s="35">
        <f>D1552</f>
        <v>6653.49</v>
      </c>
      <c r="E1570" s="31">
        <f>ROUND(B1570*D1570,2)</f>
        <v>73.19</v>
      </c>
      <c r="F1570" s="32"/>
    </row>
    <row r="1571" spans="1:13" ht="12.75" customHeight="1">
      <c r="A1571" s="12" t="s">
        <v>47</v>
      </c>
      <c r="B1571" s="57">
        <f>B1569</f>
        <v>13</v>
      </c>
      <c r="C1571" s="24" t="s">
        <v>1017</v>
      </c>
      <c r="D1571" s="35">
        <f>D1553</f>
        <v>43.27</v>
      </c>
      <c r="E1571" s="31">
        <f>ROUND(B1571*D1571,2)</f>
        <v>562.51</v>
      </c>
      <c r="F1571" s="32"/>
    </row>
    <row r="1572" spans="1:13" ht="12.75" customHeight="1">
      <c r="A1572" s="12" t="s">
        <v>208</v>
      </c>
      <c r="B1572" s="57">
        <f>SUM(E1569:E1571)</f>
        <v>635.70000000000005</v>
      </c>
      <c r="C1572" s="24" t="s">
        <v>48</v>
      </c>
      <c r="D1572" s="35">
        <f>D1554</f>
        <v>0.02</v>
      </c>
      <c r="E1572" s="31">
        <f>ROUND(B1572*D1572,2)</f>
        <v>12.71</v>
      </c>
      <c r="F1572" s="32">
        <f>SUM(E1569:E1572)</f>
        <v>648.41000000000008</v>
      </c>
    </row>
    <row r="1573" spans="1:13" ht="12.75" customHeight="1">
      <c r="A1573" s="12"/>
      <c r="B1573" s="14"/>
      <c r="C1573" s="24"/>
      <c r="D1573" s="35"/>
      <c r="E1573" s="31"/>
      <c r="F1573" s="32"/>
    </row>
    <row r="1574" spans="1:13" ht="12.75" customHeight="1">
      <c r="A1574" s="13" t="s">
        <v>1307</v>
      </c>
      <c r="B1574" s="14"/>
      <c r="C1574" s="24"/>
      <c r="D1574" s="35"/>
      <c r="E1574" s="31"/>
      <c r="F1574" s="32"/>
    </row>
    <row r="1575" spans="1:13" ht="12.75" customHeight="1">
      <c r="A1575" s="12" t="s">
        <v>1307</v>
      </c>
      <c r="B1575" s="57">
        <v>26</v>
      </c>
      <c r="C1575" s="24" t="s">
        <v>1017</v>
      </c>
      <c r="D1575" s="35"/>
      <c r="E1575" s="31">
        <f>ROUND(B1575*D1575,2)</f>
        <v>0</v>
      </c>
      <c r="F1575" s="32"/>
    </row>
    <row r="1576" spans="1:13" ht="12.75" customHeight="1">
      <c r="A1576" s="12" t="s">
        <v>427</v>
      </c>
      <c r="B1576" s="57">
        <v>0.12</v>
      </c>
      <c r="C1576" s="24" t="s">
        <v>825</v>
      </c>
      <c r="D1576" s="35">
        <f>D1570</f>
        <v>6653.49</v>
      </c>
      <c r="E1576" s="31">
        <f>ROUND(B1576*D1576,2)</f>
        <v>798.42</v>
      </c>
      <c r="F1576" s="32"/>
    </row>
    <row r="1577" spans="1:13" ht="12.75" customHeight="1">
      <c r="A1577" s="12" t="s">
        <v>47</v>
      </c>
      <c r="B1577" s="57">
        <f>B1575</f>
        <v>26</v>
      </c>
      <c r="C1577" s="24" t="s">
        <v>1017</v>
      </c>
      <c r="D1577" s="35">
        <f>D1571</f>
        <v>43.27</v>
      </c>
      <c r="E1577" s="31">
        <f>ROUND(B1577*D1577,2)</f>
        <v>1125.02</v>
      </c>
      <c r="F1577" s="32"/>
    </row>
    <row r="1578" spans="1:13" ht="12.75" customHeight="1">
      <c r="A1578" s="12" t="s">
        <v>208</v>
      </c>
      <c r="B1578" s="57">
        <f>SUM(E1575:E1577)</f>
        <v>1923.44</v>
      </c>
      <c r="C1578" s="24" t="s">
        <v>48</v>
      </c>
      <c r="D1578" s="35">
        <f>D1572</f>
        <v>0.02</v>
      </c>
      <c r="E1578" s="31">
        <f>ROUND(B1578*D1578,2)</f>
        <v>38.47</v>
      </c>
      <c r="F1578" s="32">
        <f>SUM(E1575:E1578)</f>
        <v>1961.91</v>
      </c>
    </row>
    <row r="1579" spans="1:13" ht="12.75" customHeight="1">
      <c r="A1579" s="12"/>
      <c r="B1579" s="14"/>
      <c r="C1579" s="24"/>
      <c r="D1579" s="35"/>
      <c r="E1579" s="31"/>
      <c r="F1579" s="32"/>
    </row>
    <row r="1580" spans="1:13" s="166" customFormat="1" ht="12.75" customHeight="1">
      <c r="A1580" s="12"/>
      <c r="B1580" s="14"/>
      <c r="C1580" s="24"/>
      <c r="D1580" s="35"/>
      <c r="E1580" s="31"/>
      <c r="F1580" s="32"/>
      <c r="G1580" s="15"/>
      <c r="H1580" s="21"/>
      <c r="I1580" s="15"/>
      <c r="J1580" s="15"/>
      <c r="K1580" s="15"/>
      <c r="L1580" s="21"/>
      <c r="M1580" s="15"/>
    </row>
    <row r="1581" spans="1:13" s="166" customFormat="1" ht="12.75" customHeight="1">
      <c r="A1581" s="12"/>
      <c r="B1581" s="14"/>
      <c r="C1581" s="24"/>
      <c r="D1581" s="35"/>
      <c r="E1581" s="31"/>
      <c r="F1581" s="32"/>
      <c r="G1581" s="15"/>
      <c r="H1581" s="21"/>
      <c r="I1581" s="15"/>
      <c r="J1581" s="15"/>
      <c r="K1581" s="15"/>
      <c r="L1581" s="21"/>
      <c r="M1581" s="15"/>
    </row>
    <row r="1582" spans="1:13" s="166" customFormat="1" ht="12.75" customHeight="1">
      <c r="A1582" s="12"/>
      <c r="B1582" s="14"/>
      <c r="C1582" s="24"/>
      <c r="D1582" s="35"/>
      <c r="E1582" s="31"/>
      <c r="F1582" s="32"/>
      <c r="G1582" s="15"/>
      <c r="H1582" s="21"/>
      <c r="I1582" s="15"/>
      <c r="J1582" s="15"/>
      <c r="K1582" s="15"/>
      <c r="L1582" s="21"/>
      <c r="M1582" s="15"/>
    </row>
    <row r="1583" spans="1:13" s="166" customFormat="1" ht="12.75" customHeight="1">
      <c r="A1583" s="12"/>
      <c r="B1583" s="14"/>
      <c r="C1583" s="24"/>
      <c r="D1583" s="35"/>
      <c r="E1583" s="31"/>
      <c r="F1583" s="32"/>
      <c r="G1583" s="15"/>
      <c r="H1583" s="21"/>
      <c r="I1583" s="15"/>
      <c r="J1583" s="15"/>
      <c r="K1583" s="15"/>
      <c r="L1583" s="21"/>
      <c r="M1583" s="15"/>
    </row>
    <row r="1584" spans="1:13" s="166" customFormat="1" ht="12.75" customHeight="1">
      <c r="A1584" s="12"/>
      <c r="B1584" s="14"/>
      <c r="C1584" s="24"/>
      <c r="D1584" s="35"/>
      <c r="E1584" s="31"/>
      <c r="F1584" s="32"/>
      <c r="G1584" s="15"/>
      <c r="H1584" s="21"/>
      <c r="I1584" s="15"/>
      <c r="J1584" s="15"/>
      <c r="K1584" s="15"/>
      <c r="L1584" s="21"/>
      <c r="M1584" s="15"/>
    </row>
    <row r="1585" spans="1:13" s="166" customFormat="1" ht="12.75" customHeight="1">
      <c r="A1585" s="12"/>
      <c r="B1585" s="14"/>
      <c r="C1585" s="24"/>
      <c r="D1585" s="35"/>
      <c r="E1585" s="31"/>
      <c r="F1585" s="32"/>
      <c r="G1585" s="15"/>
      <c r="H1585" s="21"/>
      <c r="I1585" s="15"/>
      <c r="J1585" s="15"/>
      <c r="K1585" s="15"/>
      <c r="L1585" s="21"/>
      <c r="M1585" s="15"/>
    </row>
    <row r="1586" spans="1:13" ht="12.75" customHeight="1">
      <c r="A1586" s="23" t="s">
        <v>1164</v>
      </c>
      <c r="B1586" s="7"/>
    </row>
    <row r="1587" spans="1:13" ht="12" customHeight="1">
      <c r="A1587" s="2"/>
      <c r="B1587" s="7"/>
    </row>
    <row r="1588" spans="1:13" ht="12.75" customHeight="1">
      <c r="A1588" s="13" t="s">
        <v>922</v>
      </c>
      <c r="B1588" s="30"/>
      <c r="C1588" s="24"/>
      <c r="D1588" s="35"/>
      <c r="E1588" s="43" t="s">
        <v>151</v>
      </c>
      <c r="F1588" s="44" t="s">
        <v>213</v>
      </c>
    </row>
    <row r="1589" spans="1:13" ht="12.75" customHeight="1">
      <c r="A1589" s="12" t="s">
        <v>214</v>
      </c>
      <c r="B1589" s="30">
        <v>13</v>
      </c>
      <c r="C1589" s="24" t="s">
        <v>1017</v>
      </c>
      <c r="D1589" s="35">
        <f>Prec.!$C$85</f>
        <v>48</v>
      </c>
      <c r="E1589" s="31">
        <f t="shared" ref="E1589:E1599" si="141">ROUND(B1589*D1589,2)</f>
        <v>624</v>
      </c>
      <c r="F1589" s="32"/>
    </row>
    <row r="1590" spans="1:13" ht="12.75" customHeight="1">
      <c r="A1590" s="12" t="s">
        <v>117</v>
      </c>
      <c r="B1590" s="30">
        <v>6.2E-2</v>
      </c>
      <c r="C1590" s="24" t="s">
        <v>216</v>
      </c>
      <c r="D1590" s="35">
        <f>Prec.!$C$54</f>
        <v>3200</v>
      </c>
      <c r="E1590" s="31">
        <f t="shared" si="141"/>
        <v>198.4</v>
      </c>
      <c r="F1590" s="32"/>
    </row>
    <row r="1591" spans="1:13" ht="12.75" customHeight="1">
      <c r="A1591" s="12" t="s">
        <v>217</v>
      </c>
      <c r="B1591" s="30">
        <f>B1590*2</f>
        <v>0.124</v>
      </c>
      <c r="C1591" s="24" t="s">
        <v>218</v>
      </c>
      <c r="D1591" s="35">
        <f>Prec.!$C$75</f>
        <v>60</v>
      </c>
      <c r="E1591" s="31">
        <f t="shared" si="141"/>
        <v>7.44</v>
      </c>
      <c r="F1591" s="32"/>
    </row>
    <row r="1592" spans="1:13" ht="12.75" customHeight="1">
      <c r="A1592" s="12" t="s">
        <v>427</v>
      </c>
      <c r="B1592" s="30">
        <v>3.9E-2</v>
      </c>
      <c r="C1592" s="24" t="s">
        <v>825</v>
      </c>
      <c r="D1592" s="35">
        <f>horm.ymez.!D8</f>
        <v>6851.01</v>
      </c>
      <c r="E1592" s="31">
        <f t="shared" si="141"/>
        <v>267.19</v>
      </c>
      <c r="F1592" s="32"/>
    </row>
    <row r="1593" spans="1:13" ht="12.75" customHeight="1">
      <c r="A1593" s="12" t="s">
        <v>421</v>
      </c>
      <c r="B1593" s="30">
        <v>7.8E-2</v>
      </c>
      <c r="C1593" s="24" t="s">
        <v>825</v>
      </c>
      <c r="D1593" s="35">
        <f>horm.ymez.!D14</f>
        <v>5373.880000000001</v>
      </c>
      <c r="E1593" s="31">
        <f t="shared" si="141"/>
        <v>419.16</v>
      </c>
      <c r="F1593" s="32"/>
    </row>
    <row r="1594" spans="1:13" ht="12.75" customHeight="1">
      <c r="A1594" s="12" t="s">
        <v>430</v>
      </c>
      <c r="B1594" s="30">
        <v>1</v>
      </c>
      <c r="C1594" s="24" t="s">
        <v>213</v>
      </c>
      <c r="D1594" s="35">
        <f>horm.ymez.!D23</f>
        <v>19.21</v>
      </c>
      <c r="E1594" s="31">
        <f t="shared" si="141"/>
        <v>19.21</v>
      </c>
      <c r="F1594" s="32"/>
    </row>
    <row r="1595" spans="1:13" ht="12.75" customHeight="1">
      <c r="A1595" s="12" t="s">
        <v>428</v>
      </c>
      <c r="B1595" s="30">
        <v>13</v>
      </c>
      <c r="C1595" s="24" t="s">
        <v>1017</v>
      </c>
      <c r="D1595" s="35">
        <f>Prec.!$D$330</f>
        <v>0</v>
      </c>
      <c r="E1595" s="31">
        <f t="shared" si="141"/>
        <v>0</v>
      </c>
      <c r="F1595" s="32"/>
    </row>
    <row r="1596" spans="1:13" ht="12.75" customHeight="1">
      <c r="A1596" s="12" t="s">
        <v>432</v>
      </c>
      <c r="B1596" s="30">
        <v>13</v>
      </c>
      <c r="C1596" s="24" t="s">
        <v>1017</v>
      </c>
      <c r="D1596" s="35">
        <f>Prec.!$D$539</f>
        <v>1.7</v>
      </c>
      <c r="E1596" s="31">
        <f t="shared" si="141"/>
        <v>22.1</v>
      </c>
      <c r="F1596" s="32"/>
    </row>
    <row r="1597" spans="1:13" ht="12.75" customHeight="1">
      <c r="A1597" s="12" t="s">
        <v>433</v>
      </c>
      <c r="B1597" s="30">
        <v>13</v>
      </c>
      <c r="C1597" s="24" t="s">
        <v>1017</v>
      </c>
      <c r="D1597" s="35">
        <f>Prec.!$D$544</f>
        <v>4.2699999999999996</v>
      </c>
      <c r="E1597" s="31">
        <f t="shared" si="141"/>
        <v>55.51</v>
      </c>
      <c r="F1597" s="32"/>
    </row>
    <row r="1598" spans="1:13" ht="12.75" customHeight="1">
      <c r="A1598" s="12" t="s">
        <v>1183</v>
      </c>
      <c r="B1598" s="30">
        <v>13</v>
      </c>
      <c r="C1598" s="24" t="s">
        <v>1017</v>
      </c>
      <c r="D1598" s="35">
        <f>Prec.!D397</f>
        <v>1.46</v>
      </c>
      <c r="E1598" s="31">
        <f>ROUND(B1598*D1598,2)</f>
        <v>18.98</v>
      </c>
      <c r="F1598" s="32"/>
    </row>
    <row r="1599" spans="1:13" ht="12.75" customHeight="1">
      <c r="A1599" s="12" t="s">
        <v>208</v>
      </c>
      <c r="B1599" s="14">
        <f>SUM(E1589:E1598)</f>
        <v>1631.99</v>
      </c>
      <c r="C1599" s="24" t="s">
        <v>209</v>
      </c>
      <c r="D1599" s="35">
        <f>D1507</f>
        <v>1.4999999999999999E-2</v>
      </c>
      <c r="E1599" s="31">
        <f t="shared" si="141"/>
        <v>24.48</v>
      </c>
      <c r="F1599" s="32">
        <f>SUM(E1589:E1599)</f>
        <v>1656.47</v>
      </c>
    </row>
    <row r="1600" spans="1:13" ht="12" customHeight="1">
      <c r="A1600" s="12"/>
      <c r="B1600" s="14"/>
      <c r="C1600" s="24"/>
      <c r="D1600" s="35"/>
      <c r="E1600" s="31"/>
      <c r="F1600" s="32"/>
    </row>
    <row r="1601" spans="1:6" ht="12.75" customHeight="1">
      <c r="A1601" s="13" t="s">
        <v>918</v>
      </c>
      <c r="B1601" s="30"/>
      <c r="C1601" s="24"/>
      <c r="D1601" s="35"/>
      <c r="E1601" s="43" t="s">
        <v>151</v>
      </c>
      <c r="F1601" s="44" t="s">
        <v>213</v>
      </c>
    </row>
    <row r="1602" spans="1:6" ht="12.75" customHeight="1">
      <c r="A1602" s="12" t="s">
        <v>214</v>
      </c>
      <c r="B1602" s="30">
        <v>13</v>
      </c>
      <c r="C1602" s="24" t="s">
        <v>1017</v>
      </c>
      <c r="D1602" s="35">
        <f>Prec.!$C$85</f>
        <v>48</v>
      </c>
      <c r="E1602" s="31">
        <f t="shared" ref="E1602:E1612" si="142">ROUND(B1602*D1602,2)</f>
        <v>624</v>
      </c>
      <c r="F1602" s="32"/>
    </row>
    <row r="1603" spans="1:6" ht="12.75" customHeight="1">
      <c r="A1603" s="12" t="s">
        <v>117</v>
      </c>
      <c r="B1603" s="30">
        <v>3.6999999999999998E-2</v>
      </c>
      <c r="C1603" s="24" t="s">
        <v>216</v>
      </c>
      <c r="D1603" s="35">
        <f>Prec.!$C$54</f>
        <v>3200</v>
      </c>
      <c r="E1603" s="31">
        <f t="shared" si="142"/>
        <v>118.4</v>
      </c>
      <c r="F1603" s="32"/>
    </row>
    <row r="1604" spans="1:6" ht="12.75" customHeight="1">
      <c r="A1604" s="12" t="s">
        <v>217</v>
      </c>
      <c r="B1604" s="30">
        <f>B1603*2</f>
        <v>7.3999999999999996E-2</v>
      </c>
      <c r="C1604" s="24" t="s">
        <v>218</v>
      </c>
      <c r="D1604" s="35">
        <f>Prec.!$C$75</f>
        <v>60</v>
      </c>
      <c r="E1604" s="31">
        <f t="shared" si="142"/>
        <v>4.4400000000000004</v>
      </c>
      <c r="F1604" s="32"/>
    </row>
    <row r="1605" spans="1:6" ht="12.75" customHeight="1">
      <c r="A1605" s="12" t="s">
        <v>427</v>
      </c>
      <c r="B1605" s="30">
        <v>3.9E-2</v>
      </c>
      <c r="C1605" s="24" t="s">
        <v>825</v>
      </c>
      <c r="D1605" s="35">
        <f>horm.ymez.!D8</f>
        <v>6851.01</v>
      </c>
      <c r="E1605" s="31">
        <f t="shared" si="142"/>
        <v>267.19</v>
      </c>
      <c r="F1605" s="32"/>
    </row>
    <row r="1606" spans="1:6" ht="12.75" customHeight="1">
      <c r="A1606" s="12" t="s">
        <v>421</v>
      </c>
      <c r="B1606" s="30">
        <v>7.8E-2</v>
      </c>
      <c r="C1606" s="24" t="s">
        <v>825</v>
      </c>
      <c r="D1606" s="35">
        <f>horm.ymez.!D14</f>
        <v>5373.880000000001</v>
      </c>
      <c r="E1606" s="31">
        <f t="shared" si="142"/>
        <v>419.16</v>
      </c>
      <c r="F1606" s="32"/>
    </row>
    <row r="1607" spans="1:6" ht="12.75" customHeight="1">
      <c r="A1607" s="12" t="s">
        <v>430</v>
      </c>
      <c r="B1607" s="30">
        <v>1</v>
      </c>
      <c r="C1607" s="24" t="s">
        <v>213</v>
      </c>
      <c r="D1607" s="35">
        <f>horm.ymez.!D23</f>
        <v>19.21</v>
      </c>
      <c r="E1607" s="31">
        <f t="shared" si="142"/>
        <v>19.21</v>
      </c>
      <c r="F1607" s="32"/>
    </row>
    <row r="1608" spans="1:6" ht="12.75" customHeight="1">
      <c r="A1608" s="12" t="s">
        <v>428</v>
      </c>
      <c r="B1608" s="30">
        <v>13</v>
      </c>
      <c r="C1608" s="24" t="s">
        <v>1017</v>
      </c>
      <c r="D1608" s="35">
        <f>Prec.!$D$330</f>
        <v>0</v>
      </c>
      <c r="E1608" s="31">
        <f t="shared" si="142"/>
        <v>0</v>
      </c>
      <c r="F1608" s="32"/>
    </row>
    <row r="1609" spans="1:6" ht="12.75" customHeight="1">
      <c r="A1609" s="12" t="s">
        <v>432</v>
      </c>
      <c r="B1609" s="30">
        <v>13</v>
      </c>
      <c r="C1609" s="24" t="s">
        <v>1017</v>
      </c>
      <c r="D1609" s="35">
        <f>Prec.!$D$540</f>
        <v>1.1499999999999999</v>
      </c>
      <c r="E1609" s="31">
        <f t="shared" si="142"/>
        <v>14.95</v>
      </c>
      <c r="F1609" s="32"/>
    </row>
    <row r="1610" spans="1:6" ht="12.75" customHeight="1">
      <c r="A1610" s="12" t="s">
        <v>433</v>
      </c>
      <c r="B1610" s="30">
        <v>13</v>
      </c>
      <c r="C1610" s="24" t="s">
        <v>1017</v>
      </c>
      <c r="D1610" s="35">
        <f>Prec.!D544</f>
        <v>4.2699999999999996</v>
      </c>
      <c r="E1610" s="31">
        <f t="shared" si="142"/>
        <v>55.51</v>
      </c>
      <c r="F1610" s="32"/>
    </row>
    <row r="1611" spans="1:6" ht="12.75" customHeight="1">
      <c r="A1611" s="12" t="s">
        <v>1183</v>
      </c>
      <c r="B1611" s="30">
        <v>13</v>
      </c>
      <c r="C1611" s="24" t="s">
        <v>1017</v>
      </c>
      <c r="D1611" s="35">
        <f>Prec.!D397</f>
        <v>1.46</v>
      </c>
      <c r="E1611" s="31">
        <f>ROUND(B1611*D1611,2)</f>
        <v>18.98</v>
      </c>
      <c r="F1611" s="32"/>
    </row>
    <row r="1612" spans="1:6" ht="12.75" customHeight="1">
      <c r="A1612" s="12" t="s">
        <v>208</v>
      </c>
      <c r="B1612" s="14">
        <f>SUM(E1602:E1611)</f>
        <v>1541.8400000000001</v>
      </c>
      <c r="C1612" s="24" t="s">
        <v>209</v>
      </c>
      <c r="D1612" s="35">
        <f>D1599</f>
        <v>1.4999999999999999E-2</v>
      </c>
      <c r="E1612" s="31">
        <f t="shared" si="142"/>
        <v>23.13</v>
      </c>
      <c r="F1612" s="32">
        <f>SUM(E1602:E1612)</f>
        <v>1564.9700000000003</v>
      </c>
    </row>
    <row r="1613" spans="1:6" ht="12" customHeight="1">
      <c r="A1613" s="12"/>
      <c r="B1613" s="14"/>
      <c r="C1613" s="24"/>
      <c r="D1613" s="35"/>
      <c r="E1613" s="31"/>
      <c r="F1613" s="32"/>
    </row>
    <row r="1614" spans="1:6" ht="12.75" customHeight="1">
      <c r="A1614" s="13" t="s">
        <v>919</v>
      </c>
      <c r="B1614" s="30"/>
      <c r="C1614" s="24"/>
      <c r="D1614" s="35"/>
      <c r="E1614" s="43" t="s">
        <v>151</v>
      </c>
      <c r="F1614" s="44" t="s">
        <v>213</v>
      </c>
    </row>
    <row r="1615" spans="1:6" ht="12.75" customHeight="1">
      <c r="A1615" s="12" t="s">
        <v>214</v>
      </c>
      <c r="B1615" s="30">
        <v>13</v>
      </c>
      <c r="C1615" s="24" t="s">
        <v>1017</v>
      </c>
      <c r="D1615" s="35">
        <f>Prec.!$C$85</f>
        <v>48</v>
      </c>
      <c r="E1615" s="31">
        <f t="shared" ref="E1615:E1625" si="143">ROUND(B1615*D1615,2)</f>
        <v>624</v>
      </c>
      <c r="F1615" s="32"/>
    </row>
    <row r="1616" spans="1:6" ht="12.75" customHeight="1">
      <c r="A1616" s="12" t="s">
        <v>117</v>
      </c>
      <c r="B1616" s="30">
        <v>2.4E-2</v>
      </c>
      <c r="C1616" s="24" t="s">
        <v>216</v>
      </c>
      <c r="D1616" s="35">
        <f>Prec.!$C$54</f>
        <v>3200</v>
      </c>
      <c r="E1616" s="31">
        <f t="shared" si="143"/>
        <v>76.8</v>
      </c>
      <c r="F1616" s="32"/>
    </row>
    <row r="1617" spans="1:6" ht="12.75" customHeight="1">
      <c r="A1617" s="12" t="s">
        <v>217</v>
      </c>
      <c r="B1617" s="30">
        <f>B1616*2</f>
        <v>4.8000000000000001E-2</v>
      </c>
      <c r="C1617" s="24" t="s">
        <v>218</v>
      </c>
      <c r="D1617" s="35">
        <f>Prec.!$C$75</f>
        <v>60</v>
      </c>
      <c r="E1617" s="31">
        <f t="shared" si="143"/>
        <v>2.88</v>
      </c>
      <c r="F1617" s="32"/>
    </row>
    <row r="1618" spans="1:6" ht="12.75" customHeight="1">
      <c r="A1618" s="12" t="s">
        <v>427</v>
      </c>
      <c r="B1618" s="30">
        <v>3.9E-2</v>
      </c>
      <c r="C1618" s="24" t="s">
        <v>825</v>
      </c>
      <c r="D1618" s="35">
        <f>horm.ymez.!D8</f>
        <v>6851.01</v>
      </c>
      <c r="E1618" s="31">
        <f t="shared" si="143"/>
        <v>267.19</v>
      </c>
      <c r="F1618" s="32"/>
    </row>
    <row r="1619" spans="1:6" ht="12.75" customHeight="1">
      <c r="A1619" s="12" t="s">
        <v>421</v>
      </c>
      <c r="B1619" s="30">
        <v>7.8E-2</v>
      </c>
      <c r="C1619" s="24" t="s">
        <v>825</v>
      </c>
      <c r="D1619" s="35">
        <f>horm.ymez.!D14</f>
        <v>5373.880000000001</v>
      </c>
      <c r="E1619" s="31">
        <f t="shared" si="143"/>
        <v>419.16</v>
      </c>
      <c r="F1619" s="32"/>
    </row>
    <row r="1620" spans="1:6" ht="12.75" customHeight="1">
      <c r="A1620" s="12" t="s">
        <v>430</v>
      </c>
      <c r="B1620" s="30">
        <v>1</v>
      </c>
      <c r="C1620" s="24" t="s">
        <v>213</v>
      </c>
      <c r="D1620" s="35">
        <f>D1594</f>
        <v>19.21</v>
      </c>
      <c r="E1620" s="31">
        <f t="shared" si="143"/>
        <v>19.21</v>
      </c>
      <c r="F1620" s="32"/>
    </row>
    <row r="1621" spans="1:6" ht="12.75" customHeight="1">
      <c r="A1621" s="12" t="s">
        <v>428</v>
      </c>
      <c r="B1621" s="30">
        <v>13</v>
      </c>
      <c r="C1621" s="24" t="s">
        <v>1017</v>
      </c>
      <c r="D1621" s="35">
        <f>Prec.!$D$330</f>
        <v>0</v>
      </c>
      <c r="E1621" s="31">
        <f t="shared" si="143"/>
        <v>0</v>
      </c>
      <c r="F1621" s="32"/>
    </row>
    <row r="1622" spans="1:6" ht="12.75" customHeight="1">
      <c r="A1622" s="12" t="s">
        <v>432</v>
      </c>
      <c r="B1622" s="30">
        <v>13</v>
      </c>
      <c r="C1622" s="24" t="s">
        <v>1017</v>
      </c>
      <c r="D1622" s="35">
        <f>Prec.!$D$542</f>
        <v>0.55000000000000004</v>
      </c>
      <c r="E1622" s="31">
        <f t="shared" si="143"/>
        <v>7.15</v>
      </c>
      <c r="F1622" s="32"/>
    </row>
    <row r="1623" spans="1:6" ht="12.75" customHeight="1">
      <c r="A1623" s="12" t="s">
        <v>433</v>
      </c>
      <c r="B1623" s="30">
        <v>13</v>
      </c>
      <c r="C1623" s="24" t="s">
        <v>1017</v>
      </c>
      <c r="D1623" s="35">
        <f>Prec.!D544</f>
        <v>4.2699999999999996</v>
      </c>
      <c r="E1623" s="31">
        <f t="shared" si="143"/>
        <v>55.51</v>
      </c>
      <c r="F1623" s="32"/>
    </row>
    <row r="1624" spans="1:6" ht="12.75" customHeight="1">
      <c r="A1624" s="12" t="s">
        <v>1183</v>
      </c>
      <c r="B1624" s="30">
        <v>13</v>
      </c>
      <c r="C1624" s="24" t="s">
        <v>1017</v>
      </c>
      <c r="D1624" s="35">
        <f>D1598</f>
        <v>1.46</v>
      </c>
      <c r="E1624" s="31">
        <f>ROUND(B1624*D1624,2)</f>
        <v>18.98</v>
      </c>
      <c r="F1624" s="32"/>
    </row>
    <row r="1625" spans="1:6" ht="12.75" customHeight="1">
      <c r="A1625" s="12" t="s">
        <v>208</v>
      </c>
      <c r="B1625" s="14">
        <f>SUM(E1615:E1624)</f>
        <v>1490.88</v>
      </c>
      <c r="C1625" s="24" t="s">
        <v>209</v>
      </c>
      <c r="D1625" s="35">
        <f>D1599</f>
        <v>1.4999999999999999E-2</v>
      </c>
      <c r="E1625" s="31">
        <f t="shared" si="143"/>
        <v>22.36</v>
      </c>
      <c r="F1625" s="32">
        <f>SUM(E1615:E1625)</f>
        <v>1513.24</v>
      </c>
    </row>
    <row r="1626" spans="1:6" ht="12.75" customHeight="1">
      <c r="A1626" s="12"/>
      <c r="B1626" s="14"/>
      <c r="C1626" s="24"/>
      <c r="D1626" s="35"/>
      <c r="E1626" s="31"/>
      <c r="F1626" s="32"/>
    </row>
    <row r="1627" spans="1:6" ht="12.75" customHeight="1">
      <c r="A1627" s="12"/>
      <c r="B1627" s="14"/>
      <c r="C1627" s="24"/>
      <c r="D1627" s="35"/>
      <c r="E1627" s="31"/>
      <c r="F1627" s="32"/>
    </row>
    <row r="1628" spans="1:6" ht="12.75" customHeight="1">
      <c r="A1628" s="12"/>
      <c r="B1628" s="14"/>
      <c r="C1628" s="24"/>
      <c r="D1628" s="35"/>
      <c r="E1628" s="31"/>
      <c r="F1628" s="32"/>
    </row>
    <row r="1629" spans="1:6" ht="12.75" customHeight="1">
      <c r="A1629" s="12"/>
      <c r="B1629" s="14"/>
      <c r="C1629" s="24"/>
      <c r="D1629" s="35"/>
      <c r="E1629" s="31"/>
      <c r="F1629" s="32"/>
    </row>
    <row r="1630" spans="1:6" ht="12.75" customHeight="1">
      <c r="A1630" s="12"/>
      <c r="B1630" s="14"/>
      <c r="C1630" s="24"/>
      <c r="D1630" s="35"/>
      <c r="E1630" s="31"/>
      <c r="F1630" s="32"/>
    </row>
    <row r="1631" spans="1:6" ht="12.75" customHeight="1">
      <c r="A1631" s="12"/>
      <c r="B1631" s="14"/>
      <c r="C1631" s="24"/>
      <c r="D1631" s="35"/>
      <c r="E1631" s="31"/>
      <c r="F1631" s="32"/>
    </row>
    <row r="1632" spans="1:6" ht="12.75" customHeight="1">
      <c r="A1632" s="12"/>
      <c r="B1632" s="14"/>
      <c r="C1632" s="24"/>
      <c r="D1632" s="35"/>
      <c r="E1632" s="31"/>
      <c r="F1632" s="32"/>
    </row>
    <row r="1633" spans="1:6" ht="12.75" customHeight="1">
      <c r="A1633" s="12"/>
      <c r="B1633" s="14"/>
      <c r="C1633" s="24"/>
      <c r="D1633" s="35"/>
      <c r="E1633" s="31"/>
      <c r="F1633" s="32"/>
    </row>
    <row r="1634" spans="1:6" ht="12.75" customHeight="1">
      <c r="A1634" s="12"/>
      <c r="B1634" s="14"/>
      <c r="C1634" s="24"/>
      <c r="D1634" s="35"/>
      <c r="E1634" s="31"/>
      <c r="F1634" s="32"/>
    </row>
    <row r="1635" spans="1:6" ht="12.75" customHeight="1">
      <c r="A1635" s="12"/>
      <c r="B1635" s="14"/>
      <c r="C1635" s="24"/>
      <c r="D1635" s="35"/>
      <c r="E1635" s="31"/>
      <c r="F1635" s="32"/>
    </row>
    <row r="1636" spans="1:6" ht="12.75" customHeight="1">
      <c r="A1636" s="13" t="s">
        <v>921</v>
      </c>
      <c r="B1636" s="30"/>
      <c r="C1636" s="24"/>
      <c r="D1636" s="35"/>
      <c r="E1636" s="43" t="s">
        <v>151</v>
      </c>
      <c r="F1636" s="44" t="s">
        <v>213</v>
      </c>
    </row>
    <row r="1637" spans="1:6" ht="12.75" customHeight="1">
      <c r="A1637" s="12" t="s">
        <v>214</v>
      </c>
      <c r="B1637" s="30">
        <v>13</v>
      </c>
      <c r="C1637" s="24" t="s">
        <v>1017</v>
      </c>
      <c r="D1637" s="35">
        <f>Prec.!$C$85</f>
        <v>48</v>
      </c>
      <c r="E1637" s="31">
        <f t="shared" ref="E1637:E1647" si="144">ROUND(B1637*D1637,2)</f>
        <v>624</v>
      </c>
      <c r="F1637" s="32"/>
    </row>
    <row r="1638" spans="1:6" ht="12.75" customHeight="1">
      <c r="A1638" s="12" t="s">
        <v>117</v>
      </c>
      <c r="B1638" s="30">
        <v>3.6999999999999998E-2</v>
      </c>
      <c r="C1638" s="24" t="s">
        <v>216</v>
      </c>
      <c r="D1638" s="35">
        <f>Prec.!$C$54</f>
        <v>3200</v>
      </c>
      <c r="E1638" s="31">
        <f t="shared" si="144"/>
        <v>118.4</v>
      </c>
      <c r="F1638" s="32"/>
    </row>
    <row r="1639" spans="1:6" ht="12.75" customHeight="1">
      <c r="A1639" s="12" t="s">
        <v>217</v>
      </c>
      <c r="B1639" s="30">
        <f>B1638*2</f>
        <v>7.3999999999999996E-2</v>
      </c>
      <c r="C1639" s="24" t="s">
        <v>218</v>
      </c>
      <c r="D1639" s="35">
        <f>Prec.!$C$75</f>
        <v>60</v>
      </c>
      <c r="E1639" s="31">
        <f t="shared" si="144"/>
        <v>4.4400000000000004</v>
      </c>
      <c r="F1639" s="32"/>
    </row>
    <row r="1640" spans="1:6" ht="12.75" customHeight="1">
      <c r="A1640" s="12" t="s">
        <v>427</v>
      </c>
      <c r="B1640" s="30">
        <v>3.9E-2</v>
      </c>
      <c r="C1640" s="24" t="s">
        <v>825</v>
      </c>
      <c r="D1640" s="35">
        <f>horm.ymez.!D8</f>
        <v>6851.01</v>
      </c>
      <c r="E1640" s="31">
        <f t="shared" si="144"/>
        <v>267.19</v>
      </c>
      <c r="F1640" s="32"/>
    </row>
    <row r="1641" spans="1:6" ht="12.75" customHeight="1">
      <c r="A1641" s="12" t="s">
        <v>421</v>
      </c>
      <c r="B1641" s="30">
        <v>5.1999999999999998E-2</v>
      </c>
      <c r="C1641" s="24" t="s">
        <v>825</v>
      </c>
      <c r="D1641" s="35">
        <f>horm.ymez.!D14</f>
        <v>5373.880000000001</v>
      </c>
      <c r="E1641" s="31">
        <f t="shared" si="144"/>
        <v>279.44</v>
      </c>
      <c r="F1641" s="32"/>
    </row>
    <row r="1642" spans="1:6" ht="12.75" customHeight="1">
      <c r="A1642" s="12" t="s">
        <v>430</v>
      </c>
      <c r="B1642" s="30">
        <v>1</v>
      </c>
      <c r="C1642" s="24" t="s">
        <v>213</v>
      </c>
      <c r="D1642" s="35">
        <f>D1620</f>
        <v>19.21</v>
      </c>
      <c r="E1642" s="31">
        <f t="shared" si="144"/>
        <v>19.21</v>
      </c>
      <c r="F1642" s="32"/>
    </row>
    <row r="1643" spans="1:6" ht="12.75" customHeight="1">
      <c r="A1643" s="12" t="s">
        <v>428</v>
      </c>
      <c r="B1643" s="30">
        <v>13</v>
      </c>
      <c r="C1643" s="24" t="s">
        <v>1017</v>
      </c>
      <c r="D1643" s="35">
        <f>Prec.!$D$330</f>
        <v>0</v>
      </c>
      <c r="E1643" s="31">
        <f t="shared" si="144"/>
        <v>0</v>
      </c>
      <c r="F1643" s="32"/>
    </row>
    <row r="1644" spans="1:6" ht="12.75" customHeight="1">
      <c r="A1644" s="12" t="s">
        <v>432</v>
      </c>
      <c r="B1644" s="30">
        <v>13</v>
      </c>
      <c r="C1644" s="24" t="s">
        <v>1017</v>
      </c>
      <c r="D1644" s="35">
        <f>Prec.!$D$540</f>
        <v>1.1499999999999999</v>
      </c>
      <c r="E1644" s="31">
        <f t="shared" si="144"/>
        <v>14.95</v>
      </c>
      <c r="F1644" s="32"/>
    </row>
    <row r="1645" spans="1:6" ht="12.75" customHeight="1">
      <c r="A1645" s="12" t="s">
        <v>433</v>
      </c>
      <c r="B1645" s="30">
        <v>13</v>
      </c>
      <c r="C1645" s="24" t="s">
        <v>1017</v>
      </c>
      <c r="D1645" s="35">
        <f>Prec.!$D$545</f>
        <v>2.33</v>
      </c>
      <c r="E1645" s="31">
        <f t="shared" si="144"/>
        <v>30.29</v>
      </c>
      <c r="F1645" s="32"/>
    </row>
    <row r="1646" spans="1:6" ht="12.75" customHeight="1">
      <c r="A1646" s="12" t="s">
        <v>1183</v>
      </c>
      <c r="B1646" s="30">
        <v>13</v>
      </c>
      <c r="C1646" s="24" t="s">
        <v>1017</v>
      </c>
      <c r="D1646" s="35">
        <f>D1624</f>
        <v>1.46</v>
      </c>
      <c r="E1646" s="31">
        <f>ROUND(B1646*D1646,2)</f>
        <v>18.98</v>
      </c>
      <c r="F1646" s="32"/>
    </row>
    <row r="1647" spans="1:6" ht="12.75" customHeight="1">
      <c r="A1647" s="12" t="s">
        <v>208</v>
      </c>
      <c r="B1647" s="14">
        <f>SUM(E1637:E1646)</f>
        <v>1376.9</v>
      </c>
      <c r="C1647" s="24" t="s">
        <v>209</v>
      </c>
      <c r="D1647" s="35">
        <f>D1625</f>
        <v>1.4999999999999999E-2</v>
      </c>
      <c r="E1647" s="31">
        <f t="shared" si="144"/>
        <v>20.65</v>
      </c>
      <c r="F1647" s="32">
        <f>SUM(E1637:E1647)</f>
        <v>1397.5500000000002</v>
      </c>
    </row>
    <row r="1648" spans="1:6" ht="10.15" customHeight="1">
      <c r="A1648" s="12"/>
      <c r="B1648" s="14"/>
      <c r="C1648" s="24"/>
      <c r="D1648" s="35"/>
      <c r="E1648" s="31"/>
      <c r="F1648" s="32"/>
    </row>
    <row r="1649" spans="1:13" s="166" customFormat="1" ht="10.15" customHeight="1">
      <c r="A1649" s="698" t="s">
        <v>921</v>
      </c>
      <c r="B1649" s="705"/>
      <c r="C1649" s="700"/>
      <c r="D1649" s="708"/>
      <c r="E1649" s="709" t="s">
        <v>151</v>
      </c>
      <c r="F1649" s="710" t="s">
        <v>213</v>
      </c>
      <c r="G1649" s="15"/>
      <c r="H1649" s="21"/>
      <c r="I1649" s="15"/>
      <c r="J1649" s="15"/>
      <c r="K1649" s="15"/>
      <c r="L1649" s="21"/>
      <c r="M1649" s="15"/>
    </row>
    <row r="1650" spans="1:13" s="166" customFormat="1" ht="10.15" customHeight="1">
      <c r="A1650" s="704" t="s">
        <v>214</v>
      </c>
      <c r="B1650" s="705">
        <v>13</v>
      </c>
      <c r="C1650" s="700" t="s">
        <v>1017</v>
      </c>
      <c r="D1650" s="708">
        <f>D1637</f>
        <v>48</v>
      </c>
      <c r="E1650" s="702">
        <f t="shared" ref="E1650:E1659" si="145">ROUND(B1650*D1650,2)</f>
        <v>624</v>
      </c>
      <c r="F1650" s="703"/>
      <c r="G1650" s="15"/>
      <c r="H1650" s="21"/>
      <c r="I1650" s="15"/>
      <c r="J1650" s="15"/>
      <c r="K1650" s="15"/>
      <c r="L1650" s="21"/>
      <c r="M1650" s="15"/>
    </row>
    <row r="1651" spans="1:13" s="166" customFormat="1" ht="10.15" customHeight="1">
      <c r="A1651" s="704" t="s">
        <v>117</v>
      </c>
      <c r="B1651" s="705">
        <v>3.6999999999999998E-2</v>
      </c>
      <c r="C1651" s="700" t="s">
        <v>216</v>
      </c>
      <c r="D1651" s="708">
        <f t="shared" ref="D1651" si="146">D1638</f>
        <v>3200</v>
      </c>
      <c r="E1651" s="702">
        <f t="shared" si="145"/>
        <v>118.4</v>
      </c>
      <c r="F1651" s="703"/>
      <c r="G1651" s="15"/>
      <c r="H1651" s="21"/>
      <c r="I1651" s="15"/>
      <c r="J1651" s="15"/>
      <c r="K1651" s="15"/>
      <c r="L1651" s="21"/>
      <c r="M1651" s="15"/>
    </row>
    <row r="1652" spans="1:13" s="166" customFormat="1" ht="10.15" customHeight="1">
      <c r="A1652" s="704" t="s">
        <v>4424</v>
      </c>
      <c r="B1652" s="705">
        <v>3.2000000000000001E-2</v>
      </c>
      <c r="C1652" s="700" t="s">
        <v>216</v>
      </c>
      <c r="D1652" s="708">
        <f>D1651</f>
        <v>3200</v>
      </c>
      <c r="E1652" s="702">
        <f t="shared" si="145"/>
        <v>102.4</v>
      </c>
      <c r="F1652" s="703"/>
      <c r="G1652" s="15"/>
      <c r="H1652" s="21"/>
      <c r="I1652" s="15"/>
      <c r="J1652" s="15"/>
      <c r="K1652" s="15"/>
      <c r="L1652" s="21"/>
      <c r="M1652" s="15"/>
    </row>
    <row r="1653" spans="1:13" s="166" customFormat="1" ht="10.15" customHeight="1">
      <c r="A1653" s="704" t="s">
        <v>217</v>
      </c>
      <c r="B1653" s="705">
        <f>B1651*2</f>
        <v>7.3999999999999996E-2</v>
      </c>
      <c r="C1653" s="700" t="s">
        <v>218</v>
      </c>
      <c r="D1653" s="708">
        <f>D1639</f>
        <v>60</v>
      </c>
      <c r="E1653" s="702">
        <f t="shared" si="145"/>
        <v>4.4400000000000004</v>
      </c>
      <c r="F1653" s="703"/>
      <c r="G1653" s="15"/>
      <c r="H1653" s="21"/>
      <c r="I1653" s="15"/>
      <c r="J1653" s="15"/>
      <c r="K1653" s="15"/>
      <c r="L1653" s="21"/>
      <c r="M1653" s="15"/>
    </row>
    <row r="1654" spans="1:13" s="166" customFormat="1" ht="10.15" customHeight="1">
      <c r="A1654" s="704" t="s">
        <v>427</v>
      </c>
      <c r="B1654" s="705">
        <v>3.9E-2</v>
      </c>
      <c r="C1654" s="700" t="s">
        <v>825</v>
      </c>
      <c r="D1654" s="708">
        <f>D1640</f>
        <v>6851.01</v>
      </c>
      <c r="E1654" s="702">
        <f t="shared" si="145"/>
        <v>267.19</v>
      </c>
      <c r="F1654" s="703"/>
      <c r="G1654" s="15"/>
      <c r="H1654" s="21"/>
      <c r="I1654" s="15"/>
      <c r="J1654" s="15"/>
      <c r="K1654" s="15"/>
      <c r="L1654" s="21"/>
      <c r="M1654" s="15"/>
    </row>
    <row r="1655" spans="1:13" s="166" customFormat="1" ht="10.15" customHeight="1">
      <c r="A1655" s="704" t="s">
        <v>421</v>
      </c>
      <c r="B1655" s="705">
        <v>5.1999999999999998E-2</v>
      </c>
      <c r="C1655" s="700" t="s">
        <v>825</v>
      </c>
      <c r="D1655" s="708">
        <f>D1641</f>
        <v>5373.880000000001</v>
      </c>
      <c r="E1655" s="702">
        <f t="shared" si="145"/>
        <v>279.44</v>
      </c>
      <c r="F1655" s="703"/>
      <c r="G1655" s="15"/>
      <c r="H1655" s="21"/>
      <c r="I1655" s="15"/>
      <c r="J1655" s="15"/>
      <c r="K1655" s="15"/>
      <c r="L1655" s="21"/>
      <c r="M1655" s="15"/>
    </row>
    <row r="1656" spans="1:13" s="166" customFormat="1" ht="10.15" customHeight="1">
      <c r="A1656" s="704" t="s">
        <v>430</v>
      </c>
      <c r="B1656" s="705">
        <v>1</v>
      </c>
      <c r="C1656" s="700" t="s">
        <v>213</v>
      </c>
      <c r="D1656" s="708">
        <f>D1642</f>
        <v>19.21</v>
      </c>
      <c r="E1656" s="702">
        <f t="shared" si="145"/>
        <v>19.21</v>
      </c>
      <c r="F1656" s="703"/>
      <c r="G1656" s="15"/>
      <c r="H1656" s="21"/>
      <c r="I1656" s="15"/>
      <c r="J1656" s="15"/>
      <c r="K1656" s="15"/>
      <c r="L1656" s="21"/>
      <c r="M1656" s="15"/>
    </row>
    <row r="1657" spans="1:13" s="166" customFormat="1" ht="10.15" customHeight="1">
      <c r="A1657" s="704" t="s">
        <v>428</v>
      </c>
      <c r="B1657" s="705">
        <v>13</v>
      </c>
      <c r="C1657" s="700" t="s">
        <v>1017</v>
      </c>
      <c r="D1657" s="708">
        <f>D1364</f>
        <v>21.68</v>
      </c>
      <c r="E1657" s="702">
        <f t="shared" si="145"/>
        <v>281.83999999999997</v>
      </c>
      <c r="F1657" s="703"/>
      <c r="G1657" s="15"/>
      <c r="H1657" s="21"/>
      <c r="I1657" s="15"/>
      <c r="J1657" s="15"/>
      <c r="K1657" s="15"/>
      <c r="L1657" s="21"/>
      <c r="M1657" s="15"/>
    </row>
    <row r="1658" spans="1:13" s="166" customFormat="1" ht="10.15" customHeight="1">
      <c r="A1658" s="704" t="s">
        <v>432</v>
      </c>
      <c r="B1658" s="705">
        <v>13</v>
      </c>
      <c r="C1658" s="700" t="s">
        <v>1017</v>
      </c>
      <c r="D1658" s="708">
        <f>D1644</f>
        <v>1.1499999999999999</v>
      </c>
      <c r="E1658" s="702">
        <f t="shared" si="145"/>
        <v>14.95</v>
      </c>
      <c r="F1658" s="703"/>
      <c r="G1658" s="15"/>
      <c r="H1658" s="21"/>
      <c r="I1658" s="15"/>
      <c r="J1658" s="15"/>
      <c r="K1658" s="15"/>
      <c r="L1658" s="21"/>
      <c r="M1658" s="15"/>
    </row>
    <row r="1659" spans="1:13" s="166" customFormat="1" ht="10.15" customHeight="1">
      <c r="A1659" s="704" t="s">
        <v>433</v>
      </c>
      <c r="B1659" s="705">
        <v>13</v>
      </c>
      <c r="C1659" s="700" t="s">
        <v>1017</v>
      </c>
      <c r="D1659" s="708">
        <f>D1645</f>
        <v>2.33</v>
      </c>
      <c r="E1659" s="702">
        <f t="shared" si="145"/>
        <v>30.29</v>
      </c>
      <c r="F1659" s="703"/>
      <c r="G1659" s="15"/>
      <c r="H1659" s="21"/>
      <c r="I1659" s="15"/>
      <c r="J1659" s="15"/>
      <c r="K1659" s="15"/>
      <c r="L1659" s="21"/>
      <c r="M1659" s="15"/>
    </row>
    <row r="1660" spans="1:13" s="166" customFormat="1" ht="10.15" customHeight="1">
      <c r="A1660" s="704" t="s">
        <v>1183</v>
      </c>
      <c r="B1660" s="705">
        <v>13</v>
      </c>
      <c r="C1660" s="700" t="s">
        <v>1017</v>
      </c>
      <c r="D1660" s="708">
        <f>D1646</f>
        <v>1.46</v>
      </c>
      <c r="E1660" s="702">
        <f>ROUND(B1660*D1660,2)</f>
        <v>18.98</v>
      </c>
      <c r="F1660" s="703"/>
      <c r="G1660" s="15"/>
      <c r="H1660" s="21"/>
      <c r="I1660" s="15"/>
      <c r="J1660" s="15"/>
      <c r="K1660" s="15"/>
      <c r="L1660" s="21"/>
      <c r="M1660" s="15"/>
    </row>
    <row r="1661" spans="1:13" s="166" customFormat="1" ht="10.15" customHeight="1">
      <c r="A1661" s="704" t="s">
        <v>208</v>
      </c>
      <c r="B1661" s="711">
        <f>SUM(E1650:E1660)</f>
        <v>1761.14</v>
      </c>
      <c r="C1661" s="700" t="s">
        <v>209</v>
      </c>
      <c r="D1661" s="708">
        <v>0.02</v>
      </c>
      <c r="E1661" s="702">
        <f t="shared" ref="E1661" si="147">ROUND(B1661*D1661,2)</f>
        <v>35.22</v>
      </c>
      <c r="F1661" s="703">
        <f>SUM(E1650:E1661)</f>
        <v>1796.3600000000001</v>
      </c>
      <c r="G1661" s="15"/>
      <c r="H1661" s="21"/>
      <c r="I1661" s="15"/>
      <c r="J1661" s="15"/>
      <c r="K1661" s="15"/>
      <c r="L1661" s="21"/>
      <c r="M1661" s="15"/>
    </row>
    <row r="1662" spans="1:13" s="166" customFormat="1" ht="10.15" customHeight="1">
      <c r="A1662" s="12"/>
      <c r="B1662" s="14"/>
      <c r="C1662" s="24"/>
      <c r="D1662" s="35"/>
      <c r="E1662" s="31"/>
      <c r="F1662" s="32"/>
      <c r="G1662" s="15"/>
      <c r="H1662" s="21"/>
      <c r="I1662" s="15"/>
      <c r="J1662" s="15"/>
      <c r="K1662" s="15"/>
      <c r="L1662" s="21"/>
      <c r="M1662" s="15"/>
    </row>
    <row r="1663" spans="1:13" s="166" customFormat="1" ht="10.15" customHeight="1">
      <c r="A1663" s="12"/>
      <c r="B1663" s="14"/>
      <c r="C1663" s="24"/>
      <c r="D1663" s="35"/>
      <c r="E1663" s="31"/>
      <c r="F1663" s="32"/>
      <c r="G1663" s="15"/>
      <c r="H1663" s="21"/>
      <c r="I1663" s="15"/>
      <c r="J1663" s="15"/>
      <c r="K1663" s="15"/>
      <c r="L1663" s="21"/>
      <c r="M1663" s="15"/>
    </row>
    <row r="1664" spans="1:13" s="12" customFormat="1" ht="12.75" customHeight="1">
      <c r="A1664" s="1530" t="s">
        <v>923</v>
      </c>
      <c r="B1664" s="1537"/>
      <c r="C1664" s="1538"/>
      <c r="D1664" s="1533"/>
      <c r="E1664" s="1534" t="s">
        <v>151</v>
      </c>
      <c r="F1664" s="1535" t="s">
        <v>213</v>
      </c>
      <c r="G1664" s="20"/>
      <c r="H1664" s="22"/>
      <c r="I1664" s="20"/>
      <c r="J1664" s="20"/>
      <c r="K1664" s="20"/>
      <c r="L1664" s="22"/>
      <c r="M1664" s="20"/>
    </row>
    <row r="1665" spans="1:13" s="12" customFormat="1" ht="12.75" customHeight="1">
      <c r="A1665" s="1536" t="s">
        <v>214</v>
      </c>
      <c r="B1665" s="1537">
        <v>13</v>
      </c>
      <c r="C1665" s="1538" t="s">
        <v>1017</v>
      </c>
      <c r="D1665" s="1533">
        <f>Prec.!$C$85</f>
        <v>48</v>
      </c>
      <c r="E1665" s="1539">
        <f t="shared" ref="E1665:E1675" si="148">ROUND(B1665*D1665,2)</f>
        <v>624</v>
      </c>
      <c r="F1665" s="1540"/>
      <c r="G1665" s="20"/>
      <c r="H1665" s="22"/>
      <c r="I1665" s="20"/>
      <c r="J1665" s="20"/>
      <c r="K1665" s="20"/>
      <c r="L1665" s="22"/>
      <c r="M1665" s="20"/>
    </row>
    <row r="1666" spans="1:13" s="12" customFormat="1" ht="12.75" customHeight="1">
      <c r="A1666" s="1536" t="s">
        <v>117</v>
      </c>
      <c r="B1666" s="1537">
        <v>3.2000000000000001E-2</v>
      </c>
      <c r="C1666" s="1538" t="s">
        <v>216</v>
      </c>
      <c r="D1666" s="1533">
        <f>Prec.!$C$54</f>
        <v>3200</v>
      </c>
      <c r="E1666" s="1539">
        <f t="shared" si="148"/>
        <v>102.4</v>
      </c>
      <c r="F1666" s="1540"/>
      <c r="G1666" s="20"/>
      <c r="H1666" s="22"/>
      <c r="I1666" s="20"/>
      <c r="J1666" s="20"/>
      <c r="K1666" s="20"/>
      <c r="L1666" s="22"/>
      <c r="M1666" s="20"/>
    </row>
    <row r="1667" spans="1:13" s="12" customFormat="1" ht="12.75" customHeight="1">
      <c r="A1667" s="1536" t="s">
        <v>217</v>
      </c>
      <c r="B1667" s="1537">
        <f>B1666*2</f>
        <v>6.4000000000000001E-2</v>
      </c>
      <c r="C1667" s="1538" t="s">
        <v>218</v>
      </c>
      <c r="D1667" s="1533">
        <f>Prec.!$C$75</f>
        <v>60</v>
      </c>
      <c r="E1667" s="1539">
        <f t="shared" si="148"/>
        <v>3.84</v>
      </c>
      <c r="F1667" s="1540"/>
      <c r="G1667" s="20"/>
      <c r="H1667" s="22"/>
      <c r="I1667" s="20"/>
      <c r="J1667" s="20"/>
      <c r="K1667" s="20"/>
      <c r="L1667" s="22"/>
      <c r="M1667" s="20"/>
    </row>
    <row r="1668" spans="1:13" s="12" customFormat="1" ht="12.75" customHeight="1">
      <c r="A1668" s="1536" t="s">
        <v>427</v>
      </c>
      <c r="B1668" s="1537">
        <v>3.9E-2</v>
      </c>
      <c r="C1668" s="1538" t="s">
        <v>825</v>
      </c>
      <c r="D1668" s="1533">
        <f>horm.ymez.!D8</f>
        <v>6851.01</v>
      </c>
      <c r="E1668" s="1539">
        <f t="shared" si="148"/>
        <v>267.19</v>
      </c>
      <c r="F1668" s="1540"/>
      <c r="G1668" s="20"/>
      <c r="H1668" s="22"/>
      <c r="I1668" s="20"/>
      <c r="J1668" s="20"/>
      <c r="K1668" s="20"/>
      <c r="L1668" s="22"/>
      <c r="M1668" s="20"/>
    </row>
    <row r="1669" spans="1:13" s="12" customFormat="1" ht="12.75" customHeight="1">
      <c r="A1669" s="1536" t="s">
        <v>421</v>
      </c>
      <c r="B1669" s="1537">
        <v>3.3000000000000002E-2</v>
      </c>
      <c r="C1669" s="1538" t="s">
        <v>825</v>
      </c>
      <c r="D1669" s="1533">
        <f>horm.ymez.!D14</f>
        <v>5373.880000000001</v>
      </c>
      <c r="E1669" s="1539">
        <f t="shared" si="148"/>
        <v>177.34</v>
      </c>
      <c r="F1669" s="1540"/>
      <c r="G1669" s="20"/>
      <c r="H1669" s="22"/>
      <c r="I1669" s="20"/>
      <c r="J1669" s="20"/>
      <c r="K1669" s="20"/>
      <c r="L1669" s="22"/>
      <c r="M1669" s="20"/>
    </row>
    <row r="1670" spans="1:13" s="12" customFormat="1" ht="12.75" customHeight="1">
      <c r="A1670" s="1536" t="s">
        <v>430</v>
      </c>
      <c r="B1670" s="1537">
        <v>1</v>
      </c>
      <c r="C1670" s="1538" t="s">
        <v>213</v>
      </c>
      <c r="D1670" s="1533">
        <f>D1642</f>
        <v>19.21</v>
      </c>
      <c r="E1670" s="1539">
        <f t="shared" si="148"/>
        <v>19.21</v>
      </c>
      <c r="F1670" s="1540"/>
      <c r="G1670" s="20"/>
      <c r="H1670" s="22"/>
      <c r="I1670" s="20"/>
      <c r="J1670" s="20"/>
      <c r="K1670" s="20"/>
      <c r="L1670" s="22"/>
      <c r="M1670" s="20"/>
    </row>
    <row r="1671" spans="1:13" s="12" customFormat="1" ht="12.75" customHeight="1">
      <c r="A1671" s="1536" t="s">
        <v>428</v>
      </c>
      <c r="B1671" s="1537">
        <v>13</v>
      </c>
      <c r="C1671" s="1538" t="s">
        <v>1017</v>
      </c>
      <c r="D1671" s="1533">
        <f>Prec.!$D$330</f>
        <v>0</v>
      </c>
      <c r="E1671" s="1539">
        <f t="shared" si="148"/>
        <v>0</v>
      </c>
      <c r="F1671" s="1540"/>
      <c r="G1671" s="20"/>
      <c r="H1671" s="22"/>
      <c r="I1671" s="20"/>
      <c r="J1671" s="20"/>
      <c r="K1671" s="20"/>
      <c r="L1671" s="22"/>
      <c r="M1671" s="20"/>
    </row>
    <row r="1672" spans="1:13" s="12" customFormat="1" ht="12.75" customHeight="1">
      <c r="A1672" s="1536" t="s">
        <v>432</v>
      </c>
      <c r="B1672" s="1537">
        <v>13</v>
      </c>
      <c r="C1672" s="1538" t="s">
        <v>1017</v>
      </c>
      <c r="D1672" s="1533">
        <f>Prec.!D541</f>
        <v>0.85</v>
      </c>
      <c r="E1672" s="1539">
        <f t="shared" si="148"/>
        <v>11.05</v>
      </c>
      <c r="F1672" s="1540"/>
      <c r="G1672" s="20"/>
      <c r="H1672" s="22"/>
      <c r="I1672" s="20"/>
      <c r="J1672" s="20"/>
      <c r="K1672" s="20"/>
      <c r="L1672" s="22"/>
      <c r="M1672" s="20"/>
    </row>
    <row r="1673" spans="1:13" s="12" customFormat="1" ht="12.75" customHeight="1">
      <c r="A1673" s="1536" t="s">
        <v>433</v>
      </c>
      <c r="B1673" s="1537">
        <v>13</v>
      </c>
      <c r="C1673" s="1538" t="s">
        <v>1017</v>
      </c>
      <c r="D1673" s="1533">
        <f>Prec.!D546</f>
        <v>1.7</v>
      </c>
      <c r="E1673" s="1539">
        <f t="shared" si="148"/>
        <v>22.1</v>
      </c>
      <c r="F1673" s="1540"/>
      <c r="G1673" s="20"/>
      <c r="H1673" s="22"/>
      <c r="I1673" s="20"/>
      <c r="J1673" s="20"/>
      <c r="K1673" s="20"/>
      <c r="L1673" s="22"/>
      <c r="M1673" s="20"/>
    </row>
    <row r="1674" spans="1:13" s="12" customFormat="1" ht="12.75" customHeight="1">
      <c r="A1674" s="1536" t="s">
        <v>1183</v>
      </c>
      <c r="B1674" s="1537">
        <v>13</v>
      </c>
      <c r="C1674" s="1538" t="s">
        <v>1017</v>
      </c>
      <c r="D1674" s="1533">
        <f>D1646</f>
        <v>1.46</v>
      </c>
      <c r="E1674" s="1539">
        <f>ROUND(B1674*D1674,2)</f>
        <v>18.98</v>
      </c>
      <c r="F1674" s="1540"/>
      <c r="G1674" s="20"/>
      <c r="H1674" s="22"/>
      <c r="I1674" s="20"/>
      <c r="J1674" s="20"/>
      <c r="K1674" s="20"/>
      <c r="L1674" s="22"/>
      <c r="M1674" s="20"/>
    </row>
    <row r="1675" spans="1:13" s="12" customFormat="1" ht="12.75" customHeight="1">
      <c r="A1675" s="1536" t="s">
        <v>208</v>
      </c>
      <c r="B1675" s="1541">
        <f>SUM(E1665:E1673)</f>
        <v>1227.1299999999999</v>
      </c>
      <c r="C1675" s="1538" t="s">
        <v>209</v>
      </c>
      <c r="D1675" s="1533">
        <v>0.02</v>
      </c>
      <c r="E1675" s="1539">
        <f t="shared" si="148"/>
        <v>24.54</v>
      </c>
      <c r="F1675" s="1540">
        <f>SUM(E1665:E1675)</f>
        <v>1270.6499999999999</v>
      </c>
      <c r="G1675" s="20"/>
      <c r="H1675" s="22"/>
      <c r="I1675" s="20"/>
      <c r="J1675" s="20"/>
      <c r="K1675" s="20"/>
      <c r="L1675" s="22"/>
      <c r="M1675" s="20"/>
    </row>
    <row r="1676" spans="1:13" s="12" customFormat="1" ht="10.15" customHeight="1">
      <c r="B1676" s="14"/>
      <c r="C1676" s="24"/>
      <c r="D1676" s="35"/>
      <c r="E1676" s="31"/>
      <c r="F1676" s="32"/>
      <c r="G1676" s="20"/>
      <c r="H1676" s="22"/>
      <c r="I1676" s="20"/>
      <c r="J1676" s="20"/>
      <c r="K1676" s="20"/>
      <c r="L1676" s="22"/>
      <c r="M1676" s="20"/>
    </row>
    <row r="1677" spans="1:13" s="12" customFormat="1" ht="18.75" customHeight="1">
      <c r="A1677" s="1530" t="s">
        <v>5400</v>
      </c>
      <c r="B1677" s="1537"/>
      <c r="C1677" s="1538"/>
      <c r="D1677" s="1533"/>
      <c r="E1677" s="1534" t="s">
        <v>151</v>
      </c>
      <c r="F1677" s="1535" t="s">
        <v>213</v>
      </c>
      <c r="G1677" s="20"/>
      <c r="H1677" s="22"/>
      <c r="I1677" s="20"/>
      <c r="J1677" s="20"/>
      <c r="K1677" s="20"/>
      <c r="L1677" s="22"/>
      <c r="M1677" s="20"/>
    </row>
    <row r="1678" spans="1:13" s="12" customFormat="1" ht="10.15" customHeight="1">
      <c r="A1678" s="1536" t="s">
        <v>214</v>
      </c>
      <c r="B1678" s="1537">
        <v>13</v>
      </c>
      <c r="C1678" s="1538" t="s">
        <v>1017</v>
      </c>
      <c r="D1678" s="1533">
        <f>Prec.!$C$85</f>
        <v>48</v>
      </c>
      <c r="E1678" s="1539">
        <f t="shared" ref="E1678:E1687" si="149">ROUND(B1678*D1678,2)</f>
        <v>624</v>
      </c>
      <c r="F1678" s="1540"/>
      <c r="G1678" s="20"/>
      <c r="H1678" s="22"/>
      <c r="I1678" s="20"/>
      <c r="J1678" s="20"/>
      <c r="K1678" s="20"/>
      <c r="L1678" s="22"/>
      <c r="M1678" s="20"/>
    </row>
    <row r="1679" spans="1:13" s="12" customFormat="1" ht="10.15" customHeight="1">
      <c r="A1679" s="1536" t="s">
        <v>117</v>
      </c>
      <c r="B1679" s="1537">
        <v>3.2000000000000001E-2</v>
      </c>
      <c r="C1679" s="1538" t="s">
        <v>216</v>
      </c>
      <c r="D1679" s="1533">
        <f>Prec.!$C$54</f>
        <v>3200</v>
      </c>
      <c r="E1679" s="1539">
        <f t="shared" si="149"/>
        <v>102.4</v>
      </c>
      <c r="F1679" s="1540"/>
      <c r="G1679" s="20"/>
      <c r="H1679" s="22"/>
      <c r="I1679" s="20"/>
      <c r="J1679" s="20"/>
      <c r="K1679" s="20"/>
      <c r="L1679" s="22"/>
      <c r="M1679" s="20"/>
    </row>
    <row r="1680" spans="1:13" s="12" customFormat="1" ht="10.15" customHeight="1">
      <c r="A1680" s="1536" t="s">
        <v>4424</v>
      </c>
      <c r="B1680" s="1537">
        <v>4.1082E-2</v>
      </c>
      <c r="C1680" s="1538" t="s">
        <v>216</v>
      </c>
      <c r="D1680" s="1533">
        <f>D1679</f>
        <v>3200</v>
      </c>
      <c r="E1680" s="1539">
        <f t="shared" si="149"/>
        <v>131.46</v>
      </c>
      <c r="F1680" s="1540"/>
      <c r="G1680" s="20"/>
      <c r="H1680" s="22"/>
      <c r="I1680" s="20"/>
      <c r="J1680" s="20"/>
      <c r="K1680" s="20"/>
      <c r="L1680" s="22"/>
      <c r="M1680" s="20"/>
    </row>
    <row r="1681" spans="1:13" s="12" customFormat="1" ht="10.15" customHeight="1">
      <c r="A1681" s="1536" t="s">
        <v>217</v>
      </c>
      <c r="B1681" s="1537">
        <f>B1679*2</f>
        <v>6.4000000000000001E-2</v>
      </c>
      <c r="C1681" s="1538" t="s">
        <v>218</v>
      </c>
      <c r="D1681" s="1533">
        <f>D1653</f>
        <v>60</v>
      </c>
      <c r="E1681" s="1539">
        <f t="shared" si="149"/>
        <v>3.84</v>
      </c>
      <c r="F1681" s="1540"/>
      <c r="G1681" s="20"/>
      <c r="H1681" s="22"/>
      <c r="I1681" s="20"/>
      <c r="J1681" s="20"/>
      <c r="K1681" s="20"/>
      <c r="L1681" s="22"/>
      <c r="M1681" s="20"/>
    </row>
    <row r="1682" spans="1:13" s="12" customFormat="1" ht="10.15" customHeight="1">
      <c r="A1682" s="1536" t="s">
        <v>427</v>
      </c>
      <c r="B1682" s="1537">
        <v>3.9E-2</v>
      </c>
      <c r="C1682" s="1538" t="s">
        <v>825</v>
      </c>
      <c r="D1682" s="1533">
        <f t="shared" ref="D1682:D1689" si="150">D1654</f>
        <v>6851.01</v>
      </c>
      <c r="E1682" s="1539">
        <f t="shared" si="149"/>
        <v>267.19</v>
      </c>
      <c r="F1682" s="1540"/>
      <c r="G1682" s="20"/>
      <c r="H1682" s="22"/>
      <c r="I1682" s="20"/>
      <c r="J1682" s="20"/>
      <c r="K1682" s="20"/>
      <c r="L1682" s="22"/>
      <c r="M1682" s="20"/>
    </row>
    <row r="1683" spans="1:13" s="12" customFormat="1" ht="10.15" customHeight="1">
      <c r="A1683" s="1536" t="s">
        <v>421</v>
      </c>
      <c r="B1683" s="1537">
        <v>3.3000000000000002E-2</v>
      </c>
      <c r="C1683" s="1538" t="s">
        <v>825</v>
      </c>
      <c r="D1683" s="1533">
        <f t="shared" si="150"/>
        <v>5373.880000000001</v>
      </c>
      <c r="E1683" s="1539">
        <f t="shared" si="149"/>
        <v>177.34</v>
      </c>
      <c r="F1683" s="1540"/>
      <c r="G1683" s="20"/>
      <c r="H1683" s="22"/>
      <c r="I1683" s="20"/>
      <c r="J1683" s="20"/>
      <c r="K1683" s="20"/>
      <c r="L1683" s="22"/>
      <c r="M1683" s="20"/>
    </row>
    <row r="1684" spans="1:13" s="12" customFormat="1" ht="10.15" customHeight="1">
      <c r="A1684" s="1536" t="s">
        <v>430</v>
      </c>
      <c r="B1684" s="1537">
        <v>1</v>
      </c>
      <c r="C1684" s="1538" t="s">
        <v>213</v>
      </c>
      <c r="D1684" s="1533">
        <f t="shared" si="150"/>
        <v>19.21</v>
      </c>
      <c r="E1684" s="1539">
        <f t="shared" si="149"/>
        <v>19.21</v>
      </c>
      <c r="F1684" s="1540"/>
      <c r="G1684" s="20"/>
      <c r="H1684" s="22"/>
      <c r="I1684" s="20"/>
      <c r="J1684" s="20"/>
      <c r="K1684" s="20"/>
      <c r="L1684" s="22"/>
      <c r="M1684" s="20"/>
    </row>
    <row r="1685" spans="1:13" s="12" customFormat="1" ht="10.15" customHeight="1">
      <c r="A1685" s="1536" t="s">
        <v>428</v>
      </c>
      <c r="B1685" s="1537">
        <v>13</v>
      </c>
      <c r="C1685" s="1538" t="s">
        <v>1017</v>
      </c>
      <c r="D1685" s="1533">
        <f t="shared" si="150"/>
        <v>21.68</v>
      </c>
      <c r="E1685" s="1539">
        <f t="shared" si="149"/>
        <v>281.83999999999997</v>
      </c>
      <c r="F1685" s="1540"/>
      <c r="G1685" s="20"/>
      <c r="H1685" s="22"/>
      <c r="I1685" s="20"/>
      <c r="J1685" s="20"/>
      <c r="K1685" s="20"/>
      <c r="L1685" s="22"/>
      <c r="M1685" s="20"/>
    </row>
    <row r="1686" spans="1:13" s="12" customFormat="1" ht="10.15" customHeight="1">
      <c r="A1686" s="1536" t="s">
        <v>432</v>
      </c>
      <c r="B1686" s="1537">
        <v>13</v>
      </c>
      <c r="C1686" s="1538" t="s">
        <v>1017</v>
      </c>
      <c r="D1686" s="1533">
        <f t="shared" si="150"/>
        <v>1.1499999999999999</v>
      </c>
      <c r="E1686" s="1539">
        <f t="shared" si="149"/>
        <v>14.95</v>
      </c>
      <c r="F1686" s="1540"/>
      <c r="G1686" s="20"/>
      <c r="H1686" s="22"/>
      <c r="I1686" s="20"/>
      <c r="J1686" s="20"/>
      <c r="K1686" s="20"/>
      <c r="L1686" s="22"/>
      <c r="M1686" s="20"/>
    </row>
    <row r="1687" spans="1:13" s="12" customFormat="1" ht="10.15" customHeight="1">
      <c r="A1687" s="1536" t="s">
        <v>433</v>
      </c>
      <c r="B1687" s="1537">
        <v>13</v>
      </c>
      <c r="C1687" s="1538" t="s">
        <v>1017</v>
      </c>
      <c r="D1687" s="1533">
        <f t="shared" si="150"/>
        <v>2.33</v>
      </c>
      <c r="E1687" s="1539">
        <f t="shared" si="149"/>
        <v>30.29</v>
      </c>
      <c r="F1687" s="1540"/>
      <c r="G1687" s="20"/>
      <c r="H1687" s="22"/>
      <c r="I1687" s="20"/>
      <c r="J1687" s="20"/>
      <c r="K1687" s="20"/>
      <c r="L1687" s="22"/>
      <c r="M1687" s="20"/>
    </row>
    <row r="1688" spans="1:13" s="12" customFormat="1" ht="10.15" customHeight="1">
      <c r="A1688" s="1536" t="s">
        <v>1183</v>
      </c>
      <c r="B1688" s="1537">
        <v>13</v>
      </c>
      <c r="C1688" s="1538" t="s">
        <v>1017</v>
      </c>
      <c r="D1688" s="1533">
        <f t="shared" si="150"/>
        <v>1.46</v>
      </c>
      <c r="E1688" s="1539">
        <f>ROUND(B1688*D1688,2)</f>
        <v>18.98</v>
      </c>
      <c r="F1688" s="1540"/>
      <c r="G1688" s="20"/>
      <c r="H1688" s="22"/>
      <c r="I1688" s="20"/>
      <c r="J1688" s="20"/>
      <c r="K1688" s="20"/>
      <c r="L1688" s="22"/>
      <c r="M1688" s="20"/>
    </row>
    <row r="1689" spans="1:13" s="12" customFormat="1" ht="10.15" customHeight="1">
      <c r="A1689" s="1536" t="s">
        <v>208</v>
      </c>
      <c r="B1689" s="1541">
        <f>SUM(E1678:E1687)</f>
        <v>1652.52</v>
      </c>
      <c r="C1689" s="1538" t="s">
        <v>209</v>
      </c>
      <c r="D1689" s="1533">
        <f t="shared" si="150"/>
        <v>0.02</v>
      </c>
      <c r="E1689" s="1539">
        <f t="shared" ref="E1689" si="151">ROUND(B1689*D1689,2)</f>
        <v>33.049999999999997</v>
      </c>
      <c r="F1689" s="1540">
        <f>SUM(E1678:E1689)</f>
        <v>1704.55</v>
      </c>
      <c r="G1689" s="20"/>
      <c r="H1689" s="22"/>
      <c r="I1689" s="20"/>
      <c r="J1689" s="20"/>
      <c r="K1689" s="20"/>
      <c r="L1689" s="22"/>
      <c r="M1689" s="20"/>
    </row>
    <row r="1690" spans="1:13" s="12" customFormat="1" ht="10.15" customHeight="1">
      <c r="B1690" s="14"/>
      <c r="C1690" s="24"/>
      <c r="D1690" s="35"/>
      <c r="E1690" s="31"/>
      <c r="F1690" s="32"/>
      <c r="G1690" s="20"/>
      <c r="H1690" s="22"/>
      <c r="I1690" s="20"/>
      <c r="J1690" s="20"/>
      <c r="K1690" s="20"/>
      <c r="L1690" s="22"/>
      <c r="M1690" s="20"/>
    </row>
    <row r="1691" spans="1:13" ht="12.75" customHeight="1">
      <c r="A1691" s="13" t="s">
        <v>920</v>
      </c>
      <c r="B1691" s="30"/>
      <c r="C1691" s="24"/>
      <c r="D1691" s="35"/>
      <c r="E1691" s="43" t="s">
        <v>151</v>
      </c>
      <c r="F1691" s="44" t="s">
        <v>213</v>
      </c>
    </row>
    <row r="1692" spans="1:13" ht="12.75" customHeight="1">
      <c r="A1692" s="12" t="s">
        <v>214</v>
      </c>
      <c r="B1692" s="30">
        <v>13</v>
      </c>
      <c r="C1692" s="24" t="s">
        <v>1017</v>
      </c>
      <c r="D1692" s="35">
        <f>Prec.!$C$85</f>
        <v>48</v>
      </c>
      <c r="E1692" s="31">
        <f t="shared" ref="E1692:E1702" si="152">ROUND(B1692*D1692,2)</f>
        <v>624</v>
      </c>
      <c r="F1692" s="32"/>
    </row>
    <row r="1693" spans="1:13" ht="12.75" customHeight="1">
      <c r="A1693" s="12" t="s">
        <v>117</v>
      </c>
      <c r="B1693" s="30">
        <v>2.4E-2</v>
      </c>
      <c r="C1693" s="24" t="s">
        <v>216</v>
      </c>
      <c r="D1693" s="35">
        <f>Prec.!$C$54</f>
        <v>3200</v>
      </c>
      <c r="E1693" s="31">
        <f t="shared" si="152"/>
        <v>76.8</v>
      </c>
      <c r="F1693" s="32"/>
    </row>
    <row r="1694" spans="1:13" ht="12.75" customHeight="1">
      <c r="A1694" s="12" t="s">
        <v>217</v>
      </c>
      <c r="B1694" s="30">
        <f>B1693*2</f>
        <v>4.8000000000000001E-2</v>
      </c>
      <c r="C1694" s="24" t="s">
        <v>218</v>
      </c>
      <c r="D1694" s="35">
        <f>Prec.!$C$75</f>
        <v>60</v>
      </c>
      <c r="E1694" s="31">
        <f t="shared" si="152"/>
        <v>2.88</v>
      </c>
      <c r="F1694" s="32"/>
    </row>
    <row r="1695" spans="1:13" ht="12.75" customHeight="1">
      <c r="A1695" s="12" t="s">
        <v>427</v>
      </c>
      <c r="B1695" s="30">
        <v>3.9E-2</v>
      </c>
      <c r="C1695" s="24" t="s">
        <v>825</v>
      </c>
      <c r="D1695" s="35">
        <f>horm.ymez.!D8</f>
        <v>6851.01</v>
      </c>
      <c r="E1695" s="31">
        <f t="shared" si="152"/>
        <v>267.19</v>
      </c>
      <c r="F1695" s="32"/>
    </row>
    <row r="1696" spans="1:13" ht="12.75" customHeight="1">
      <c r="A1696" s="12" t="s">
        <v>421</v>
      </c>
      <c r="B1696" s="30">
        <v>3.1E-2</v>
      </c>
      <c r="C1696" s="24" t="s">
        <v>825</v>
      </c>
      <c r="D1696" s="35">
        <f>horm.ymez.!D14</f>
        <v>5373.880000000001</v>
      </c>
      <c r="E1696" s="31">
        <f t="shared" si="152"/>
        <v>166.59</v>
      </c>
      <c r="F1696" s="32"/>
    </row>
    <row r="1697" spans="1:6" ht="12.75" customHeight="1">
      <c r="A1697" s="12" t="s">
        <v>430</v>
      </c>
      <c r="B1697" s="30">
        <v>1</v>
      </c>
      <c r="C1697" s="24" t="s">
        <v>213</v>
      </c>
      <c r="D1697" s="35">
        <f>D1620</f>
        <v>19.21</v>
      </c>
      <c r="E1697" s="31">
        <f t="shared" si="152"/>
        <v>19.21</v>
      </c>
      <c r="F1697" s="32"/>
    </row>
    <row r="1698" spans="1:6" ht="12.75" customHeight="1">
      <c r="A1698" s="12" t="s">
        <v>428</v>
      </c>
      <c r="B1698" s="30">
        <v>13</v>
      </c>
      <c r="C1698" s="24" t="s">
        <v>1017</v>
      </c>
      <c r="D1698" s="35">
        <f>Prec.!$D$330</f>
        <v>0</v>
      </c>
      <c r="E1698" s="31">
        <f t="shared" si="152"/>
        <v>0</v>
      </c>
      <c r="F1698" s="32"/>
    </row>
    <row r="1699" spans="1:6" ht="12.75" customHeight="1">
      <c r="A1699" s="12" t="s">
        <v>432</v>
      </c>
      <c r="B1699" s="30">
        <v>13</v>
      </c>
      <c r="C1699" s="24" t="s">
        <v>1017</v>
      </c>
      <c r="D1699" s="35">
        <f>Prec.!$D$542</f>
        <v>0.55000000000000004</v>
      </c>
      <c r="E1699" s="31">
        <f t="shared" si="152"/>
        <v>7.15</v>
      </c>
      <c r="F1699" s="32"/>
    </row>
    <row r="1700" spans="1:6" ht="12.75" customHeight="1">
      <c r="A1700" s="12" t="s">
        <v>433</v>
      </c>
      <c r="B1700" s="30">
        <v>13</v>
      </c>
      <c r="C1700" s="24" t="s">
        <v>1017</v>
      </c>
      <c r="D1700" s="35">
        <f>Prec.!$D$547</f>
        <v>1.1499999999999999</v>
      </c>
      <c r="E1700" s="31">
        <f t="shared" si="152"/>
        <v>14.95</v>
      </c>
      <c r="F1700" s="32"/>
    </row>
    <row r="1701" spans="1:6" ht="12.75" customHeight="1">
      <c r="A1701" s="12" t="s">
        <v>1183</v>
      </c>
      <c r="B1701" s="30">
        <v>13</v>
      </c>
      <c r="C1701" s="24" t="s">
        <v>1017</v>
      </c>
      <c r="D1701" s="35">
        <f>D1624</f>
        <v>1.46</v>
      </c>
      <c r="E1701" s="31">
        <f>ROUND(B1701*D1701,2)</f>
        <v>18.98</v>
      </c>
      <c r="F1701" s="32"/>
    </row>
    <row r="1702" spans="1:6" ht="12.75" customHeight="1">
      <c r="A1702" s="12" t="s">
        <v>208</v>
      </c>
      <c r="B1702" s="14">
        <f>SUM(E1692:E1701)</f>
        <v>1197.75</v>
      </c>
      <c r="C1702" s="24" t="s">
        <v>209</v>
      </c>
      <c r="D1702" s="35">
        <f>D1625</f>
        <v>1.4999999999999999E-2</v>
      </c>
      <c r="E1702" s="31">
        <f t="shared" si="152"/>
        <v>17.97</v>
      </c>
      <c r="F1702" s="32">
        <f>SUM(E1692:E1702)</f>
        <v>1215.72</v>
      </c>
    </row>
    <row r="1703" spans="1:6" ht="10.15" customHeight="1">
      <c r="A1703" s="12"/>
      <c r="B1703" s="14"/>
      <c r="C1703" s="24"/>
      <c r="D1703" s="35"/>
      <c r="E1703" s="31"/>
      <c r="F1703" s="32"/>
    </row>
    <row r="1704" spans="1:6" ht="12.75" customHeight="1">
      <c r="A1704" s="13" t="s">
        <v>932</v>
      </c>
      <c r="B1704" s="30"/>
      <c r="C1704" s="24"/>
      <c r="D1704" s="35"/>
      <c r="E1704" s="43" t="s">
        <v>151</v>
      </c>
      <c r="F1704" s="44" t="s">
        <v>213</v>
      </c>
    </row>
    <row r="1705" spans="1:6" ht="12.75" customHeight="1">
      <c r="A1705" s="12" t="s">
        <v>102</v>
      </c>
      <c r="B1705" s="30">
        <v>13</v>
      </c>
      <c r="C1705" s="24" t="s">
        <v>1017</v>
      </c>
      <c r="D1705" s="35">
        <f>Prec.!$C$86</f>
        <v>44</v>
      </c>
      <c r="E1705" s="31">
        <f t="shared" ref="E1705:E1715" si="153">ROUND(B1705*D1705,2)</f>
        <v>572</v>
      </c>
      <c r="F1705" s="32"/>
    </row>
    <row r="1706" spans="1:6" ht="12.75" customHeight="1">
      <c r="A1706" s="12" t="s">
        <v>117</v>
      </c>
      <c r="B1706" s="30">
        <v>6.2E-2</v>
      </c>
      <c r="C1706" s="24" t="s">
        <v>216</v>
      </c>
      <c r="D1706" s="35">
        <f>Prec.!$C$54</f>
        <v>3200</v>
      </c>
      <c r="E1706" s="31">
        <f t="shared" si="153"/>
        <v>198.4</v>
      </c>
      <c r="F1706" s="32"/>
    </row>
    <row r="1707" spans="1:6" ht="12.75" customHeight="1">
      <c r="A1707" s="12" t="s">
        <v>217</v>
      </c>
      <c r="B1707" s="30">
        <f>B1706*2</f>
        <v>0.124</v>
      </c>
      <c r="C1707" s="24" t="s">
        <v>218</v>
      </c>
      <c r="D1707" s="35">
        <f>Prec.!$C$75</f>
        <v>60</v>
      </c>
      <c r="E1707" s="31">
        <f t="shared" si="153"/>
        <v>7.44</v>
      </c>
      <c r="F1707" s="32"/>
    </row>
    <row r="1708" spans="1:6" ht="12.75" customHeight="1">
      <c r="A1708" s="12" t="s">
        <v>427</v>
      </c>
      <c r="B1708" s="30">
        <v>3.1E-2</v>
      </c>
      <c r="C1708" s="24" t="s">
        <v>825</v>
      </c>
      <c r="D1708" s="35">
        <f>horm.ymez.!D8</f>
        <v>6851.01</v>
      </c>
      <c r="E1708" s="31">
        <f t="shared" si="153"/>
        <v>212.38</v>
      </c>
      <c r="F1708" s="32"/>
    </row>
    <row r="1709" spans="1:6" ht="12.75" customHeight="1">
      <c r="A1709" s="12" t="s">
        <v>421</v>
      </c>
      <c r="B1709" s="30">
        <v>4.8000000000000001E-2</v>
      </c>
      <c r="C1709" s="24" t="s">
        <v>825</v>
      </c>
      <c r="D1709" s="35">
        <f>horm.ymez.!D14</f>
        <v>5373.880000000001</v>
      </c>
      <c r="E1709" s="31">
        <f t="shared" si="153"/>
        <v>257.95</v>
      </c>
      <c r="F1709" s="32"/>
    </row>
    <row r="1710" spans="1:6" ht="12.75" customHeight="1">
      <c r="A1710" s="12" t="s">
        <v>430</v>
      </c>
      <c r="B1710" s="30">
        <v>1</v>
      </c>
      <c r="C1710" s="24" t="s">
        <v>213</v>
      </c>
      <c r="D1710" s="35">
        <f>D1697</f>
        <v>19.21</v>
      </c>
      <c r="E1710" s="31">
        <f t="shared" si="153"/>
        <v>19.21</v>
      </c>
      <c r="F1710" s="32"/>
    </row>
    <row r="1711" spans="1:6" ht="12.75" customHeight="1">
      <c r="A1711" s="12" t="s">
        <v>428</v>
      </c>
      <c r="B1711" s="30">
        <v>13</v>
      </c>
      <c r="C1711" s="24" t="s">
        <v>1017</v>
      </c>
      <c r="D1711" s="35">
        <f>D1404</f>
        <v>21.68</v>
      </c>
      <c r="E1711" s="31">
        <f t="shared" si="153"/>
        <v>281.83999999999997</v>
      </c>
      <c r="F1711" s="32"/>
    </row>
    <row r="1712" spans="1:6" ht="12.75" customHeight="1">
      <c r="A1712" s="12" t="s">
        <v>432</v>
      </c>
      <c r="B1712" s="30">
        <v>13</v>
      </c>
      <c r="C1712" s="24" t="s">
        <v>1017</v>
      </c>
      <c r="D1712" s="35">
        <f>D1405</f>
        <v>1.9549999999999998</v>
      </c>
      <c r="E1712" s="31">
        <f t="shared" si="153"/>
        <v>25.42</v>
      </c>
      <c r="F1712" s="32"/>
    </row>
    <row r="1713" spans="1:13" ht="12.75" customHeight="1">
      <c r="A1713" s="12" t="s">
        <v>433</v>
      </c>
      <c r="B1713" s="30">
        <v>13</v>
      </c>
      <c r="C1713" s="24" t="s">
        <v>1017</v>
      </c>
      <c r="D1713" s="35">
        <f>D1406</f>
        <v>4.910499999999999</v>
      </c>
      <c r="E1713" s="31">
        <f t="shared" si="153"/>
        <v>63.84</v>
      </c>
      <c r="F1713" s="32"/>
    </row>
    <row r="1714" spans="1:13" ht="12.75" customHeight="1">
      <c r="A1714" s="12" t="s">
        <v>1184</v>
      </c>
      <c r="B1714" s="30">
        <v>13</v>
      </c>
      <c r="C1714" s="24" t="s">
        <v>1017</v>
      </c>
      <c r="D1714" s="35">
        <f>Prec.!C402</f>
        <v>1.3569999999999998</v>
      </c>
      <c r="E1714" s="31">
        <f>ROUND(B1714*D1714,2)</f>
        <v>17.64</v>
      </c>
      <c r="F1714" s="32"/>
    </row>
    <row r="1715" spans="1:13" ht="12.75" customHeight="1">
      <c r="A1715" s="12" t="s">
        <v>208</v>
      </c>
      <c r="B1715" s="14">
        <f>SUM(E1705:E1714)</f>
        <v>1656.1200000000001</v>
      </c>
      <c r="C1715" s="24" t="s">
        <v>209</v>
      </c>
      <c r="D1715" s="35">
        <v>0.02</v>
      </c>
      <c r="E1715" s="31">
        <f t="shared" si="153"/>
        <v>33.119999999999997</v>
      </c>
      <c r="F1715" s="32">
        <f>SUM(E1705:E1715)</f>
        <v>1689.24</v>
      </c>
    </row>
    <row r="1716" spans="1:13" s="166" customFormat="1" ht="12.75" customHeight="1">
      <c r="A1716" s="12"/>
      <c r="B1716" s="14"/>
      <c r="C1716" s="24"/>
      <c r="D1716" s="35"/>
      <c r="E1716" s="31"/>
      <c r="F1716" s="32"/>
      <c r="G1716" s="15"/>
      <c r="H1716" s="21"/>
      <c r="I1716" s="15"/>
      <c r="J1716" s="15"/>
      <c r="K1716" s="15"/>
      <c r="L1716" s="21"/>
      <c r="M1716" s="15"/>
    </row>
    <row r="1717" spans="1:13" s="166" customFormat="1" ht="12.75" customHeight="1">
      <c r="A1717" s="513" t="s">
        <v>5394</v>
      </c>
      <c r="B1717" s="510"/>
      <c r="C1717" s="511"/>
      <c r="D1717" s="507"/>
      <c r="E1717" s="514" t="s">
        <v>151</v>
      </c>
      <c r="F1717" s="515" t="s">
        <v>213</v>
      </c>
      <c r="G1717" s="15"/>
      <c r="H1717" s="21"/>
      <c r="I1717" s="15"/>
      <c r="J1717" s="15"/>
      <c r="K1717" s="15"/>
      <c r="L1717" s="21"/>
      <c r="M1717" s="15"/>
    </row>
    <row r="1718" spans="1:13" s="166" customFormat="1" ht="12.75" customHeight="1">
      <c r="A1718" s="512" t="s">
        <v>102</v>
      </c>
      <c r="B1718" s="510">
        <v>13</v>
      </c>
      <c r="C1718" s="511" t="s">
        <v>1017</v>
      </c>
      <c r="D1718" s="507">
        <f>D1705</f>
        <v>44</v>
      </c>
      <c r="E1718" s="508">
        <f t="shared" ref="E1718:E1727" si="154">ROUND(B1718*D1718,2)</f>
        <v>572</v>
      </c>
      <c r="F1718" s="509"/>
      <c r="G1718" s="15"/>
      <c r="H1718" s="21"/>
      <c r="I1718" s="15"/>
      <c r="J1718" s="15"/>
      <c r="K1718" s="15"/>
      <c r="L1718" s="21"/>
      <c r="M1718" s="15"/>
    </row>
    <row r="1719" spans="1:13" s="166" customFormat="1" ht="12.75" customHeight="1">
      <c r="A1719" s="512" t="s">
        <v>117</v>
      </c>
      <c r="B1719" s="510">
        <v>6.2E-2</v>
      </c>
      <c r="C1719" s="511" t="s">
        <v>216</v>
      </c>
      <c r="D1719" s="507">
        <f t="shared" ref="D1719" si="155">D1706</f>
        <v>3200</v>
      </c>
      <c r="E1719" s="508">
        <f t="shared" si="154"/>
        <v>198.4</v>
      </c>
      <c r="F1719" s="509"/>
      <c r="G1719" s="15"/>
      <c r="H1719" s="21"/>
      <c r="I1719" s="15"/>
      <c r="J1719" s="15"/>
      <c r="K1719" s="15"/>
      <c r="L1719" s="21"/>
      <c r="M1719" s="15"/>
    </row>
    <row r="1720" spans="1:13" s="166" customFormat="1" ht="12.75" customHeight="1">
      <c r="A1720" s="512" t="s">
        <v>117</v>
      </c>
      <c r="B1720" s="510">
        <f>B1399</f>
        <v>3.2000000000000001E-2</v>
      </c>
      <c r="C1720" s="511" t="s">
        <v>216</v>
      </c>
      <c r="D1720" s="507">
        <f>D1719</f>
        <v>3200</v>
      </c>
      <c r="E1720" s="508">
        <f t="shared" si="154"/>
        <v>102.4</v>
      </c>
      <c r="F1720" s="509"/>
      <c r="G1720" s="15"/>
      <c r="H1720" s="21"/>
      <c r="I1720" s="15"/>
      <c r="J1720" s="15"/>
      <c r="K1720" s="15"/>
      <c r="L1720" s="21"/>
      <c r="M1720" s="15"/>
    </row>
    <row r="1721" spans="1:13" s="166" customFormat="1" ht="12.75" customHeight="1">
      <c r="A1721" s="512" t="s">
        <v>217</v>
      </c>
      <c r="B1721" s="510">
        <f>(B1719+B1720)*2</f>
        <v>0.188</v>
      </c>
      <c r="C1721" s="511" t="s">
        <v>218</v>
      </c>
      <c r="D1721" s="507">
        <f t="shared" ref="D1721:D1729" si="156">D1707</f>
        <v>60</v>
      </c>
      <c r="E1721" s="508">
        <f t="shared" si="154"/>
        <v>11.28</v>
      </c>
      <c r="F1721" s="509"/>
      <c r="G1721" s="15"/>
      <c r="H1721" s="21"/>
      <c r="I1721" s="15"/>
      <c r="J1721" s="15"/>
      <c r="K1721" s="15"/>
      <c r="L1721" s="21"/>
      <c r="M1721" s="15"/>
    </row>
    <row r="1722" spans="1:13" s="166" customFormat="1" ht="12.75" customHeight="1">
      <c r="A1722" s="512" t="s">
        <v>427</v>
      </c>
      <c r="B1722" s="510">
        <v>3.1E-2</v>
      </c>
      <c r="C1722" s="511" t="s">
        <v>825</v>
      </c>
      <c r="D1722" s="507">
        <f t="shared" si="156"/>
        <v>6851.01</v>
      </c>
      <c r="E1722" s="508">
        <f t="shared" si="154"/>
        <v>212.38</v>
      </c>
      <c r="F1722" s="509"/>
      <c r="G1722" s="15"/>
      <c r="H1722" s="21"/>
      <c r="I1722" s="15"/>
      <c r="J1722" s="15"/>
      <c r="K1722" s="15"/>
      <c r="L1722" s="21"/>
      <c r="M1722" s="15"/>
    </row>
    <row r="1723" spans="1:13" s="166" customFormat="1" ht="12.75" customHeight="1">
      <c r="A1723" s="512" t="s">
        <v>421</v>
      </c>
      <c r="B1723" s="510">
        <v>4.8000000000000001E-2</v>
      </c>
      <c r="C1723" s="511" t="s">
        <v>825</v>
      </c>
      <c r="D1723" s="507">
        <f t="shared" si="156"/>
        <v>5373.880000000001</v>
      </c>
      <c r="E1723" s="508">
        <f t="shared" si="154"/>
        <v>257.95</v>
      </c>
      <c r="F1723" s="509"/>
      <c r="G1723" s="15"/>
      <c r="H1723" s="21"/>
      <c r="I1723" s="15"/>
      <c r="J1723" s="15"/>
      <c r="K1723" s="15"/>
      <c r="L1723" s="21"/>
      <c r="M1723" s="15"/>
    </row>
    <row r="1724" spans="1:13" s="166" customFormat="1" ht="12.75" customHeight="1">
      <c r="A1724" s="512" t="s">
        <v>430</v>
      </c>
      <c r="B1724" s="510">
        <v>1</v>
      </c>
      <c r="C1724" s="511" t="s">
        <v>213</v>
      </c>
      <c r="D1724" s="507">
        <f t="shared" si="156"/>
        <v>19.21</v>
      </c>
      <c r="E1724" s="508">
        <f t="shared" si="154"/>
        <v>19.21</v>
      </c>
      <c r="F1724" s="509"/>
      <c r="G1724" s="15"/>
      <c r="H1724" s="21"/>
      <c r="I1724" s="15"/>
      <c r="J1724" s="15"/>
      <c r="K1724" s="15"/>
      <c r="L1724" s="21"/>
      <c r="M1724" s="15"/>
    </row>
    <row r="1725" spans="1:13" s="166" customFormat="1" ht="12.75" customHeight="1">
      <c r="A1725" s="512" t="s">
        <v>428</v>
      </c>
      <c r="B1725" s="510">
        <v>13</v>
      </c>
      <c r="C1725" s="511" t="s">
        <v>1017</v>
      </c>
      <c r="D1725" s="507">
        <f t="shared" si="156"/>
        <v>21.68</v>
      </c>
      <c r="E1725" s="508">
        <f t="shared" si="154"/>
        <v>281.83999999999997</v>
      </c>
      <c r="F1725" s="509"/>
      <c r="G1725" s="15"/>
      <c r="H1725" s="21"/>
      <c r="I1725" s="15"/>
      <c r="J1725" s="15"/>
      <c r="K1725" s="15"/>
      <c r="L1725" s="21"/>
      <c r="M1725" s="15"/>
    </row>
    <row r="1726" spans="1:13" s="166" customFormat="1" ht="12.75" customHeight="1">
      <c r="A1726" s="512" t="s">
        <v>432</v>
      </c>
      <c r="B1726" s="510">
        <v>13</v>
      </c>
      <c r="C1726" s="511" t="s">
        <v>1017</v>
      </c>
      <c r="D1726" s="507">
        <f t="shared" si="156"/>
        <v>1.9549999999999998</v>
      </c>
      <c r="E1726" s="508">
        <f t="shared" si="154"/>
        <v>25.42</v>
      </c>
      <c r="F1726" s="509"/>
      <c r="G1726" s="15"/>
      <c r="H1726" s="21"/>
      <c r="I1726" s="15"/>
      <c r="J1726" s="15"/>
      <c r="K1726" s="15"/>
      <c r="L1726" s="21"/>
      <c r="M1726" s="15"/>
    </row>
    <row r="1727" spans="1:13" s="166" customFormat="1" ht="12.75" customHeight="1">
      <c r="A1727" s="512" t="s">
        <v>433</v>
      </c>
      <c r="B1727" s="510">
        <v>13</v>
      </c>
      <c r="C1727" s="511" t="s">
        <v>1017</v>
      </c>
      <c r="D1727" s="507">
        <f t="shared" si="156"/>
        <v>4.910499999999999</v>
      </c>
      <c r="E1727" s="508">
        <f t="shared" si="154"/>
        <v>63.84</v>
      </c>
      <c r="F1727" s="509"/>
      <c r="G1727" s="15"/>
      <c r="H1727" s="21"/>
      <c r="I1727" s="15"/>
      <c r="J1727" s="15"/>
      <c r="K1727" s="15"/>
      <c r="L1727" s="21"/>
      <c r="M1727" s="15"/>
    </row>
    <row r="1728" spans="1:13" s="166" customFormat="1" ht="12.75" customHeight="1">
      <c r="A1728" s="512" t="s">
        <v>1184</v>
      </c>
      <c r="B1728" s="510">
        <v>13</v>
      </c>
      <c r="C1728" s="511" t="s">
        <v>1017</v>
      </c>
      <c r="D1728" s="507">
        <f t="shared" si="156"/>
        <v>1.3569999999999998</v>
      </c>
      <c r="E1728" s="508">
        <f>ROUND(B1728*D1728,2)</f>
        <v>17.64</v>
      </c>
      <c r="F1728" s="509"/>
      <c r="G1728" s="15"/>
      <c r="H1728" s="21"/>
      <c r="I1728" s="15"/>
      <c r="J1728" s="15"/>
      <c r="K1728" s="15"/>
      <c r="L1728" s="21"/>
      <c r="M1728" s="15"/>
    </row>
    <row r="1729" spans="1:13" s="166" customFormat="1" ht="12.75" customHeight="1">
      <c r="A1729" s="512" t="s">
        <v>208</v>
      </c>
      <c r="B1729" s="516">
        <f>SUM(E1718:E1728)</f>
        <v>1762.3600000000001</v>
      </c>
      <c r="C1729" s="511" t="s">
        <v>209</v>
      </c>
      <c r="D1729" s="507">
        <f t="shared" si="156"/>
        <v>0.02</v>
      </c>
      <c r="E1729" s="508">
        <f t="shared" ref="E1729" si="157">ROUND(B1729*D1729,2)</f>
        <v>35.25</v>
      </c>
      <c r="F1729" s="509">
        <f>SUM(E1718:E1729)</f>
        <v>1797.6100000000001</v>
      </c>
      <c r="G1729" s="15"/>
      <c r="H1729" s="21"/>
      <c r="I1729" s="15"/>
      <c r="J1729" s="15"/>
      <c r="K1729" s="15"/>
      <c r="L1729" s="21"/>
      <c r="M1729" s="15"/>
    </row>
    <row r="1730" spans="1:13" s="166" customFormat="1" ht="12.75" customHeight="1">
      <c r="A1730" s="12"/>
      <c r="B1730" s="14"/>
      <c r="C1730" s="24"/>
      <c r="D1730" s="35"/>
      <c r="E1730" s="31"/>
      <c r="F1730" s="32"/>
      <c r="G1730" s="15"/>
      <c r="H1730" s="21"/>
      <c r="I1730" s="15"/>
      <c r="J1730" s="15"/>
      <c r="K1730" s="15"/>
      <c r="L1730" s="21"/>
      <c r="M1730" s="15"/>
    </row>
    <row r="1731" spans="1:13" ht="12.75" customHeight="1">
      <c r="A1731" s="13" t="s">
        <v>924</v>
      </c>
      <c r="B1731" s="30"/>
      <c r="C1731" s="24"/>
      <c r="D1731" s="35"/>
      <c r="E1731" s="43" t="s">
        <v>151</v>
      </c>
      <c r="F1731" s="44" t="s">
        <v>213</v>
      </c>
    </row>
    <row r="1732" spans="1:13" ht="12.75" customHeight="1">
      <c r="A1732" s="12" t="s">
        <v>102</v>
      </c>
      <c r="B1732" s="30">
        <v>13</v>
      </c>
      <c r="C1732" s="24" t="s">
        <v>1017</v>
      </c>
      <c r="D1732" s="35">
        <f>Prec.!$C$86</f>
        <v>44</v>
      </c>
      <c r="E1732" s="31">
        <f t="shared" ref="E1732:E1742" si="158">ROUND(B1732*D1732,2)</f>
        <v>572</v>
      </c>
      <c r="F1732" s="32"/>
    </row>
    <row r="1733" spans="1:13" ht="12.75" customHeight="1">
      <c r="A1733" s="12" t="s">
        <v>117</v>
      </c>
      <c r="B1733" s="30">
        <v>3.6999999999999998E-2</v>
      </c>
      <c r="C1733" s="24" t="s">
        <v>216</v>
      </c>
      <c r="D1733" s="35">
        <f>Prec.!$C$54</f>
        <v>3200</v>
      </c>
      <c r="E1733" s="31">
        <f t="shared" si="158"/>
        <v>118.4</v>
      </c>
      <c r="F1733" s="32"/>
    </row>
    <row r="1734" spans="1:13" ht="12.75" customHeight="1">
      <c r="A1734" s="12" t="s">
        <v>217</v>
      </c>
      <c r="B1734" s="30">
        <f>B1733*2</f>
        <v>7.3999999999999996E-2</v>
      </c>
      <c r="C1734" s="24" t="s">
        <v>218</v>
      </c>
      <c r="D1734" s="35">
        <f>Prec.!$C$75</f>
        <v>60</v>
      </c>
      <c r="E1734" s="31">
        <f t="shared" si="158"/>
        <v>4.4400000000000004</v>
      </c>
      <c r="F1734" s="32"/>
    </row>
    <row r="1735" spans="1:13" ht="12.75" customHeight="1">
      <c r="A1735" s="12" t="s">
        <v>427</v>
      </c>
      <c r="B1735" s="30">
        <v>3.1E-2</v>
      </c>
      <c r="C1735" s="24" t="s">
        <v>825</v>
      </c>
      <c r="D1735" s="35">
        <f>horm.ymez.!D8</f>
        <v>6851.01</v>
      </c>
      <c r="E1735" s="31">
        <f t="shared" si="158"/>
        <v>212.38</v>
      </c>
      <c r="F1735" s="32"/>
    </row>
    <row r="1736" spans="1:13" ht="12.75" customHeight="1">
      <c r="A1736" s="12" t="s">
        <v>421</v>
      </c>
      <c r="B1736" s="30">
        <v>4.8000000000000001E-2</v>
      </c>
      <c r="C1736" s="24" t="s">
        <v>825</v>
      </c>
      <c r="D1736" s="35">
        <f>horm.ymez.!D14</f>
        <v>5373.880000000001</v>
      </c>
      <c r="E1736" s="31">
        <f t="shared" si="158"/>
        <v>257.95</v>
      </c>
      <c r="F1736" s="32"/>
    </row>
    <row r="1737" spans="1:13" ht="12.75" customHeight="1">
      <c r="A1737" s="12" t="s">
        <v>430</v>
      </c>
      <c r="B1737" s="30">
        <v>1</v>
      </c>
      <c r="C1737" s="24" t="s">
        <v>213</v>
      </c>
      <c r="D1737" s="35">
        <f>D1710</f>
        <v>19.21</v>
      </c>
      <c r="E1737" s="31">
        <f t="shared" si="158"/>
        <v>19.21</v>
      </c>
      <c r="F1737" s="32"/>
    </row>
    <row r="1738" spans="1:13" ht="12.75" customHeight="1">
      <c r="A1738" s="12" t="s">
        <v>428</v>
      </c>
      <c r="B1738" s="30">
        <v>13</v>
      </c>
      <c r="C1738" s="24" t="s">
        <v>1017</v>
      </c>
      <c r="D1738" s="35">
        <f>Prec.!$D$329</f>
        <v>0</v>
      </c>
      <c r="E1738" s="31">
        <f t="shared" si="158"/>
        <v>0</v>
      </c>
      <c r="F1738" s="32"/>
    </row>
    <row r="1739" spans="1:13" ht="12.75" customHeight="1">
      <c r="A1739" s="12" t="s">
        <v>432</v>
      </c>
      <c r="B1739" s="30">
        <v>13</v>
      </c>
      <c r="C1739" s="24" t="s">
        <v>1017</v>
      </c>
      <c r="D1739" s="35">
        <f>Prec.!$D$540</f>
        <v>1.1499999999999999</v>
      </c>
      <c r="E1739" s="31">
        <f t="shared" si="158"/>
        <v>14.95</v>
      </c>
      <c r="F1739" s="32"/>
    </row>
    <row r="1740" spans="1:13" ht="12.75" customHeight="1">
      <c r="A1740" s="12" t="s">
        <v>433</v>
      </c>
      <c r="B1740" s="30">
        <v>13</v>
      </c>
      <c r="C1740" s="24" t="s">
        <v>1017</v>
      </c>
      <c r="D1740" s="35">
        <f>Prec.!D544</f>
        <v>4.2699999999999996</v>
      </c>
      <c r="E1740" s="31">
        <f t="shared" si="158"/>
        <v>55.51</v>
      </c>
      <c r="F1740" s="32"/>
    </row>
    <row r="1741" spans="1:13" ht="12.75" customHeight="1">
      <c r="A1741" s="12" t="s">
        <v>1184</v>
      </c>
      <c r="B1741" s="30">
        <v>13</v>
      </c>
      <c r="C1741" s="24" t="s">
        <v>1017</v>
      </c>
      <c r="D1741" s="35">
        <f>D1714</f>
        <v>1.3569999999999998</v>
      </c>
      <c r="E1741" s="31">
        <f>ROUND(B1741*D1741,2)</f>
        <v>17.64</v>
      </c>
      <c r="F1741" s="32"/>
    </row>
    <row r="1742" spans="1:13" ht="12.75" customHeight="1">
      <c r="A1742" s="12" t="s">
        <v>208</v>
      </c>
      <c r="B1742" s="14">
        <f>SUM(E1732:E1741)</f>
        <v>1272.4800000000002</v>
      </c>
      <c r="C1742" s="24" t="s">
        <v>209</v>
      </c>
      <c r="D1742" s="35">
        <f>D1702</f>
        <v>1.4999999999999999E-2</v>
      </c>
      <c r="E1742" s="31">
        <f t="shared" si="158"/>
        <v>19.09</v>
      </c>
      <c r="F1742" s="32">
        <f>SUM(E1732:E1742)</f>
        <v>1291.5700000000002</v>
      </c>
    </row>
    <row r="1743" spans="1:13" ht="9" customHeight="1">
      <c r="A1743" s="12"/>
      <c r="B1743" s="14"/>
      <c r="C1743" s="24"/>
      <c r="D1743" s="35"/>
      <c r="E1743" s="31"/>
      <c r="F1743" s="32"/>
    </row>
    <row r="1744" spans="1:13" ht="12.75" customHeight="1">
      <c r="A1744" s="13" t="s">
        <v>927</v>
      </c>
      <c r="B1744" s="30"/>
      <c r="C1744" s="24"/>
      <c r="D1744" s="35"/>
      <c r="E1744" s="43" t="s">
        <v>151</v>
      </c>
      <c r="F1744" s="44" t="s">
        <v>213</v>
      </c>
    </row>
    <row r="1745" spans="1:6" ht="12.75" customHeight="1">
      <c r="A1745" s="12" t="s">
        <v>102</v>
      </c>
      <c r="B1745" s="30">
        <v>13</v>
      </c>
      <c r="C1745" s="24" t="s">
        <v>1017</v>
      </c>
      <c r="D1745" s="35">
        <f>Prec.!$C$86</f>
        <v>44</v>
      </c>
      <c r="E1745" s="31">
        <f t="shared" ref="E1745:E1755" si="159">ROUND(B1745*D1745,2)</f>
        <v>572</v>
      </c>
      <c r="F1745" s="32"/>
    </row>
    <row r="1746" spans="1:6" ht="12.75" customHeight="1">
      <c r="A1746" s="12" t="s">
        <v>117</v>
      </c>
      <c r="B1746" s="30">
        <v>3.2000000000000001E-2</v>
      </c>
      <c r="C1746" s="24" t="s">
        <v>216</v>
      </c>
      <c r="D1746" s="35">
        <f>Prec.!$C$54</f>
        <v>3200</v>
      </c>
      <c r="E1746" s="31">
        <f t="shared" si="159"/>
        <v>102.4</v>
      </c>
      <c r="F1746" s="32"/>
    </row>
    <row r="1747" spans="1:6" ht="12.75" customHeight="1">
      <c r="A1747" s="12" t="s">
        <v>217</v>
      </c>
      <c r="B1747" s="30">
        <f>B1746*2</f>
        <v>6.4000000000000001E-2</v>
      </c>
      <c r="C1747" s="24" t="s">
        <v>218</v>
      </c>
      <c r="D1747" s="35">
        <f>Prec.!$C$75</f>
        <v>60</v>
      </c>
      <c r="E1747" s="31">
        <f t="shared" si="159"/>
        <v>3.84</v>
      </c>
      <c r="F1747" s="32"/>
    </row>
    <row r="1748" spans="1:6" ht="12.75" customHeight="1">
      <c r="A1748" s="12" t="s">
        <v>427</v>
      </c>
      <c r="B1748" s="30">
        <v>3.1E-2</v>
      </c>
      <c r="C1748" s="24" t="s">
        <v>825</v>
      </c>
      <c r="D1748" s="35">
        <f>D1735</f>
        <v>6851.01</v>
      </c>
      <c r="E1748" s="31">
        <f t="shared" si="159"/>
        <v>212.38</v>
      </c>
      <c r="F1748" s="32"/>
    </row>
    <row r="1749" spans="1:6" ht="12.75" customHeight="1">
      <c r="A1749" s="12" t="s">
        <v>421</v>
      </c>
      <c r="B1749" s="30">
        <v>4.8000000000000001E-2</v>
      </c>
      <c r="C1749" s="24" t="s">
        <v>825</v>
      </c>
      <c r="D1749" s="35">
        <f>D1736</f>
        <v>5373.880000000001</v>
      </c>
      <c r="E1749" s="31">
        <f t="shared" si="159"/>
        <v>257.95</v>
      </c>
      <c r="F1749" s="32"/>
    </row>
    <row r="1750" spans="1:6" ht="12.75" customHeight="1">
      <c r="A1750" s="12" t="s">
        <v>430</v>
      </c>
      <c r="B1750" s="30">
        <v>1</v>
      </c>
      <c r="C1750" s="24" t="s">
        <v>213</v>
      </c>
      <c r="D1750" s="35">
        <f>D1737</f>
        <v>19.21</v>
      </c>
      <c r="E1750" s="31">
        <f t="shared" si="159"/>
        <v>19.21</v>
      </c>
      <c r="F1750" s="32"/>
    </row>
    <row r="1751" spans="1:6" ht="12.75" customHeight="1">
      <c r="A1751" s="12" t="s">
        <v>428</v>
      </c>
      <c r="B1751" s="30">
        <v>13</v>
      </c>
      <c r="C1751" s="24" t="s">
        <v>1017</v>
      </c>
      <c r="D1751" s="35">
        <f>Prec.!$D$329</f>
        <v>0</v>
      </c>
      <c r="E1751" s="31">
        <f t="shared" si="159"/>
        <v>0</v>
      </c>
      <c r="F1751" s="32"/>
    </row>
    <row r="1752" spans="1:6" ht="12.75" customHeight="1">
      <c r="A1752" s="12" t="s">
        <v>432</v>
      </c>
      <c r="B1752" s="30">
        <v>13</v>
      </c>
      <c r="C1752" s="24" t="s">
        <v>1017</v>
      </c>
      <c r="D1752" s="35">
        <f>Prec.!D541</f>
        <v>0.85</v>
      </c>
      <c r="E1752" s="31">
        <f t="shared" si="159"/>
        <v>11.05</v>
      </c>
      <c r="F1752" s="32"/>
    </row>
    <row r="1753" spans="1:6" ht="12.75" customHeight="1">
      <c r="A1753" s="12" t="s">
        <v>433</v>
      </c>
      <c r="B1753" s="30">
        <v>13</v>
      </c>
      <c r="C1753" s="24" t="s">
        <v>1017</v>
      </c>
      <c r="D1753" s="35">
        <f>Prec.!D544</f>
        <v>4.2699999999999996</v>
      </c>
      <c r="E1753" s="31">
        <f t="shared" si="159"/>
        <v>55.51</v>
      </c>
      <c r="F1753" s="32"/>
    </row>
    <row r="1754" spans="1:6" ht="12.75" customHeight="1">
      <c r="A1754" s="12" t="s">
        <v>1184</v>
      </c>
      <c r="B1754" s="30">
        <v>13</v>
      </c>
      <c r="C1754" s="24" t="s">
        <v>1017</v>
      </c>
      <c r="D1754" s="35">
        <f>D1714</f>
        <v>1.3569999999999998</v>
      </c>
      <c r="E1754" s="31">
        <f>ROUND(B1754*D1754,2)</f>
        <v>17.64</v>
      </c>
      <c r="F1754" s="32"/>
    </row>
    <row r="1755" spans="1:6" ht="12.75" customHeight="1">
      <c r="A1755" s="12" t="s">
        <v>208</v>
      </c>
      <c r="B1755" s="14">
        <f>SUM(E1745:E1754)</f>
        <v>1251.98</v>
      </c>
      <c r="C1755" s="24" t="s">
        <v>209</v>
      </c>
      <c r="D1755" s="35">
        <f>D1715</f>
        <v>0.02</v>
      </c>
      <c r="E1755" s="31">
        <f t="shared" si="159"/>
        <v>25.04</v>
      </c>
      <c r="F1755" s="32">
        <f>SUM(E1745:E1755)</f>
        <v>1277.02</v>
      </c>
    </row>
    <row r="1756" spans="1:6" ht="9" customHeight="1">
      <c r="A1756" s="12"/>
      <c r="B1756" s="14"/>
      <c r="C1756" s="24"/>
      <c r="D1756" s="35"/>
      <c r="E1756" s="31"/>
      <c r="F1756" s="32"/>
    </row>
    <row r="1757" spans="1:6" ht="12.75" customHeight="1">
      <c r="A1757" s="13" t="s">
        <v>926</v>
      </c>
      <c r="B1757" s="30"/>
      <c r="C1757" s="24"/>
      <c r="D1757" s="35"/>
      <c r="E1757" s="43" t="s">
        <v>151</v>
      </c>
      <c r="F1757" s="44" t="s">
        <v>213</v>
      </c>
    </row>
    <row r="1758" spans="1:6" ht="12.75" customHeight="1">
      <c r="A1758" s="12" t="s">
        <v>544</v>
      </c>
      <c r="B1758" s="30">
        <v>13</v>
      </c>
      <c r="C1758" s="24" t="s">
        <v>1017</v>
      </c>
      <c r="D1758" s="35">
        <f>Prec.!$C$86</f>
        <v>44</v>
      </c>
      <c r="E1758" s="31">
        <f t="shared" ref="E1758:E1768" si="160">ROUND(B1758*D1758,2)</f>
        <v>572</v>
      </c>
      <c r="F1758" s="32"/>
    </row>
    <row r="1759" spans="1:6" ht="12.75" customHeight="1">
      <c r="A1759" s="12" t="s">
        <v>117</v>
      </c>
      <c r="B1759" s="30">
        <v>2.4E-2</v>
      </c>
      <c r="C1759" s="24" t="s">
        <v>216</v>
      </c>
      <c r="D1759" s="35">
        <f>Prec.!$C$54</f>
        <v>3200</v>
      </c>
      <c r="E1759" s="31">
        <f t="shared" si="160"/>
        <v>76.8</v>
      </c>
      <c r="F1759" s="32"/>
    </row>
    <row r="1760" spans="1:6" ht="12.75" customHeight="1">
      <c r="A1760" s="12" t="s">
        <v>217</v>
      </c>
      <c r="B1760" s="30">
        <f>B1759*2</f>
        <v>4.8000000000000001E-2</v>
      </c>
      <c r="C1760" s="24" t="s">
        <v>218</v>
      </c>
      <c r="D1760" s="35">
        <f>Prec.!$C$75</f>
        <v>60</v>
      </c>
      <c r="E1760" s="31">
        <f t="shared" si="160"/>
        <v>2.88</v>
      </c>
      <c r="F1760" s="32"/>
    </row>
    <row r="1761" spans="1:6" ht="12.75" customHeight="1">
      <c r="A1761" s="12" t="s">
        <v>427</v>
      </c>
      <c r="B1761" s="30">
        <v>3.1E-2</v>
      </c>
      <c r="C1761" s="24" t="s">
        <v>825</v>
      </c>
      <c r="D1761" s="35">
        <f>horm.ymez.!D8</f>
        <v>6851.01</v>
      </c>
      <c r="E1761" s="31">
        <f t="shared" si="160"/>
        <v>212.38</v>
      </c>
      <c r="F1761" s="32"/>
    </row>
    <row r="1762" spans="1:6" ht="12.75" customHeight="1">
      <c r="A1762" s="12" t="s">
        <v>421</v>
      </c>
      <c r="B1762" s="30">
        <v>4.8000000000000001E-2</v>
      </c>
      <c r="C1762" s="24" t="s">
        <v>825</v>
      </c>
      <c r="D1762" s="35">
        <f>horm.ymez.!D14</f>
        <v>5373.880000000001</v>
      </c>
      <c r="E1762" s="31">
        <f t="shared" si="160"/>
        <v>257.95</v>
      </c>
      <c r="F1762" s="32"/>
    </row>
    <row r="1763" spans="1:6" ht="12.75" customHeight="1">
      <c r="A1763" s="12" t="s">
        <v>430</v>
      </c>
      <c r="B1763" s="30">
        <v>1</v>
      </c>
      <c r="C1763" s="24" t="s">
        <v>213</v>
      </c>
      <c r="D1763" s="35">
        <f>D1710</f>
        <v>19.21</v>
      </c>
      <c r="E1763" s="31">
        <f t="shared" si="160"/>
        <v>19.21</v>
      </c>
      <c r="F1763" s="32"/>
    </row>
    <row r="1764" spans="1:6" ht="12.75" customHeight="1">
      <c r="A1764" s="12" t="s">
        <v>428</v>
      </c>
      <c r="B1764" s="30">
        <v>13</v>
      </c>
      <c r="C1764" s="24" t="s">
        <v>1017</v>
      </c>
      <c r="D1764" s="35">
        <f>Prec.!$D$329</f>
        <v>0</v>
      </c>
      <c r="E1764" s="31">
        <f t="shared" si="160"/>
        <v>0</v>
      </c>
      <c r="F1764" s="32"/>
    </row>
    <row r="1765" spans="1:6" ht="12.75" customHeight="1">
      <c r="A1765" s="12" t="s">
        <v>432</v>
      </c>
      <c r="B1765" s="30">
        <v>13</v>
      </c>
      <c r="C1765" s="24" t="s">
        <v>1017</v>
      </c>
      <c r="D1765" s="35">
        <f>Prec.!$D$542</f>
        <v>0.55000000000000004</v>
      </c>
      <c r="E1765" s="31">
        <f t="shared" si="160"/>
        <v>7.15</v>
      </c>
      <c r="F1765" s="32"/>
    </row>
    <row r="1766" spans="1:6" ht="12.75" customHeight="1">
      <c r="A1766" s="12" t="s">
        <v>433</v>
      </c>
      <c r="B1766" s="30">
        <v>13</v>
      </c>
      <c r="C1766" s="24" t="s">
        <v>1017</v>
      </c>
      <c r="D1766" s="35">
        <f>Prec.!D544</f>
        <v>4.2699999999999996</v>
      </c>
      <c r="E1766" s="31">
        <f t="shared" si="160"/>
        <v>55.51</v>
      </c>
      <c r="F1766" s="32"/>
    </row>
    <row r="1767" spans="1:6" ht="12.75" customHeight="1">
      <c r="A1767" s="12" t="s">
        <v>1184</v>
      </c>
      <c r="B1767" s="30">
        <v>13</v>
      </c>
      <c r="C1767" s="24" t="s">
        <v>1017</v>
      </c>
      <c r="D1767" s="35">
        <f>D1714</f>
        <v>1.3569999999999998</v>
      </c>
      <c r="E1767" s="31">
        <f>ROUND(B1767*D1767,2)</f>
        <v>17.64</v>
      </c>
      <c r="F1767" s="32"/>
    </row>
    <row r="1768" spans="1:6" ht="12.75" customHeight="1">
      <c r="A1768" s="12" t="s">
        <v>208</v>
      </c>
      <c r="B1768" s="14">
        <f>SUM(E1758:E1767)</f>
        <v>1221.5200000000002</v>
      </c>
      <c r="C1768" s="24" t="s">
        <v>209</v>
      </c>
      <c r="D1768" s="35">
        <f>D1715</f>
        <v>0.02</v>
      </c>
      <c r="E1768" s="31">
        <f t="shared" si="160"/>
        <v>24.43</v>
      </c>
      <c r="F1768" s="32">
        <f>SUM(E1758:E1768)</f>
        <v>1245.9500000000003</v>
      </c>
    </row>
    <row r="1769" spans="1:6" ht="12.75" customHeight="1">
      <c r="A1769" s="12"/>
      <c r="B1769" s="14"/>
      <c r="C1769" s="24"/>
      <c r="D1769" s="35"/>
      <c r="E1769" s="31"/>
      <c r="F1769" s="32"/>
    </row>
    <row r="1770" spans="1:6" ht="12.75" customHeight="1">
      <c r="A1770" s="1530" t="s">
        <v>1655</v>
      </c>
      <c r="B1770" s="1537"/>
      <c r="C1770" s="1538"/>
      <c r="D1770" s="1533"/>
      <c r="E1770" s="1534" t="s">
        <v>151</v>
      </c>
      <c r="F1770" s="1535" t="s">
        <v>213</v>
      </c>
    </row>
    <row r="1771" spans="1:6" ht="12.75" customHeight="1">
      <c r="A1771" s="1536" t="s">
        <v>102</v>
      </c>
      <c r="B1771" s="1537">
        <v>13</v>
      </c>
      <c r="C1771" s="1538" t="s">
        <v>1017</v>
      </c>
      <c r="D1771" s="1533">
        <f>Prec.!$C$86</f>
        <v>44</v>
      </c>
      <c r="E1771" s="1539">
        <f t="shared" ref="E1771:E1779" si="161">ROUND(B1771*D1771,2)</f>
        <v>572</v>
      </c>
      <c r="F1771" s="1540"/>
    </row>
    <row r="1772" spans="1:6" ht="12.75" customHeight="1">
      <c r="A1772" s="1536" t="s">
        <v>117</v>
      </c>
      <c r="B1772" s="1537">
        <v>3.2000000000000001E-2</v>
      </c>
      <c r="C1772" s="1538" t="s">
        <v>216</v>
      </c>
      <c r="D1772" s="1533">
        <f>Prec.!$C$54</f>
        <v>3200</v>
      </c>
      <c r="E1772" s="1539">
        <f t="shared" si="161"/>
        <v>102.4</v>
      </c>
      <c r="F1772" s="1540"/>
    </row>
    <row r="1773" spans="1:6" ht="12.75" customHeight="1">
      <c r="A1773" s="1536" t="s">
        <v>217</v>
      </c>
      <c r="B1773" s="1537">
        <f>B1772*2</f>
        <v>6.4000000000000001E-2</v>
      </c>
      <c r="C1773" s="1538" t="s">
        <v>218</v>
      </c>
      <c r="D1773" s="1533">
        <f>Prec.!$C$75</f>
        <v>60</v>
      </c>
      <c r="E1773" s="1539">
        <f t="shared" si="161"/>
        <v>3.84</v>
      </c>
      <c r="F1773" s="1540"/>
    </row>
    <row r="1774" spans="1:6" ht="12.75" customHeight="1">
      <c r="A1774" s="1536" t="s">
        <v>427</v>
      </c>
      <c r="B1774" s="1537">
        <v>3.1E-2</v>
      </c>
      <c r="C1774" s="1538" t="s">
        <v>825</v>
      </c>
      <c r="D1774" s="1533">
        <f>D1761</f>
        <v>6851.01</v>
      </c>
      <c r="E1774" s="1539">
        <f t="shared" si="161"/>
        <v>212.38</v>
      </c>
      <c r="F1774" s="1540"/>
    </row>
    <row r="1775" spans="1:6" ht="12.75" customHeight="1">
      <c r="A1775" s="1536" t="s">
        <v>421</v>
      </c>
      <c r="B1775" s="1537">
        <v>4.8000000000000001E-2</v>
      </c>
      <c r="C1775" s="1538" t="s">
        <v>825</v>
      </c>
      <c r="D1775" s="1533">
        <f>D1762</f>
        <v>5373.880000000001</v>
      </c>
      <c r="E1775" s="1539">
        <f t="shared" si="161"/>
        <v>257.95</v>
      </c>
      <c r="F1775" s="1540"/>
    </row>
    <row r="1776" spans="1:6" ht="12.75" customHeight="1">
      <c r="A1776" s="1536" t="s">
        <v>430</v>
      </c>
      <c r="B1776" s="1537">
        <v>1</v>
      </c>
      <c r="C1776" s="1538" t="s">
        <v>213</v>
      </c>
      <c r="D1776" s="1533">
        <f>D1763</f>
        <v>19.21</v>
      </c>
      <c r="E1776" s="1539">
        <f t="shared" si="161"/>
        <v>19.21</v>
      </c>
      <c r="F1776" s="1540"/>
    </row>
    <row r="1777" spans="1:13" ht="12.75" customHeight="1">
      <c r="A1777" s="1536" t="s">
        <v>428</v>
      </c>
      <c r="B1777" s="1537">
        <v>13</v>
      </c>
      <c r="C1777" s="1538" t="s">
        <v>1017</v>
      </c>
      <c r="D1777" s="1533">
        <f>Prec.!$D$329</f>
        <v>0</v>
      </c>
      <c r="E1777" s="1539">
        <f t="shared" si="161"/>
        <v>0</v>
      </c>
      <c r="F1777" s="1540"/>
    </row>
    <row r="1778" spans="1:13" ht="12.75" customHeight="1">
      <c r="A1778" s="1536" t="s">
        <v>432</v>
      </c>
      <c r="B1778" s="1537">
        <v>13</v>
      </c>
      <c r="C1778" s="1538" t="s">
        <v>1017</v>
      </c>
      <c r="D1778" s="1533">
        <f>Prec.!D541</f>
        <v>0.85</v>
      </c>
      <c r="E1778" s="1539">
        <f t="shared" si="161"/>
        <v>11.05</v>
      </c>
      <c r="F1778" s="1540"/>
    </row>
    <row r="1779" spans="1:13" ht="12.75" customHeight="1">
      <c r="A1779" s="1536" t="s">
        <v>433</v>
      </c>
      <c r="B1779" s="1537">
        <v>13</v>
      </c>
      <c r="C1779" s="1538" t="s">
        <v>1017</v>
      </c>
      <c r="D1779" s="1533">
        <f>Prec.!D546</f>
        <v>1.7</v>
      </c>
      <c r="E1779" s="1539">
        <f t="shared" si="161"/>
        <v>22.1</v>
      </c>
      <c r="F1779" s="1540"/>
    </row>
    <row r="1780" spans="1:13" ht="12.75" customHeight="1">
      <c r="A1780" s="1536" t="s">
        <v>1184</v>
      </c>
      <c r="B1780" s="1537">
        <v>13</v>
      </c>
      <c r="C1780" s="1538" t="s">
        <v>1017</v>
      </c>
      <c r="D1780" s="1533">
        <f>Prec.!D402</f>
        <v>1.18</v>
      </c>
      <c r="E1780" s="1539">
        <f>ROUND(B1780*D1780,2)</f>
        <v>15.34</v>
      </c>
      <c r="F1780" s="1540"/>
    </row>
    <row r="1781" spans="1:13" ht="12.75" customHeight="1">
      <c r="A1781" s="1536" t="s">
        <v>208</v>
      </c>
      <c r="B1781" s="1541">
        <f>SUM(E1771:E1780)</f>
        <v>1216.2699999999998</v>
      </c>
      <c r="C1781" s="1538" t="s">
        <v>209</v>
      </c>
      <c r="D1781" s="1533">
        <v>0.02</v>
      </c>
      <c r="E1781" s="1539">
        <f>ROUND(B1781*D1781,2)</f>
        <v>24.33</v>
      </c>
      <c r="F1781" s="1540">
        <f>SUM(E1771:E1781)</f>
        <v>1240.5999999999997</v>
      </c>
    </row>
    <row r="1782" spans="1:13" s="166" customFormat="1" ht="12.75" customHeight="1">
      <c r="A1782" s="12"/>
      <c r="B1782" s="14"/>
      <c r="C1782" s="24"/>
      <c r="D1782" s="35"/>
      <c r="E1782" s="31"/>
      <c r="F1782" s="32"/>
      <c r="G1782" s="15"/>
      <c r="H1782" s="21"/>
      <c r="I1782" s="15"/>
      <c r="J1782" s="15"/>
      <c r="K1782" s="15"/>
      <c r="L1782" s="21"/>
      <c r="M1782" s="15"/>
    </row>
    <row r="1783" spans="1:13" s="166" customFormat="1" ht="12.75" customHeight="1">
      <c r="A1783" s="1530" t="s">
        <v>5425</v>
      </c>
      <c r="B1783" s="1537"/>
      <c r="C1783" s="1538"/>
      <c r="D1783" s="1533"/>
      <c r="E1783" s="1534" t="s">
        <v>151</v>
      </c>
      <c r="F1783" s="1535" t="s">
        <v>213</v>
      </c>
      <c r="G1783" s="15"/>
      <c r="H1783" s="21"/>
      <c r="I1783" s="15"/>
      <c r="J1783" s="15"/>
      <c r="K1783" s="15"/>
      <c r="L1783" s="21"/>
      <c r="M1783" s="15"/>
    </row>
    <row r="1784" spans="1:13" s="166" customFormat="1" ht="12.75" customHeight="1">
      <c r="A1784" s="1536" t="s">
        <v>102</v>
      </c>
      <c r="B1784" s="1537">
        <v>13</v>
      </c>
      <c r="C1784" s="1538" t="s">
        <v>1017</v>
      </c>
      <c r="D1784" s="1533">
        <f>D1771</f>
        <v>44</v>
      </c>
      <c r="E1784" s="1539">
        <f t="shared" ref="E1784:E1793" si="162">ROUND(B1784*D1784,2)</f>
        <v>572</v>
      </c>
      <c r="F1784" s="1540"/>
      <c r="G1784" s="15"/>
      <c r="H1784" s="21"/>
      <c r="I1784" s="15"/>
      <c r="J1784" s="15"/>
      <c r="K1784" s="15"/>
      <c r="L1784" s="21"/>
      <c r="M1784" s="15"/>
    </row>
    <row r="1785" spans="1:13" s="166" customFormat="1" ht="12.75" customHeight="1">
      <c r="A1785" s="1536" t="s">
        <v>117</v>
      </c>
      <c r="B1785" s="1537">
        <v>3.2000000000000001E-2</v>
      </c>
      <c r="C1785" s="1538" t="s">
        <v>216</v>
      </c>
      <c r="D1785" s="1533">
        <f t="shared" ref="D1785" si="163">D1772</f>
        <v>3200</v>
      </c>
      <c r="E1785" s="1539">
        <f t="shared" si="162"/>
        <v>102.4</v>
      </c>
      <c r="F1785" s="1540"/>
      <c r="G1785" s="15"/>
      <c r="H1785" s="21"/>
      <c r="I1785" s="15"/>
      <c r="J1785" s="15"/>
      <c r="K1785" s="15"/>
      <c r="L1785" s="21"/>
      <c r="M1785" s="15"/>
    </row>
    <row r="1786" spans="1:13" s="166" customFormat="1" ht="12.75" customHeight="1">
      <c r="A1786" s="1536" t="s">
        <v>117</v>
      </c>
      <c r="B1786" s="1537">
        <v>4.1082E-2</v>
      </c>
      <c r="C1786" s="1538" t="s">
        <v>216</v>
      </c>
      <c r="D1786" s="1533">
        <f>D1785</f>
        <v>3200</v>
      </c>
      <c r="E1786" s="1539">
        <f t="shared" ref="E1786" si="164">ROUND(B1786*D1786,2)</f>
        <v>131.46</v>
      </c>
      <c r="F1786" s="1540"/>
      <c r="G1786" s="15"/>
      <c r="H1786" s="21"/>
      <c r="I1786" s="15"/>
      <c r="J1786" s="15"/>
      <c r="K1786" s="15"/>
      <c r="L1786" s="21"/>
      <c r="M1786" s="15"/>
    </row>
    <row r="1787" spans="1:13" s="166" customFormat="1" ht="12.75" customHeight="1">
      <c r="A1787" s="1536" t="s">
        <v>217</v>
      </c>
      <c r="B1787" s="1537">
        <f>B1785*2</f>
        <v>6.4000000000000001E-2</v>
      </c>
      <c r="C1787" s="1538" t="s">
        <v>218</v>
      </c>
      <c r="D1787" s="1533">
        <f>D1773</f>
        <v>60</v>
      </c>
      <c r="E1787" s="1539">
        <f t="shared" si="162"/>
        <v>3.84</v>
      </c>
      <c r="F1787" s="1540"/>
      <c r="G1787" s="15"/>
      <c r="H1787" s="21"/>
      <c r="I1787" s="15"/>
      <c r="J1787" s="15"/>
      <c r="K1787" s="15"/>
      <c r="L1787" s="21"/>
      <c r="M1787" s="15"/>
    </row>
    <row r="1788" spans="1:13" s="166" customFormat="1" ht="12.75" customHeight="1">
      <c r="A1788" s="1536" t="s">
        <v>427</v>
      </c>
      <c r="B1788" s="1537">
        <v>3.1E-2</v>
      </c>
      <c r="C1788" s="1538" t="s">
        <v>825</v>
      </c>
      <c r="D1788" s="1533">
        <f>D1774</f>
        <v>6851.01</v>
      </c>
      <c r="E1788" s="1539">
        <f t="shared" si="162"/>
        <v>212.38</v>
      </c>
      <c r="F1788" s="1540"/>
      <c r="G1788" s="15"/>
      <c r="H1788" s="21"/>
      <c r="I1788" s="15"/>
      <c r="J1788" s="15"/>
      <c r="K1788" s="15"/>
      <c r="L1788" s="21"/>
      <c r="M1788" s="15"/>
    </row>
    <row r="1789" spans="1:13" s="166" customFormat="1" ht="12.75" customHeight="1">
      <c r="A1789" s="1536" t="s">
        <v>421</v>
      </c>
      <c r="B1789" s="1537">
        <v>4.8000000000000001E-2</v>
      </c>
      <c r="C1789" s="1538" t="s">
        <v>825</v>
      </c>
      <c r="D1789" s="1533">
        <f>D1775</f>
        <v>5373.880000000001</v>
      </c>
      <c r="E1789" s="1539">
        <f t="shared" si="162"/>
        <v>257.95</v>
      </c>
      <c r="F1789" s="1540"/>
      <c r="G1789" s="15"/>
      <c r="H1789" s="21"/>
      <c r="I1789" s="15"/>
      <c r="J1789" s="15"/>
      <c r="K1789" s="15"/>
      <c r="L1789" s="21"/>
      <c r="M1789" s="15"/>
    </row>
    <row r="1790" spans="1:13" s="166" customFormat="1" ht="12.75" customHeight="1">
      <c r="A1790" s="1536" t="s">
        <v>430</v>
      </c>
      <c r="B1790" s="1537">
        <v>1</v>
      </c>
      <c r="C1790" s="1538" t="s">
        <v>213</v>
      </c>
      <c r="D1790" s="1533">
        <f>D1776</f>
        <v>19.21</v>
      </c>
      <c r="E1790" s="1539">
        <f t="shared" si="162"/>
        <v>19.21</v>
      </c>
      <c r="F1790" s="1540"/>
      <c r="G1790" s="15"/>
      <c r="H1790" s="21"/>
      <c r="I1790" s="15"/>
      <c r="J1790" s="15"/>
      <c r="K1790" s="15"/>
      <c r="L1790" s="21"/>
      <c r="M1790" s="15"/>
    </row>
    <row r="1791" spans="1:13" s="166" customFormat="1" ht="12.75" customHeight="1">
      <c r="A1791" s="1536" t="s">
        <v>428</v>
      </c>
      <c r="B1791" s="1537">
        <v>13</v>
      </c>
      <c r="C1791" s="1538" t="s">
        <v>1017</v>
      </c>
      <c r="D1791" s="1533">
        <f>D1404</f>
        <v>21.68</v>
      </c>
      <c r="E1791" s="1539">
        <f t="shared" si="162"/>
        <v>281.83999999999997</v>
      </c>
      <c r="F1791" s="1540"/>
      <c r="G1791" s="15"/>
      <c r="H1791" s="21"/>
      <c r="I1791" s="15"/>
      <c r="J1791" s="15"/>
      <c r="K1791" s="15"/>
      <c r="L1791" s="21"/>
      <c r="M1791" s="15"/>
    </row>
    <row r="1792" spans="1:13" s="166" customFormat="1" ht="12.75" customHeight="1">
      <c r="A1792" s="1536" t="s">
        <v>432</v>
      </c>
      <c r="B1792" s="1537">
        <v>13</v>
      </c>
      <c r="C1792" s="1538" t="s">
        <v>1017</v>
      </c>
      <c r="D1792" s="1533">
        <f>D1481</f>
        <v>0.97749999999999992</v>
      </c>
      <c r="E1792" s="1539">
        <f t="shared" si="162"/>
        <v>12.71</v>
      </c>
      <c r="F1792" s="1540"/>
      <c r="G1792" s="15"/>
      <c r="H1792" s="21"/>
      <c r="I1792" s="15"/>
      <c r="J1792" s="15"/>
      <c r="K1792" s="15"/>
      <c r="L1792" s="21"/>
      <c r="M1792" s="15"/>
    </row>
    <row r="1793" spans="1:13" s="166" customFormat="1" ht="12.75" customHeight="1">
      <c r="A1793" s="1536" t="s">
        <v>433</v>
      </c>
      <c r="B1793" s="1537">
        <v>13</v>
      </c>
      <c r="C1793" s="1538" t="s">
        <v>1017</v>
      </c>
      <c r="D1793" s="1533">
        <f>D1482</f>
        <v>1.9549999999999998</v>
      </c>
      <c r="E1793" s="1539">
        <f t="shared" si="162"/>
        <v>25.42</v>
      </c>
      <c r="F1793" s="1540"/>
      <c r="G1793" s="15"/>
      <c r="H1793" s="21"/>
      <c r="I1793" s="15"/>
      <c r="J1793" s="15"/>
      <c r="K1793" s="15"/>
      <c r="L1793" s="21"/>
      <c r="M1793" s="15"/>
    </row>
    <row r="1794" spans="1:13" s="166" customFormat="1" ht="12.75" customHeight="1">
      <c r="A1794" s="1536" t="s">
        <v>1184</v>
      </c>
      <c r="B1794" s="1537">
        <v>13</v>
      </c>
      <c r="C1794" s="1538" t="s">
        <v>1017</v>
      </c>
      <c r="D1794" s="1533">
        <f>Prec.!C402</f>
        <v>1.3569999999999998</v>
      </c>
      <c r="E1794" s="1539">
        <f>ROUND(B1794*D1794,2)</f>
        <v>17.64</v>
      </c>
      <c r="F1794" s="1540"/>
      <c r="G1794" s="15"/>
      <c r="H1794" s="21"/>
      <c r="I1794" s="15"/>
      <c r="J1794" s="15"/>
      <c r="K1794" s="15"/>
      <c r="L1794" s="21"/>
      <c r="M1794" s="15"/>
    </row>
    <row r="1795" spans="1:13" s="166" customFormat="1" ht="12.75" customHeight="1">
      <c r="A1795" s="1536" t="s">
        <v>208</v>
      </c>
      <c r="B1795" s="1541">
        <f>SUM(E1784:E1789)</f>
        <v>1280.03</v>
      </c>
      <c r="C1795" s="1538" t="s">
        <v>209</v>
      </c>
      <c r="D1795" s="1533">
        <f>D1781</f>
        <v>0.02</v>
      </c>
      <c r="E1795" s="1539">
        <f>ROUND(B1795*D1795,2)</f>
        <v>25.6</v>
      </c>
      <c r="F1795" s="1540">
        <f>SUM(E1784:E1795)</f>
        <v>1662.45</v>
      </c>
      <c r="G1795" s="15"/>
      <c r="H1795" s="21"/>
      <c r="I1795" s="15"/>
      <c r="J1795" s="15"/>
      <c r="K1795" s="15"/>
      <c r="L1795" s="21"/>
      <c r="M1795" s="15"/>
    </row>
    <row r="1796" spans="1:13" s="166" customFormat="1" ht="12.75" customHeight="1">
      <c r="A1796" s="12"/>
      <c r="B1796" s="14"/>
      <c r="C1796" s="24"/>
      <c r="D1796" s="35"/>
      <c r="E1796" s="31"/>
      <c r="F1796" s="32"/>
      <c r="G1796" s="15"/>
      <c r="H1796" s="21"/>
      <c r="I1796" s="15"/>
      <c r="J1796" s="15"/>
      <c r="K1796" s="15"/>
      <c r="L1796" s="21"/>
      <c r="M1796" s="15"/>
    </row>
    <row r="1797" spans="1:13" ht="12.75" hidden="1" customHeight="1">
      <c r="A1797" s="13" t="s">
        <v>929</v>
      </c>
      <c r="B1797" s="30"/>
      <c r="C1797" s="24"/>
      <c r="D1797" s="35"/>
      <c r="E1797" s="43" t="s">
        <v>151</v>
      </c>
      <c r="F1797" s="44" t="s">
        <v>213</v>
      </c>
    </row>
    <row r="1798" spans="1:13" ht="12.75" hidden="1" customHeight="1">
      <c r="A1798" s="12" t="s">
        <v>102</v>
      </c>
      <c r="B1798" s="30">
        <v>13</v>
      </c>
      <c r="C1798" s="24" t="s">
        <v>1017</v>
      </c>
      <c r="D1798" s="35">
        <f>Prec.!$C$86</f>
        <v>44</v>
      </c>
      <c r="E1798" s="31">
        <f t="shared" ref="E1798:E1808" si="165">ROUND(B1798*D1798,2)</f>
        <v>572</v>
      </c>
      <c r="F1798" s="32"/>
    </row>
    <row r="1799" spans="1:13" ht="12.75" hidden="1" customHeight="1">
      <c r="A1799" s="12" t="s">
        <v>117</v>
      </c>
      <c r="B1799" s="30">
        <v>3.6999999999999998E-2</v>
      </c>
      <c r="C1799" s="24" t="s">
        <v>216</v>
      </c>
      <c r="D1799" s="35">
        <f>Prec.!$C$54</f>
        <v>3200</v>
      </c>
      <c r="E1799" s="31">
        <f t="shared" si="165"/>
        <v>118.4</v>
      </c>
      <c r="F1799" s="32"/>
    </row>
    <row r="1800" spans="1:13" ht="12.75" hidden="1" customHeight="1">
      <c r="A1800" s="12" t="s">
        <v>217</v>
      </c>
      <c r="B1800" s="30">
        <f>B1799*2</f>
        <v>7.3999999999999996E-2</v>
      </c>
      <c r="C1800" s="24" t="s">
        <v>218</v>
      </c>
      <c r="D1800" s="35">
        <f>Prec.!$C$75</f>
        <v>60</v>
      </c>
      <c r="E1800" s="31">
        <f t="shared" si="165"/>
        <v>4.4400000000000004</v>
      </c>
      <c r="F1800" s="32"/>
    </row>
    <row r="1801" spans="1:13" ht="12.75" hidden="1" customHeight="1">
      <c r="A1801" s="12" t="s">
        <v>427</v>
      </c>
      <c r="B1801" s="30">
        <v>3.1E-2</v>
      </c>
      <c r="C1801" s="24" t="s">
        <v>825</v>
      </c>
      <c r="D1801" s="35">
        <f>horm.ymez.!D8</f>
        <v>6851.01</v>
      </c>
      <c r="E1801" s="31">
        <f t="shared" si="165"/>
        <v>212.38</v>
      </c>
      <c r="F1801" s="32"/>
    </row>
    <row r="1802" spans="1:13" ht="12.75" hidden="1" customHeight="1">
      <c r="A1802" s="12" t="s">
        <v>421</v>
      </c>
      <c r="B1802" s="30">
        <v>3.9E-2</v>
      </c>
      <c r="C1802" s="24" t="s">
        <v>825</v>
      </c>
      <c r="D1802" s="35">
        <f>horm.ymez.!D14</f>
        <v>5373.880000000001</v>
      </c>
      <c r="E1802" s="31">
        <f t="shared" si="165"/>
        <v>209.58</v>
      </c>
      <c r="F1802" s="32"/>
    </row>
    <row r="1803" spans="1:13" ht="12.75" hidden="1" customHeight="1">
      <c r="A1803" s="12" t="s">
        <v>430</v>
      </c>
      <c r="B1803" s="30">
        <v>1</v>
      </c>
      <c r="C1803" s="24" t="s">
        <v>213</v>
      </c>
      <c r="D1803" s="35">
        <f>D1830</f>
        <v>19.21</v>
      </c>
      <c r="E1803" s="31">
        <f t="shared" si="165"/>
        <v>19.21</v>
      </c>
      <c r="F1803" s="32"/>
    </row>
    <row r="1804" spans="1:13" ht="12.75" hidden="1" customHeight="1">
      <c r="A1804" s="12" t="s">
        <v>428</v>
      </c>
      <c r="B1804" s="30">
        <v>13</v>
      </c>
      <c r="C1804" s="24" t="s">
        <v>1017</v>
      </c>
      <c r="D1804" s="35">
        <f>Prec.!$D$329</f>
        <v>0</v>
      </c>
      <c r="E1804" s="31">
        <f t="shared" si="165"/>
        <v>0</v>
      </c>
      <c r="F1804" s="32"/>
    </row>
    <row r="1805" spans="1:13" ht="12.75" hidden="1" customHeight="1">
      <c r="A1805" s="12" t="s">
        <v>432</v>
      </c>
      <c r="B1805" s="30">
        <v>13</v>
      </c>
      <c r="C1805" s="24" t="s">
        <v>1017</v>
      </c>
      <c r="D1805" s="35">
        <f>Prec.!$D$540</f>
        <v>1.1499999999999999</v>
      </c>
      <c r="E1805" s="31">
        <f t="shared" si="165"/>
        <v>14.95</v>
      </c>
      <c r="F1805" s="32"/>
    </row>
    <row r="1806" spans="1:13" ht="12.75" hidden="1" customHeight="1">
      <c r="A1806" s="12" t="s">
        <v>433</v>
      </c>
      <c r="B1806" s="30">
        <v>13</v>
      </c>
      <c r="C1806" s="24" t="s">
        <v>1017</v>
      </c>
      <c r="D1806" s="35">
        <f>Prec.!$D$545</f>
        <v>2.33</v>
      </c>
      <c r="E1806" s="31">
        <f t="shared" si="165"/>
        <v>30.29</v>
      </c>
      <c r="F1806" s="32"/>
    </row>
    <row r="1807" spans="1:13" ht="12.75" hidden="1" customHeight="1">
      <c r="A1807" s="12" t="s">
        <v>1184</v>
      </c>
      <c r="B1807" s="30">
        <v>13</v>
      </c>
      <c r="C1807" s="24" t="s">
        <v>1017</v>
      </c>
      <c r="D1807" s="35">
        <f>Prec.!C402</f>
        <v>1.3569999999999998</v>
      </c>
      <c r="E1807" s="31">
        <f>ROUND(B1807*D1807,2)</f>
        <v>17.64</v>
      </c>
      <c r="F1807" s="32"/>
    </row>
    <row r="1808" spans="1:13" ht="12.75" hidden="1" customHeight="1">
      <c r="A1808" s="12" t="s">
        <v>208</v>
      </c>
      <c r="B1808" s="14">
        <f>SUM(E1798:E1807)</f>
        <v>1198.8900000000001</v>
      </c>
      <c r="C1808" s="24" t="s">
        <v>209</v>
      </c>
      <c r="D1808" s="35">
        <f>D1835</f>
        <v>0.02</v>
      </c>
      <c r="E1808" s="31">
        <f t="shared" si="165"/>
        <v>23.98</v>
      </c>
      <c r="F1808" s="32">
        <f>SUM(E1798:E1808)</f>
        <v>1222.8700000000001</v>
      </c>
    </row>
    <row r="1809" spans="1:13" s="166" customFormat="1" ht="12.75" hidden="1" customHeight="1">
      <c r="A1809" s="12"/>
      <c r="B1809" s="14"/>
      <c r="C1809" s="24"/>
      <c r="D1809" s="35"/>
      <c r="E1809" s="31"/>
      <c r="F1809" s="32"/>
      <c r="G1809" s="15"/>
      <c r="H1809" s="21"/>
      <c r="I1809" s="15"/>
      <c r="J1809" s="15"/>
      <c r="K1809" s="15"/>
      <c r="L1809" s="21"/>
      <c r="M1809" s="15"/>
    </row>
    <row r="1810" spans="1:13" s="166" customFormat="1" ht="12.75" hidden="1" customHeight="1">
      <c r="A1810" s="513" t="s">
        <v>4162</v>
      </c>
      <c r="B1810" s="510"/>
      <c r="C1810" s="511"/>
      <c r="D1810" s="507"/>
      <c r="E1810" s="514" t="s">
        <v>151</v>
      </c>
      <c r="F1810" s="515" t="s">
        <v>213</v>
      </c>
      <c r="G1810" s="15"/>
      <c r="H1810" s="21"/>
      <c r="I1810" s="15"/>
      <c r="J1810" s="15"/>
      <c r="K1810" s="15"/>
      <c r="L1810" s="21"/>
      <c r="M1810" s="15"/>
    </row>
    <row r="1811" spans="1:13" s="166" customFormat="1" ht="12.75" hidden="1" customHeight="1">
      <c r="A1811" s="512" t="s">
        <v>102</v>
      </c>
      <c r="B1811" s="510">
        <v>13</v>
      </c>
      <c r="C1811" s="511" t="s">
        <v>1017</v>
      </c>
      <c r="D1811" s="507">
        <f>D1798</f>
        <v>44</v>
      </c>
      <c r="E1811" s="508">
        <f t="shared" ref="E1811:E1820" si="166">ROUND(B1811*D1811,2)</f>
        <v>572</v>
      </c>
      <c r="F1811" s="509"/>
      <c r="G1811" s="15"/>
      <c r="H1811" s="21"/>
      <c r="I1811" s="15"/>
      <c r="J1811" s="15"/>
      <c r="K1811" s="15"/>
      <c r="L1811" s="21"/>
      <c r="M1811" s="15"/>
    </row>
    <row r="1812" spans="1:13" s="166" customFormat="1" ht="12.75" hidden="1" customHeight="1">
      <c r="A1812" s="512" t="s">
        <v>117</v>
      </c>
      <c r="B1812" s="510">
        <v>3.6999999999999998E-2</v>
      </c>
      <c r="C1812" s="511" t="s">
        <v>216</v>
      </c>
      <c r="D1812" s="507">
        <f t="shared" ref="D1812" si="167">D1799</f>
        <v>3200</v>
      </c>
      <c r="E1812" s="508">
        <f t="shared" si="166"/>
        <v>118.4</v>
      </c>
      <c r="F1812" s="509"/>
      <c r="G1812" s="15"/>
      <c r="H1812" s="21"/>
      <c r="I1812" s="15"/>
      <c r="J1812" s="15"/>
      <c r="K1812" s="15"/>
      <c r="L1812" s="21"/>
      <c r="M1812" s="15"/>
    </row>
    <row r="1813" spans="1:13" s="166" customFormat="1" ht="12.75" hidden="1" customHeight="1">
      <c r="A1813" s="512" t="s">
        <v>117</v>
      </c>
      <c r="B1813" s="510">
        <f>B1462</f>
        <v>3.2000000000000001E-2</v>
      </c>
      <c r="C1813" s="511" t="s">
        <v>216</v>
      </c>
      <c r="D1813" s="507">
        <f>D1812</f>
        <v>3200</v>
      </c>
      <c r="E1813" s="508">
        <f t="shared" si="166"/>
        <v>102.4</v>
      </c>
      <c r="F1813" s="509"/>
      <c r="G1813" s="15"/>
      <c r="H1813" s="21"/>
      <c r="I1813" s="15"/>
      <c r="J1813" s="15"/>
      <c r="K1813" s="15"/>
      <c r="L1813" s="21"/>
      <c r="M1813" s="15"/>
    </row>
    <row r="1814" spans="1:13" s="166" customFormat="1" ht="12.75" hidden="1" customHeight="1">
      <c r="A1814" s="512" t="s">
        <v>217</v>
      </c>
      <c r="B1814" s="510">
        <f>(B1812+B1813)*2</f>
        <v>0.13800000000000001</v>
      </c>
      <c r="C1814" s="511" t="s">
        <v>218</v>
      </c>
      <c r="D1814" s="507">
        <f>D1800</f>
        <v>60</v>
      </c>
      <c r="E1814" s="508">
        <f t="shared" si="166"/>
        <v>8.2799999999999994</v>
      </c>
      <c r="F1814" s="509"/>
      <c r="G1814" s="15"/>
      <c r="H1814" s="21"/>
      <c r="I1814" s="15"/>
      <c r="J1814" s="15"/>
      <c r="K1814" s="15"/>
      <c r="L1814" s="21"/>
      <c r="M1814" s="15"/>
    </row>
    <row r="1815" spans="1:13" s="166" customFormat="1" ht="12.75" hidden="1" customHeight="1">
      <c r="A1815" s="512" t="s">
        <v>427</v>
      </c>
      <c r="B1815" s="510">
        <v>3.1E-2</v>
      </c>
      <c r="C1815" s="511" t="s">
        <v>825</v>
      </c>
      <c r="D1815" s="507">
        <f>D1801</f>
        <v>6851.01</v>
      </c>
      <c r="E1815" s="508">
        <f t="shared" si="166"/>
        <v>212.38</v>
      </c>
      <c r="F1815" s="509"/>
      <c r="G1815" s="15"/>
      <c r="H1815" s="21"/>
      <c r="I1815" s="15"/>
      <c r="J1815" s="15"/>
      <c r="K1815" s="15"/>
      <c r="L1815" s="21"/>
      <c r="M1815" s="15"/>
    </row>
    <row r="1816" spans="1:13" s="166" customFormat="1" ht="12.75" hidden="1" customHeight="1">
      <c r="A1816" s="512" t="s">
        <v>421</v>
      </c>
      <c r="B1816" s="510">
        <v>3.9E-2</v>
      </c>
      <c r="C1816" s="511" t="s">
        <v>825</v>
      </c>
      <c r="D1816" s="507">
        <f>D1802</f>
        <v>5373.880000000001</v>
      </c>
      <c r="E1816" s="508">
        <f t="shared" si="166"/>
        <v>209.58</v>
      </c>
      <c r="F1816" s="509"/>
      <c r="G1816" s="15"/>
      <c r="H1816" s="21"/>
      <c r="I1816" s="15"/>
      <c r="J1816" s="15"/>
      <c r="K1816" s="15"/>
      <c r="L1816" s="21"/>
      <c r="M1816" s="15"/>
    </row>
    <row r="1817" spans="1:13" s="166" customFormat="1" ht="12.75" hidden="1" customHeight="1">
      <c r="A1817" s="512" t="s">
        <v>430</v>
      </c>
      <c r="B1817" s="510">
        <v>1</v>
      </c>
      <c r="C1817" s="511" t="s">
        <v>213</v>
      </c>
      <c r="D1817" s="507">
        <f>D1803</f>
        <v>19.21</v>
      </c>
      <c r="E1817" s="508">
        <f t="shared" si="166"/>
        <v>19.21</v>
      </c>
      <c r="F1817" s="509"/>
      <c r="G1817" s="15"/>
      <c r="H1817" s="21"/>
      <c r="I1817" s="15"/>
      <c r="J1817" s="15"/>
      <c r="K1817" s="15"/>
      <c r="L1817" s="21"/>
      <c r="M1817" s="15"/>
    </row>
    <row r="1818" spans="1:13" s="166" customFormat="1" ht="12.75" hidden="1" customHeight="1">
      <c r="A1818" s="512" t="s">
        <v>428</v>
      </c>
      <c r="B1818" s="510">
        <v>13</v>
      </c>
      <c r="C1818" s="511" t="s">
        <v>1017</v>
      </c>
      <c r="D1818" s="507">
        <f>D1467</f>
        <v>21.68</v>
      </c>
      <c r="E1818" s="508">
        <f t="shared" si="166"/>
        <v>281.83999999999997</v>
      </c>
      <c r="F1818" s="509"/>
      <c r="G1818" s="15"/>
      <c r="H1818" s="21"/>
      <c r="I1818" s="15"/>
      <c r="J1818" s="15"/>
      <c r="K1818" s="15"/>
      <c r="L1818" s="21"/>
      <c r="M1818" s="15"/>
    </row>
    <row r="1819" spans="1:13" s="166" customFormat="1" ht="12.75" hidden="1" customHeight="1">
      <c r="A1819" s="512" t="s">
        <v>432</v>
      </c>
      <c r="B1819" s="510">
        <v>13</v>
      </c>
      <c r="C1819" s="511" t="s">
        <v>1017</v>
      </c>
      <c r="D1819" s="507">
        <f>D1468</f>
        <v>1.3224999999999998</v>
      </c>
      <c r="E1819" s="508">
        <f t="shared" si="166"/>
        <v>17.190000000000001</v>
      </c>
      <c r="F1819" s="509"/>
      <c r="G1819" s="15"/>
      <c r="H1819" s="21"/>
      <c r="I1819" s="15"/>
      <c r="J1819" s="15"/>
      <c r="K1819" s="15"/>
      <c r="L1819" s="21"/>
      <c r="M1819" s="15"/>
    </row>
    <row r="1820" spans="1:13" s="166" customFormat="1" ht="12.75" hidden="1" customHeight="1">
      <c r="A1820" s="512" t="s">
        <v>433</v>
      </c>
      <c r="B1820" s="510">
        <v>13</v>
      </c>
      <c r="C1820" s="511" t="s">
        <v>1017</v>
      </c>
      <c r="D1820" s="507">
        <f>D1469</f>
        <v>2.6795</v>
      </c>
      <c r="E1820" s="508">
        <f t="shared" si="166"/>
        <v>34.83</v>
      </c>
      <c r="F1820" s="509"/>
      <c r="G1820" s="15"/>
      <c r="H1820" s="21"/>
      <c r="I1820" s="15"/>
      <c r="J1820" s="15"/>
      <c r="K1820" s="15"/>
      <c r="L1820" s="21"/>
      <c r="M1820" s="15"/>
    </row>
    <row r="1821" spans="1:13" s="166" customFormat="1" ht="12.75" hidden="1" customHeight="1">
      <c r="A1821" s="512" t="s">
        <v>1184</v>
      </c>
      <c r="B1821" s="510">
        <v>13</v>
      </c>
      <c r="C1821" s="511" t="s">
        <v>1017</v>
      </c>
      <c r="D1821" s="507">
        <f>D1807</f>
        <v>1.3569999999999998</v>
      </c>
      <c r="E1821" s="508">
        <f>ROUND(B1821*D1821,2)</f>
        <v>17.64</v>
      </c>
      <c r="F1821" s="509"/>
      <c r="G1821" s="15"/>
      <c r="H1821" s="21"/>
      <c r="I1821" s="15"/>
      <c r="J1821" s="15"/>
      <c r="K1821" s="15"/>
      <c r="L1821" s="21"/>
      <c r="M1821" s="15"/>
    </row>
    <row r="1822" spans="1:13" s="166" customFormat="1" ht="12.75" hidden="1" customHeight="1">
      <c r="A1822" s="512" t="s">
        <v>208</v>
      </c>
      <c r="B1822" s="516">
        <f>SUM(E1811:E1821)</f>
        <v>1593.75</v>
      </c>
      <c r="C1822" s="511" t="s">
        <v>209</v>
      </c>
      <c r="D1822" s="507">
        <f>D1808</f>
        <v>0.02</v>
      </c>
      <c r="E1822" s="508">
        <f t="shared" ref="E1822" si="168">ROUND(B1822*D1822,2)</f>
        <v>31.88</v>
      </c>
      <c r="F1822" s="509">
        <f>SUM(E1811:E1822)</f>
        <v>1625.63</v>
      </c>
      <c r="G1822" s="15"/>
      <c r="H1822" s="21"/>
      <c r="I1822" s="15"/>
      <c r="J1822" s="15"/>
      <c r="K1822" s="15"/>
      <c r="L1822" s="21"/>
      <c r="M1822" s="15"/>
    </row>
    <row r="1823" spans="1:13" s="166" customFormat="1" ht="12.75" hidden="1" customHeight="1">
      <c r="A1823" s="12"/>
      <c r="B1823" s="14"/>
      <c r="C1823" s="24"/>
      <c r="D1823" s="35"/>
      <c r="E1823" s="31"/>
      <c r="F1823" s="32"/>
      <c r="G1823" s="15"/>
      <c r="H1823" s="21"/>
      <c r="I1823" s="15"/>
      <c r="J1823" s="15"/>
      <c r="K1823" s="15"/>
      <c r="L1823" s="21"/>
      <c r="M1823" s="15"/>
    </row>
    <row r="1824" spans="1:13" ht="12.75" hidden="1" customHeight="1">
      <c r="A1824" s="13" t="s">
        <v>928</v>
      </c>
      <c r="B1824" s="30"/>
      <c r="C1824" s="24"/>
      <c r="D1824" s="35"/>
      <c r="E1824" s="43" t="s">
        <v>151</v>
      </c>
      <c r="F1824" s="44" t="s">
        <v>213</v>
      </c>
    </row>
    <row r="1825" spans="1:6" ht="12.75" hidden="1" customHeight="1">
      <c r="A1825" s="12" t="s">
        <v>102</v>
      </c>
      <c r="B1825" s="30">
        <v>13</v>
      </c>
      <c r="C1825" s="24" t="s">
        <v>1017</v>
      </c>
      <c r="D1825" s="35">
        <f>Prec.!$C$86</f>
        <v>44</v>
      </c>
      <c r="E1825" s="31">
        <f t="shared" ref="E1825:E1835" si="169">ROUND(B1825*D1825,2)</f>
        <v>572</v>
      </c>
      <c r="F1825" s="32"/>
    </row>
    <row r="1826" spans="1:6" ht="12.75" hidden="1" customHeight="1">
      <c r="A1826" s="12" t="s">
        <v>117</v>
      </c>
      <c r="B1826" s="30">
        <v>2.4E-2</v>
      </c>
      <c r="C1826" s="24" t="s">
        <v>216</v>
      </c>
      <c r="D1826" s="35">
        <f>Prec.!$C$54</f>
        <v>3200</v>
      </c>
      <c r="E1826" s="31">
        <f t="shared" si="169"/>
        <v>76.8</v>
      </c>
      <c r="F1826" s="32"/>
    </row>
    <row r="1827" spans="1:6" ht="12.75" hidden="1" customHeight="1">
      <c r="A1827" s="12" t="s">
        <v>217</v>
      </c>
      <c r="B1827" s="30">
        <f>B1826*2</f>
        <v>4.8000000000000001E-2</v>
      </c>
      <c r="C1827" s="24" t="s">
        <v>218</v>
      </c>
      <c r="D1827" s="35">
        <f>Prec.!$C$75</f>
        <v>60</v>
      </c>
      <c r="E1827" s="31">
        <f t="shared" si="169"/>
        <v>2.88</v>
      </c>
      <c r="F1827" s="32"/>
    </row>
    <row r="1828" spans="1:6" ht="12.75" hidden="1" customHeight="1">
      <c r="A1828" s="12" t="s">
        <v>427</v>
      </c>
      <c r="B1828" s="30">
        <v>3.1E-2</v>
      </c>
      <c r="C1828" s="24" t="s">
        <v>825</v>
      </c>
      <c r="D1828" s="35">
        <f>horm.ymez.!D8</f>
        <v>6851.01</v>
      </c>
      <c r="E1828" s="31">
        <f t="shared" si="169"/>
        <v>212.38</v>
      </c>
      <c r="F1828" s="32"/>
    </row>
    <row r="1829" spans="1:6" ht="12.75" hidden="1" customHeight="1">
      <c r="A1829" s="12" t="s">
        <v>421</v>
      </c>
      <c r="B1829" s="30">
        <v>0.03</v>
      </c>
      <c r="C1829" s="24" t="s">
        <v>825</v>
      </c>
      <c r="D1829" s="35">
        <f>horm.ymez.!D14</f>
        <v>5373.880000000001</v>
      </c>
      <c r="E1829" s="31">
        <f t="shared" si="169"/>
        <v>161.22</v>
      </c>
      <c r="F1829" s="32"/>
    </row>
    <row r="1830" spans="1:6" ht="12.75" hidden="1" customHeight="1">
      <c r="A1830" s="12" t="s">
        <v>430</v>
      </c>
      <c r="B1830" s="30">
        <v>1</v>
      </c>
      <c r="C1830" s="24" t="s">
        <v>213</v>
      </c>
      <c r="D1830" s="35">
        <f>D1750</f>
        <v>19.21</v>
      </c>
      <c r="E1830" s="31">
        <f t="shared" si="169"/>
        <v>19.21</v>
      </c>
      <c r="F1830" s="32"/>
    </row>
    <row r="1831" spans="1:6" ht="12.75" hidden="1" customHeight="1">
      <c r="A1831" s="12" t="s">
        <v>428</v>
      </c>
      <c r="B1831" s="30">
        <v>13</v>
      </c>
      <c r="C1831" s="24" t="s">
        <v>1017</v>
      </c>
      <c r="D1831" s="35">
        <f>Prec.!$D$329</f>
        <v>0</v>
      </c>
      <c r="E1831" s="31">
        <f t="shared" si="169"/>
        <v>0</v>
      </c>
      <c r="F1831" s="32"/>
    </row>
    <row r="1832" spans="1:6" ht="12.75" hidden="1" customHeight="1">
      <c r="A1832" s="12" t="s">
        <v>432</v>
      </c>
      <c r="B1832" s="30">
        <v>13</v>
      </c>
      <c r="C1832" s="24" t="s">
        <v>1017</v>
      </c>
      <c r="D1832" s="35">
        <f>Prec.!$D$542</f>
        <v>0.55000000000000004</v>
      </c>
      <c r="E1832" s="31">
        <f t="shared" si="169"/>
        <v>7.15</v>
      </c>
      <c r="F1832" s="32"/>
    </row>
    <row r="1833" spans="1:6" ht="12.75" hidden="1" customHeight="1">
      <c r="A1833" s="12" t="s">
        <v>433</v>
      </c>
      <c r="B1833" s="30">
        <v>13</v>
      </c>
      <c r="C1833" s="24" t="s">
        <v>1017</v>
      </c>
      <c r="D1833" s="35">
        <f>Prec.!$D$547</f>
        <v>1.1499999999999999</v>
      </c>
      <c r="E1833" s="31">
        <f t="shared" si="169"/>
        <v>14.95</v>
      </c>
      <c r="F1833" s="32"/>
    </row>
    <row r="1834" spans="1:6" ht="12.75" hidden="1" customHeight="1">
      <c r="A1834" s="12" t="s">
        <v>1184</v>
      </c>
      <c r="B1834" s="30">
        <v>13</v>
      </c>
      <c r="C1834" s="24" t="s">
        <v>1017</v>
      </c>
      <c r="D1834" s="35">
        <f>D1754</f>
        <v>1.3569999999999998</v>
      </c>
      <c r="E1834" s="31">
        <f>ROUND(B1834*D1834,2)</f>
        <v>17.64</v>
      </c>
      <c r="F1834" s="32"/>
    </row>
    <row r="1835" spans="1:6" ht="12.75" hidden="1" customHeight="1">
      <c r="A1835" s="12" t="s">
        <v>208</v>
      </c>
      <c r="B1835" s="14">
        <f>SUM(E1825:E1834)</f>
        <v>1084.2300000000002</v>
      </c>
      <c r="C1835" s="24" t="s">
        <v>209</v>
      </c>
      <c r="D1835" s="35">
        <v>0.02</v>
      </c>
      <c r="E1835" s="31">
        <f t="shared" si="169"/>
        <v>21.68</v>
      </c>
      <c r="F1835" s="32">
        <f>SUM(E1825:E1835)</f>
        <v>1105.9100000000003</v>
      </c>
    </row>
    <row r="1836" spans="1:6" ht="12.75" hidden="1" customHeight="1">
      <c r="A1836" s="12"/>
      <c r="B1836" s="14"/>
      <c r="C1836" s="24"/>
      <c r="D1836" s="35"/>
      <c r="E1836" s="31"/>
      <c r="F1836" s="32"/>
    </row>
    <row r="1837" spans="1:6" ht="12.75" customHeight="1">
      <c r="A1837" s="698" t="s">
        <v>1571</v>
      </c>
      <c r="B1837" s="705"/>
      <c r="C1837" s="700"/>
      <c r="D1837" s="708"/>
      <c r="E1837" s="709" t="s">
        <v>151</v>
      </c>
      <c r="F1837" s="710" t="s">
        <v>213</v>
      </c>
    </row>
    <row r="1838" spans="1:6" ht="12.75" customHeight="1">
      <c r="A1838" s="704" t="s">
        <v>429</v>
      </c>
      <c r="B1838" s="705">
        <v>13</v>
      </c>
      <c r="C1838" s="700" t="s">
        <v>1017</v>
      </c>
      <c r="D1838" s="708">
        <f>Prec.!$C$87</f>
        <v>34</v>
      </c>
      <c r="E1838" s="702">
        <f t="shared" ref="E1838:E1846" si="170">ROUND(B1838*D1838,2)</f>
        <v>442</v>
      </c>
      <c r="F1838" s="703"/>
    </row>
    <row r="1839" spans="1:6" ht="12.75" customHeight="1">
      <c r="A1839" s="704" t="s">
        <v>1575</v>
      </c>
      <c r="B1839" s="705">
        <v>2.4E-2</v>
      </c>
      <c r="C1839" s="700" t="s">
        <v>216</v>
      </c>
      <c r="D1839" s="708">
        <f>Prec.!$C$53</f>
        <v>3200</v>
      </c>
      <c r="E1839" s="702">
        <f t="shared" si="170"/>
        <v>76.8</v>
      </c>
      <c r="F1839" s="703"/>
    </row>
    <row r="1840" spans="1:6" ht="12.75" customHeight="1">
      <c r="A1840" s="704" t="s">
        <v>217</v>
      </c>
      <c r="B1840" s="705">
        <f>B1839*2</f>
        <v>4.8000000000000001E-2</v>
      </c>
      <c r="C1840" s="700" t="s">
        <v>218</v>
      </c>
      <c r="D1840" s="708">
        <f>Prec.!$C$75</f>
        <v>60</v>
      </c>
      <c r="E1840" s="702">
        <f t="shared" si="170"/>
        <v>2.88</v>
      </c>
      <c r="F1840" s="703"/>
    </row>
    <row r="1841" spans="1:6" ht="12.75" customHeight="1">
      <c r="A1841" s="704" t="s">
        <v>427</v>
      </c>
      <c r="B1841" s="705">
        <v>0.02</v>
      </c>
      <c r="C1841" s="700" t="s">
        <v>825</v>
      </c>
      <c r="D1841" s="708">
        <f>horm.ymez.!D8</f>
        <v>6851.01</v>
      </c>
      <c r="E1841" s="702">
        <f t="shared" si="170"/>
        <v>137.02000000000001</v>
      </c>
      <c r="F1841" s="703"/>
    </row>
    <row r="1842" spans="1:6" ht="12.75" customHeight="1">
      <c r="A1842" s="704" t="s">
        <v>421</v>
      </c>
      <c r="B1842" s="705">
        <v>8.9999999999999993E-3</v>
      </c>
      <c r="C1842" s="700" t="s">
        <v>825</v>
      </c>
      <c r="D1842" s="708">
        <f>horm.ymez.!D14</f>
        <v>5373.880000000001</v>
      </c>
      <c r="E1842" s="702">
        <f t="shared" si="170"/>
        <v>48.36</v>
      </c>
      <c r="F1842" s="703"/>
    </row>
    <row r="1843" spans="1:6" ht="12.75" customHeight="1">
      <c r="A1843" s="704" t="s">
        <v>430</v>
      </c>
      <c r="B1843" s="705">
        <v>1</v>
      </c>
      <c r="C1843" s="700" t="s">
        <v>213</v>
      </c>
      <c r="D1843" s="708">
        <f>F1005</f>
        <v>19.21</v>
      </c>
      <c r="E1843" s="702">
        <f t="shared" si="170"/>
        <v>19.21</v>
      </c>
      <c r="F1843" s="703"/>
    </row>
    <row r="1844" spans="1:6" ht="12.75" customHeight="1">
      <c r="A1844" s="704" t="s">
        <v>428</v>
      </c>
      <c r="B1844" s="705">
        <v>13</v>
      </c>
      <c r="C1844" s="700" t="s">
        <v>1017</v>
      </c>
      <c r="D1844" s="708">
        <f>Prec.!C328</f>
        <v>23.46</v>
      </c>
      <c r="E1844" s="702">
        <f t="shared" si="170"/>
        <v>304.98</v>
      </c>
      <c r="F1844" s="703"/>
    </row>
    <row r="1845" spans="1:6" ht="12.75" customHeight="1">
      <c r="A1845" s="704" t="s">
        <v>432</v>
      </c>
      <c r="B1845" s="705">
        <v>13</v>
      </c>
      <c r="C1845" s="700" t="s">
        <v>1017</v>
      </c>
      <c r="D1845" s="708">
        <f>D1530</f>
        <v>0.63249999999999995</v>
      </c>
      <c r="E1845" s="702">
        <f t="shared" si="170"/>
        <v>8.2200000000000006</v>
      </c>
      <c r="F1845" s="703"/>
    </row>
    <row r="1846" spans="1:6" ht="12.75" customHeight="1">
      <c r="A1846" s="704" t="s">
        <v>433</v>
      </c>
      <c r="B1846" s="705">
        <v>13</v>
      </c>
      <c r="C1846" s="700" t="s">
        <v>1017</v>
      </c>
      <c r="D1846" s="708">
        <f>D1531</f>
        <v>1.3224999999999998</v>
      </c>
      <c r="E1846" s="702">
        <f t="shared" si="170"/>
        <v>17.190000000000001</v>
      </c>
      <c r="F1846" s="703"/>
    </row>
    <row r="1847" spans="1:6" ht="12.75" customHeight="1">
      <c r="A1847" s="704" t="s">
        <v>1185</v>
      </c>
      <c r="B1847" s="705">
        <v>13</v>
      </c>
      <c r="C1847" s="700" t="s">
        <v>1017</v>
      </c>
      <c r="D1847" s="708">
        <f>Prec.!C407</f>
        <v>1.8514999999999999</v>
      </c>
      <c r="E1847" s="702">
        <f>ROUND(B1847*D1847,2)</f>
        <v>24.07</v>
      </c>
      <c r="F1847" s="703"/>
    </row>
    <row r="1848" spans="1:6" ht="12.75" customHeight="1">
      <c r="A1848" s="704" t="s">
        <v>208</v>
      </c>
      <c r="B1848" s="711">
        <f>SUM(E1838:E1842)</f>
        <v>707.06</v>
      </c>
      <c r="C1848" s="700" t="s">
        <v>209</v>
      </c>
      <c r="D1848" s="708">
        <v>0.02</v>
      </c>
      <c r="E1848" s="702">
        <f>ROUND(B1848*D1848,2)</f>
        <v>14.14</v>
      </c>
      <c r="F1848" s="703">
        <f>SUM(E1838:E1848)</f>
        <v>1094.8700000000001</v>
      </c>
    </row>
    <row r="1849" spans="1:6" ht="12.75" customHeight="1">
      <c r="A1849" s="12"/>
      <c r="B1849" s="14"/>
      <c r="C1849" s="24"/>
      <c r="D1849" s="35"/>
      <c r="E1849" s="31"/>
      <c r="F1849" s="32"/>
    </row>
    <row r="1850" spans="1:6" ht="12.75" customHeight="1">
      <c r="A1850" s="13" t="s">
        <v>220</v>
      </c>
      <c r="B1850" s="30"/>
      <c r="C1850" s="24"/>
      <c r="D1850" s="35"/>
      <c r="E1850" s="43" t="s">
        <v>151</v>
      </c>
      <c r="F1850" s="44" t="s">
        <v>213</v>
      </c>
    </row>
    <row r="1851" spans="1:6" ht="12.75" customHeight="1">
      <c r="A1851" s="12" t="s">
        <v>2</v>
      </c>
      <c r="B1851" s="30">
        <v>2.1000000000000001E-2</v>
      </c>
      <c r="C1851" s="24" t="s">
        <v>1172</v>
      </c>
      <c r="D1851" s="41">
        <f>Prec.!$C$6</f>
        <v>900</v>
      </c>
      <c r="E1851" s="31">
        <f t="shared" ref="E1851:E1857" si="171">ROUND(B1851*D1851,2)</f>
        <v>18.899999999999999</v>
      </c>
      <c r="F1851" s="44"/>
    </row>
    <row r="1852" spans="1:6" ht="12.75" customHeight="1">
      <c r="A1852" s="12" t="s">
        <v>170</v>
      </c>
      <c r="B1852" s="30">
        <v>25.75</v>
      </c>
      <c r="C1852" s="24" t="s">
        <v>1017</v>
      </c>
      <c r="D1852" s="35">
        <f>Prec.!$C$91</f>
        <v>225</v>
      </c>
      <c r="E1852" s="31">
        <f t="shared" si="171"/>
        <v>5793.75</v>
      </c>
      <c r="F1852" s="32"/>
    </row>
    <row r="1853" spans="1:6" ht="12.75" customHeight="1">
      <c r="A1853" s="12" t="s">
        <v>430</v>
      </c>
      <c r="B1853" s="30">
        <v>1</v>
      </c>
      <c r="C1853" s="24" t="s">
        <v>213</v>
      </c>
      <c r="D1853" s="35">
        <f>D1843</f>
        <v>19.21</v>
      </c>
      <c r="E1853" s="31">
        <f t="shared" si="171"/>
        <v>19.21</v>
      </c>
      <c r="F1853" s="32"/>
    </row>
    <row r="1854" spans="1:6" ht="12.75" customHeight="1">
      <c r="A1854" s="12" t="s">
        <v>428</v>
      </c>
      <c r="B1854" s="30">
        <v>25</v>
      </c>
      <c r="C1854" s="24" t="s">
        <v>1017</v>
      </c>
      <c r="D1854" s="35">
        <f>Prec.!$D$336</f>
        <v>0</v>
      </c>
      <c r="E1854" s="31">
        <f t="shared" si="171"/>
        <v>0</v>
      </c>
      <c r="F1854" s="32"/>
    </row>
    <row r="1855" spans="1:6" ht="12.75" customHeight="1">
      <c r="A1855" s="12" t="s">
        <v>111</v>
      </c>
      <c r="B1855" s="30">
        <v>1</v>
      </c>
      <c r="C1855" s="24" t="s">
        <v>213</v>
      </c>
      <c r="D1855" s="35">
        <f>Prec.!$D$338</f>
        <v>0</v>
      </c>
      <c r="E1855" s="31">
        <f t="shared" si="171"/>
        <v>0</v>
      </c>
      <c r="F1855" s="32"/>
    </row>
    <row r="1856" spans="1:6" ht="12.75" customHeight="1">
      <c r="A1856" s="12" t="s">
        <v>1186</v>
      </c>
      <c r="B1856" s="30">
        <v>25</v>
      </c>
      <c r="C1856" s="24" t="s">
        <v>1017</v>
      </c>
      <c r="D1856" s="35">
        <f>Prec.!$D$402</f>
        <v>1.18</v>
      </c>
      <c r="E1856" s="31">
        <f t="shared" si="171"/>
        <v>29.5</v>
      </c>
      <c r="F1856" s="32"/>
    </row>
    <row r="1857" spans="1:13" ht="12.75" customHeight="1">
      <c r="A1857" s="12" t="s">
        <v>208</v>
      </c>
      <c r="B1857" s="14">
        <f>SUM(E1851:E1856)</f>
        <v>5861.36</v>
      </c>
      <c r="C1857" s="24" t="s">
        <v>209</v>
      </c>
      <c r="D1857" s="35">
        <f>D1848</f>
        <v>0.02</v>
      </c>
      <c r="E1857" s="31">
        <f t="shared" si="171"/>
        <v>117.23</v>
      </c>
      <c r="F1857" s="32">
        <f>SUM(E1851:E1857)</f>
        <v>5978.5899999999992</v>
      </c>
    </row>
    <row r="1858" spans="1:13" ht="12.75" customHeight="1">
      <c r="A1858" s="29"/>
      <c r="B1858" s="14"/>
      <c r="C1858" s="24"/>
      <c r="D1858" s="35"/>
      <c r="E1858" s="31"/>
      <c r="F1858" s="32"/>
    </row>
    <row r="1859" spans="1:13" s="166" customFormat="1" ht="12.75" customHeight="1">
      <c r="A1859" s="29"/>
      <c r="B1859" s="14"/>
      <c r="C1859" s="24"/>
      <c r="D1859" s="35"/>
      <c r="E1859" s="31"/>
      <c r="F1859" s="32"/>
      <c r="G1859" s="15"/>
      <c r="H1859" s="21"/>
      <c r="I1859" s="15"/>
      <c r="J1859" s="15"/>
      <c r="K1859" s="15"/>
      <c r="L1859" s="21"/>
      <c r="M1859" s="15"/>
    </row>
    <row r="1860" spans="1:13" s="166" customFormat="1" ht="12.75" customHeight="1">
      <c r="A1860" s="29"/>
      <c r="B1860" s="14"/>
      <c r="C1860" s="24"/>
      <c r="D1860" s="35"/>
      <c r="E1860" s="31"/>
      <c r="F1860" s="32"/>
      <c r="G1860" s="15"/>
      <c r="H1860" s="21"/>
      <c r="I1860" s="15"/>
      <c r="J1860" s="15"/>
      <c r="K1860" s="15"/>
      <c r="L1860" s="21"/>
      <c r="M1860" s="15"/>
    </row>
    <row r="1861" spans="1:13" ht="12.75" customHeight="1">
      <c r="A1861" s="698" t="s">
        <v>49</v>
      </c>
      <c r="B1861" s="711"/>
      <c r="C1861" s="700"/>
      <c r="D1861" s="708"/>
      <c r="E1861" s="702"/>
      <c r="F1861" s="703"/>
    </row>
    <row r="1862" spans="1:13" ht="12.75" customHeight="1">
      <c r="A1862" s="704" t="s">
        <v>50</v>
      </c>
      <c r="B1862" s="713">
        <v>12.88</v>
      </c>
      <c r="C1862" s="700" t="s">
        <v>1017</v>
      </c>
      <c r="D1862" s="708">
        <f>D1563</f>
        <v>85</v>
      </c>
      <c r="E1862" s="702">
        <f>B1862*D1862</f>
        <v>1094.8</v>
      </c>
      <c r="F1862" s="703"/>
    </row>
    <row r="1863" spans="1:13" ht="12.75" customHeight="1">
      <c r="A1863" s="704" t="s">
        <v>427</v>
      </c>
      <c r="B1863" s="713">
        <v>4.0000000000000001E-3</v>
      </c>
      <c r="C1863" s="700" t="s">
        <v>825</v>
      </c>
      <c r="D1863" s="708">
        <f>D1841</f>
        <v>6851.01</v>
      </c>
      <c r="E1863" s="702">
        <f>ROUND(B1863*D1863,2)</f>
        <v>27.4</v>
      </c>
      <c r="F1863" s="703"/>
    </row>
    <row r="1864" spans="1:13">
      <c r="A1864" s="704" t="s">
        <v>47</v>
      </c>
      <c r="B1864" s="713">
        <v>12.5</v>
      </c>
      <c r="C1864" s="700" t="s">
        <v>1017</v>
      </c>
      <c r="D1864" s="708">
        <f>D1565</f>
        <v>43.27</v>
      </c>
      <c r="E1864" s="702">
        <f>ROUND(B1864*D1864,2)</f>
        <v>540.88</v>
      </c>
      <c r="F1864" s="703"/>
    </row>
    <row r="1865" spans="1:13" s="166" customFormat="1" ht="12.75" customHeight="1">
      <c r="A1865" s="704" t="s">
        <v>1186</v>
      </c>
      <c r="B1865" s="705">
        <v>25</v>
      </c>
      <c r="C1865" s="700" t="s">
        <v>1017</v>
      </c>
      <c r="D1865" s="708">
        <f>Prec.!$D$402</f>
        <v>1.18</v>
      </c>
      <c r="E1865" s="702">
        <f t="shared" ref="E1865" si="172">ROUND(B1865*D1865,2)</f>
        <v>29.5</v>
      </c>
      <c r="F1865" s="703"/>
      <c r="G1865" s="15"/>
      <c r="H1865" s="21"/>
      <c r="I1865" s="15"/>
      <c r="J1865" s="15"/>
      <c r="K1865" s="15"/>
      <c r="L1865" s="21"/>
      <c r="M1865" s="15"/>
    </row>
    <row r="1866" spans="1:13" ht="12.75" customHeight="1">
      <c r="A1866" s="704" t="s">
        <v>208</v>
      </c>
      <c r="B1866" s="713">
        <f>SUM(E1862:E1865)</f>
        <v>1692.58</v>
      </c>
      <c r="C1866" s="700" t="s">
        <v>48</v>
      </c>
      <c r="D1866" s="708">
        <f>D1781</f>
        <v>0.02</v>
      </c>
      <c r="E1866" s="702">
        <f>ROUND(B1866*D1866,2)</f>
        <v>33.85</v>
      </c>
      <c r="F1866" s="703">
        <f>SUM(E1862:E1866)</f>
        <v>1726.4299999999998</v>
      </c>
    </row>
    <row r="1867" spans="1:13" ht="12.75" customHeight="1">
      <c r="A1867" s="12"/>
      <c r="B1867" s="14"/>
      <c r="C1867" s="24"/>
      <c r="D1867" s="35"/>
      <c r="E1867" s="31"/>
      <c r="F1867" s="32"/>
    </row>
    <row r="1868" spans="1:13" ht="12.75" customHeight="1">
      <c r="A1868" s="23" t="s">
        <v>902</v>
      </c>
      <c r="B1868" s="14"/>
    </row>
    <row r="1869" spans="1:13" ht="12.75" customHeight="1">
      <c r="A1869" s="2"/>
      <c r="B1869" s="7"/>
    </row>
    <row r="1870" spans="1:13" ht="12.75" hidden="1" customHeight="1">
      <c r="A1870" s="1" t="s">
        <v>922</v>
      </c>
      <c r="E1870" s="27" t="s">
        <v>151</v>
      </c>
      <c r="F1870" s="28" t="s">
        <v>213</v>
      </c>
    </row>
    <row r="1871" spans="1:13" ht="12.75" hidden="1" customHeight="1">
      <c r="A1871" s="4" t="s">
        <v>214</v>
      </c>
      <c r="B1871" s="8">
        <v>13</v>
      </c>
      <c r="C1871" s="6" t="s">
        <v>1017</v>
      </c>
      <c r="D1871" s="37">
        <f>Prec.!$C$85</f>
        <v>48</v>
      </c>
      <c r="E1871" s="25">
        <f t="shared" ref="E1871:E1879" si="173">ROUND(B1871*D1871,2)</f>
        <v>624</v>
      </c>
    </row>
    <row r="1872" spans="1:13" ht="12.75" hidden="1" customHeight="1">
      <c r="A1872" s="4" t="s">
        <v>117</v>
      </c>
      <c r="B1872" s="8">
        <v>6.2E-2</v>
      </c>
      <c r="C1872" s="6" t="s">
        <v>216</v>
      </c>
      <c r="D1872" s="37">
        <f>Prec.!$C$54</f>
        <v>3200</v>
      </c>
      <c r="E1872" s="25">
        <f t="shared" si="173"/>
        <v>198.4</v>
      </c>
    </row>
    <row r="1873" spans="1:6" ht="12.75" hidden="1" customHeight="1">
      <c r="A1873" s="4" t="s">
        <v>217</v>
      </c>
      <c r="B1873" s="8">
        <f>B1872*2</f>
        <v>0.124</v>
      </c>
      <c r="C1873" s="6" t="s">
        <v>218</v>
      </c>
      <c r="D1873" s="37">
        <f>Prec.!$C$75</f>
        <v>60</v>
      </c>
      <c r="E1873" s="25">
        <f t="shared" si="173"/>
        <v>7.44</v>
      </c>
    </row>
    <row r="1874" spans="1:6" ht="12.75" hidden="1" customHeight="1">
      <c r="A1874" s="4" t="s">
        <v>427</v>
      </c>
      <c r="B1874" s="8">
        <v>3.9E-2</v>
      </c>
      <c r="C1874" s="6" t="s">
        <v>825</v>
      </c>
      <c r="D1874" s="37">
        <f>horm.ymez.!E8</f>
        <v>7012.85</v>
      </c>
      <c r="E1874" s="25">
        <f t="shared" si="173"/>
        <v>273.5</v>
      </c>
    </row>
    <row r="1875" spans="1:6" ht="12.75" hidden="1" customHeight="1">
      <c r="A1875" s="4" t="s">
        <v>421</v>
      </c>
      <c r="B1875" s="8">
        <v>7.8E-2</v>
      </c>
      <c r="C1875" s="6" t="s">
        <v>825</v>
      </c>
      <c r="D1875" s="37">
        <f>horm.ymez.!E14</f>
        <v>5567.74</v>
      </c>
      <c r="E1875" s="25">
        <f t="shared" si="173"/>
        <v>434.28</v>
      </c>
    </row>
    <row r="1876" spans="1:6" ht="12.75" hidden="1" customHeight="1">
      <c r="A1876" s="4" t="s">
        <v>430</v>
      </c>
      <c r="B1876" s="8">
        <v>1</v>
      </c>
      <c r="C1876" s="6" t="s">
        <v>213</v>
      </c>
      <c r="D1876" s="37">
        <f>horm.ymez.!E23</f>
        <v>19.440000000000001</v>
      </c>
      <c r="E1876" s="25">
        <f t="shared" si="173"/>
        <v>19.440000000000001</v>
      </c>
    </row>
    <row r="1877" spans="1:6" ht="12.75" hidden="1" customHeight="1">
      <c r="A1877" s="4" t="s">
        <v>428</v>
      </c>
      <c r="B1877" s="8">
        <v>13</v>
      </c>
      <c r="C1877" s="6" t="s">
        <v>1017</v>
      </c>
      <c r="D1877" s="37">
        <f>Prec.!$D$330</f>
        <v>0</v>
      </c>
      <c r="E1877" s="25">
        <f t="shared" si="173"/>
        <v>0</v>
      </c>
    </row>
    <row r="1878" spans="1:6" ht="12.75" hidden="1" customHeight="1">
      <c r="A1878" s="4" t="s">
        <v>432</v>
      </c>
      <c r="B1878" s="8">
        <v>13</v>
      </c>
      <c r="C1878" s="6" t="s">
        <v>1017</v>
      </c>
      <c r="D1878" s="37">
        <f>Prec.!$D$539</f>
        <v>1.7</v>
      </c>
      <c r="E1878" s="25">
        <f t="shared" si="173"/>
        <v>22.1</v>
      </c>
    </row>
    <row r="1879" spans="1:6" ht="12.75" hidden="1" customHeight="1">
      <c r="A1879" s="4" t="s">
        <v>433</v>
      </c>
      <c r="B1879" s="8">
        <v>13</v>
      </c>
      <c r="C1879" s="6" t="s">
        <v>1017</v>
      </c>
      <c r="D1879" s="37">
        <f>Prec.!$D$544</f>
        <v>4.2699999999999996</v>
      </c>
      <c r="E1879" s="25">
        <f t="shared" si="173"/>
        <v>55.51</v>
      </c>
    </row>
    <row r="1880" spans="1:6" ht="12.75" hidden="1" customHeight="1">
      <c r="A1880" s="4" t="s">
        <v>1183</v>
      </c>
      <c r="B1880" s="8">
        <v>13</v>
      </c>
      <c r="C1880" s="6" t="s">
        <v>1017</v>
      </c>
      <c r="D1880" s="37">
        <f>Prec.!D398</f>
        <v>2.21</v>
      </c>
      <c r="E1880" s="25">
        <f>ROUND(B1880*D1880,2)</f>
        <v>28.73</v>
      </c>
    </row>
    <row r="1881" spans="1:6" ht="12.75" hidden="1" customHeight="1">
      <c r="A1881" s="4" t="s">
        <v>208</v>
      </c>
      <c r="B1881" s="7">
        <f>SUM(E1871:E1880)</f>
        <v>1663.4</v>
      </c>
      <c r="C1881" s="6" t="s">
        <v>209</v>
      </c>
      <c r="D1881" s="37">
        <f>D1857</f>
        <v>0.02</v>
      </c>
      <c r="E1881" s="25">
        <f>ROUND(B1881*D1881,2)</f>
        <v>33.270000000000003</v>
      </c>
      <c r="F1881" s="26">
        <f>SUM(E1871:E1881)</f>
        <v>1696.67</v>
      </c>
    </row>
    <row r="1882" spans="1:6" ht="12.75" hidden="1" customHeight="1">
      <c r="B1882" s="7"/>
    </row>
    <row r="1883" spans="1:6" ht="12.75" hidden="1" customHeight="1">
      <c r="A1883" s="13" t="s">
        <v>930</v>
      </c>
      <c r="E1883" s="27" t="s">
        <v>151</v>
      </c>
      <c r="F1883" s="28" t="s">
        <v>213</v>
      </c>
    </row>
    <row r="1884" spans="1:6" ht="12.75" hidden="1" customHeight="1">
      <c r="A1884" s="4" t="s">
        <v>214</v>
      </c>
      <c r="B1884" s="8">
        <v>13</v>
      </c>
      <c r="C1884" s="6" t="s">
        <v>1017</v>
      </c>
      <c r="D1884" s="37">
        <f>Prec.!$C$85</f>
        <v>48</v>
      </c>
      <c r="E1884" s="25">
        <f t="shared" ref="E1884:E1892" si="174">ROUND(B1884*D1884,2)</f>
        <v>624</v>
      </c>
    </row>
    <row r="1885" spans="1:6" ht="12.75" hidden="1" customHeight="1">
      <c r="A1885" s="4" t="s">
        <v>117</v>
      </c>
      <c r="B1885" s="8">
        <v>3.6999999999999998E-2</v>
      </c>
      <c r="C1885" s="6" t="s">
        <v>216</v>
      </c>
      <c r="D1885" s="37">
        <f>Prec.!$C$54</f>
        <v>3200</v>
      </c>
      <c r="E1885" s="25">
        <f t="shared" si="174"/>
        <v>118.4</v>
      </c>
    </row>
    <row r="1886" spans="1:6" ht="12.75" hidden="1" customHeight="1">
      <c r="A1886" s="4" t="s">
        <v>217</v>
      </c>
      <c r="B1886" s="8">
        <f>B1885*2</f>
        <v>7.3999999999999996E-2</v>
      </c>
      <c r="C1886" s="6" t="s">
        <v>218</v>
      </c>
      <c r="D1886" s="37">
        <f>Prec.!$C$75</f>
        <v>60</v>
      </c>
      <c r="E1886" s="25">
        <f t="shared" si="174"/>
        <v>4.4400000000000004</v>
      </c>
    </row>
    <row r="1887" spans="1:6" ht="12.75" hidden="1" customHeight="1">
      <c r="A1887" s="4" t="s">
        <v>427</v>
      </c>
      <c r="B1887" s="8">
        <v>3.9E-2</v>
      </c>
      <c r="C1887" s="6" t="s">
        <v>825</v>
      </c>
      <c r="D1887" s="37">
        <f>horm.ymez.!E8</f>
        <v>7012.85</v>
      </c>
      <c r="E1887" s="25">
        <f t="shared" si="174"/>
        <v>273.5</v>
      </c>
    </row>
    <row r="1888" spans="1:6" ht="12.75" hidden="1" customHeight="1">
      <c r="A1888" s="4" t="s">
        <v>421</v>
      </c>
      <c r="B1888" s="8">
        <v>7.8E-2</v>
      </c>
      <c r="C1888" s="6" t="s">
        <v>825</v>
      </c>
      <c r="D1888" s="37">
        <f>horm.ymez.!E14</f>
        <v>5567.74</v>
      </c>
      <c r="E1888" s="25">
        <f t="shared" si="174"/>
        <v>434.28</v>
      </c>
    </row>
    <row r="1889" spans="1:6" ht="12.75" hidden="1" customHeight="1">
      <c r="A1889" s="4" t="s">
        <v>430</v>
      </c>
      <c r="B1889" s="8">
        <v>1</v>
      </c>
      <c r="C1889" s="6" t="s">
        <v>213</v>
      </c>
      <c r="D1889" s="37">
        <f>horm.ymez.!E23</f>
        <v>19.440000000000001</v>
      </c>
      <c r="E1889" s="25">
        <f t="shared" si="174"/>
        <v>19.440000000000001</v>
      </c>
    </row>
    <row r="1890" spans="1:6" ht="12.75" hidden="1" customHeight="1">
      <c r="A1890" s="4" t="s">
        <v>428</v>
      </c>
      <c r="B1890" s="8">
        <v>13</v>
      </c>
      <c r="C1890" s="6" t="s">
        <v>1017</v>
      </c>
      <c r="D1890" s="37">
        <f>Prec.!$D$330</f>
        <v>0</v>
      </c>
      <c r="E1890" s="25">
        <f t="shared" si="174"/>
        <v>0</v>
      </c>
    </row>
    <row r="1891" spans="1:6" ht="12.75" hidden="1" customHeight="1">
      <c r="A1891" s="4" t="s">
        <v>432</v>
      </c>
      <c r="B1891" s="8">
        <v>13</v>
      </c>
      <c r="C1891" s="6" t="s">
        <v>1017</v>
      </c>
      <c r="D1891" s="37">
        <f>Prec.!$D$540</f>
        <v>1.1499999999999999</v>
      </c>
      <c r="E1891" s="25">
        <f t="shared" si="174"/>
        <v>14.95</v>
      </c>
    </row>
    <row r="1892" spans="1:6" ht="12.75" hidden="1" customHeight="1">
      <c r="A1892" s="4" t="s">
        <v>433</v>
      </c>
      <c r="B1892" s="8">
        <v>13</v>
      </c>
      <c r="C1892" s="6" t="s">
        <v>1017</v>
      </c>
      <c r="D1892" s="37">
        <f>Prec.!D544</f>
        <v>4.2699999999999996</v>
      </c>
      <c r="E1892" s="25">
        <f t="shared" si="174"/>
        <v>55.51</v>
      </c>
    </row>
    <row r="1893" spans="1:6" ht="12.75" hidden="1" customHeight="1">
      <c r="A1893" s="4" t="s">
        <v>1183</v>
      </c>
      <c r="B1893" s="8">
        <v>13</v>
      </c>
      <c r="C1893" s="6" t="s">
        <v>1017</v>
      </c>
      <c r="D1893" s="37">
        <f>Prec.!D398</f>
        <v>2.21</v>
      </c>
      <c r="E1893" s="25">
        <f>ROUND(B1893*D1893,2)</f>
        <v>28.73</v>
      </c>
    </row>
    <row r="1894" spans="1:6" ht="12.75" hidden="1" customHeight="1">
      <c r="A1894" s="4" t="s">
        <v>208</v>
      </c>
      <c r="B1894" s="7">
        <f>SUM(E1884:E1893)</f>
        <v>1573.25</v>
      </c>
      <c r="C1894" s="6" t="s">
        <v>209</v>
      </c>
      <c r="D1894" s="37">
        <f>D1881</f>
        <v>0.02</v>
      </c>
      <c r="E1894" s="25">
        <f>ROUND(B1894*D1894,2)</f>
        <v>31.47</v>
      </c>
      <c r="F1894" s="26">
        <f>SUM(E1884:E1894)</f>
        <v>1604.72</v>
      </c>
    </row>
    <row r="1895" spans="1:6" ht="10.15" hidden="1" customHeight="1">
      <c r="B1895" s="7"/>
    </row>
    <row r="1896" spans="1:6" ht="12.75" hidden="1" customHeight="1">
      <c r="A1896" s="1" t="s">
        <v>931</v>
      </c>
      <c r="E1896" s="27" t="s">
        <v>151</v>
      </c>
      <c r="F1896" s="28" t="s">
        <v>213</v>
      </c>
    </row>
    <row r="1897" spans="1:6" ht="12.75" hidden="1" customHeight="1">
      <c r="A1897" s="4" t="s">
        <v>214</v>
      </c>
      <c r="B1897" s="8">
        <v>13</v>
      </c>
      <c r="C1897" s="6" t="s">
        <v>1017</v>
      </c>
      <c r="D1897" s="37">
        <f>Prec.!$C$85</f>
        <v>48</v>
      </c>
      <c r="E1897" s="25">
        <f t="shared" ref="E1897:E1905" si="175">ROUND(B1897*D1897,2)</f>
        <v>624</v>
      </c>
    </row>
    <row r="1898" spans="1:6" ht="12.75" hidden="1" customHeight="1">
      <c r="A1898" s="4" t="s">
        <v>117</v>
      </c>
      <c r="B1898" s="8">
        <v>2.4E-2</v>
      </c>
      <c r="C1898" s="6" t="s">
        <v>216</v>
      </c>
      <c r="D1898" s="37">
        <f>Prec.!$C$54</f>
        <v>3200</v>
      </c>
      <c r="E1898" s="25">
        <f t="shared" si="175"/>
        <v>76.8</v>
      </c>
    </row>
    <row r="1899" spans="1:6" ht="12.75" hidden="1" customHeight="1">
      <c r="A1899" s="4" t="s">
        <v>217</v>
      </c>
      <c r="B1899" s="8">
        <f>B1898*2</f>
        <v>4.8000000000000001E-2</v>
      </c>
      <c r="C1899" s="6" t="s">
        <v>218</v>
      </c>
      <c r="D1899" s="37">
        <f>Prec.!$C$75</f>
        <v>60</v>
      </c>
      <c r="E1899" s="25">
        <f t="shared" si="175"/>
        <v>2.88</v>
      </c>
    </row>
    <row r="1900" spans="1:6" ht="12.75" hidden="1" customHeight="1">
      <c r="A1900" s="4" t="s">
        <v>427</v>
      </c>
      <c r="B1900" s="8">
        <v>3.9E-2</v>
      </c>
      <c r="C1900" s="6" t="s">
        <v>825</v>
      </c>
      <c r="D1900" s="37">
        <f>horm.ymez.!E8</f>
        <v>7012.85</v>
      </c>
      <c r="E1900" s="25">
        <f t="shared" si="175"/>
        <v>273.5</v>
      </c>
    </row>
    <row r="1901" spans="1:6" ht="12.75" hidden="1" customHeight="1">
      <c r="A1901" s="4" t="s">
        <v>421</v>
      </c>
      <c r="B1901" s="8">
        <v>7.8E-2</v>
      </c>
      <c r="C1901" s="6" t="s">
        <v>825</v>
      </c>
      <c r="D1901" s="37">
        <f>horm.ymez.!E14</f>
        <v>5567.74</v>
      </c>
      <c r="E1901" s="25">
        <f t="shared" si="175"/>
        <v>434.28</v>
      </c>
    </row>
    <row r="1902" spans="1:6" ht="12.75" hidden="1" customHeight="1">
      <c r="A1902" s="4" t="s">
        <v>430</v>
      </c>
      <c r="B1902" s="8">
        <v>1</v>
      </c>
      <c r="C1902" s="6" t="s">
        <v>213</v>
      </c>
      <c r="D1902" s="37">
        <f>D1876</f>
        <v>19.440000000000001</v>
      </c>
      <c r="E1902" s="25">
        <f t="shared" si="175"/>
        <v>19.440000000000001</v>
      </c>
    </row>
    <row r="1903" spans="1:6" ht="12.75" hidden="1" customHeight="1">
      <c r="A1903" s="4" t="s">
        <v>428</v>
      </c>
      <c r="B1903" s="8">
        <v>13</v>
      </c>
      <c r="C1903" s="6" t="s">
        <v>1017</v>
      </c>
      <c r="D1903" s="37">
        <f>Prec.!$D$330</f>
        <v>0</v>
      </c>
      <c r="E1903" s="25">
        <f t="shared" si="175"/>
        <v>0</v>
      </c>
    </row>
    <row r="1904" spans="1:6" ht="12.75" hidden="1" customHeight="1">
      <c r="A1904" s="4" t="s">
        <v>432</v>
      </c>
      <c r="B1904" s="8">
        <v>13</v>
      </c>
      <c r="C1904" s="6" t="s">
        <v>1017</v>
      </c>
      <c r="D1904" s="37">
        <f>Prec.!$D$542</f>
        <v>0.55000000000000004</v>
      </c>
      <c r="E1904" s="25">
        <f t="shared" si="175"/>
        <v>7.15</v>
      </c>
    </row>
    <row r="1905" spans="1:13" ht="12.75" hidden="1" customHeight="1">
      <c r="A1905" s="4" t="s">
        <v>433</v>
      </c>
      <c r="B1905" s="8">
        <v>13</v>
      </c>
      <c r="C1905" s="6" t="s">
        <v>1017</v>
      </c>
      <c r="D1905" s="37">
        <f>Prec.!D544</f>
        <v>4.2699999999999996</v>
      </c>
      <c r="E1905" s="25">
        <f t="shared" si="175"/>
        <v>55.51</v>
      </c>
    </row>
    <row r="1906" spans="1:13" ht="12.75" hidden="1" customHeight="1">
      <c r="A1906" s="4" t="s">
        <v>1183</v>
      </c>
      <c r="B1906" s="8">
        <v>13</v>
      </c>
      <c r="C1906" s="6" t="s">
        <v>1017</v>
      </c>
      <c r="D1906" s="37">
        <f>D1880</f>
        <v>2.21</v>
      </c>
      <c r="E1906" s="25">
        <f>ROUND(B1906*D1906,2)</f>
        <v>28.73</v>
      </c>
    </row>
    <row r="1907" spans="1:13" ht="12.75" hidden="1" customHeight="1">
      <c r="A1907" s="4" t="s">
        <v>208</v>
      </c>
      <c r="B1907" s="7">
        <f>SUM(E1897:E1906)</f>
        <v>1522.2900000000002</v>
      </c>
      <c r="C1907" s="6" t="s">
        <v>209</v>
      </c>
      <c r="D1907" s="37">
        <f>D1881</f>
        <v>0.02</v>
      </c>
      <c r="E1907" s="25">
        <f>ROUND(B1907*D1907,2)</f>
        <v>30.45</v>
      </c>
      <c r="F1907" s="26">
        <f>SUM(E1897:E1907)</f>
        <v>1552.7400000000002</v>
      </c>
    </row>
    <row r="1908" spans="1:13" ht="12.95" hidden="1" customHeight="1">
      <c r="B1908" s="7"/>
    </row>
    <row r="1909" spans="1:13" s="166" customFormat="1" ht="12.95" hidden="1" customHeight="1">
      <c r="B1909" s="7"/>
      <c r="C1909" s="165"/>
      <c r="D1909" s="37"/>
      <c r="E1909" s="25"/>
      <c r="F1909" s="26"/>
      <c r="G1909" s="15"/>
      <c r="H1909" s="21"/>
      <c r="I1909" s="15"/>
      <c r="J1909" s="15"/>
      <c r="K1909" s="15"/>
      <c r="L1909" s="21"/>
      <c r="M1909" s="15"/>
    </row>
    <row r="1910" spans="1:13" s="166" customFormat="1" ht="12.95" hidden="1" customHeight="1">
      <c r="B1910" s="7"/>
      <c r="C1910" s="165"/>
      <c r="D1910" s="37"/>
      <c r="E1910" s="25"/>
      <c r="F1910" s="26"/>
      <c r="G1910" s="15"/>
      <c r="H1910" s="21"/>
      <c r="I1910" s="15"/>
      <c r="J1910" s="15"/>
      <c r="K1910" s="15"/>
      <c r="L1910" s="21"/>
      <c r="M1910" s="15"/>
    </row>
    <row r="1911" spans="1:13" ht="12.75" hidden="1" customHeight="1">
      <c r="A1911" s="1" t="s">
        <v>921</v>
      </c>
      <c r="E1911" s="27" t="s">
        <v>151</v>
      </c>
      <c r="F1911" s="28" t="s">
        <v>213</v>
      </c>
    </row>
    <row r="1912" spans="1:13" ht="12.75" hidden="1" customHeight="1">
      <c r="A1912" s="4" t="s">
        <v>214</v>
      </c>
      <c r="B1912" s="8">
        <v>13</v>
      </c>
      <c r="C1912" s="6" t="s">
        <v>1017</v>
      </c>
      <c r="D1912" s="37">
        <f>Prec.!$C$85</f>
        <v>48</v>
      </c>
      <c r="E1912" s="25">
        <f t="shared" ref="E1912:E1920" si="176">ROUND(B1912*D1912,2)</f>
        <v>624</v>
      </c>
    </row>
    <row r="1913" spans="1:13" ht="12.75" hidden="1" customHeight="1">
      <c r="A1913" s="4" t="s">
        <v>117</v>
      </c>
      <c r="B1913" s="8">
        <v>3.6999999999999998E-2</v>
      </c>
      <c r="C1913" s="6" t="s">
        <v>216</v>
      </c>
      <c r="D1913" s="37">
        <f>Prec.!$C$54</f>
        <v>3200</v>
      </c>
      <c r="E1913" s="25">
        <f t="shared" si="176"/>
        <v>118.4</v>
      </c>
    </row>
    <row r="1914" spans="1:13" ht="12.75" hidden="1" customHeight="1">
      <c r="A1914" s="4" t="s">
        <v>217</v>
      </c>
      <c r="B1914" s="8">
        <f>B1913*2</f>
        <v>7.3999999999999996E-2</v>
      </c>
      <c r="C1914" s="6" t="s">
        <v>218</v>
      </c>
      <c r="D1914" s="37">
        <f>Prec.!$C$75</f>
        <v>60</v>
      </c>
      <c r="E1914" s="25">
        <f t="shared" si="176"/>
        <v>4.4400000000000004</v>
      </c>
    </row>
    <row r="1915" spans="1:13" ht="12.75" hidden="1" customHeight="1">
      <c r="A1915" s="4" t="s">
        <v>427</v>
      </c>
      <c r="B1915" s="8">
        <v>3.9E-2</v>
      </c>
      <c r="C1915" s="6" t="s">
        <v>825</v>
      </c>
      <c r="D1915" s="37">
        <f>horm.ymez.!E8</f>
        <v>7012.85</v>
      </c>
      <c r="E1915" s="25">
        <f t="shared" si="176"/>
        <v>273.5</v>
      </c>
    </row>
    <row r="1916" spans="1:13" ht="12.75" hidden="1" customHeight="1">
      <c r="A1916" s="4" t="s">
        <v>421</v>
      </c>
      <c r="B1916" s="8">
        <v>5.1999999999999998E-2</v>
      </c>
      <c r="C1916" s="6" t="s">
        <v>825</v>
      </c>
      <c r="D1916" s="37">
        <f>horm.ymez.!E14</f>
        <v>5567.74</v>
      </c>
      <c r="E1916" s="25">
        <f t="shared" si="176"/>
        <v>289.52</v>
      </c>
    </row>
    <row r="1917" spans="1:13" ht="12.75" hidden="1" customHeight="1">
      <c r="A1917" s="4" t="s">
        <v>430</v>
      </c>
      <c r="B1917" s="8">
        <v>1</v>
      </c>
      <c r="C1917" s="6" t="s">
        <v>213</v>
      </c>
      <c r="D1917" s="37">
        <f>D1902</f>
        <v>19.440000000000001</v>
      </c>
      <c r="E1917" s="25">
        <f t="shared" si="176"/>
        <v>19.440000000000001</v>
      </c>
    </row>
    <row r="1918" spans="1:13" ht="12.75" hidden="1" customHeight="1">
      <c r="A1918" s="4" t="s">
        <v>428</v>
      </c>
      <c r="B1918" s="8">
        <v>13</v>
      </c>
      <c r="C1918" s="6" t="s">
        <v>1017</v>
      </c>
      <c r="D1918" s="37">
        <f>Prec.!$D$330</f>
        <v>0</v>
      </c>
      <c r="E1918" s="25">
        <f t="shared" si="176"/>
        <v>0</v>
      </c>
    </row>
    <row r="1919" spans="1:13" ht="12.75" hidden="1" customHeight="1">
      <c r="A1919" s="4" t="s">
        <v>432</v>
      </c>
      <c r="B1919" s="8">
        <v>13</v>
      </c>
      <c r="C1919" s="6" t="s">
        <v>1017</v>
      </c>
      <c r="D1919" s="37">
        <f>Prec.!$D$540</f>
        <v>1.1499999999999999</v>
      </c>
      <c r="E1919" s="25">
        <f t="shared" si="176"/>
        <v>14.95</v>
      </c>
    </row>
    <row r="1920" spans="1:13" ht="12.75" hidden="1" customHeight="1">
      <c r="A1920" s="4" t="s">
        <v>433</v>
      </c>
      <c r="B1920" s="8">
        <v>13</v>
      </c>
      <c r="C1920" s="6" t="s">
        <v>1017</v>
      </c>
      <c r="D1920" s="37">
        <f>Prec.!$D$545</f>
        <v>2.33</v>
      </c>
      <c r="E1920" s="25">
        <f t="shared" si="176"/>
        <v>30.29</v>
      </c>
    </row>
    <row r="1921" spans="1:200" ht="12.75" hidden="1" customHeight="1">
      <c r="A1921" s="4" t="s">
        <v>1183</v>
      </c>
      <c r="B1921" s="8">
        <v>13</v>
      </c>
      <c r="C1921" s="6" t="s">
        <v>1017</v>
      </c>
      <c r="D1921" s="37">
        <f>D1906</f>
        <v>2.21</v>
      </c>
      <c r="E1921" s="25">
        <f>ROUND(B1921*D1921,2)</f>
        <v>28.73</v>
      </c>
    </row>
    <row r="1922" spans="1:200" ht="12.75" hidden="1" customHeight="1">
      <c r="A1922" s="4" t="s">
        <v>208</v>
      </c>
      <c r="B1922" s="7">
        <f>SUM(E1912:E1921)</f>
        <v>1403.2700000000002</v>
      </c>
      <c r="C1922" s="6" t="s">
        <v>209</v>
      </c>
      <c r="D1922" s="37">
        <f>D1907</f>
        <v>0.02</v>
      </c>
      <c r="E1922" s="25">
        <f>ROUND(B1922*D1922,2)</f>
        <v>28.07</v>
      </c>
      <c r="F1922" s="26">
        <f>SUM(E1912:E1922)</f>
        <v>1431.3400000000001</v>
      </c>
    </row>
    <row r="1923" spans="1:200" ht="6" hidden="1" customHeight="1">
      <c r="B1923" s="7"/>
    </row>
    <row r="1924" spans="1:200" s="51" customFormat="1" ht="12.75" hidden="1" customHeight="1">
      <c r="A1924" s="13" t="s">
        <v>923</v>
      </c>
      <c r="B1924" s="30"/>
      <c r="C1924" s="24"/>
      <c r="D1924" s="35"/>
      <c r="E1924" s="43" t="s">
        <v>151</v>
      </c>
      <c r="F1924" s="44" t="s">
        <v>213</v>
      </c>
      <c r="G1924" s="20"/>
      <c r="H1924" s="22"/>
      <c r="I1924" s="20"/>
      <c r="J1924" s="20"/>
      <c r="K1924" s="20"/>
      <c r="L1924" s="22"/>
      <c r="M1924" s="20"/>
      <c r="N1924" s="12"/>
      <c r="O1924" s="12"/>
      <c r="P1924" s="12"/>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row>
    <row r="1925" spans="1:200" s="51" customFormat="1" ht="12.75" hidden="1" customHeight="1">
      <c r="A1925" s="12" t="s">
        <v>214</v>
      </c>
      <c r="B1925" s="30">
        <v>13</v>
      </c>
      <c r="C1925" s="24" t="s">
        <v>1017</v>
      </c>
      <c r="D1925" s="35">
        <f>Prec.!$C$85</f>
        <v>48</v>
      </c>
      <c r="E1925" s="31">
        <f t="shared" ref="E1925:E1933" si="177">ROUND(B1925*D1925,2)</f>
        <v>624</v>
      </c>
      <c r="F1925" s="32"/>
      <c r="G1925" s="20"/>
      <c r="H1925" s="22"/>
      <c r="I1925" s="20"/>
      <c r="J1925" s="20"/>
      <c r="K1925" s="20"/>
      <c r="L1925" s="22"/>
      <c r="M1925" s="20"/>
      <c r="N1925" s="12"/>
      <c r="O1925" s="12"/>
      <c r="P1925" s="12"/>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row>
    <row r="1926" spans="1:200" s="51" customFormat="1" ht="12.75" hidden="1" customHeight="1">
      <c r="A1926" s="12" t="s">
        <v>117</v>
      </c>
      <c r="B1926" s="30">
        <v>3.2000000000000001E-2</v>
      </c>
      <c r="C1926" s="24" t="s">
        <v>216</v>
      </c>
      <c r="D1926" s="35">
        <f>Prec.!$C$54</f>
        <v>3200</v>
      </c>
      <c r="E1926" s="31">
        <f t="shared" si="177"/>
        <v>102.4</v>
      </c>
      <c r="F1926" s="32"/>
      <c r="G1926" s="20"/>
      <c r="H1926" s="22"/>
      <c r="I1926" s="20"/>
      <c r="J1926" s="20"/>
      <c r="K1926" s="20"/>
      <c r="L1926" s="22"/>
      <c r="M1926" s="20"/>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c r="GJ1926" s="12"/>
      <c r="GK1926" s="12"/>
      <c r="GL1926" s="12"/>
      <c r="GM1926" s="12"/>
      <c r="GN1926" s="12"/>
      <c r="GO1926" s="12"/>
      <c r="GP1926" s="12"/>
      <c r="GQ1926" s="12"/>
      <c r="GR1926" s="12"/>
    </row>
    <row r="1927" spans="1:200" s="51" customFormat="1" ht="12.75" hidden="1" customHeight="1">
      <c r="A1927" s="12" t="s">
        <v>217</v>
      </c>
      <c r="B1927" s="30">
        <f>B1926*2</f>
        <v>6.4000000000000001E-2</v>
      </c>
      <c r="C1927" s="24" t="s">
        <v>218</v>
      </c>
      <c r="D1927" s="35">
        <f>Prec.!$C$75</f>
        <v>60</v>
      </c>
      <c r="E1927" s="31">
        <f t="shared" si="177"/>
        <v>3.84</v>
      </c>
      <c r="F1927" s="32"/>
      <c r="G1927" s="20"/>
      <c r="H1927" s="22"/>
      <c r="I1927" s="20"/>
      <c r="J1927" s="20"/>
      <c r="K1927" s="20"/>
      <c r="L1927" s="22"/>
      <c r="M1927" s="20"/>
      <c r="N1927" s="12"/>
      <c r="O1927" s="12"/>
      <c r="P1927" s="12"/>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row>
    <row r="1928" spans="1:200" s="51" customFormat="1" ht="12.75" hidden="1" customHeight="1">
      <c r="A1928" s="12" t="s">
        <v>427</v>
      </c>
      <c r="B1928" s="30">
        <v>3.9E-2</v>
      </c>
      <c r="C1928" s="24" t="s">
        <v>825</v>
      </c>
      <c r="D1928" s="35">
        <f>horm.ymez.!E8</f>
        <v>7012.85</v>
      </c>
      <c r="E1928" s="31">
        <f t="shared" si="177"/>
        <v>273.5</v>
      </c>
      <c r="F1928" s="32"/>
      <c r="G1928" s="20"/>
      <c r="H1928" s="22"/>
      <c r="I1928" s="20"/>
      <c r="J1928" s="20"/>
      <c r="K1928" s="20"/>
      <c r="L1928" s="22"/>
      <c r="M1928" s="20"/>
      <c r="N1928" s="12"/>
      <c r="O1928" s="12"/>
      <c r="P1928" s="12"/>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row>
    <row r="1929" spans="1:200" s="51" customFormat="1" ht="12.75" hidden="1" customHeight="1">
      <c r="A1929" s="12" t="s">
        <v>421</v>
      </c>
      <c r="B1929" s="30">
        <v>3.3000000000000002E-2</v>
      </c>
      <c r="C1929" s="24" t="s">
        <v>825</v>
      </c>
      <c r="D1929" s="35">
        <f>horm.ymez.!E14</f>
        <v>5567.74</v>
      </c>
      <c r="E1929" s="31">
        <f t="shared" si="177"/>
        <v>183.74</v>
      </c>
      <c r="F1929" s="32"/>
      <c r="G1929" s="20"/>
      <c r="H1929" s="22"/>
      <c r="I1929" s="20"/>
      <c r="J1929" s="20"/>
      <c r="K1929" s="20"/>
      <c r="L1929" s="22"/>
      <c r="M1929" s="20"/>
      <c r="N1929" s="12"/>
      <c r="O1929" s="12"/>
      <c r="P1929" s="12"/>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row>
    <row r="1930" spans="1:200" s="51" customFormat="1" ht="12.75" hidden="1" customHeight="1">
      <c r="A1930" s="12" t="s">
        <v>430</v>
      </c>
      <c r="B1930" s="30">
        <v>1</v>
      </c>
      <c r="C1930" s="24" t="s">
        <v>213</v>
      </c>
      <c r="D1930" s="35">
        <f>D1917</f>
        <v>19.440000000000001</v>
      </c>
      <c r="E1930" s="31">
        <f t="shared" si="177"/>
        <v>19.440000000000001</v>
      </c>
      <c r="F1930" s="32"/>
      <c r="G1930" s="20"/>
      <c r="H1930" s="22"/>
      <c r="I1930" s="20"/>
      <c r="J1930" s="20"/>
      <c r="K1930" s="20"/>
      <c r="L1930" s="22"/>
      <c r="M1930" s="20"/>
      <c r="N1930" s="12"/>
      <c r="O1930" s="12"/>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c r="GH1930" s="12"/>
      <c r="GI1930" s="12"/>
      <c r="GJ1930" s="12"/>
      <c r="GK1930" s="12"/>
      <c r="GL1930" s="12"/>
      <c r="GM1930" s="12"/>
      <c r="GN1930" s="12"/>
      <c r="GO1930" s="12"/>
      <c r="GP1930" s="12"/>
      <c r="GQ1930" s="12"/>
      <c r="GR1930" s="12"/>
    </row>
    <row r="1931" spans="1:200" s="51" customFormat="1" ht="12.75" hidden="1" customHeight="1">
      <c r="A1931" s="12" t="s">
        <v>428</v>
      </c>
      <c r="B1931" s="30">
        <v>13</v>
      </c>
      <c r="C1931" s="24" t="s">
        <v>1017</v>
      </c>
      <c r="D1931" s="35">
        <f>Prec.!$D$330</f>
        <v>0</v>
      </c>
      <c r="E1931" s="31">
        <f t="shared" si="177"/>
        <v>0</v>
      </c>
      <c r="F1931" s="32"/>
      <c r="G1931" s="20"/>
      <c r="H1931" s="22"/>
      <c r="I1931" s="20"/>
      <c r="J1931" s="20"/>
      <c r="K1931" s="20"/>
      <c r="L1931" s="22"/>
      <c r="M1931" s="20"/>
      <c r="N1931" s="12"/>
      <c r="O1931" s="12"/>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c r="GG1931" s="12"/>
      <c r="GH1931" s="12"/>
      <c r="GI1931" s="12"/>
      <c r="GJ1931" s="12"/>
      <c r="GK1931" s="12"/>
      <c r="GL1931" s="12"/>
      <c r="GM1931" s="12"/>
      <c r="GN1931" s="12"/>
      <c r="GO1931" s="12"/>
      <c r="GP1931" s="12"/>
      <c r="GQ1931" s="12"/>
      <c r="GR1931" s="12"/>
    </row>
    <row r="1932" spans="1:200" s="51" customFormat="1" ht="12.75" hidden="1" customHeight="1">
      <c r="A1932" s="12" t="s">
        <v>432</v>
      </c>
      <c r="B1932" s="30">
        <v>13</v>
      </c>
      <c r="C1932" s="24" t="s">
        <v>1017</v>
      </c>
      <c r="D1932" s="35">
        <f>Prec.!D541</f>
        <v>0.85</v>
      </c>
      <c r="E1932" s="31">
        <f t="shared" si="177"/>
        <v>11.05</v>
      </c>
      <c r="F1932" s="32"/>
      <c r="G1932" s="20"/>
      <c r="H1932" s="22"/>
      <c r="I1932" s="20"/>
      <c r="J1932" s="20"/>
      <c r="K1932" s="20"/>
      <c r="L1932" s="22"/>
      <c r="M1932" s="20"/>
      <c r="N1932" s="12"/>
      <c r="O1932" s="12"/>
      <c r="P1932" s="12"/>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c r="GG1932" s="12"/>
      <c r="GH1932" s="12"/>
      <c r="GI1932" s="12"/>
      <c r="GJ1932" s="12"/>
      <c r="GK1932" s="12"/>
      <c r="GL1932" s="12"/>
      <c r="GM1932" s="12"/>
      <c r="GN1932" s="12"/>
      <c r="GO1932" s="12"/>
      <c r="GP1932" s="12"/>
      <c r="GQ1932" s="12"/>
      <c r="GR1932" s="12"/>
    </row>
    <row r="1933" spans="1:200" s="51" customFormat="1" ht="12.75" hidden="1" customHeight="1">
      <c r="A1933" s="12" t="s">
        <v>433</v>
      </c>
      <c r="B1933" s="30">
        <v>13</v>
      </c>
      <c r="C1933" s="24" t="s">
        <v>1017</v>
      </c>
      <c r="D1933" s="35">
        <f>Prec.!D546</f>
        <v>1.7</v>
      </c>
      <c r="E1933" s="31">
        <f t="shared" si="177"/>
        <v>22.1</v>
      </c>
      <c r="F1933" s="32"/>
      <c r="G1933" s="20"/>
      <c r="H1933" s="22"/>
      <c r="I1933" s="20"/>
      <c r="J1933" s="20"/>
      <c r="K1933" s="20"/>
      <c r="L1933" s="22"/>
      <c r="M1933" s="20"/>
      <c r="N1933" s="12"/>
      <c r="O1933" s="12"/>
      <c r="P1933" s="12"/>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row>
    <row r="1934" spans="1:200" s="51" customFormat="1" ht="12.75" hidden="1" customHeight="1">
      <c r="A1934" s="12" t="s">
        <v>1183</v>
      </c>
      <c r="B1934" s="30">
        <v>13</v>
      </c>
      <c r="C1934" s="24" t="s">
        <v>1017</v>
      </c>
      <c r="D1934" s="35">
        <f>D1921</f>
        <v>2.21</v>
      </c>
      <c r="E1934" s="31">
        <f>ROUND(B1934*D1934,2)</f>
        <v>28.73</v>
      </c>
      <c r="F1934" s="32"/>
      <c r="G1934" s="20"/>
      <c r="H1934" s="22"/>
      <c r="I1934" s="20"/>
      <c r="J1934" s="20"/>
      <c r="K1934" s="20"/>
      <c r="L1934" s="22"/>
      <c r="M1934" s="20"/>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row>
    <row r="1935" spans="1:200" s="51" customFormat="1" ht="12.75" hidden="1" customHeight="1">
      <c r="A1935" s="12" t="s">
        <v>208</v>
      </c>
      <c r="B1935" s="14">
        <f>SUM(E1925:E1933)</f>
        <v>1240.07</v>
      </c>
      <c r="C1935" s="24" t="s">
        <v>209</v>
      </c>
      <c r="D1935" s="35">
        <f>D1922</f>
        <v>0.02</v>
      </c>
      <c r="E1935" s="31">
        <f>ROUND(B1935*D1935,2)</f>
        <v>24.8</v>
      </c>
      <c r="F1935" s="32">
        <f>SUM(E1925:E1935)</f>
        <v>1293.5999999999999</v>
      </c>
      <c r="G1935" s="20"/>
      <c r="H1935" s="22"/>
      <c r="I1935" s="20"/>
      <c r="J1935" s="20"/>
      <c r="K1935" s="20"/>
      <c r="L1935" s="22"/>
      <c r="M1935" s="20"/>
      <c r="N1935" s="12"/>
      <c r="O1935" s="12"/>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row>
    <row r="1936" spans="1:200" s="51" customFormat="1" ht="12.75" hidden="1" customHeight="1">
      <c r="A1936" s="12"/>
      <c r="B1936" s="14"/>
      <c r="C1936" s="24"/>
      <c r="D1936" s="35"/>
      <c r="E1936" s="31"/>
      <c r="F1936" s="32"/>
      <c r="G1936" s="20"/>
      <c r="H1936" s="22"/>
      <c r="I1936" s="20"/>
      <c r="J1936" s="20"/>
      <c r="K1936" s="20"/>
      <c r="L1936" s="22"/>
      <c r="M1936" s="20"/>
      <c r="N1936" s="12"/>
      <c r="O1936" s="12"/>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row>
    <row r="1937" spans="1:13" ht="12.75" hidden="1" customHeight="1">
      <c r="A1937" s="13" t="s">
        <v>920</v>
      </c>
      <c r="B1937" s="30"/>
      <c r="C1937" s="24"/>
      <c r="D1937" s="35"/>
      <c r="E1937" s="43" t="s">
        <v>151</v>
      </c>
      <c r="F1937" s="44" t="s">
        <v>213</v>
      </c>
    </row>
    <row r="1938" spans="1:13" ht="12.75" hidden="1" customHeight="1">
      <c r="A1938" s="12" t="s">
        <v>214</v>
      </c>
      <c r="B1938" s="30">
        <v>13</v>
      </c>
      <c r="C1938" s="24" t="s">
        <v>1017</v>
      </c>
      <c r="D1938" s="35">
        <f>Prec.!$C$85</f>
        <v>48</v>
      </c>
      <c r="E1938" s="31">
        <f t="shared" ref="E1938:E1946" si="178">ROUND(B1938*D1938,2)</f>
        <v>624</v>
      </c>
      <c r="F1938" s="32"/>
    </row>
    <row r="1939" spans="1:13" ht="12.75" hidden="1" customHeight="1">
      <c r="A1939" s="12" t="s">
        <v>117</v>
      </c>
      <c r="B1939" s="30">
        <v>2.4E-2</v>
      </c>
      <c r="C1939" s="24" t="s">
        <v>216</v>
      </c>
      <c r="D1939" s="35">
        <f>Prec.!$C$54</f>
        <v>3200</v>
      </c>
      <c r="E1939" s="31">
        <f t="shared" si="178"/>
        <v>76.8</v>
      </c>
      <c r="F1939" s="32"/>
    </row>
    <row r="1940" spans="1:13" ht="12.75" hidden="1" customHeight="1">
      <c r="A1940" s="12" t="s">
        <v>217</v>
      </c>
      <c r="B1940" s="30">
        <f>B1939*2</f>
        <v>4.8000000000000001E-2</v>
      </c>
      <c r="C1940" s="24" t="s">
        <v>218</v>
      </c>
      <c r="D1940" s="35">
        <f>Prec.!$C$75</f>
        <v>60</v>
      </c>
      <c r="E1940" s="31">
        <f t="shared" si="178"/>
        <v>2.88</v>
      </c>
      <c r="F1940" s="32"/>
    </row>
    <row r="1941" spans="1:13" ht="12.75" hidden="1" customHeight="1">
      <c r="A1941" s="12" t="s">
        <v>427</v>
      </c>
      <c r="B1941" s="30">
        <v>3.9E-2</v>
      </c>
      <c r="C1941" s="24" t="s">
        <v>825</v>
      </c>
      <c r="D1941" s="35">
        <f>horm.ymez.!E8</f>
        <v>7012.85</v>
      </c>
      <c r="E1941" s="31">
        <f t="shared" si="178"/>
        <v>273.5</v>
      </c>
      <c r="F1941" s="32"/>
    </row>
    <row r="1942" spans="1:13" ht="12.75" hidden="1" customHeight="1">
      <c r="A1942" s="12" t="s">
        <v>421</v>
      </c>
      <c r="B1942" s="30">
        <v>3.1E-2</v>
      </c>
      <c r="C1942" s="24" t="s">
        <v>825</v>
      </c>
      <c r="D1942" s="35">
        <f>horm.ymez.!E14</f>
        <v>5567.74</v>
      </c>
      <c r="E1942" s="31">
        <f t="shared" si="178"/>
        <v>172.6</v>
      </c>
      <c r="F1942" s="32"/>
    </row>
    <row r="1943" spans="1:13" ht="12.75" hidden="1" customHeight="1">
      <c r="A1943" s="12" t="s">
        <v>430</v>
      </c>
      <c r="B1943" s="30">
        <v>1</v>
      </c>
      <c r="C1943" s="24" t="s">
        <v>213</v>
      </c>
      <c r="D1943" s="35">
        <f>D1902</f>
        <v>19.440000000000001</v>
      </c>
      <c r="E1943" s="31">
        <f t="shared" si="178"/>
        <v>19.440000000000001</v>
      </c>
      <c r="F1943" s="32"/>
    </row>
    <row r="1944" spans="1:13" ht="12.75" hidden="1" customHeight="1">
      <c r="A1944" s="12" t="s">
        <v>428</v>
      </c>
      <c r="B1944" s="30">
        <v>13</v>
      </c>
      <c r="C1944" s="24" t="s">
        <v>1017</v>
      </c>
      <c r="D1944" s="35">
        <f>Prec.!$D$330</f>
        <v>0</v>
      </c>
      <c r="E1944" s="31">
        <f t="shared" si="178"/>
        <v>0</v>
      </c>
      <c r="F1944" s="32"/>
    </row>
    <row r="1945" spans="1:13" ht="12.75" hidden="1" customHeight="1">
      <c r="A1945" s="12" t="s">
        <v>432</v>
      </c>
      <c r="B1945" s="30">
        <v>13</v>
      </c>
      <c r="C1945" s="24" t="s">
        <v>1017</v>
      </c>
      <c r="D1945" s="35">
        <f>Prec.!$D$542</f>
        <v>0.55000000000000004</v>
      </c>
      <c r="E1945" s="31">
        <f t="shared" si="178"/>
        <v>7.15</v>
      </c>
      <c r="F1945" s="32"/>
    </row>
    <row r="1946" spans="1:13" ht="12.75" hidden="1" customHeight="1">
      <c r="A1946" s="12" t="s">
        <v>433</v>
      </c>
      <c r="B1946" s="30">
        <v>13</v>
      </c>
      <c r="C1946" s="24" t="s">
        <v>1017</v>
      </c>
      <c r="D1946" s="35">
        <f>Prec.!$D$547</f>
        <v>1.1499999999999999</v>
      </c>
      <c r="E1946" s="31">
        <f t="shared" si="178"/>
        <v>14.95</v>
      </c>
      <c r="F1946" s="32"/>
    </row>
    <row r="1947" spans="1:13" ht="12.75" hidden="1" customHeight="1">
      <c r="A1947" s="12" t="s">
        <v>1183</v>
      </c>
      <c r="B1947" s="30">
        <v>13</v>
      </c>
      <c r="C1947" s="24" t="s">
        <v>1017</v>
      </c>
      <c r="D1947" s="35">
        <f>D1906</f>
        <v>2.21</v>
      </c>
      <c r="E1947" s="31">
        <f>ROUND(B1947*D1947,2)</f>
        <v>28.73</v>
      </c>
      <c r="F1947" s="32"/>
    </row>
    <row r="1948" spans="1:13" ht="12.75" hidden="1" customHeight="1">
      <c r="A1948" s="12" t="s">
        <v>208</v>
      </c>
      <c r="B1948" s="14">
        <f>SUM(E1938:E1947)</f>
        <v>1220.0500000000002</v>
      </c>
      <c r="C1948" s="24" t="s">
        <v>209</v>
      </c>
      <c r="D1948" s="35">
        <f>D1907</f>
        <v>0.02</v>
      </c>
      <c r="E1948" s="31">
        <f>ROUND(B1948*D1948,2)</f>
        <v>24.4</v>
      </c>
      <c r="F1948" s="32">
        <f>SUM(E1938:E1948)</f>
        <v>1244.4500000000003</v>
      </c>
    </row>
    <row r="1949" spans="1:13" ht="10.15" hidden="1" customHeight="1">
      <c r="B1949" s="7"/>
    </row>
    <row r="1950" spans="1:13" s="166" customFormat="1" ht="12.75" hidden="1" customHeight="1">
      <c r="B1950" s="7"/>
      <c r="C1950" s="165"/>
      <c r="D1950" s="37"/>
      <c r="E1950" s="25"/>
      <c r="F1950" s="26"/>
      <c r="G1950" s="15"/>
      <c r="H1950" s="21"/>
      <c r="I1950" s="15"/>
      <c r="J1950" s="15"/>
      <c r="K1950" s="15"/>
      <c r="L1950" s="21"/>
      <c r="M1950" s="15"/>
    </row>
    <row r="1951" spans="1:13" s="166" customFormat="1" ht="12.75" hidden="1" customHeight="1">
      <c r="A1951" s="13" t="s">
        <v>1655</v>
      </c>
      <c r="B1951" s="30"/>
      <c r="C1951" s="24"/>
      <c r="D1951" s="35"/>
      <c r="E1951" s="43" t="s">
        <v>151</v>
      </c>
      <c r="F1951" s="44" t="s">
        <v>213</v>
      </c>
      <c r="G1951" s="15"/>
      <c r="H1951" s="21"/>
      <c r="I1951" s="15"/>
      <c r="J1951" s="15"/>
      <c r="K1951" s="15"/>
      <c r="L1951" s="21"/>
      <c r="M1951" s="15"/>
    </row>
    <row r="1952" spans="1:13" s="166" customFormat="1" ht="12.75" hidden="1" customHeight="1">
      <c r="A1952" s="12" t="s">
        <v>102</v>
      </c>
      <c r="B1952" s="30">
        <v>13</v>
      </c>
      <c r="C1952" s="24" t="s">
        <v>1017</v>
      </c>
      <c r="D1952" s="35">
        <f>D1980</f>
        <v>44</v>
      </c>
      <c r="E1952" s="31">
        <f t="shared" ref="E1952:E1960" si="179">ROUND(B1952*D1952,2)</f>
        <v>572</v>
      </c>
      <c r="F1952" s="32"/>
      <c r="G1952" s="15"/>
      <c r="H1952" s="21"/>
      <c r="I1952" s="15"/>
      <c r="J1952" s="15"/>
      <c r="K1952" s="15"/>
      <c r="L1952" s="21"/>
      <c r="M1952" s="15"/>
    </row>
    <row r="1953" spans="1:13" s="166" customFormat="1" ht="12.75" hidden="1" customHeight="1">
      <c r="A1953" s="12" t="s">
        <v>117</v>
      </c>
      <c r="B1953" s="30">
        <v>3.2000000000000001E-2</v>
      </c>
      <c r="C1953" s="24" t="s">
        <v>216</v>
      </c>
      <c r="D1953" s="35">
        <f t="shared" ref="D1953:D1962" si="180">D1981</f>
        <v>3200</v>
      </c>
      <c r="E1953" s="31">
        <f t="shared" si="179"/>
        <v>102.4</v>
      </c>
      <c r="F1953" s="32"/>
      <c r="G1953" s="15"/>
      <c r="H1953" s="21"/>
      <c r="I1953" s="15"/>
      <c r="J1953" s="15"/>
      <c r="K1953" s="15"/>
      <c r="L1953" s="21"/>
      <c r="M1953" s="15"/>
    </row>
    <row r="1954" spans="1:13" s="166" customFormat="1" ht="12.75" hidden="1" customHeight="1">
      <c r="A1954" s="12" t="s">
        <v>217</v>
      </c>
      <c r="B1954" s="30">
        <f>B1953*2</f>
        <v>6.4000000000000001E-2</v>
      </c>
      <c r="C1954" s="24" t="s">
        <v>218</v>
      </c>
      <c r="D1954" s="35">
        <f t="shared" si="180"/>
        <v>60</v>
      </c>
      <c r="E1954" s="31">
        <f t="shared" si="179"/>
        <v>3.84</v>
      </c>
      <c r="F1954" s="32"/>
      <c r="G1954" s="15"/>
      <c r="H1954" s="21"/>
      <c r="I1954" s="15"/>
      <c r="J1954" s="15"/>
      <c r="K1954" s="15"/>
      <c r="L1954" s="21"/>
      <c r="M1954" s="15"/>
    </row>
    <row r="1955" spans="1:13" s="166" customFormat="1" ht="12.75" hidden="1" customHeight="1">
      <c r="A1955" s="12" t="s">
        <v>427</v>
      </c>
      <c r="B1955" s="30">
        <v>3.1E-2</v>
      </c>
      <c r="C1955" s="24" t="s">
        <v>825</v>
      </c>
      <c r="D1955" s="35">
        <f t="shared" si="180"/>
        <v>7012.85</v>
      </c>
      <c r="E1955" s="31">
        <f t="shared" si="179"/>
        <v>217.4</v>
      </c>
      <c r="F1955" s="32"/>
      <c r="G1955" s="15"/>
      <c r="H1955" s="21"/>
      <c r="I1955" s="15"/>
      <c r="J1955" s="15"/>
      <c r="K1955" s="15"/>
      <c r="L1955" s="21"/>
      <c r="M1955" s="15"/>
    </row>
    <row r="1956" spans="1:13" s="166" customFormat="1" ht="12.75" hidden="1" customHeight="1">
      <c r="A1956" s="12" t="s">
        <v>421</v>
      </c>
      <c r="B1956" s="30">
        <v>4.8000000000000001E-2</v>
      </c>
      <c r="C1956" s="24" t="s">
        <v>825</v>
      </c>
      <c r="D1956" s="35">
        <f t="shared" si="180"/>
        <v>5567.74</v>
      </c>
      <c r="E1956" s="31">
        <f t="shared" si="179"/>
        <v>267.25</v>
      </c>
      <c r="F1956" s="32"/>
      <c r="G1956" s="15"/>
      <c r="H1956" s="21"/>
      <c r="I1956" s="15"/>
      <c r="J1956" s="15"/>
      <c r="K1956" s="15"/>
      <c r="L1956" s="21"/>
      <c r="M1956" s="15"/>
    </row>
    <row r="1957" spans="1:13" s="166" customFormat="1" ht="12.75" hidden="1" customHeight="1">
      <c r="A1957" s="12" t="s">
        <v>430</v>
      </c>
      <c r="B1957" s="30">
        <v>1</v>
      </c>
      <c r="C1957" s="24" t="s">
        <v>213</v>
      </c>
      <c r="D1957" s="35">
        <f t="shared" si="180"/>
        <v>19.440000000000001</v>
      </c>
      <c r="E1957" s="31">
        <f t="shared" si="179"/>
        <v>19.440000000000001</v>
      </c>
      <c r="F1957" s="32"/>
      <c r="G1957" s="15"/>
      <c r="H1957" s="21"/>
      <c r="I1957" s="15"/>
      <c r="J1957" s="15"/>
      <c r="K1957" s="15"/>
      <c r="L1957" s="21"/>
      <c r="M1957" s="15"/>
    </row>
    <row r="1958" spans="1:13" s="166" customFormat="1" ht="12.75" hidden="1" customHeight="1">
      <c r="A1958" s="12" t="s">
        <v>428</v>
      </c>
      <c r="B1958" s="30">
        <v>13</v>
      </c>
      <c r="C1958" s="24" t="s">
        <v>1017</v>
      </c>
      <c r="D1958" s="35">
        <f>Prec.!C330</f>
        <v>21.68</v>
      </c>
      <c r="E1958" s="31">
        <f t="shared" si="179"/>
        <v>281.83999999999997</v>
      </c>
      <c r="F1958" s="32"/>
      <c r="G1958" s="15"/>
      <c r="H1958" s="21"/>
      <c r="I1958" s="15"/>
      <c r="J1958" s="15"/>
      <c r="K1958" s="15"/>
      <c r="L1958" s="21"/>
      <c r="M1958" s="15"/>
    </row>
    <row r="1959" spans="1:13" s="166" customFormat="1" ht="12.75" hidden="1" customHeight="1">
      <c r="A1959" s="12" t="s">
        <v>432</v>
      </c>
      <c r="B1959" s="30">
        <v>13</v>
      </c>
      <c r="C1959" s="24" t="s">
        <v>1017</v>
      </c>
      <c r="D1959" s="35">
        <f>Prec.!C541</f>
        <v>0.97749999999999992</v>
      </c>
      <c r="E1959" s="31">
        <f t="shared" si="179"/>
        <v>12.71</v>
      </c>
      <c r="F1959" s="32"/>
      <c r="G1959" s="15"/>
      <c r="H1959" s="21"/>
      <c r="I1959" s="15"/>
      <c r="J1959" s="15"/>
      <c r="K1959" s="15"/>
      <c r="L1959" s="21"/>
      <c r="M1959" s="15"/>
    </row>
    <row r="1960" spans="1:13" s="166" customFormat="1" ht="12.75" hidden="1" customHeight="1">
      <c r="A1960" s="12" t="s">
        <v>433</v>
      </c>
      <c r="B1960" s="30">
        <v>13</v>
      </c>
      <c r="C1960" s="24" t="s">
        <v>1017</v>
      </c>
      <c r="D1960" s="35">
        <f>Prec.!C546</f>
        <v>1.9549999999999998</v>
      </c>
      <c r="E1960" s="31">
        <f t="shared" si="179"/>
        <v>25.42</v>
      </c>
      <c r="F1960" s="32"/>
      <c r="G1960" s="15"/>
      <c r="H1960" s="21"/>
      <c r="I1960" s="15"/>
      <c r="J1960" s="15"/>
      <c r="K1960" s="15"/>
      <c r="L1960" s="21"/>
      <c r="M1960" s="15"/>
    </row>
    <row r="1961" spans="1:13" s="166" customFormat="1" ht="12.75" hidden="1" customHeight="1">
      <c r="A1961" s="12" t="s">
        <v>1184</v>
      </c>
      <c r="B1961" s="30">
        <v>13</v>
      </c>
      <c r="C1961" s="24" t="s">
        <v>1017</v>
      </c>
      <c r="D1961" s="35">
        <f>Prec.!C403</f>
        <v>2.0354999999999999</v>
      </c>
      <c r="E1961" s="31">
        <f>ROUND(B1961*D1961,2)</f>
        <v>26.46</v>
      </c>
      <c r="F1961" s="32"/>
      <c r="G1961" s="15"/>
      <c r="H1961" s="21"/>
      <c r="I1961" s="15"/>
      <c r="J1961" s="15"/>
      <c r="K1961" s="15"/>
      <c r="L1961" s="21"/>
      <c r="M1961" s="15"/>
    </row>
    <row r="1962" spans="1:13" s="166" customFormat="1" ht="12.75" hidden="1" customHeight="1">
      <c r="A1962" s="12" t="s">
        <v>208</v>
      </c>
      <c r="B1962" s="14">
        <f>SUM(E1952:E1961)</f>
        <v>1528.76</v>
      </c>
      <c r="C1962" s="24" t="s">
        <v>209</v>
      </c>
      <c r="D1962" s="35">
        <f t="shared" si="180"/>
        <v>0.02</v>
      </c>
      <c r="E1962" s="31">
        <f>ROUND(B1962*D1962,2)</f>
        <v>30.58</v>
      </c>
      <c r="F1962" s="32">
        <f>SUM(E1952:E1962)</f>
        <v>1559.34</v>
      </c>
      <c r="G1962" s="15"/>
      <c r="H1962" s="21"/>
      <c r="I1962" s="15"/>
      <c r="J1962" s="15"/>
      <c r="K1962" s="15"/>
      <c r="L1962" s="21"/>
      <c r="M1962" s="15"/>
    </row>
    <row r="1963" spans="1:13" s="166" customFormat="1" ht="12.75" customHeight="1">
      <c r="B1963" s="7"/>
      <c r="C1963" s="165"/>
      <c r="D1963" s="37"/>
      <c r="E1963" s="25"/>
      <c r="F1963" s="26"/>
      <c r="G1963" s="15"/>
      <c r="H1963" s="21"/>
      <c r="I1963" s="15"/>
      <c r="J1963" s="15"/>
      <c r="K1963" s="15"/>
      <c r="L1963" s="21"/>
      <c r="M1963" s="15"/>
    </row>
    <row r="1964" spans="1:13" s="166" customFormat="1" ht="12.75" customHeight="1">
      <c r="A1964" s="545" t="s">
        <v>4164</v>
      </c>
      <c r="B1964" s="546"/>
      <c r="C1964" s="547"/>
      <c r="D1964" s="548"/>
      <c r="E1964" s="549" t="s">
        <v>151</v>
      </c>
      <c r="F1964" s="550" t="s">
        <v>213</v>
      </c>
      <c r="G1964" s="15"/>
      <c r="H1964" s="21"/>
      <c r="I1964" s="15"/>
      <c r="J1964" s="15"/>
      <c r="K1964" s="15"/>
      <c r="L1964" s="21"/>
      <c r="M1964" s="15"/>
    </row>
    <row r="1965" spans="1:13" s="166" customFormat="1" ht="12.75" customHeight="1">
      <c r="A1965" s="551" t="s">
        <v>102</v>
      </c>
      <c r="B1965" s="546">
        <v>13</v>
      </c>
      <c r="C1965" s="547" t="s">
        <v>1017</v>
      </c>
      <c r="D1965" s="548">
        <f>D1952</f>
        <v>44</v>
      </c>
      <c r="E1965" s="552">
        <f t="shared" ref="E1965:E1974" si="181">ROUND(B1965*D1965,2)</f>
        <v>572</v>
      </c>
      <c r="F1965" s="553"/>
      <c r="G1965" s="15"/>
      <c r="H1965" s="21"/>
      <c r="I1965" s="15"/>
      <c r="J1965" s="15"/>
      <c r="K1965" s="15"/>
      <c r="L1965" s="21"/>
      <c r="M1965" s="15"/>
    </row>
    <row r="1966" spans="1:13" s="166" customFormat="1" ht="12.75" customHeight="1">
      <c r="A1966" s="551" t="s">
        <v>117</v>
      </c>
      <c r="B1966" s="546">
        <v>3.2000000000000001E-2</v>
      </c>
      <c r="C1966" s="547" t="s">
        <v>216</v>
      </c>
      <c r="D1966" s="548">
        <f>D1953</f>
        <v>3200</v>
      </c>
      <c r="E1966" s="552">
        <f t="shared" si="181"/>
        <v>102.4</v>
      </c>
      <c r="F1966" s="553"/>
      <c r="G1966" s="15"/>
      <c r="H1966" s="21"/>
      <c r="I1966" s="15"/>
      <c r="J1966" s="15"/>
      <c r="K1966" s="15"/>
      <c r="L1966" s="21"/>
      <c r="M1966" s="15"/>
    </row>
    <row r="1967" spans="1:13" s="166" customFormat="1" ht="12.75" customHeight="1">
      <c r="A1967" s="551" t="s">
        <v>117</v>
      </c>
      <c r="B1967" s="546">
        <v>3.2000000000000001E-2</v>
      </c>
      <c r="C1967" s="547" t="s">
        <v>216</v>
      </c>
      <c r="D1967" s="548">
        <f>D1966</f>
        <v>3200</v>
      </c>
      <c r="E1967" s="552">
        <f t="shared" ref="E1967" si="182">ROUND(B1967*D1967,2)</f>
        <v>102.4</v>
      </c>
      <c r="F1967" s="553"/>
      <c r="G1967" s="15"/>
      <c r="H1967" s="21"/>
      <c r="I1967" s="15"/>
      <c r="J1967" s="15"/>
      <c r="K1967" s="15"/>
      <c r="L1967" s="21"/>
      <c r="M1967" s="15"/>
    </row>
    <row r="1968" spans="1:13" s="166" customFormat="1" ht="12.75" customHeight="1">
      <c r="A1968" s="551" t="s">
        <v>217</v>
      </c>
      <c r="B1968" s="546">
        <f>(B1967+B1966)*2</f>
        <v>0.128</v>
      </c>
      <c r="C1968" s="547" t="s">
        <v>218</v>
      </c>
      <c r="D1968" s="548">
        <f>D1954</f>
        <v>60</v>
      </c>
      <c r="E1968" s="552">
        <f t="shared" si="181"/>
        <v>7.68</v>
      </c>
      <c r="F1968" s="553"/>
      <c r="G1968" s="15"/>
      <c r="H1968" s="21"/>
      <c r="I1968" s="15"/>
      <c r="J1968" s="15"/>
      <c r="K1968" s="15"/>
      <c r="L1968" s="21"/>
      <c r="M1968" s="15"/>
    </row>
    <row r="1969" spans="1:13" s="166" customFormat="1" ht="12.75" customHeight="1">
      <c r="A1969" s="551" t="s">
        <v>427</v>
      </c>
      <c r="B1969" s="546">
        <v>3.1E-2</v>
      </c>
      <c r="C1969" s="547" t="s">
        <v>825</v>
      </c>
      <c r="D1969" s="548">
        <f t="shared" ref="D1969:D1976" si="183">D1955</f>
        <v>7012.85</v>
      </c>
      <c r="E1969" s="552">
        <f t="shared" si="181"/>
        <v>217.4</v>
      </c>
      <c r="F1969" s="553"/>
      <c r="G1969" s="15"/>
      <c r="H1969" s="21"/>
      <c r="I1969" s="15"/>
      <c r="J1969" s="15"/>
      <c r="K1969" s="15"/>
      <c r="L1969" s="21"/>
      <c r="M1969" s="15"/>
    </row>
    <row r="1970" spans="1:13" s="166" customFormat="1" ht="12.75" customHeight="1">
      <c r="A1970" s="551" t="s">
        <v>421</v>
      </c>
      <c r="B1970" s="546">
        <v>4.8000000000000001E-2</v>
      </c>
      <c r="C1970" s="547" t="s">
        <v>825</v>
      </c>
      <c r="D1970" s="548">
        <f t="shared" si="183"/>
        <v>5567.74</v>
      </c>
      <c r="E1970" s="552">
        <f t="shared" si="181"/>
        <v>267.25</v>
      </c>
      <c r="F1970" s="553"/>
      <c r="G1970" s="15"/>
      <c r="H1970" s="21"/>
      <c r="I1970" s="15"/>
      <c r="J1970" s="15"/>
      <c r="K1970" s="15"/>
      <c r="L1970" s="21"/>
      <c r="M1970" s="15"/>
    </row>
    <row r="1971" spans="1:13" s="166" customFormat="1" ht="12.75" customHeight="1">
      <c r="A1971" s="551" t="s">
        <v>430</v>
      </c>
      <c r="B1971" s="546">
        <v>1</v>
      </c>
      <c r="C1971" s="547" t="s">
        <v>213</v>
      </c>
      <c r="D1971" s="548">
        <f t="shared" si="183"/>
        <v>19.440000000000001</v>
      </c>
      <c r="E1971" s="552">
        <f t="shared" si="181"/>
        <v>19.440000000000001</v>
      </c>
      <c r="F1971" s="553"/>
      <c r="G1971" s="15"/>
      <c r="H1971" s="21"/>
      <c r="I1971" s="15"/>
      <c r="J1971" s="15"/>
      <c r="K1971" s="15"/>
      <c r="L1971" s="21"/>
      <c r="M1971" s="15"/>
    </row>
    <row r="1972" spans="1:13" s="166" customFormat="1" ht="12.75" customHeight="1">
      <c r="A1972" s="551" t="s">
        <v>428</v>
      </c>
      <c r="B1972" s="546">
        <v>13</v>
      </c>
      <c r="C1972" s="547" t="s">
        <v>1017</v>
      </c>
      <c r="D1972" s="548">
        <f>D1958</f>
        <v>21.68</v>
      </c>
      <c r="E1972" s="552">
        <f t="shared" si="181"/>
        <v>281.83999999999997</v>
      </c>
      <c r="F1972" s="553"/>
      <c r="G1972" s="15"/>
      <c r="H1972" s="21"/>
      <c r="I1972" s="15"/>
      <c r="J1972" s="15"/>
      <c r="K1972" s="15"/>
      <c r="L1972" s="21"/>
      <c r="M1972" s="15"/>
    </row>
    <row r="1973" spans="1:13" s="166" customFormat="1" ht="12.75" customHeight="1">
      <c r="A1973" s="551" t="s">
        <v>432</v>
      </c>
      <c r="B1973" s="546">
        <v>13</v>
      </c>
      <c r="C1973" s="547" t="s">
        <v>1017</v>
      </c>
      <c r="D1973" s="548">
        <f t="shared" si="183"/>
        <v>0.97749999999999992</v>
      </c>
      <c r="E1973" s="552">
        <f t="shared" si="181"/>
        <v>12.71</v>
      </c>
      <c r="F1973" s="553"/>
      <c r="G1973" s="15"/>
      <c r="H1973" s="21"/>
      <c r="I1973" s="15"/>
      <c r="J1973" s="15"/>
      <c r="K1973" s="15"/>
      <c r="L1973" s="21"/>
      <c r="M1973" s="15"/>
    </row>
    <row r="1974" spans="1:13" s="166" customFormat="1" ht="12.75" customHeight="1">
      <c r="A1974" s="551" t="s">
        <v>433</v>
      </c>
      <c r="B1974" s="546">
        <v>13</v>
      </c>
      <c r="C1974" s="547" t="s">
        <v>1017</v>
      </c>
      <c r="D1974" s="548">
        <f t="shared" si="183"/>
        <v>1.9549999999999998</v>
      </c>
      <c r="E1974" s="552">
        <f t="shared" si="181"/>
        <v>25.42</v>
      </c>
      <c r="F1974" s="553"/>
      <c r="G1974" s="15"/>
      <c r="H1974" s="21"/>
      <c r="I1974" s="15"/>
      <c r="J1974" s="15"/>
      <c r="K1974" s="15"/>
      <c r="L1974" s="21"/>
      <c r="M1974" s="15"/>
    </row>
    <row r="1975" spans="1:13" s="166" customFormat="1" ht="12.75" customHeight="1">
      <c r="A1975" s="551" t="s">
        <v>1184</v>
      </c>
      <c r="B1975" s="546">
        <v>13</v>
      </c>
      <c r="C1975" s="547" t="s">
        <v>1017</v>
      </c>
      <c r="D1975" s="548">
        <f>Prec.!C408</f>
        <v>3.1395</v>
      </c>
      <c r="E1975" s="552">
        <f>ROUND(B1975*D1975,2)</f>
        <v>40.81</v>
      </c>
      <c r="F1975" s="553"/>
      <c r="G1975" s="15"/>
      <c r="H1975" s="21"/>
      <c r="I1975" s="15"/>
      <c r="J1975" s="15"/>
      <c r="K1975" s="15"/>
      <c r="L1975" s="21"/>
      <c r="M1975" s="15"/>
    </row>
    <row r="1976" spans="1:13" s="166" customFormat="1" ht="12.75" customHeight="1">
      <c r="A1976" s="551" t="s">
        <v>208</v>
      </c>
      <c r="B1976" s="554">
        <f>SUM(E1965:E1970)</f>
        <v>1269.1299999999999</v>
      </c>
      <c r="C1976" s="547" t="s">
        <v>209</v>
      </c>
      <c r="D1976" s="548">
        <f t="shared" si="183"/>
        <v>0.02</v>
      </c>
      <c r="E1976" s="552">
        <f>ROUND(B1976*D1976,2)</f>
        <v>25.38</v>
      </c>
      <c r="F1976" s="553">
        <f>SUM(E1965:E1976)</f>
        <v>1674.73</v>
      </c>
      <c r="G1976" s="15"/>
      <c r="H1976" s="21"/>
      <c r="I1976" s="15"/>
      <c r="J1976" s="15"/>
      <c r="K1976" s="15"/>
      <c r="L1976" s="21"/>
      <c r="M1976" s="15"/>
    </row>
    <row r="1977" spans="1:13" s="166" customFormat="1" ht="12.75" customHeight="1">
      <c r="B1977" s="7"/>
      <c r="C1977" s="165"/>
      <c r="D1977" s="37"/>
      <c r="E1977" s="25"/>
      <c r="F1977" s="26"/>
      <c r="G1977" s="15"/>
      <c r="H1977" s="21"/>
      <c r="I1977" s="15"/>
      <c r="J1977" s="15"/>
      <c r="K1977" s="15"/>
      <c r="L1977" s="21"/>
      <c r="M1977" s="15"/>
    </row>
    <row r="1978" spans="1:13" s="166" customFormat="1" ht="12.75" hidden="1" customHeight="1">
      <c r="B1978" s="7"/>
      <c r="C1978" s="165"/>
      <c r="D1978" s="37"/>
      <c r="E1978" s="25"/>
      <c r="F1978" s="26"/>
      <c r="G1978" s="15"/>
      <c r="H1978" s="21"/>
      <c r="I1978" s="15"/>
      <c r="J1978" s="15"/>
      <c r="K1978" s="15"/>
      <c r="L1978" s="21"/>
      <c r="M1978" s="15"/>
    </row>
    <row r="1979" spans="1:13" ht="12.75" hidden="1" customHeight="1">
      <c r="A1979" s="1" t="s">
        <v>925</v>
      </c>
      <c r="E1979" s="27" t="s">
        <v>151</v>
      </c>
      <c r="F1979" s="28" t="s">
        <v>213</v>
      </c>
    </row>
    <row r="1980" spans="1:13" ht="12.75" hidden="1" customHeight="1">
      <c r="A1980" s="4" t="s">
        <v>102</v>
      </c>
      <c r="B1980" s="8">
        <v>13</v>
      </c>
      <c r="C1980" s="6" t="s">
        <v>1017</v>
      </c>
      <c r="D1980" s="37">
        <f>Prec.!$C$86</f>
        <v>44</v>
      </c>
      <c r="E1980" s="25">
        <f t="shared" ref="E1980:E1988" si="184">ROUND(B1980*D1980,2)</f>
        <v>572</v>
      </c>
    </row>
    <row r="1981" spans="1:13" ht="12.75" hidden="1" customHeight="1">
      <c r="A1981" s="4" t="s">
        <v>117</v>
      </c>
      <c r="B1981" s="8">
        <v>6.2E-2</v>
      </c>
      <c r="C1981" s="6" t="s">
        <v>216</v>
      </c>
      <c r="D1981" s="37">
        <f>Prec.!$C$54</f>
        <v>3200</v>
      </c>
      <c r="E1981" s="25">
        <f t="shared" si="184"/>
        <v>198.4</v>
      </c>
    </row>
    <row r="1982" spans="1:13" ht="12.75" hidden="1" customHeight="1">
      <c r="A1982" s="4" t="s">
        <v>217</v>
      </c>
      <c r="B1982" s="8">
        <f>B1981*2</f>
        <v>0.124</v>
      </c>
      <c r="C1982" s="6" t="s">
        <v>218</v>
      </c>
      <c r="D1982" s="37">
        <f>Prec.!$C$75</f>
        <v>60</v>
      </c>
      <c r="E1982" s="25">
        <f t="shared" si="184"/>
        <v>7.44</v>
      </c>
    </row>
    <row r="1983" spans="1:13" ht="12.75" hidden="1" customHeight="1">
      <c r="A1983" s="4" t="s">
        <v>427</v>
      </c>
      <c r="B1983" s="8">
        <v>3.1E-2</v>
      </c>
      <c r="C1983" s="6" t="s">
        <v>825</v>
      </c>
      <c r="D1983" s="37">
        <f>horm.ymez.!E8</f>
        <v>7012.85</v>
      </c>
      <c r="E1983" s="25">
        <f t="shared" si="184"/>
        <v>217.4</v>
      </c>
    </row>
    <row r="1984" spans="1:13" ht="12.75" hidden="1" customHeight="1">
      <c r="A1984" s="4" t="s">
        <v>421</v>
      </c>
      <c r="B1984" s="8">
        <v>4.8000000000000001E-2</v>
      </c>
      <c r="C1984" s="6" t="s">
        <v>825</v>
      </c>
      <c r="D1984" s="37">
        <f>horm.ymez.!E14</f>
        <v>5567.74</v>
      </c>
      <c r="E1984" s="25">
        <f t="shared" si="184"/>
        <v>267.25</v>
      </c>
    </row>
    <row r="1985" spans="1:6" ht="12.75" hidden="1" customHeight="1">
      <c r="A1985" s="4" t="s">
        <v>430</v>
      </c>
      <c r="B1985" s="8">
        <v>1</v>
      </c>
      <c r="C1985" s="6" t="s">
        <v>213</v>
      </c>
      <c r="D1985" s="37">
        <f>D1930</f>
        <v>19.440000000000001</v>
      </c>
      <c r="E1985" s="25">
        <f t="shared" si="184"/>
        <v>19.440000000000001</v>
      </c>
    </row>
    <row r="1986" spans="1:6" ht="12.75" hidden="1" customHeight="1">
      <c r="A1986" s="4" t="s">
        <v>428</v>
      </c>
      <c r="B1986" s="8">
        <v>13</v>
      </c>
      <c r="C1986" s="6" t="s">
        <v>1017</v>
      </c>
      <c r="D1986" s="37">
        <f>Prec.!$D$329</f>
        <v>0</v>
      </c>
      <c r="E1986" s="25">
        <f t="shared" si="184"/>
        <v>0</v>
      </c>
    </row>
    <row r="1987" spans="1:6" ht="12.75" hidden="1" customHeight="1">
      <c r="A1987" s="4" t="s">
        <v>432</v>
      </c>
      <c r="B1987" s="8">
        <v>13</v>
      </c>
      <c r="C1987" s="6" t="s">
        <v>1017</v>
      </c>
      <c r="D1987" s="37">
        <f>Prec.!$D$539</f>
        <v>1.7</v>
      </c>
      <c r="E1987" s="25">
        <f t="shared" si="184"/>
        <v>22.1</v>
      </c>
    </row>
    <row r="1988" spans="1:6" ht="12.75" hidden="1" customHeight="1">
      <c r="A1988" s="4" t="s">
        <v>433</v>
      </c>
      <c r="B1988" s="8">
        <v>13</v>
      </c>
      <c r="C1988" s="6" t="s">
        <v>1017</v>
      </c>
      <c r="D1988" s="37">
        <f>Prec.!$D$544</f>
        <v>4.2699999999999996</v>
      </c>
      <c r="E1988" s="25">
        <f t="shared" si="184"/>
        <v>55.51</v>
      </c>
    </row>
    <row r="1989" spans="1:6" ht="12.75" hidden="1" customHeight="1">
      <c r="A1989" s="4" t="s">
        <v>1184</v>
      </c>
      <c r="B1989" s="8">
        <v>13</v>
      </c>
      <c r="C1989" s="6" t="s">
        <v>1017</v>
      </c>
      <c r="D1989" s="37">
        <f>Prec.!D403</f>
        <v>1.77</v>
      </c>
      <c r="E1989" s="25">
        <f>ROUND(B1989*D1989,2)</f>
        <v>23.01</v>
      </c>
    </row>
    <row r="1990" spans="1:6" ht="12.75" hidden="1" customHeight="1">
      <c r="A1990" s="4" t="s">
        <v>208</v>
      </c>
      <c r="B1990" s="7">
        <f>SUM(E1980:E1989)</f>
        <v>1382.55</v>
      </c>
      <c r="C1990" s="6" t="s">
        <v>209</v>
      </c>
      <c r="D1990" s="37">
        <f>D1948</f>
        <v>0.02</v>
      </c>
      <c r="E1990" s="25">
        <f>ROUND(B1990*D1990,2)</f>
        <v>27.65</v>
      </c>
      <c r="F1990" s="26">
        <f>SUM(E1980:E1990)</f>
        <v>1410.2</v>
      </c>
    </row>
    <row r="1991" spans="1:6" ht="12.75" hidden="1" customHeight="1">
      <c r="A1991" s="1" t="s">
        <v>924</v>
      </c>
      <c r="E1991" s="27" t="s">
        <v>151</v>
      </c>
      <c r="F1991" s="28" t="s">
        <v>213</v>
      </c>
    </row>
    <row r="1992" spans="1:6" ht="12.75" hidden="1" customHeight="1">
      <c r="A1992" s="4" t="s">
        <v>102</v>
      </c>
      <c r="B1992" s="8">
        <v>13</v>
      </c>
      <c r="C1992" s="6" t="s">
        <v>1017</v>
      </c>
      <c r="D1992" s="37">
        <f>Prec.!$C$86</f>
        <v>44</v>
      </c>
      <c r="E1992" s="25">
        <f t="shared" ref="E1992:E2000" si="185">ROUND(B1992*D1992,2)</f>
        <v>572</v>
      </c>
    </row>
    <row r="1993" spans="1:6" ht="12.75" hidden="1" customHeight="1">
      <c r="A1993" s="4" t="s">
        <v>117</v>
      </c>
      <c r="B1993" s="8">
        <v>3.6999999999999998E-2</v>
      </c>
      <c r="C1993" s="6" t="s">
        <v>216</v>
      </c>
      <c r="D1993" s="37">
        <f>Prec.!$C$54</f>
        <v>3200</v>
      </c>
      <c r="E1993" s="25">
        <f t="shared" si="185"/>
        <v>118.4</v>
      </c>
    </row>
    <row r="1994" spans="1:6" ht="12.75" hidden="1" customHeight="1">
      <c r="A1994" s="4" t="s">
        <v>217</v>
      </c>
      <c r="B1994" s="8">
        <f>B1993*2</f>
        <v>7.3999999999999996E-2</v>
      </c>
      <c r="C1994" s="6" t="s">
        <v>218</v>
      </c>
      <c r="D1994" s="37">
        <f>Prec.!$C$75</f>
        <v>60</v>
      </c>
      <c r="E1994" s="25">
        <f t="shared" si="185"/>
        <v>4.4400000000000004</v>
      </c>
    </row>
    <row r="1995" spans="1:6" ht="12.75" hidden="1" customHeight="1">
      <c r="A1995" s="4" t="s">
        <v>427</v>
      </c>
      <c r="B1995" s="8">
        <v>3.1E-2</v>
      </c>
      <c r="C1995" s="6" t="s">
        <v>825</v>
      </c>
      <c r="D1995" s="37">
        <f>horm.ymez.!E8</f>
        <v>7012.85</v>
      </c>
      <c r="E1995" s="25">
        <f t="shared" si="185"/>
        <v>217.4</v>
      </c>
    </row>
    <row r="1996" spans="1:6" ht="12.75" hidden="1" customHeight="1">
      <c r="A1996" s="4" t="s">
        <v>421</v>
      </c>
      <c r="B1996" s="8">
        <v>4.8000000000000001E-2</v>
      </c>
      <c r="C1996" s="6" t="s">
        <v>825</v>
      </c>
      <c r="D1996" s="37">
        <f>horm.ymez.!E14</f>
        <v>5567.74</v>
      </c>
      <c r="E1996" s="25">
        <f t="shared" si="185"/>
        <v>267.25</v>
      </c>
    </row>
    <row r="1997" spans="1:6" ht="12.75" hidden="1" customHeight="1">
      <c r="A1997" s="4" t="s">
        <v>430</v>
      </c>
      <c r="B1997" s="8">
        <v>1</v>
      </c>
      <c r="C1997" s="6" t="s">
        <v>213</v>
      </c>
      <c r="D1997" s="37">
        <f>D1985</f>
        <v>19.440000000000001</v>
      </c>
      <c r="E1997" s="25">
        <f t="shared" si="185"/>
        <v>19.440000000000001</v>
      </c>
    </row>
    <row r="1998" spans="1:6" ht="12.75" hidden="1" customHeight="1">
      <c r="A1998" s="4" t="s">
        <v>428</v>
      </c>
      <c r="B1998" s="8">
        <v>13</v>
      </c>
      <c r="C1998" s="6" t="s">
        <v>1017</v>
      </c>
      <c r="D1998" s="37">
        <f>Prec.!$D$329</f>
        <v>0</v>
      </c>
      <c r="E1998" s="25">
        <f t="shared" si="185"/>
        <v>0</v>
      </c>
    </row>
    <row r="1999" spans="1:6" ht="12.75" hidden="1" customHeight="1">
      <c r="A1999" s="4" t="s">
        <v>432</v>
      </c>
      <c r="B1999" s="8">
        <v>13</v>
      </c>
      <c r="C1999" s="6" t="s">
        <v>1017</v>
      </c>
      <c r="D1999" s="37">
        <f>Prec.!$D$540</f>
        <v>1.1499999999999999</v>
      </c>
      <c r="E1999" s="25">
        <f t="shared" si="185"/>
        <v>14.95</v>
      </c>
    </row>
    <row r="2000" spans="1:6" ht="12.75" hidden="1" customHeight="1">
      <c r="A2000" s="4" t="s">
        <v>433</v>
      </c>
      <c r="B2000" s="8">
        <v>13</v>
      </c>
      <c r="C2000" s="6" t="s">
        <v>1017</v>
      </c>
      <c r="D2000" s="37">
        <f>Prec.!D544</f>
        <v>4.2699999999999996</v>
      </c>
      <c r="E2000" s="25">
        <f t="shared" si="185"/>
        <v>55.51</v>
      </c>
    </row>
    <row r="2001" spans="1:13" ht="12.75" hidden="1" customHeight="1">
      <c r="A2001" s="4" t="s">
        <v>1184</v>
      </c>
      <c r="B2001" s="8">
        <v>13</v>
      </c>
      <c r="C2001" s="6" t="s">
        <v>1017</v>
      </c>
      <c r="D2001" s="37">
        <f>Prec.!D403</f>
        <v>1.77</v>
      </c>
      <c r="E2001" s="25">
        <f>ROUND(B2001*D2001,2)</f>
        <v>23.01</v>
      </c>
    </row>
    <row r="2002" spans="1:13" ht="12.75" hidden="1" customHeight="1">
      <c r="A2002" s="4" t="s">
        <v>208</v>
      </c>
      <c r="B2002" s="7">
        <f>SUM(E1992:E2001)</f>
        <v>1292.4000000000001</v>
      </c>
      <c r="C2002" s="6" t="s">
        <v>209</v>
      </c>
      <c r="D2002" s="37">
        <f>D1990</f>
        <v>0.02</v>
      </c>
      <c r="E2002" s="25">
        <f>ROUND(B2002*D2002,2)</f>
        <v>25.85</v>
      </c>
      <c r="F2002" s="26">
        <f>SUM(E1992:E2002)</f>
        <v>1318.25</v>
      </c>
    </row>
    <row r="2003" spans="1:13" ht="10.15" hidden="1" customHeight="1">
      <c r="B2003" s="7"/>
    </row>
    <row r="2004" spans="1:13" ht="12.75" hidden="1" customHeight="1">
      <c r="A2004" s="1" t="s">
        <v>927</v>
      </c>
      <c r="E2004" s="27" t="s">
        <v>151</v>
      </c>
      <c r="F2004" s="28" t="s">
        <v>213</v>
      </c>
    </row>
    <row r="2005" spans="1:13" ht="12.75" hidden="1" customHeight="1">
      <c r="A2005" s="4" t="s">
        <v>102</v>
      </c>
      <c r="B2005" s="8">
        <v>13</v>
      </c>
      <c r="C2005" s="6" t="s">
        <v>1017</v>
      </c>
      <c r="D2005" s="37">
        <f>Prec.!$C$86</f>
        <v>44</v>
      </c>
      <c r="E2005" s="25">
        <f t="shared" ref="E2005:E2013" si="186">ROUND(B2005*D2005,2)</f>
        <v>572</v>
      </c>
    </row>
    <row r="2006" spans="1:13" ht="12.75" hidden="1" customHeight="1">
      <c r="A2006" s="4" t="s">
        <v>117</v>
      </c>
      <c r="B2006" s="8">
        <v>3.2000000000000001E-2</v>
      </c>
      <c r="C2006" s="6" t="s">
        <v>216</v>
      </c>
      <c r="D2006" s="37">
        <f>Prec.!$C$54</f>
        <v>3200</v>
      </c>
      <c r="E2006" s="25">
        <f t="shared" si="186"/>
        <v>102.4</v>
      </c>
    </row>
    <row r="2007" spans="1:13" ht="12.75" hidden="1" customHeight="1">
      <c r="A2007" s="4" t="s">
        <v>217</v>
      </c>
      <c r="B2007" s="8">
        <f>B2006*2</f>
        <v>6.4000000000000001E-2</v>
      </c>
      <c r="C2007" s="6" t="s">
        <v>218</v>
      </c>
      <c r="D2007" s="37">
        <f>Prec.!$C$75</f>
        <v>60</v>
      </c>
      <c r="E2007" s="25">
        <f t="shared" si="186"/>
        <v>3.84</v>
      </c>
    </row>
    <row r="2008" spans="1:13" ht="12.75" hidden="1" customHeight="1">
      <c r="A2008" s="4" t="s">
        <v>427</v>
      </c>
      <c r="B2008" s="8">
        <v>3.1E-2</v>
      </c>
      <c r="C2008" s="6" t="s">
        <v>825</v>
      </c>
      <c r="D2008" s="37">
        <f>D1995</f>
        <v>7012.85</v>
      </c>
      <c r="E2008" s="25">
        <f t="shared" si="186"/>
        <v>217.4</v>
      </c>
    </row>
    <row r="2009" spans="1:13" ht="12.75" hidden="1" customHeight="1">
      <c r="A2009" s="4" t="s">
        <v>421</v>
      </c>
      <c r="B2009" s="8">
        <v>4.8000000000000001E-2</v>
      </c>
      <c r="C2009" s="6" t="s">
        <v>825</v>
      </c>
      <c r="D2009" s="37">
        <f>D1996</f>
        <v>5567.74</v>
      </c>
      <c r="E2009" s="25">
        <f t="shared" si="186"/>
        <v>267.25</v>
      </c>
    </row>
    <row r="2010" spans="1:13" ht="12.75" hidden="1" customHeight="1">
      <c r="A2010" s="4" t="s">
        <v>430</v>
      </c>
      <c r="B2010" s="8">
        <v>1</v>
      </c>
      <c r="C2010" s="6" t="s">
        <v>213</v>
      </c>
      <c r="D2010" s="37">
        <f>D1997</f>
        <v>19.440000000000001</v>
      </c>
      <c r="E2010" s="25">
        <f t="shared" si="186"/>
        <v>19.440000000000001</v>
      </c>
    </row>
    <row r="2011" spans="1:13" ht="12.75" hidden="1" customHeight="1">
      <c r="A2011" s="4" t="s">
        <v>428</v>
      </c>
      <c r="B2011" s="8">
        <v>13</v>
      </c>
      <c r="C2011" s="6" t="s">
        <v>1017</v>
      </c>
      <c r="D2011" s="37">
        <f>Prec.!$D$329</f>
        <v>0</v>
      </c>
      <c r="E2011" s="25">
        <f t="shared" si="186"/>
        <v>0</v>
      </c>
    </row>
    <row r="2012" spans="1:13" ht="12.75" hidden="1" customHeight="1">
      <c r="A2012" s="4" t="s">
        <v>432</v>
      </c>
      <c r="B2012" s="8">
        <v>13</v>
      </c>
      <c r="C2012" s="6" t="s">
        <v>1017</v>
      </c>
      <c r="D2012" s="37">
        <f>Prec.!D541</f>
        <v>0.85</v>
      </c>
      <c r="E2012" s="25">
        <f t="shared" si="186"/>
        <v>11.05</v>
      </c>
    </row>
    <row r="2013" spans="1:13" ht="12.75" hidden="1" customHeight="1">
      <c r="A2013" s="4" t="s">
        <v>433</v>
      </c>
      <c r="B2013" s="8">
        <v>13</v>
      </c>
      <c r="C2013" s="6" t="s">
        <v>1017</v>
      </c>
      <c r="D2013" s="37">
        <f>Prec.!D544</f>
        <v>4.2699999999999996</v>
      </c>
      <c r="E2013" s="25">
        <f t="shared" si="186"/>
        <v>55.51</v>
      </c>
    </row>
    <row r="2014" spans="1:13" ht="12.75" hidden="1" customHeight="1">
      <c r="A2014" s="4" t="s">
        <v>1184</v>
      </c>
      <c r="B2014" s="8">
        <v>13</v>
      </c>
      <c r="C2014" s="6" t="s">
        <v>1017</v>
      </c>
      <c r="D2014" s="37">
        <f>D2001</f>
        <v>1.77</v>
      </c>
      <c r="E2014" s="25">
        <f>ROUND(B2014*D2014,2)</f>
        <v>23.01</v>
      </c>
    </row>
    <row r="2015" spans="1:13" ht="12.75" hidden="1" customHeight="1">
      <c r="A2015" s="4" t="s">
        <v>208</v>
      </c>
      <c r="B2015" s="7">
        <f>SUM(E2005:E2014)</f>
        <v>1271.8999999999999</v>
      </c>
      <c r="C2015" s="6" t="s">
        <v>209</v>
      </c>
      <c r="D2015" s="37">
        <f>D2002</f>
        <v>0.02</v>
      </c>
      <c r="E2015" s="25">
        <f>ROUND(B2015*D2015,2)</f>
        <v>25.44</v>
      </c>
      <c r="F2015" s="26">
        <f>SUM(E2005:E2015)</f>
        <v>1297.3399999999999</v>
      </c>
    </row>
    <row r="2016" spans="1:13" s="166" customFormat="1" ht="12.75" hidden="1" customHeight="1">
      <c r="B2016" s="7"/>
      <c r="C2016" s="165"/>
      <c r="D2016" s="37"/>
      <c r="E2016" s="25"/>
      <c r="F2016" s="26"/>
      <c r="G2016" s="15"/>
      <c r="H2016" s="21"/>
      <c r="I2016" s="15"/>
      <c r="J2016" s="15"/>
      <c r="K2016" s="15"/>
      <c r="L2016" s="21"/>
      <c r="M2016" s="15"/>
    </row>
    <row r="2017" spans="1:6" ht="12.75" hidden="1" customHeight="1">
      <c r="A2017" s="1" t="s">
        <v>926</v>
      </c>
      <c r="E2017" s="27" t="s">
        <v>151</v>
      </c>
      <c r="F2017" s="28" t="s">
        <v>213</v>
      </c>
    </row>
    <row r="2018" spans="1:6" ht="12.75" hidden="1" customHeight="1">
      <c r="A2018" s="4" t="s">
        <v>544</v>
      </c>
      <c r="B2018" s="8">
        <v>13</v>
      </c>
      <c r="C2018" s="6" t="s">
        <v>1017</v>
      </c>
      <c r="D2018" s="37">
        <f>Prec.!$C$86</f>
        <v>44</v>
      </c>
      <c r="E2018" s="25">
        <f t="shared" ref="E2018:E2026" si="187">ROUND(B2018*D2018,2)</f>
        <v>572</v>
      </c>
    </row>
    <row r="2019" spans="1:6" ht="12.75" hidden="1" customHeight="1">
      <c r="A2019" s="4" t="s">
        <v>117</v>
      </c>
      <c r="B2019" s="8">
        <v>2.4E-2</v>
      </c>
      <c r="C2019" s="6" t="s">
        <v>216</v>
      </c>
      <c r="D2019" s="37">
        <f>Prec.!$C$54</f>
        <v>3200</v>
      </c>
      <c r="E2019" s="25">
        <f t="shared" si="187"/>
        <v>76.8</v>
      </c>
    </row>
    <row r="2020" spans="1:6" ht="12.75" hidden="1" customHeight="1">
      <c r="A2020" s="4" t="s">
        <v>217</v>
      </c>
      <c r="B2020" s="8">
        <f>B2019*2</f>
        <v>4.8000000000000001E-2</v>
      </c>
      <c r="C2020" s="6" t="s">
        <v>218</v>
      </c>
      <c r="D2020" s="37">
        <f>Prec.!$C$75</f>
        <v>60</v>
      </c>
      <c r="E2020" s="25">
        <f t="shared" si="187"/>
        <v>2.88</v>
      </c>
    </row>
    <row r="2021" spans="1:6" ht="12.75" hidden="1" customHeight="1">
      <c r="A2021" s="4" t="s">
        <v>427</v>
      </c>
      <c r="B2021" s="8">
        <v>3.1E-2</v>
      </c>
      <c r="C2021" s="6" t="s">
        <v>825</v>
      </c>
      <c r="D2021" s="37">
        <f>horm.ymez.!E8</f>
        <v>7012.85</v>
      </c>
      <c r="E2021" s="25">
        <f t="shared" si="187"/>
        <v>217.4</v>
      </c>
    </row>
    <row r="2022" spans="1:6" ht="12.75" hidden="1" customHeight="1">
      <c r="A2022" s="4" t="s">
        <v>421</v>
      </c>
      <c r="B2022" s="8">
        <v>4.8000000000000001E-2</v>
      </c>
      <c r="C2022" s="6" t="s">
        <v>825</v>
      </c>
      <c r="D2022" s="37">
        <f>horm.ymez.!E14</f>
        <v>5567.74</v>
      </c>
      <c r="E2022" s="25">
        <f t="shared" si="187"/>
        <v>267.25</v>
      </c>
    </row>
    <row r="2023" spans="1:6" ht="12.75" hidden="1" customHeight="1">
      <c r="A2023" s="4" t="s">
        <v>430</v>
      </c>
      <c r="B2023" s="8">
        <v>1</v>
      </c>
      <c r="C2023" s="6" t="s">
        <v>213</v>
      </c>
      <c r="D2023" s="37">
        <f>D2010</f>
        <v>19.440000000000001</v>
      </c>
      <c r="E2023" s="25">
        <f t="shared" si="187"/>
        <v>19.440000000000001</v>
      </c>
    </row>
    <row r="2024" spans="1:6" ht="12.75" hidden="1" customHeight="1">
      <c r="A2024" s="4" t="s">
        <v>428</v>
      </c>
      <c r="B2024" s="8">
        <v>13</v>
      </c>
      <c r="C2024" s="6" t="s">
        <v>1017</v>
      </c>
      <c r="D2024" s="37">
        <f>Prec.!$D$329</f>
        <v>0</v>
      </c>
      <c r="E2024" s="25">
        <f t="shared" si="187"/>
        <v>0</v>
      </c>
    </row>
    <row r="2025" spans="1:6" ht="12.75" hidden="1" customHeight="1">
      <c r="A2025" s="4" t="s">
        <v>432</v>
      </c>
      <c r="B2025" s="8">
        <v>13</v>
      </c>
      <c r="C2025" s="6" t="s">
        <v>1017</v>
      </c>
      <c r="D2025" s="37">
        <f>Prec.!$D$542</f>
        <v>0.55000000000000004</v>
      </c>
      <c r="E2025" s="25">
        <f t="shared" si="187"/>
        <v>7.15</v>
      </c>
    </row>
    <row r="2026" spans="1:6" ht="12.75" hidden="1" customHeight="1">
      <c r="A2026" s="4" t="s">
        <v>433</v>
      </c>
      <c r="B2026" s="8">
        <v>13</v>
      </c>
      <c r="C2026" s="6" t="s">
        <v>1017</v>
      </c>
      <c r="D2026" s="37">
        <f>Prec.!D544</f>
        <v>4.2699999999999996</v>
      </c>
      <c r="E2026" s="25">
        <f t="shared" si="187"/>
        <v>55.51</v>
      </c>
    </row>
    <row r="2027" spans="1:6" ht="12.75" hidden="1" customHeight="1">
      <c r="A2027" s="4" t="s">
        <v>1184</v>
      </c>
      <c r="B2027" s="8">
        <v>13</v>
      </c>
      <c r="C2027" s="6" t="s">
        <v>1017</v>
      </c>
      <c r="D2027" s="37">
        <f>D2014</f>
        <v>1.77</v>
      </c>
      <c r="E2027" s="25">
        <f>ROUND(B2027*D2027,2)</f>
        <v>23.01</v>
      </c>
    </row>
    <row r="2028" spans="1:6" ht="12.75" hidden="1" customHeight="1">
      <c r="A2028" s="4" t="s">
        <v>208</v>
      </c>
      <c r="B2028" s="7">
        <f>SUM(E2018:E2027)</f>
        <v>1241.44</v>
      </c>
      <c r="C2028" s="6" t="s">
        <v>209</v>
      </c>
      <c r="D2028" s="37">
        <f>D2015</f>
        <v>0.02</v>
      </c>
      <c r="E2028" s="25">
        <f>ROUND(B2028*D2028,2)</f>
        <v>24.83</v>
      </c>
      <c r="F2028" s="26">
        <f>SUM(E2018:E2028)</f>
        <v>1266.27</v>
      </c>
    </row>
    <row r="2029" spans="1:6" ht="4.5" hidden="1" customHeight="1">
      <c r="B2029" s="7"/>
    </row>
    <row r="2030" spans="1:6" ht="12.75" hidden="1" customHeight="1">
      <c r="A2030" s="1" t="s">
        <v>929</v>
      </c>
      <c r="E2030" s="27" t="s">
        <v>151</v>
      </c>
      <c r="F2030" s="28" t="s">
        <v>213</v>
      </c>
    </row>
    <row r="2031" spans="1:6" ht="12.75" hidden="1" customHeight="1">
      <c r="A2031" s="4" t="s">
        <v>102</v>
      </c>
      <c r="B2031" s="8">
        <v>13</v>
      </c>
      <c r="C2031" s="6" t="s">
        <v>1017</v>
      </c>
      <c r="D2031" s="37">
        <f>Prec.!$C$86</f>
        <v>44</v>
      </c>
      <c r="E2031" s="25">
        <f t="shared" ref="E2031:E2039" si="188">ROUND(B2031*D2031,2)</f>
        <v>572</v>
      </c>
    </row>
    <row r="2032" spans="1:6" ht="12.75" hidden="1" customHeight="1">
      <c r="A2032" s="4" t="s">
        <v>117</v>
      </c>
      <c r="B2032" s="8">
        <v>3.6999999999999998E-2</v>
      </c>
      <c r="C2032" s="6" t="s">
        <v>216</v>
      </c>
      <c r="D2032" s="37">
        <f>Prec.!$C$54</f>
        <v>3200</v>
      </c>
      <c r="E2032" s="25">
        <f t="shared" si="188"/>
        <v>118.4</v>
      </c>
    </row>
    <row r="2033" spans="1:13" ht="12.75" hidden="1" customHeight="1">
      <c r="A2033" s="4" t="s">
        <v>217</v>
      </c>
      <c r="B2033" s="8">
        <f>B2032*2</f>
        <v>7.3999999999999996E-2</v>
      </c>
      <c r="C2033" s="6" t="s">
        <v>218</v>
      </c>
      <c r="D2033" s="37">
        <f>Prec.!$C$75</f>
        <v>60</v>
      </c>
      <c r="E2033" s="25">
        <f t="shared" si="188"/>
        <v>4.4400000000000004</v>
      </c>
    </row>
    <row r="2034" spans="1:13" ht="12.75" hidden="1" customHeight="1">
      <c r="A2034" s="4" t="s">
        <v>427</v>
      </c>
      <c r="B2034" s="8">
        <v>3.1E-2</v>
      </c>
      <c r="C2034" s="6" t="s">
        <v>825</v>
      </c>
      <c r="D2034" s="37">
        <f>horm.ymez.!E8</f>
        <v>7012.85</v>
      </c>
      <c r="E2034" s="25">
        <f t="shared" si="188"/>
        <v>217.4</v>
      </c>
    </row>
    <row r="2035" spans="1:13" ht="12.75" hidden="1" customHeight="1">
      <c r="A2035" s="4" t="s">
        <v>421</v>
      </c>
      <c r="B2035" s="8">
        <v>3.9E-2</v>
      </c>
      <c r="C2035" s="6" t="s">
        <v>825</v>
      </c>
      <c r="D2035" s="37">
        <f>horm.ymez.!E14</f>
        <v>5567.74</v>
      </c>
      <c r="E2035" s="25">
        <f t="shared" si="188"/>
        <v>217.14</v>
      </c>
    </row>
    <row r="2036" spans="1:13" ht="12.75" hidden="1" customHeight="1">
      <c r="A2036" s="4" t="s">
        <v>430</v>
      </c>
      <c r="B2036" s="8">
        <v>1</v>
      </c>
      <c r="C2036" s="6" t="s">
        <v>213</v>
      </c>
      <c r="D2036" s="37">
        <f>D2023</f>
        <v>19.440000000000001</v>
      </c>
      <c r="E2036" s="25">
        <f t="shared" si="188"/>
        <v>19.440000000000001</v>
      </c>
    </row>
    <row r="2037" spans="1:13" ht="12.75" hidden="1" customHeight="1">
      <c r="A2037" s="4" t="s">
        <v>428</v>
      </c>
      <c r="B2037" s="8">
        <v>13</v>
      </c>
      <c r="C2037" s="6" t="s">
        <v>1017</v>
      </c>
      <c r="D2037" s="37">
        <f>Prec.!$D$329</f>
        <v>0</v>
      </c>
      <c r="E2037" s="25">
        <f t="shared" si="188"/>
        <v>0</v>
      </c>
    </row>
    <row r="2038" spans="1:13" ht="12.75" hidden="1" customHeight="1">
      <c r="A2038" s="4" t="s">
        <v>432</v>
      </c>
      <c r="B2038" s="8">
        <v>13</v>
      </c>
      <c r="C2038" s="6" t="s">
        <v>1017</v>
      </c>
      <c r="D2038" s="37">
        <f>Prec.!$D$540</f>
        <v>1.1499999999999999</v>
      </c>
      <c r="E2038" s="25">
        <f t="shared" si="188"/>
        <v>14.95</v>
      </c>
    </row>
    <row r="2039" spans="1:13" ht="12.75" hidden="1" customHeight="1">
      <c r="A2039" s="4" t="s">
        <v>433</v>
      </c>
      <c r="B2039" s="8">
        <v>13</v>
      </c>
      <c r="C2039" s="6" t="s">
        <v>1017</v>
      </c>
      <c r="D2039" s="37">
        <f>Prec.!$D$545</f>
        <v>2.33</v>
      </c>
      <c r="E2039" s="25">
        <f t="shared" si="188"/>
        <v>30.29</v>
      </c>
    </row>
    <row r="2040" spans="1:13" ht="12.75" hidden="1" customHeight="1">
      <c r="A2040" s="4" t="s">
        <v>1184</v>
      </c>
      <c r="B2040" s="8">
        <v>13</v>
      </c>
      <c r="C2040" s="6" t="s">
        <v>1017</v>
      </c>
      <c r="D2040" s="37">
        <f>D2027</f>
        <v>1.77</v>
      </c>
      <c r="E2040" s="25">
        <f>ROUND(B2040*D2040,2)</f>
        <v>23.01</v>
      </c>
    </row>
    <row r="2041" spans="1:13" ht="12.75" hidden="1" customHeight="1">
      <c r="A2041" s="4" t="s">
        <v>208</v>
      </c>
      <c r="B2041" s="7">
        <f>SUM(E2031:E2040)</f>
        <v>1217.0700000000002</v>
      </c>
      <c r="C2041" s="6" t="s">
        <v>209</v>
      </c>
      <c r="D2041" s="37">
        <f>D2028</f>
        <v>0.02</v>
      </c>
      <c r="E2041" s="25">
        <f>ROUND(B2041*D2041,2)</f>
        <v>24.34</v>
      </c>
      <c r="F2041" s="26">
        <f>SUM(E2031:E2041)</f>
        <v>1241.4100000000001</v>
      </c>
    </row>
    <row r="2042" spans="1:13" s="166" customFormat="1" ht="12.75" hidden="1" customHeight="1">
      <c r="B2042" s="7"/>
      <c r="C2042" s="165"/>
      <c r="D2042" s="37"/>
      <c r="E2042" s="25"/>
      <c r="F2042" s="26"/>
      <c r="G2042" s="15"/>
      <c r="H2042" s="21"/>
      <c r="I2042" s="15"/>
      <c r="J2042" s="15"/>
      <c r="K2042" s="15"/>
      <c r="L2042" s="21"/>
      <c r="M2042" s="15"/>
    </row>
    <row r="2043" spans="1:13" ht="12.75" hidden="1" customHeight="1">
      <c r="A2043" s="13" t="s">
        <v>928</v>
      </c>
      <c r="B2043" s="30"/>
      <c r="C2043" s="24"/>
      <c r="D2043" s="35"/>
      <c r="E2043" s="43" t="s">
        <v>151</v>
      </c>
      <c r="F2043" s="44" t="s">
        <v>213</v>
      </c>
    </row>
    <row r="2044" spans="1:13" ht="12.75" hidden="1" customHeight="1">
      <c r="A2044" s="12" t="s">
        <v>102</v>
      </c>
      <c r="B2044" s="30">
        <v>13</v>
      </c>
      <c r="C2044" s="24" t="s">
        <v>1017</v>
      </c>
      <c r="D2044" s="35">
        <f>Prec.!$C$86</f>
        <v>44</v>
      </c>
      <c r="E2044" s="31">
        <f t="shared" ref="E2044:E2052" si="189">ROUND(B2044*D2044,2)</f>
        <v>572</v>
      </c>
      <c r="F2044" s="32"/>
    </row>
    <row r="2045" spans="1:13" ht="12.75" hidden="1" customHeight="1">
      <c r="A2045" s="12" t="s">
        <v>117</v>
      </c>
      <c r="B2045" s="30">
        <v>2.4E-2</v>
      </c>
      <c r="C2045" s="24" t="s">
        <v>216</v>
      </c>
      <c r="D2045" s="35">
        <f>Prec.!$C$54</f>
        <v>3200</v>
      </c>
      <c r="E2045" s="31">
        <f t="shared" si="189"/>
        <v>76.8</v>
      </c>
      <c r="F2045" s="32"/>
    </row>
    <row r="2046" spans="1:13" ht="12.75" hidden="1" customHeight="1">
      <c r="A2046" s="12" t="s">
        <v>217</v>
      </c>
      <c r="B2046" s="30">
        <f>B2045*2</f>
        <v>4.8000000000000001E-2</v>
      </c>
      <c r="C2046" s="24" t="s">
        <v>218</v>
      </c>
      <c r="D2046" s="35">
        <f>Prec.!$C$75</f>
        <v>60</v>
      </c>
      <c r="E2046" s="31">
        <f t="shared" si="189"/>
        <v>2.88</v>
      </c>
      <c r="F2046" s="32"/>
    </row>
    <row r="2047" spans="1:13" ht="12.75" hidden="1" customHeight="1">
      <c r="A2047" s="12" t="s">
        <v>427</v>
      </c>
      <c r="B2047" s="30">
        <v>3.1E-2</v>
      </c>
      <c r="C2047" s="24" t="s">
        <v>825</v>
      </c>
      <c r="D2047" s="35">
        <f>horm.ymez.!E8</f>
        <v>7012.85</v>
      </c>
      <c r="E2047" s="31">
        <f t="shared" si="189"/>
        <v>217.4</v>
      </c>
      <c r="F2047" s="32"/>
    </row>
    <row r="2048" spans="1:13" ht="12.75" hidden="1" customHeight="1">
      <c r="A2048" s="12" t="s">
        <v>421</v>
      </c>
      <c r="B2048" s="30">
        <v>0.03</v>
      </c>
      <c r="C2048" s="24" t="s">
        <v>825</v>
      </c>
      <c r="D2048" s="35">
        <f>horm.ymez.!E14</f>
        <v>5567.74</v>
      </c>
      <c r="E2048" s="31">
        <f t="shared" si="189"/>
        <v>167.03</v>
      </c>
      <c r="F2048" s="32"/>
    </row>
    <row r="2049" spans="1:13" ht="12.75" hidden="1" customHeight="1">
      <c r="A2049" s="12" t="s">
        <v>430</v>
      </c>
      <c r="B2049" s="30">
        <v>1</v>
      </c>
      <c r="C2049" s="24" t="s">
        <v>213</v>
      </c>
      <c r="D2049" s="35">
        <f>D2010</f>
        <v>19.440000000000001</v>
      </c>
      <c r="E2049" s="31">
        <f t="shared" si="189"/>
        <v>19.440000000000001</v>
      </c>
      <c r="F2049" s="32"/>
    </row>
    <row r="2050" spans="1:13" ht="12.75" hidden="1" customHeight="1">
      <c r="A2050" s="12" t="s">
        <v>428</v>
      </c>
      <c r="B2050" s="30">
        <v>13</v>
      </c>
      <c r="C2050" s="24" t="s">
        <v>1017</v>
      </c>
      <c r="D2050" s="35">
        <f>Prec.!$D$329</f>
        <v>0</v>
      </c>
      <c r="E2050" s="31">
        <f t="shared" si="189"/>
        <v>0</v>
      </c>
      <c r="F2050" s="32"/>
    </row>
    <row r="2051" spans="1:13" ht="12.75" hidden="1" customHeight="1">
      <c r="A2051" s="12" t="s">
        <v>432</v>
      </c>
      <c r="B2051" s="30">
        <v>13</v>
      </c>
      <c r="C2051" s="24" t="s">
        <v>1017</v>
      </c>
      <c r="D2051" s="35">
        <f>Prec.!$D$542</f>
        <v>0.55000000000000004</v>
      </c>
      <c r="E2051" s="31">
        <f t="shared" si="189"/>
        <v>7.15</v>
      </c>
      <c r="F2051" s="32"/>
    </row>
    <row r="2052" spans="1:13" ht="12.75" hidden="1" customHeight="1">
      <c r="A2052" s="12" t="s">
        <v>433</v>
      </c>
      <c r="B2052" s="30">
        <v>13</v>
      </c>
      <c r="C2052" s="24" t="s">
        <v>1017</v>
      </c>
      <c r="D2052" s="35">
        <f>Prec.!$D$547</f>
        <v>1.1499999999999999</v>
      </c>
      <c r="E2052" s="31">
        <f t="shared" si="189"/>
        <v>14.95</v>
      </c>
      <c r="F2052" s="32"/>
    </row>
    <row r="2053" spans="1:13" ht="12.75" hidden="1" customHeight="1">
      <c r="A2053" s="12" t="s">
        <v>1184</v>
      </c>
      <c r="B2053" s="30">
        <v>13</v>
      </c>
      <c r="C2053" s="24" t="s">
        <v>1017</v>
      </c>
      <c r="D2053" s="35">
        <f>D2014</f>
        <v>1.77</v>
      </c>
      <c r="E2053" s="31">
        <f>ROUND(B2053*D2053,2)</f>
        <v>23.01</v>
      </c>
      <c r="F2053" s="32"/>
    </row>
    <row r="2054" spans="1:13" ht="12.75" hidden="1" customHeight="1">
      <c r="A2054" s="12" t="s">
        <v>208</v>
      </c>
      <c r="B2054" s="14">
        <f>SUM(E2044:E2053)</f>
        <v>1100.6600000000001</v>
      </c>
      <c r="C2054" s="24" t="s">
        <v>209</v>
      </c>
      <c r="D2054" s="35">
        <f>D2015</f>
        <v>0.02</v>
      </c>
      <c r="E2054" s="31">
        <f>ROUND(B2054*D2054,2)</f>
        <v>22.01</v>
      </c>
      <c r="F2054" s="32">
        <f>SUM(E2044:E2054)</f>
        <v>1122.67</v>
      </c>
    </row>
    <row r="2055" spans="1:13" s="166" customFormat="1" ht="12.75" hidden="1" customHeight="1">
      <c r="B2055" s="7"/>
      <c r="C2055" s="165"/>
      <c r="D2055" s="37"/>
      <c r="E2055" s="25"/>
      <c r="F2055" s="26"/>
      <c r="G2055" s="15"/>
      <c r="H2055" s="21"/>
      <c r="I2055" s="15"/>
      <c r="J2055" s="15"/>
      <c r="K2055" s="15"/>
      <c r="L2055" s="21"/>
      <c r="M2055" s="15"/>
    </row>
    <row r="2056" spans="1:13" ht="10.15" hidden="1" customHeight="1">
      <c r="B2056" s="7"/>
    </row>
    <row r="2057" spans="1:13" ht="12.75" customHeight="1">
      <c r="A2057" s="545" t="s">
        <v>1571</v>
      </c>
      <c r="B2057" s="546"/>
      <c r="C2057" s="547"/>
      <c r="D2057" s="548"/>
      <c r="E2057" s="549" t="s">
        <v>151</v>
      </c>
      <c r="F2057" s="550" t="s">
        <v>213</v>
      </c>
    </row>
    <row r="2058" spans="1:13" ht="12.75" customHeight="1">
      <c r="A2058" s="551" t="s">
        <v>429</v>
      </c>
      <c r="B2058" s="546">
        <v>13</v>
      </c>
      <c r="C2058" s="547" t="s">
        <v>1017</v>
      </c>
      <c r="D2058" s="548">
        <f>Prec.!$C$87</f>
        <v>34</v>
      </c>
      <c r="E2058" s="552">
        <f t="shared" ref="E2058:E2066" si="190">ROUND(B2058*D2058,2)</f>
        <v>442</v>
      </c>
      <c r="F2058" s="553"/>
    </row>
    <row r="2059" spans="1:13" ht="12.75" customHeight="1">
      <c r="A2059" s="551" t="s">
        <v>1572</v>
      </c>
      <c r="B2059" s="546">
        <v>2.4E-2</v>
      </c>
      <c r="C2059" s="547" t="s">
        <v>216</v>
      </c>
      <c r="D2059" s="548">
        <f>Prec.!$C$53</f>
        <v>3200</v>
      </c>
      <c r="E2059" s="552">
        <f t="shared" si="190"/>
        <v>76.8</v>
      </c>
      <c r="F2059" s="553"/>
    </row>
    <row r="2060" spans="1:13" ht="12.75" customHeight="1">
      <c r="A2060" s="551" t="s">
        <v>217</v>
      </c>
      <c r="B2060" s="546">
        <f>B2059*2</f>
        <v>4.8000000000000001E-2</v>
      </c>
      <c r="C2060" s="547" t="s">
        <v>218</v>
      </c>
      <c r="D2060" s="548">
        <f>Prec.!$C$75</f>
        <v>60</v>
      </c>
      <c r="E2060" s="552">
        <f t="shared" si="190"/>
        <v>2.88</v>
      </c>
      <c r="F2060" s="553"/>
    </row>
    <row r="2061" spans="1:13" ht="12.75" customHeight="1">
      <c r="A2061" s="551" t="s">
        <v>427</v>
      </c>
      <c r="B2061" s="546">
        <v>0.02</v>
      </c>
      <c r="C2061" s="547" t="s">
        <v>825</v>
      </c>
      <c r="D2061" s="548">
        <f>horm.ymez.!E8</f>
        <v>7012.85</v>
      </c>
      <c r="E2061" s="552">
        <f t="shared" si="190"/>
        <v>140.26</v>
      </c>
      <c r="F2061" s="553"/>
    </row>
    <row r="2062" spans="1:13" ht="12.75" customHeight="1">
      <c r="A2062" s="551" t="s">
        <v>421</v>
      </c>
      <c r="B2062" s="546">
        <v>8.9999999999999993E-3</v>
      </c>
      <c r="C2062" s="547" t="s">
        <v>825</v>
      </c>
      <c r="D2062" s="548">
        <f>horm.ymez.!E14</f>
        <v>5567.74</v>
      </c>
      <c r="E2062" s="552">
        <f t="shared" si="190"/>
        <v>50.11</v>
      </c>
      <c r="F2062" s="553"/>
    </row>
    <row r="2063" spans="1:13" ht="12.75" customHeight="1">
      <c r="A2063" s="551" t="s">
        <v>430</v>
      </c>
      <c r="B2063" s="546">
        <v>1</v>
      </c>
      <c r="C2063" s="547" t="s">
        <v>213</v>
      </c>
      <c r="D2063" s="548">
        <f>D2049</f>
        <v>19.440000000000001</v>
      </c>
      <c r="E2063" s="552">
        <f t="shared" si="190"/>
        <v>19.440000000000001</v>
      </c>
      <c r="F2063" s="553"/>
    </row>
    <row r="2064" spans="1:13" ht="12.75" customHeight="1">
      <c r="A2064" s="551" t="s">
        <v>428</v>
      </c>
      <c r="B2064" s="546">
        <v>13</v>
      </c>
      <c r="C2064" s="547" t="s">
        <v>1017</v>
      </c>
      <c r="D2064" s="548">
        <f>Prec.!C328</f>
        <v>23.46</v>
      </c>
      <c r="E2064" s="552">
        <f t="shared" si="190"/>
        <v>304.98</v>
      </c>
      <c r="F2064" s="553"/>
    </row>
    <row r="2065" spans="1:13" ht="12.75" customHeight="1">
      <c r="A2065" s="551" t="s">
        <v>432</v>
      </c>
      <c r="B2065" s="546">
        <v>13</v>
      </c>
      <c r="C2065" s="547" t="s">
        <v>1017</v>
      </c>
      <c r="D2065" s="548">
        <f>D1530</f>
        <v>0.63249999999999995</v>
      </c>
      <c r="E2065" s="552">
        <f t="shared" si="190"/>
        <v>8.2200000000000006</v>
      </c>
      <c r="F2065" s="553"/>
    </row>
    <row r="2066" spans="1:13" ht="12.75" customHeight="1">
      <c r="A2066" s="551" t="s">
        <v>433</v>
      </c>
      <c r="B2066" s="546">
        <v>13</v>
      </c>
      <c r="C2066" s="547" t="s">
        <v>1017</v>
      </c>
      <c r="D2066" s="548">
        <f>D1531</f>
        <v>1.3224999999999998</v>
      </c>
      <c r="E2066" s="552">
        <f t="shared" si="190"/>
        <v>17.190000000000001</v>
      </c>
      <c r="F2066" s="553"/>
    </row>
    <row r="2067" spans="1:13" ht="12.75" customHeight="1">
      <c r="A2067" s="551" t="s">
        <v>1185</v>
      </c>
      <c r="B2067" s="546">
        <v>13</v>
      </c>
      <c r="C2067" s="547" t="s">
        <v>1017</v>
      </c>
      <c r="D2067" s="548">
        <f>Prec.!C408</f>
        <v>3.1395</v>
      </c>
      <c r="E2067" s="552">
        <f>ROUND(B2067*D2067,2)</f>
        <v>40.81</v>
      </c>
      <c r="F2067" s="553"/>
    </row>
    <row r="2068" spans="1:13" ht="12.75" customHeight="1">
      <c r="A2068" s="551" t="s">
        <v>208</v>
      </c>
      <c r="B2068" s="554">
        <f>SUM(E2058:E2062)</f>
        <v>712.05</v>
      </c>
      <c r="C2068" s="547" t="s">
        <v>209</v>
      </c>
      <c r="D2068" s="548">
        <f>D2054</f>
        <v>0.02</v>
      </c>
      <c r="E2068" s="552">
        <f>ROUND(B2068*D2068,2)</f>
        <v>14.24</v>
      </c>
      <c r="F2068" s="553">
        <f>SUM(E2058:E2068)</f>
        <v>1116.93</v>
      </c>
    </row>
    <row r="2069" spans="1:13" s="722" customFormat="1" ht="12.75" customHeight="1">
      <c r="B2069" s="1625"/>
      <c r="C2069" s="718"/>
      <c r="D2069" s="1552"/>
      <c r="E2069" s="720"/>
      <c r="F2069" s="721"/>
      <c r="G2069" s="1626"/>
      <c r="H2069" s="1627"/>
      <c r="I2069" s="1626"/>
      <c r="J2069" s="1626"/>
      <c r="K2069" s="1626"/>
      <c r="L2069" s="1627"/>
      <c r="M2069" s="1626"/>
    </row>
    <row r="2070" spans="1:13" s="722" customFormat="1" ht="12.75" customHeight="1">
      <c r="A2070" s="1530" t="s">
        <v>923</v>
      </c>
      <c r="B2070" s="1537"/>
      <c r="C2070" s="1538"/>
      <c r="D2070" s="1533"/>
      <c r="E2070" s="1534" t="s">
        <v>151</v>
      </c>
      <c r="F2070" s="1535" t="s">
        <v>213</v>
      </c>
      <c r="G2070" s="1626"/>
      <c r="H2070" s="1627"/>
      <c r="I2070" s="1626"/>
      <c r="J2070" s="1626"/>
      <c r="K2070" s="1626"/>
      <c r="L2070" s="1627"/>
      <c r="M2070" s="1626"/>
    </row>
    <row r="2071" spans="1:13" s="722" customFormat="1" ht="12.75" customHeight="1">
      <c r="A2071" s="1536" t="s">
        <v>214</v>
      </c>
      <c r="B2071" s="1537">
        <v>13</v>
      </c>
      <c r="C2071" s="1538" t="s">
        <v>1017</v>
      </c>
      <c r="D2071" s="1533">
        <f>Prec.!$C$85</f>
        <v>48</v>
      </c>
      <c r="E2071" s="1539">
        <f t="shared" ref="E2071:E2079" si="191">ROUND(B2071*D2071,2)</f>
        <v>624</v>
      </c>
      <c r="F2071" s="1540"/>
      <c r="G2071" s="1626"/>
      <c r="H2071" s="1627"/>
      <c r="I2071" s="1626"/>
      <c r="J2071" s="1626"/>
      <c r="K2071" s="1626"/>
      <c r="L2071" s="1627"/>
      <c r="M2071" s="1626"/>
    </row>
    <row r="2072" spans="1:13" s="722" customFormat="1" ht="12.75" customHeight="1">
      <c r="A2072" s="1536" t="s">
        <v>117</v>
      </c>
      <c r="B2072" s="1537">
        <v>3.2000000000000001E-2</v>
      </c>
      <c r="C2072" s="1538" t="s">
        <v>216</v>
      </c>
      <c r="D2072" s="1533">
        <f>Prec.!$C$54</f>
        <v>3200</v>
      </c>
      <c r="E2072" s="1539">
        <f t="shared" si="191"/>
        <v>102.4</v>
      </c>
      <c r="F2072" s="1540"/>
      <c r="G2072" s="1626"/>
      <c r="H2072" s="1627"/>
      <c r="I2072" s="1626"/>
      <c r="J2072" s="1626"/>
      <c r="K2072" s="1626"/>
      <c r="L2072" s="1627"/>
      <c r="M2072" s="1626"/>
    </row>
    <row r="2073" spans="1:13" s="722" customFormat="1" ht="12.75" customHeight="1">
      <c r="A2073" s="1536" t="s">
        <v>217</v>
      </c>
      <c r="B2073" s="1537">
        <f>B2072*2</f>
        <v>6.4000000000000001E-2</v>
      </c>
      <c r="C2073" s="1538" t="s">
        <v>218</v>
      </c>
      <c r="D2073" s="1533">
        <f>Prec.!$C$75</f>
        <v>60</v>
      </c>
      <c r="E2073" s="1539">
        <f t="shared" si="191"/>
        <v>3.84</v>
      </c>
      <c r="F2073" s="1540"/>
      <c r="G2073" s="1626"/>
      <c r="H2073" s="1627"/>
      <c r="I2073" s="1626"/>
      <c r="J2073" s="1626"/>
      <c r="K2073" s="1626"/>
      <c r="L2073" s="1627"/>
      <c r="M2073" s="1626"/>
    </row>
    <row r="2074" spans="1:13" s="722" customFormat="1" ht="12.75" customHeight="1">
      <c r="A2074" s="1536" t="s">
        <v>427</v>
      </c>
      <c r="B2074" s="1537">
        <v>3.9E-2</v>
      </c>
      <c r="C2074" s="1538" t="s">
        <v>825</v>
      </c>
      <c r="D2074" s="1533">
        <f>D1668</f>
        <v>6851.01</v>
      </c>
      <c r="E2074" s="1539">
        <f t="shared" si="191"/>
        <v>267.19</v>
      </c>
      <c r="F2074" s="1540"/>
      <c r="G2074" s="1626"/>
      <c r="H2074" s="1627"/>
      <c r="I2074" s="1626"/>
      <c r="J2074" s="1626"/>
      <c r="K2074" s="1626"/>
      <c r="L2074" s="1627"/>
      <c r="M2074" s="1626"/>
    </row>
    <row r="2075" spans="1:13" s="722" customFormat="1" ht="12.75" customHeight="1">
      <c r="A2075" s="1536" t="s">
        <v>421</v>
      </c>
      <c r="B2075" s="1537">
        <v>3.3000000000000002E-2</v>
      </c>
      <c r="C2075" s="1538" t="s">
        <v>825</v>
      </c>
      <c r="D2075" s="1533">
        <f>D1669</f>
        <v>5373.880000000001</v>
      </c>
      <c r="E2075" s="1539">
        <f t="shared" si="191"/>
        <v>177.34</v>
      </c>
      <c r="F2075" s="1540"/>
      <c r="G2075" s="1626"/>
      <c r="H2075" s="1627"/>
      <c r="I2075" s="1626"/>
      <c r="J2075" s="1626"/>
      <c r="K2075" s="1626"/>
      <c r="L2075" s="1627"/>
      <c r="M2075" s="1626"/>
    </row>
    <row r="2076" spans="1:13" s="722" customFormat="1" ht="12.75" customHeight="1">
      <c r="A2076" s="1536" t="s">
        <v>430</v>
      </c>
      <c r="B2076" s="1537">
        <v>1</v>
      </c>
      <c r="C2076" s="1538" t="s">
        <v>213</v>
      </c>
      <c r="D2076" s="1533">
        <f>D1670</f>
        <v>19.21</v>
      </c>
      <c r="E2076" s="1539">
        <f t="shared" si="191"/>
        <v>19.21</v>
      </c>
      <c r="F2076" s="1540"/>
      <c r="G2076" s="1626"/>
      <c r="H2076" s="1627"/>
      <c r="I2076" s="1626"/>
      <c r="J2076" s="1626"/>
      <c r="K2076" s="1626"/>
      <c r="L2076" s="1627"/>
      <c r="M2076" s="1626"/>
    </row>
    <row r="2077" spans="1:13" s="722" customFormat="1" ht="12.75" customHeight="1">
      <c r="A2077" s="1536" t="s">
        <v>428</v>
      </c>
      <c r="B2077" s="1537">
        <v>13</v>
      </c>
      <c r="C2077" s="1538" t="s">
        <v>1017</v>
      </c>
      <c r="D2077" s="1533">
        <f>Prec.!$D$330</f>
        <v>0</v>
      </c>
      <c r="E2077" s="1539">
        <f t="shared" si="191"/>
        <v>0</v>
      </c>
      <c r="F2077" s="1540"/>
      <c r="G2077" s="1626"/>
      <c r="H2077" s="1627"/>
      <c r="I2077" s="1626"/>
      <c r="J2077" s="1626"/>
      <c r="K2077" s="1626"/>
      <c r="L2077" s="1627"/>
      <c r="M2077" s="1626"/>
    </row>
    <row r="2078" spans="1:13" s="722" customFormat="1" ht="12.75" customHeight="1">
      <c r="A2078" s="1536" t="s">
        <v>432</v>
      </c>
      <c r="B2078" s="1537">
        <v>13</v>
      </c>
      <c r="C2078" s="1538" t="s">
        <v>1017</v>
      </c>
      <c r="D2078" s="1533">
        <f>D1672</f>
        <v>0.85</v>
      </c>
      <c r="E2078" s="1539">
        <f t="shared" si="191"/>
        <v>11.05</v>
      </c>
      <c r="F2078" s="1540"/>
      <c r="G2078" s="1626"/>
      <c r="H2078" s="1627"/>
      <c r="I2078" s="1626"/>
      <c r="J2078" s="1626"/>
      <c r="K2078" s="1626"/>
      <c r="L2078" s="1627"/>
      <c r="M2078" s="1626"/>
    </row>
    <row r="2079" spans="1:13" s="722" customFormat="1" ht="12.75" customHeight="1">
      <c r="A2079" s="1536" t="s">
        <v>433</v>
      </c>
      <c r="B2079" s="1537">
        <v>13</v>
      </c>
      <c r="C2079" s="1538" t="s">
        <v>1017</v>
      </c>
      <c r="D2079" s="1533">
        <f>D1673</f>
        <v>1.7</v>
      </c>
      <c r="E2079" s="1539">
        <f t="shared" si="191"/>
        <v>22.1</v>
      </c>
      <c r="F2079" s="1540"/>
      <c r="G2079" s="1626"/>
      <c r="H2079" s="1627"/>
      <c r="I2079" s="1626"/>
      <c r="J2079" s="1626"/>
      <c r="K2079" s="1626"/>
      <c r="L2079" s="1627"/>
      <c r="M2079" s="1626"/>
    </row>
    <row r="2080" spans="1:13" s="722" customFormat="1" ht="12.75" customHeight="1">
      <c r="A2080" s="1536" t="s">
        <v>1183</v>
      </c>
      <c r="B2080" s="1537">
        <v>13</v>
      </c>
      <c r="C2080" s="1538" t="s">
        <v>1017</v>
      </c>
      <c r="D2080" s="1533">
        <f>Prec.!C398</f>
        <v>2.5414999999999996</v>
      </c>
      <c r="E2080" s="1539">
        <f>ROUND(B2080*D2080,2)</f>
        <v>33.04</v>
      </c>
      <c r="F2080" s="1540"/>
      <c r="G2080" s="1626"/>
      <c r="H2080" s="1627"/>
      <c r="I2080" s="1626"/>
      <c r="J2080" s="1626"/>
      <c r="K2080" s="1626"/>
      <c r="L2080" s="1627"/>
      <c r="M2080" s="1626"/>
    </row>
    <row r="2081" spans="1:13" s="722" customFormat="1" ht="12.75" customHeight="1">
      <c r="A2081" s="1536" t="s">
        <v>208</v>
      </c>
      <c r="B2081" s="1541">
        <f>SUM(E2071:E2079)</f>
        <v>1227.1299999999999</v>
      </c>
      <c r="C2081" s="1538" t="s">
        <v>209</v>
      </c>
      <c r="D2081" s="1533">
        <f t="shared" ref="D2081" si="192">D1675</f>
        <v>0.02</v>
      </c>
      <c r="E2081" s="1539">
        <f t="shared" ref="E2081" si="193">ROUND(B2081*D2081,2)</f>
        <v>24.54</v>
      </c>
      <c r="F2081" s="1540">
        <f>SUM(E2071:E2081)</f>
        <v>1284.7099999999998</v>
      </c>
      <c r="G2081" s="1626"/>
      <c r="H2081" s="1627"/>
      <c r="I2081" s="1626"/>
      <c r="J2081" s="1626"/>
      <c r="K2081" s="1626"/>
      <c r="L2081" s="1627"/>
      <c r="M2081" s="1626"/>
    </row>
    <row r="2082" spans="1:13" s="722" customFormat="1" ht="12.75" customHeight="1">
      <c r="A2082" s="12"/>
      <c r="B2082" s="14"/>
      <c r="C2082" s="24"/>
      <c r="D2082" s="35"/>
      <c r="E2082" s="31"/>
      <c r="F2082" s="32"/>
      <c r="G2082" s="1626"/>
      <c r="H2082" s="1627"/>
      <c r="I2082" s="1626"/>
      <c r="J2082" s="1626"/>
      <c r="K2082" s="1626"/>
      <c r="L2082" s="1627"/>
      <c r="M2082" s="1626"/>
    </row>
    <row r="2083" spans="1:13" s="722" customFormat="1" ht="12.75" customHeight="1">
      <c r="A2083" s="1530" t="s">
        <v>5400</v>
      </c>
      <c r="B2083" s="1537"/>
      <c r="C2083" s="1538"/>
      <c r="D2083" s="1533"/>
      <c r="E2083" s="1534" t="s">
        <v>151</v>
      </c>
      <c r="F2083" s="1535" t="s">
        <v>213</v>
      </c>
      <c r="G2083" s="1626"/>
      <c r="H2083" s="1627"/>
      <c r="I2083" s="1626"/>
      <c r="J2083" s="1626"/>
      <c r="K2083" s="1626"/>
      <c r="L2083" s="1627"/>
      <c r="M2083" s="1626"/>
    </row>
    <row r="2084" spans="1:13" s="722" customFormat="1" ht="12.75" customHeight="1">
      <c r="A2084" s="1536" t="s">
        <v>214</v>
      </c>
      <c r="B2084" s="1537">
        <v>13</v>
      </c>
      <c r="C2084" s="1538" t="s">
        <v>1017</v>
      </c>
      <c r="D2084" s="1533">
        <f>Prec.!$C$85</f>
        <v>48</v>
      </c>
      <c r="E2084" s="1539">
        <f t="shared" ref="E2084:E2093" si="194">ROUND(B2084*D2084,2)</f>
        <v>624</v>
      </c>
      <c r="F2084" s="1540"/>
      <c r="G2084" s="1626"/>
      <c r="H2084" s="1627"/>
      <c r="I2084" s="1626"/>
      <c r="J2084" s="1626"/>
      <c r="K2084" s="1626"/>
      <c r="L2084" s="1627"/>
      <c r="M2084" s="1626"/>
    </row>
    <row r="2085" spans="1:13" s="722" customFormat="1" ht="12.75" customHeight="1">
      <c r="A2085" s="1536" t="s">
        <v>117</v>
      </c>
      <c r="B2085" s="1537">
        <v>3.2000000000000001E-2</v>
      </c>
      <c r="C2085" s="1538" t="s">
        <v>216</v>
      </c>
      <c r="D2085" s="1533">
        <f>Prec.!$C$54</f>
        <v>3200</v>
      </c>
      <c r="E2085" s="1539">
        <f t="shared" si="194"/>
        <v>102.4</v>
      </c>
      <c r="F2085" s="1540"/>
      <c r="G2085" s="1626"/>
      <c r="H2085" s="1627"/>
      <c r="I2085" s="1626"/>
      <c r="J2085" s="1626"/>
      <c r="K2085" s="1626"/>
      <c r="L2085" s="1627"/>
      <c r="M2085" s="1626"/>
    </row>
    <row r="2086" spans="1:13" s="722" customFormat="1" ht="12.75" customHeight="1">
      <c r="A2086" s="1536" t="s">
        <v>4424</v>
      </c>
      <c r="B2086" s="1537">
        <v>4.1082E-2</v>
      </c>
      <c r="C2086" s="1538" t="s">
        <v>216</v>
      </c>
      <c r="D2086" s="1533">
        <f>D2085</f>
        <v>3200</v>
      </c>
      <c r="E2086" s="1539">
        <f t="shared" si="194"/>
        <v>131.46</v>
      </c>
      <c r="F2086" s="1540"/>
      <c r="G2086" s="1626"/>
      <c r="H2086" s="1627"/>
      <c r="I2086" s="1626"/>
      <c r="J2086" s="1626"/>
      <c r="K2086" s="1626"/>
      <c r="L2086" s="1627"/>
      <c r="M2086" s="1626"/>
    </row>
    <row r="2087" spans="1:13" s="722" customFormat="1" ht="12.75" customHeight="1">
      <c r="A2087" s="1536" t="s">
        <v>217</v>
      </c>
      <c r="B2087" s="1537">
        <f>B2085*2</f>
        <v>6.4000000000000001E-2</v>
      </c>
      <c r="C2087" s="1538" t="s">
        <v>218</v>
      </c>
      <c r="D2087" s="1533">
        <f>D2073</f>
        <v>60</v>
      </c>
      <c r="E2087" s="1539">
        <f t="shared" si="194"/>
        <v>3.84</v>
      </c>
      <c r="F2087" s="1540"/>
      <c r="G2087" s="1626"/>
      <c r="H2087" s="1627"/>
      <c r="I2087" s="1626"/>
      <c r="J2087" s="1626"/>
      <c r="K2087" s="1626"/>
      <c r="L2087" s="1627"/>
      <c r="M2087" s="1626"/>
    </row>
    <row r="2088" spans="1:13" s="722" customFormat="1" ht="12.75" customHeight="1">
      <c r="A2088" s="1536" t="s">
        <v>427</v>
      </c>
      <c r="B2088" s="1537">
        <v>3.9E-2</v>
      </c>
      <c r="C2088" s="1538" t="s">
        <v>825</v>
      </c>
      <c r="D2088" s="1533">
        <f>D1682</f>
        <v>6851.01</v>
      </c>
      <c r="E2088" s="1539">
        <f t="shared" si="194"/>
        <v>267.19</v>
      </c>
      <c r="F2088" s="1540"/>
      <c r="G2088" s="1626"/>
      <c r="H2088" s="1627"/>
      <c r="I2088" s="1626"/>
      <c r="J2088" s="1626"/>
      <c r="K2088" s="1626"/>
      <c r="L2088" s="1627"/>
      <c r="M2088" s="1626"/>
    </row>
    <row r="2089" spans="1:13" s="722" customFormat="1" ht="12.75" customHeight="1">
      <c r="A2089" s="1536" t="s">
        <v>421</v>
      </c>
      <c r="B2089" s="1537">
        <v>3.3000000000000002E-2</v>
      </c>
      <c r="C2089" s="1538" t="s">
        <v>825</v>
      </c>
      <c r="D2089" s="1533">
        <f t="shared" ref="D2089:D2095" si="195">D1683</f>
        <v>5373.880000000001</v>
      </c>
      <c r="E2089" s="1539">
        <f t="shared" si="194"/>
        <v>177.34</v>
      </c>
      <c r="F2089" s="1540"/>
      <c r="G2089" s="1626"/>
      <c r="H2089" s="1627"/>
      <c r="I2089" s="1626"/>
      <c r="J2089" s="1626"/>
      <c r="K2089" s="1626"/>
      <c r="L2089" s="1627"/>
      <c r="M2089" s="1626"/>
    </row>
    <row r="2090" spans="1:13" s="722" customFormat="1" ht="12.75" customHeight="1">
      <c r="A2090" s="1536" t="s">
        <v>430</v>
      </c>
      <c r="B2090" s="1537">
        <v>1</v>
      </c>
      <c r="C2090" s="1538" t="s">
        <v>213</v>
      </c>
      <c r="D2090" s="1533">
        <f t="shared" si="195"/>
        <v>19.21</v>
      </c>
      <c r="E2090" s="1539">
        <f t="shared" si="194"/>
        <v>19.21</v>
      </c>
      <c r="F2090" s="1540"/>
      <c r="G2090" s="1626"/>
      <c r="H2090" s="1627"/>
      <c r="I2090" s="1626"/>
      <c r="J2090" s="1626"/>
      <c r="K2090" s="1626"/>
      <c r="L2090" s="1627"/>
      <c r="M2090" s="1626"/>
    </row>
    <row r="2091" spans="1:13" s="722" customFormat="1" ht="12.75" customHeight="1">
      <c r="A2091" s="1536" t="s">
        <v>428</v>
      </c>
      <c r="B2091" s="1537">
        <v>13</v>
      </c>
      <c r="C2091" s="1538" t="s">
        <v>1017</v>
      </c>
      <c r="D2091" s="1533">
        <f t="shared" si="195"/>
        <v>21.68</v>
      </c>
      <c r="E2091" s="1539">
        <f t="shared" si="194"/>
        <v>281.83999999999997</v>
      </c>
      <c r="F2091" s="1540"/>
      <c r="G2091" s="1626"/>
      <c r="H2091" s="1627"/>
      <c r="I2091" s="1626"/>
      <c r="J2091" s="1626"/>
      <c r="K2091" s="1626"/>
      <c r="L2091" s="1627"/>
      <c r="M2091" s="1626"/>
    </row>
    <row r="2092" spans="1:13" s="722" customFormat="1" ht="12.75" customHeight="1">
      <c r="A2092" s="1536" t="s">
        <v>432</v>
      </c>
      <c r="B2092" s="1537">
        <v>13</v>
      </c>
      <c r="C2092" s="1538" t="s">
        <v>1017</v>
      </c>
      <c r="D2092" s="1533">
        <f t="shared" si="195"/>
        <v>1.1499999999999999</v>
      </c>
      <c r="E2092" s="1539">
        <f t="shared" si="194"/>
        <v>14.95</v>
      </c>
      <c r="F2092" s="1540"/>
      <c r="G2092" s="1626"/>
      <c r="H2092" s="1627"/>
      <c r="I2092" s="1626"/>
      <c r="J2092" s="1626"/>
      <c r="K2092" s="1626"/>
      <c r="L2092" s="1627"/>
      <c r="M2092" s="1626"/>
    </row>
    <row r="2093" spans="1:13" s="722" customFormat="1" ht="12.75" customHeight="1">
      <c r="A2093" s="1536" t="s">
        <v>433</v>
      </c>
      <c r="B2093" s="1537">
        <v>13</v>
      </c>
      <c r="C2093" s="1538" t="s">
        <v>1017</v>
      </c>
      <c r="D2093" s="1533">
        <f t="shared" si="195"/>
        <v>2.33</v>
      </c>
      <c r="E2093" s="1539">
        <f t="shared" si="194"/>
        <v>30.29</v>
      </c>
      <c r="F2093" s="1540"/>
      <c r="G2093" s="1626"/>
      <c r="H2093" s="1627"/>
      <c r="I2093" s="1626"/>
      <c r="J2093" s="1626"/>
      <c r="K2093" s="1626"/>
      <c r="L2093" s="1627"/>
      <c r="M2093" s="1626"/>
    </row>
    <row r="2094" spans="1:13" s="722" customFormat="1" ht="12.75" customHeight="1">
      <c r="A2094" s="1536" t="s">
        <v>1183</v>
      </c>
      <c r="B2094" s="1537">
        <v>13</v>
      </c>
      <c r="C2094" s="1538" t="s">
        <v>1017</v>
      </c>
      <c r="D2094" s="1533">
        <f>D2080</f>
        <v>2.5414999999999996</v>
      </c>
      <c r="E2094" s="1539">
        <f>ROUND(B2094*D2094,2)</f>
        <v>33.04</v>
      </c>
      <c r="F2094" s="1540"/>
      <c r="G2094" s="1626"/>
      <c r="H2094" s="1627"/>
      <c r="I2094" s="1626"/>
      <c r="J2094" s="1626"/>
      <c r="K2094" s="1626"/>
      <c r="L2094" s="1627"/>
      <c r="M2094" s="1626"/>
    </row>
    <row r="2095" spans="1:13" s="722" customFormat="1" ht="12.75" customHeight="1">
      <c r="A2095" s="1536" t="s">
        <v>208</v>
      </c>
      <c r="B2095" s="1541">
        <f>SUM(E2084:E2093)</f>
        <v>1652.52</v>
      </c>
      <c r="C2095" s="1538" t="s">
        <v>209</v>
      </c>
      <c r="D2095" s="1533">
        <f t="shared" si="195"/>
        <v>0.02</v>
      </c>
      <c r="E2095" s="1539">
        <f t="shared" ref="E2095" si="196">ROUND(B2095*D2095,2)</f>
        <v>33.049999999999997</v>
      </c>
      <c r="F2095" s="1540">
        <f>SUM(E2084:E2095)</f>
        <v>1718.61</v>
      </c>
      <c r="G2095" s="1626"/>
      <c r="H2095" s="1627"/>
      <c r="I2095" s="1626"/>
      <c r="J2095" s="1626"/>
      <c r="K2095" s="1626"/>
      <c r="L2095" s="1627"/>
      <c r="M2095" s="1626"/>
    </row>
    <row r="2096" spans="1:13" s="722" customFormat="1" ht="12.75" customHeight="1">
      <c r="B2096" s="1625"/>
      <c r="C2096" s="718"/>
      <c r="D2096" s="1552"/>
      <c r="E2096" s="720"/>
      <c r="F2096" s="721"/>
      <c r="G2096" s="1626"/>
      <c r="H2096" s="1627"/>
      <c r="I2096" s="1626"/>
      <c r="J2096" s="1626"/>
      <c r="K2096" s="1626"/>
      <c r="L2096" s="1627"/>
      <c r="M2096" s="1626"/>
    </row>
    <row r="2097" spans="1:13" s="722" customFormat="1" ht="12.75" customHeight="1">
      <c r="A2097" s="1530" t="s">
        <v>1655</v>
      </c>
      <c r="B2097" s="1537"/>
      <c r="C2097" s="1538"/>
      <c r="D2097" s="1533"/>
      <c r="E2097" s="1534" t="s">
        <v>151</v>
      </c>
      <c r="F2097" s="1535" t="s">
        <v>213</v>
      </c>
      <c r="G2097" s="1626"/>
      <c r="H2097" s="1627"/>
      <c r="I2097" s="1626"/>
      <c r="J2097" s="1626"/>
      <c r="K2097" s="1626"/>
      <c r="L2097" s="1627"/>
      <c r="M2097" s="1626"/>
    </row>
    <row r="2098" spans="1:13" s="722" customFormat="1" ht="12.75" customHeight="1">
      <c r="A2098" s="1536" t="s">
        <v>102</v>
      </c>
      <c r="B2098" s="1537">
        <v>13</v>
      </c>
      <c r="C2098" s="1538" t="s">
        <v>1017</v>
      </c>
      <c r="D2098" s="1533">
        <f>D1771</f>
        <v>44</v>
      </c>
      <c r="E2098" s="1539">
        <f t="shared" ref="E2098:E2106" si="197">ROUND(B2098*D2098,2)</f>
        <v>572</v>
      </c>
      <c r="F2098" s="1540"/>
      <c r="G2098" s="1626"/>
      <c r="H2098" s="1627"/>
      <c r="I2098" s="1626"/>
      <c r="J2098" s="1626"/>
      <c r="K2098" s="1626"/>
      <c r="L2098" s="1627"/>
      <c r="M2098" s="1626"/>
    </row>
    <row r="2099" spans="1:13" s="722" customFormat="1" ht="12.75" customHeight="1">
      <c r="A2099" s="1536" t="s">
        <v>117</v>
      </c>
      <c r="B2099" s="1537">
        <v>3.2000000000000001E-2</v>
      </c>
      <c r="C2099" s="1538" t="s">
        <v>216</v>
      </c>
      <c r="D2099" s="1533">
        <f t="shared" ref="D2099:D2108" si="198">D1772</f>
        <v>3200</v>
      </c>
      <c r="E2099" s="1539">
        <f t="shared" si="197"/>
        <v>102.4</v>
      </c>
      <c r="F2099" s="1540"/>
      <c r="G2099" s="1626"/>
      <c r="H2099" s="1627"/>
      <c r="I2099" s="1626"/>
      <c r="J2099" s="1626"/>
      <c r="K2099" s="1626"/>
      <c r="L2099" s="1627"/>
      <c r="M2099" s="1626"/>
    </row>
    <row r="2100" spans="1:13" s="722" customFormat="1" ht="12.75" customHeight="1">
      <c r="A2100" s="1536" t="s">
        <v>217</v>
      </c>
      <c r="B2100" s="1537">
        <f>B2099*2</f>
        <v>6.4000000000000001E-2</v>
      </c>
      <c r="C2100" s="1538" t="s">
        <v>218</v>
      </c>
      <c r="D2100" s="1533">
        <f t="shared" si="198"/>
        <v>60</v>
      </c>
      <c r="E2100" s="1539">
        <f t="shared" si="197"/>
        <v>3.84</v>
      </c>
      <c r="F2100" s="1540"/>
      <c r="G2100" s="1626"/>
      <c r="H2100" s="1627"/>
      <c r="I2100" s="1626"/>
      <c r="J2100" s="1626"/>
      <c r="K2100" s="1626"/>
      <c r="L2100" s="1627"/>
      <c r="M2100" s="1626"/>
    </row>
    <row r="2101" spans="1:13" s="722" customFormat="1" ht="12.75" customHeight="1">
      <c r="A2101" s="1536" t="s">
        <v>427</v>
      </c>
      <c r="B2101" s="1537">
        <v>3.1E-2</v>
      </c>
      <c r="C2101" s="1538" t="s">
        <v>825</v>
      </c>
      <c r="D2101" s="1533">
        <f t="shared" si="198"/>
        <v>6851.01</v>
      </c>
      <c r="E2101" s="1539">
        <f t="shared" si="197"/>
        <v>212.38</v>
      </c>
      <c r="F2101" s="1540"/>
      <c r="G2101" s="1626"/>
      <c r="H2101" s="1627"/>
      <c r="I2101" s="1626"/>
      <c r="J2101" s="1626"/>
      <c r="K2101" s="1626"/>
      <c r="L2101" s="1627"/>
      <c r="M2101" s="1626"/>
    </row>
    <row r="2102" spans="1:13" s="722" customFormat="1" ht="12.75" customHeight="1">
      <c r="A2102" s="1536" t="s">
        <v>421</v>
      </c>
      <c r="B2102" s="1537">
        <v>4.8000000000000001E-2</v>
      </c>
      <c r="C2102" s="1538" t="s">
        <v>825</v>
      </c>
      <c r="D2102" s="1533">
        <f t="shared" si="198"/>
        <v>5373.880000000001</v>
      </c>
      <c r="E2102" s="1539">
        <f t="shared" si="197"/>
        <v>257.95</v>
      </c>
      <c r="F2102" s="1540"/>
      <c r="G2102" s="1626"/>
      <c r="H2102" s="1627"/>
      <c r="I2102" s="1626"/>
      <c r="J2102" s="1626"/>
      <c r="K2102" s="1626"/>
      <c r="L2102" s="1627"/>
      <c r="M2102" s="1626"/>
    </row>
    <row r="2103" spans="1:13" s="722" customFormat="1" ht="12.75" customHeight="1">
      <c r="A2103" s="1536" t="s">
        <v>430</v>
      </c>
      <c r="B2103" s="1537">
        <v>1</v>
      </c>
      <c r="C2103" s="1538" t="s">
        <v>213</v>
      </c>
      <c r="D2103" s="1533">
        <f t="shared" si="198"/>
        <v>19.21</v>
      </c>
      <c r="E2103" s="1539">
        <f t="shared" si="197"/>
        <v>19.21</v>
      </c>
      <c r="F2103" s="1540"/>
      <c r="G2103" s="1626"/>
      <c r="H2103" s="1627"/>
      <c r="I2103" s="1626"/>
      <c r="J2103" s="1626"/>
      <c r="K2103" s="1626"/>
      <c r="L2103" s="1627"/>
      <c r="M2103" s="1626"/>
    </row>
    <row r="2104" spans="1:13" s="722" customFormat="1" ht="12.75" customHeight="1">
      <c r="A2104" s="1536" t="s">
        <v>428</v>
      </c>
      <c r="B2104" s="1537">
        <v>13</v>
      </c>
      <c r="C2104" s="1538" t="s">
        <v>1017</v>
      </c>
      <c r="D2104" s="1533">
        <f t="shared" si="198"/>
        <v>0</v>
      </c>
      <c r="E2104" s="1539">
        <f t="shared" si="197"/>
        <v>0</v>
      </c>
      <c r="F2104" s="1540"/>
      <c r="G2104" s="1626"/>
      <c r="H2104" s="1627"/>
      <c r="I2104" s="1626"/>
      <c r="J2104" s="1626"/>
      <c r="K2104" s="1626"/>
      <c r="L2104" s="1627"/>
      <c r="M2104" s="1626"/>
    </row>
    <row r="2105" spans="1:13" s="722" customFormat="1" ht="12.75" customHeight="1">
      <c r="A2105" s="1536" t="s">
        <v>432</v>
      </c>
      <c r="B2105" s="1537">
        <v>13</v>
      </c>
      <c r="C2105" s="1538" t="s">
        <v>1017</v>
      </c>
      <c r="D2105" s="1533">
        <f t="shared" si="198"/>
        <v>0.85</v>
      </c>
      <c r="E2105" s="1539">
        <f t="shared" si="197"/>
        <v>11.05</v>
      </c>
      <c r="F2105" s="1540"/>
      <c r="G2105" s="1626"/>
      <c r="H2105" s="1627"/>
      <c r="I2105" s="1626"/>
      <c r="J2105" s="1626"/>
      <c r="K2105" s="1626"/>
      <c r="L2105" s="1627"/>
      <c r="M2105" s="1626"/>
    </row>
    <row r="2106" spans="1:13" s="722" customFormat="1" ht="12.75" customHeight="1">
      <c r="A2106" s="1536" t="s">
        <v>433</v>
      </c>
      <c r="B2106" s="1537">
        <v>13</v>
      </c>
      <c r="C2106" s="1538" t="s">
        <v>1017</v>
      </c>
      <c r="D2106" s="1533">
        <f t="shared" si="198"/>
        <v>1.7</v>
      </c>
      <c r="E2106" s="1539">
        <f t="shared" si="197"/>
        <v>22.1</v>
      </c>
      <c r="F2106" s="1540"/>
      <c r="G2106" s="1626"/>
      <c r="H2106" s="1627"/>
      <c r="I2106" s="1626"/>
      <c r="J2106" s="1626"/>
      <c r="K2106" s="1626"/>
      <c r="L2106" s="1627"/>
      <c r="M2106" s="1626"/>
    </row>
    <row r="2107" spans="1:13" s="722" customFormat="1" ht="12.75" customHeight="1">
      <c r="A2107" s="1536" t="s">
        <v>1184</v>
      </c>
      <c r="B2107" s="1537">
        <v>13</v>
      </c>
      <c r="C2107" s="1538" t="s">
        <v>1017</v>
      </c>
      <c r="D2107" s="1533">
        <f>Prec.!C403</f>
        <v>2.0354999999999999</v>
      </c>
      <c r="E2107" s="1539">
        <f>ROUND(B2107*D2107,2)</f>
        <v>26.46</v>
      </c>
      <c r="F2107" s="1540"/>
      <c r="G2107" s="1626"/>
      <c r="H2107" s="1627"/>
      <c r="I2107" s="1626"/>
      <c r="J2107" s="1626"/>
      <c r="K2107" s="1626"/>
      <c r="L2107" s="1627"/>
      <c r="M2107" s="1626"/>
    </row>
    <row r="2108" spans="1:13" s="722" customFormat="1" ht="12.75" customHeight="1">
      <c r="A2108" s="1536" t="s">
        <v>208</v>
      </c>
      <c r="B2108" s="1541">
        <f>SUM(E2098:E2107)</f>
        <v>1227.3899999999999</v>
      </c>
      <c r="C2108" s="1538" t="s">
        <v>209</v>
      </c>
      <c r="D2108" s="1533">
        <f t="shared" si="198"/>
        <v>0.02</v>
      </c>
      <c r="E2108" s="1539">
        <f>ROUND(B2108*D2108,2)</f>
        <v>24.55</v>
      </c>
      <c r="F2108" s="1540">
        <f>SUM(E2098:E2108)</f>
        <v>1251.9399999999998</v>
      </c>
      <c r="G2108" s="1626"/>
      <c r="H2108" s="1627"/>
      <c r="I2108" s="1626"/>
      <c r="J2108" s="1626"/>
      <c r="K2108" s="1626"/>
      <c r="L2108" s="1627"/>
      <c r="M2108" s="1626"/>
    </row>
    <row r="2109" spans="1:13" s="722" customFormat="1" ht="12.75" customHeight="1">
      <c r="A2109" s="12"/>
      <c r="B2109" s="14"/>
      <c r="C2109" s="24"/>
      <c r="D2109" s="35"/>
      <c r="E2109" s="31"/>
      <c r="F2109" s="32"/>
      <c r="G2109" s="1626"/>
      <c r="H2109" s="1627"/>
      <c r="I2109" s="1626"/>
      <c r="J2109" s="1626"/>
      <c r="K2109" s="1626"/>
      <c r="L2109" s="1627"/>
      <c r="M2109" s="1626"/>
    </row>
    <row r="2110" spans="1:13" s="722" customFormat="1" ht="12.75" customHeight="1">
      <c r="A2110" s="1530" t="s">
        <v>5424</v>
      </c>
      <c r="B2110" s="1537"/>
      <c r="C2110" s="1538"/>
      <c r="D2110" s="1533"/>
      <c r="E2110" s="1534" t="s">
        <v>151</v>
      </c>
      <c r="F2110" s="1535" t="s">
        <v>213</v>
      </c>
      <c r="G2110" s="1626"/>
      <c r="H2110" s="1627"/>
      <c r="I2110" s="1626"/>
      <c r="J2110" s="1626"/>
      <c r="K2110" s="1626"/>
      <c r="L2110" s="1627"/>
      <c r="M2110" s="1626"/>
    </row>
    <row r="2111" spans="1:13" s="722" customFormat="1" ht="12.75" customHeight="1">
      <c r="A2111" s="1536" t="s">
        <v>102</v>
      </c>
      <c r="B2111" s="1537">
        <v>13</v>
      </c>
      <c r="C2111" s="1538" t="s">
        <v>1017</v>
      </c>
      <c r="D2111" s="1533">
        <f>D1784</f>
        <v>44</v>
      </c>
      <c r="E2111" s="1539">
        <f t="shared" ref="E2111:E2120" si="199">ROUND(B2111*D2111,2)</f>
        <v>572</v>
      </c>
      <c r="F2111" s="1540"/>
      <c r="G2111" s="1626"/>
      <c r="H2111" s="1627"/>
      <c r="I2111" s="1626"/>
      <c r="J2111" s="1626"/>
      <c r="K2111" s="1626"/>
      <c r="L2111" s="1627"/>
      <c r="M2111" s="1626"/>
    </row>
    <row r="2112" spans="1:13" s="722" customFormat="1" ht="12.75" customHeight="1">
      <c r="A2112" s="1536" t="s">
        <v>117</v>
      </c>
      <c r="B2112" s="1537">
        <v>3.2000000000000001E-2</v>
      </c>
      <c r="C2112" s="1538" t="s">
        <v>216</v>
      </c>
      <c r="D2112" s="1533">
        <f t="shared" ref="D2112:D2122" si="200">D1785</f>
        <v>3200</v>
      </c>
      <c r="E2112" s="1539">
        <f t="shared" si="199"/>
        <v>102.4</v>
      </c>
      <c r="F2112" s="1540"/>
      <c r="G2112" s="1626"/>
      <c r="H2112" s="1627"/>
      <c r="I2112" s="1626"/>
      <c r="J2112" s="1626"/>
      <c r="K2112" s="1626"/>
      <c r="L2112" s="1627"/>
      <c r="M2112" s="1626"/>
    </row>
    <row r="2113" spans="1:13" s="722" customFormat="1" ht="12.75" customHeight="1">
      <c r="A2113" s="1536" t="s">
        <v>117</v>
      </c>
      <c r="B2113" s="1537">
        <v>4.1082E-2</v>
      </c>
      <c r="C2113" s="1538" t="s">
        <v>216</v>
      </c>
      <c r="D2113" s="1533">
        <f t="shared" si="200"/>
        <v>3200</v>
      </c>
      <c r="E2113" s="1539">
        <f t="shared" si="199"/>
        <v>131.46</v>
      </c>
      <c r="F2113" s="1540"/>
      <c r="G2113" s="1626"/>
      <c r="H2113" s="1627"/>
      <c r="I2113" s="1626"/>
      <c r="J2113" s="1626"/>
      <c r="K2113" s="1626"/>
      <c r="L2113" s="1627"/>
      <c r="M2113" s="1626"/>
    </row>
    <row r="2114" spans="1:13" s="722" customFormat="1" ht="12.75" customHeight="1">
      <c r="A2114" s="1536" t="s">
        <v>217</v>
      </c>
      <c r="B2114" s="1537">
        <f>B2112*2</f>
        <v>6.4000000000000001E-2</v>
      </c>
      <c r="C2114" s="1538" t="s">
        <v>218</v>
      </c>
      <c r="D2114" s="1533">
        <f t="shared" si="200"/>
        <v>60</v>
      </c>
      <c r="E2114" s="1539">
        <f t="shared" si="199"/>
        <v>3.84</v>
      </c>
      <c r="F2114" s="1540"/>
      <c r="G2114" s="1626"/>
      <c r="H2114" s="1627"/>
      <c r="I2114" s="1626"/>
      <c r="J2114" s="1626"/>
      <c r="K2114" s="1626"/>
      <c r="L2114" s="1627"/>
      <c r="M2114" s="1626"/>
    </row>
    <row r="2115" spans="1:13" s="722" customFormat="1" ht="12.75" customHeight="1">
      <c r="A2115" s="1536" t="s">
        <v>427</v>
      </c>
      <c r="B2115" s="1537">
        <v>3.1E-2</v>
      </c>
      <c r="C2115" s="1538" t="s">
        <v>825</v>
      </c>
      <c r="D2115" s="1533">
        <f t="shared" si="200"/>
        <v>6851.01</v>
      </c>
      <c r="E2115" s="1539">
        <f t="shared" si="199"/>
        <v>212.38</v>
      </c>
      <c r="F2115" s="1540"/>
      <c r="G2115" s="1626"/>
      <c r="H2115" s="1627"/>
      <c r="I2115" s="1626"/>
      <c r="J2115" s="1626"/>
      <c r="K2115" s="1626"/>
      <c r="L2115" s="1627"/>
      <c r="M2115" s="1626"/>
    </row>
    <row r="2116" spans="1:13" s="722" customFormat="1" ht="12.75" customHeight="1">
      <c r="A2116" s="1536" t="s">
        <v>421</v>
      </c>
      <c r="B2116" s="1537">
        <v>4.8000000000000001E-2</v>
      </c>
      <c r="C2116" s="1538" t="s">
        <v>825</v>
      </c>
      <c r="D2116" s="1533">
        <f t="shared" si="200"/>
        <v>5373.880000000001</v>
      </c>
      <c r="E2116" s="1539">
        <f t="shared" si="199"/>
        <v>257.95</v>
      </c>
      <c r="F2116" s="1540"/>
      <c r="G2116" s="1626"/>
      <c r="H2116" s="1627"/>
      <c r="I2116" s="1626"/>
      <c r="J2116" s="1626"/>
      <c r="K2116" s="1626"/>
      <c r="L2116" s="1627"/>
      <c r="M2116" s="1626"/>
    </row>
    <row r="2117" spans="1:13" s="722" customFormat="1" ht="12.75" customHeight="1">
      <c r="A2117" s="1536" t="s">
        <v>430</v>
      </c>
      <c r="B2117" s="1537">
        <v>1</v>
      </c>
      <c r="C2117" s="1538" t="s">
        <v>213</v>
      </c>
      <c r="D2117" s="1533">
        <f t="shared" si="200"/>
        <v>19.21</v>
      </c>
      <c r="E2117" s="1539">
        <f t="shared" si="199"/>
        <v>19.21</v>
      </c>
      <c r="F2117" s="1540"/>
      <c r="G2117" s="1626"/>
      <c r="H2117" s="1627"/>
      <c r="I2117" s="1626"/>
      <c r="J2117" s="1626"/>
      <c r="K2117" s="1626"/>
      <c r="L2117" s="1627"/>
      <c r="M2117" s="1626"/>
    </row>
    <row r="2118" spans="1:13" s="722" customFormat="1" ht="12.75" customHeight="1">
      <c r="A2118" s="1536" t="s">
        <v>428</v>
      </c>
      <c r="B2118" s="1537">
        <v>13</v>
      </c>
      <c r="C2118" s="1538" t="s">
        <v>1017</v>
      </c>
      <c r="D2118" s="1533">
        <f t="shared" si="200"/>
        <v>21.68</v>
      </c>
      <c r="E2118" s="1539">
        <f t="shared" si="199"/>
        <v>281.83999999999997</v>
      </c>
      <c r="F2118" s="1540"/>
      <c r="G2118" s="1626"/>
      <c r="H2118" s="1627"/>
      <c r="I2118" s="1626"/>
      <c r="J2118" s="1626"/>
      <c r="K2118" s="1626"/>
      <c r="L2118" s="1627"/>
      <c r="M2118" s="1626"/>
    </row>
    <row r="2119" spans="1:13" s="722" customFormat="1" ht="12.75" customHeight="1">
      <c r="A2119" s="1536" t="s">
        <v>432</v>
      </c>
      <c r="B2119" s="1537">
        <v>13</v>
      </c>
      <c r="C2119" s="1538" t="s">
        <v>1017</v>
      </c>
      <c r="D2119" s="1533">
        <f t="shared" si="200"/>
        <v>0.97749999999999992</v>
      </c>
      <c r="E2119" s="1539">
        <f t="shared" si="199"/>
        <v>12.71</v>
      </c>
      <c r="F2119" s="1540"/>
      <c r="G2119" s="1626"/>
      <c r="H2119" s="1627"/>
      <c r="I2119" s="1626"/>
      <c r="J2119" s="1626"/>
      <c r="K2119" s="1626"/>
      <c r="L2119" s="1627"/>
      <c r="M2119" s="1626"/>
    </row>
    <row r="2120" spans="1:13" s="722" customFormat="1" ht="12.75" customHeight="1">
      <c r="A2120" s="1536" t="s">
        <v>433</v>
      </c>
      <c r="B2120" s="1537">
        <v>13</v>
      </c>
      <c r="C2120" s="1538" t="s">
        <v>1017</v>
      </c>
      <c r="D2120" s="1533">
        <f t="shared" si="200"/>
        <v>1.9549999999999998</v>
      </c>
      <c r="E2120" s="1539">
        <f t="shared" si="199"/>
        <v>25.42</v>
      </c>
      <c r="F2120" s="1540"/>
      <c r="G2120" s="1626"/>
      <c r="H2120" s="1627"/>
      <c r="I2120" s="1626"/>
      <c r="J2120" s="1626"/>
      <c r="K2120" s="1626"/>
      <c r="L2120" s="1627"/>
      <c r="M2120" s="1626"/>
    </row>
    <row r="2121" spans="1:13" s="722" customFormat="1" ht="12.75" customHeight="1">
      <c r="A2121" s="1536" t="s">
        <v>1184</v>
      </c>
      <c r="B2121" s="1537">
        <v>13</v>
      </c>
      <c r="C2121" s="1538" t="s">
        <v>1017</v>
      </c>
      <c r="D2121" s="1533">
        <f>D2107</f>
        <v>2.0354999999999999</v>
      </c>
      <c r="E2121" s="1539">
        <f>ROUND(B2121*D2121,2)</f>
        <v>26.46</v>
      </c>
      <c r="F2121" s="1540"/>
      <c r="G2121" s="1626"/>
      <c r="H2121" s="1627"/>
      <c r="I2121" s="1626"/>
      <c r="J2121" s="1626"/>
      <c r="K2121" s="1626"/>
      <c r="L2121" s="1627"/>
      <c r="M2121" s="1626"/>
    </row>
    <row r="2122" spans="1:13" s="722" customFormat="1" ht="12.75" customHeight="1">
      <c r="A2122" s="1536" t="s">
        <v>208</v>
      </c>
      <c r="B2122" s="1541">
        <f>SUM(E2111:E2116)</f>
        <v>1280.03</v>
      </c>
      <c r="C2122" s="1538" t="s">
        <v>209</v>
      </c>
      <c r="D2122" s="1533">
        <f t="shared" si="200"/>
        <v>0.02</v>
      </c>
      <c r="E2122" s="1539">
        <f>ROUND(B2122*D2122,2)</f>
        <v>25.6</v>
      </c>
      <c r="F2122" s="1540">
        <f>SUM(E2111:E2122)</f>
        <v>1671.27</v>
      </c>
      <c r="G2122" s="1626"/>
      <c r="H2122" s="1627"/>
      <c r="I2122" s="1626"/>
      <c r="J2122" s="1626"/>
      <c r="K2122" s="1626"/>
      <c r="L2122" s="1627"/>
      <c r="M2122" s="1626"/>
    </row>
    <row r="2123" spans="1:13" s="722" customFormat="1" ht="12.75" customHeight="1">
      <c r="A2123" s="12"/>
      <c r="B2123" s="14"/>
      <c r="C2123" s="24"/>
      <c r="D2123" s="35"/>
      <c r="E2123" s="31"/>
      <c r="F2123" s="32"/>
      <c r="G2123" s="1626"/>
      <c r="H2123" s="1627"/>
      <c r="I2123" s="1626"/>
      <c r="J2123" s="1626"/>
      <c r="K2123" s="1626"/>
      <c r="L2123" s="1627"/>
      <c r="M2123" s="1626"/>
    </row>
    <row r="2124" spans="1:13" s="722" customFormat="1" ht="12.75" customHeight="1">
      <c r="B2124" s="1625"/>
      <c r="C2124" s="718"/>
      <c r="D2124" s="1552"/>
      <c r="E2124" s="720"/>
      <c r="F2124" s="721"/>
      <c r="G2124" s="1626"/>
      <c r="H2124" s="1627"/>
      <c r="I2124" s="1626"/>
      <c r="J2124" s="1626"/>
      <c r="K2124" s="1626"/>
      <c r="L2124" s="1627"/>
      <c r="M2124" s="1626"/>
    </row>
    <row r="2125" spans="1:13" s="722" customFormat="1" ht="12.75" customHeight="1">
      <c r="B2125" s="1625"/>
      <c r="C2125" s="718"/>
      <c r="D2125" s="1552"/>
      <c r="E2125" s="720"/>
      <c r="F2125" s="721"/>
      <c r="G2125" s="1626"/>
      <c r="H2125" s="1627"/>
      <c r="I2125" s="1626"/>
      <c r="J2125" s="1626"/>
      <c r="K2125" s="1626"/>
      <c r="L2125" s="1627"/>
      <c r="M2125" s="1626"/>
    </row>
    <row r="2126" spans="1:13" s="166" customFormat="1" ht="12.75" customHeight="1">
      <c r="B2126" s="7"/>
      <c r="C2126" s="165"/>
      <c r="D2126" s="37"/>
      <c r="E2126" s="25"/>
      <c r="F2126" s="26"/>
      <c r="G2126" s="15"/>
      <c r="H2126" s="21"/>
      <c r="I2126" s="15"/>
      <c r="J2126" s="15"/>
      <c r="K2126" s="15"/>
      <c r="L2126" s="21"/>
      <c r="M2126" s="15"/>
    </row>
    <row r="2127" spans="1:13" ht="12.75" hidden="1" customHeight="1">
      <c r="A2127" s="13" t="s">
        <v>220</v>
      </c>
      <c r="E2127" s="27" t="s">
        <v>151</v>
      </c>
      <c r="F2127" s="28" t="s">
        <v>213</v>
      </c>
    </row>
    <row r="2128" spans="1:13" ht="12.75" hidden="1" customHeight="1">
      <c r="A2128" s="12" t="s">
        <v>2</v>
      </c>
      <c r="B2128" s="8">
        <v>2.1000000000000001E-2</v>
      </c>
      <c r="C2128" s="6" t="s">
        <v>1172</v>
      </c>
      <c r="D2128" s="36">
        <f>Prec.!$C$6</f>
        <v>900</v>
      </c>
      <c r="E2128" s="25">
        <f t="shared" ref="E2128:E2134" si="201">ROUND(B2128*D2128,2)</f>
        <v>18.899999999999999</v>
      </c>
      <c r="F2128" s="28"/>
    </row>
    <row r="2129" spans="1:6" ht="12.75" hidden="1" customHeight="1">
      <c r="A2129" s="4" t="s">
        <v>170</v>
      </c>
      <c r="B2129" s="8">
        <v>25.75</v>
      </c>
      <c r="C2129" s="6" t="s">
        <v>1017</v>
      </c>
      <c r="D2129" s="35">
        <f>Prec.!$C$91</f>
        <v>225</v>
      </c>
      <c r="E2129" s="25">
        <f t="shared" si="201"/>
        <v>5793.75</v>
      </c>
    </row>
    <row r="2130" spans="1:6" ht="12.75" hidden="1" customHeight="1">
      <c r="A2130" s="4" t="s">
        <v>430</v>
      </c>
      <c r="B2130" s="8">
        <v>1</v>
      </c>
      <c r="C2130" s="6" t="s">
        <v>213</v>
      </c>
      <c r="D2130" s="37">
        <f>D2063</f>
        <v>19.440000000000001</v>
      </c>
      <c r="E2130" s="25">
        <f t="shared" si="201"/>
        <v>19.440000000000001</v>
      </c>
    </row>
    <row r="2131" spans="1:6" ht="12.75" hidden="1" customHeight="1">
      <c r="A2131" s="4" t="s">
        <v>428</v>
      </c>
      <c r="B2131" s="8">
        <v>25</v>
      </c>
      <c r="C2131" s="6" t="s">
        <v>1017</v>
      </c>
      <c r="D2131" s="37">
        <f>Prec.!$D$336</f>
        <v>0</v>
      </c>
      <c r="E2131" s="25">
        <f t="shared" si="201"/>
        <v>0</v>
      </c>
    </row>
    <row r="2132" spans="1:6" ht="12.75" hidden="1" customHeight="1">
      <c r="A2132" s="4" t="s">
        <v>111</v>
      </c>
      <c r="B2132" s="8">
        <v>1</v>
      </c>
      <c r="C2132" s="6" t="s">
        <v>213</v>
      </c>
      <c r="D2132" s="37">
        <f>Prec.!$D$338</f>
        <v>0</v>
      </c>
      <c r="E2132" s="25">
        <f t="shared" si="201"/>
        <v>0</v>
      </c>
    </row>
    <row r="2133" spans="1:6" ht="12.75" hidden="1" customHeight="1">
      <c r="A2133" s="4" t="s">
        <v>1186</v>
      </c>
      <c r="B2133" s="8">
        <v>25</v>
      </c>
      <c r="C2133" s="6" t="s">
        <v>1017</v>
      </c>
      <c r="D2133" s="37">
        <f>Prec.!D403</f>
        <v>1.77</v>
      </c>
      <c r="E2133" s="25">
        <f t="shared" si="201"/>
        <v>44.25</v>
      </c>
    </row>
    <row r="2134" spans="1:6" ht="12.75" hidden="1" customHeight="1">
      <c r="A2134" s="4" t="s">
        <v>208</v>
      </c>
      <c r="B2134" s="7">
        <f>SUM(E2128:E2133)</f>
        <v>5876.3399999999992</v>
      </c>
      <c r="C2134" s="6" t="s">
        <v>209</v>
      </c>
      <c r="D2134" s="37">
        <f>D2068</f>
        <v>0.02</v>
      </c>
      <c r="E2134" s="25">
        <f t="shared" si="201"/>
        <v>117.53</v>
      </c>
      <c r="F2134" s="26">
        <f>SUM(E2128:E2134)</f>
        <v>5993.869999999999</v>
      </c>
    </row>
    <row r="2135" spans="1:6" ht="12.75" hidden="1" customHeight="1">
      <c r="A2135" s="2"/>
      <c r="B2135" s="7"/>
    </row>
    <row r="2136" spans="1:6" ht="12.75" customHeight="1">
      <c r="A2136" s="23" t="s">
        <v>14</v>
      </c>
      <c r="B2136" s="7"/>
    </row>
    <row r="2137" spans="1:6" ht="12.75" customHeight="1">
      <c r="A2137" s="2"/>
      <c r="B2137" s="7"/>
    </row>
    <row r="2138" spans="1:6" ht="12.75" hidden="1" customHeight="1">
      <c r="A2138" s="1" t="s">
        <v>922</v>
      </c>
      <c r="E2138" s="27" t="s">
        <v>151</v>
      </c>
      <c r="F2138" s="28" t="s">
        <v>213</v>
      </c>
    </row>
    <row r="2139" spans="1:6" ht="12.75" hidden="1" customHeight="1">
      <c r="A2139" s="4" t="s">
        <v>214</v>
      </c>
      <c r="B2139" s="8">
        <v>13</v>
      </c>
      <c r="C2139" s="6" t="s">
        <v>1017</v>
      </c>
      <c r="D2139" s="37">
        <f>Prec.!$C$85</f>
        <v>48</v>
      </c>
      <c r="E2139" s="25">
        <f t="shared" ref="E2139:E2147" si="202">ROUND(B2139*D2139,2)</f>
        <v>624</v>
      </c>
    </row>
    <row r="2140" spans="1:6" ht="12.75" hidden="1" customHeight="1">
      <c r="A2140" s="4" t="s">
        <v>117</v>
      </c>
      <c r="B2140" s="8">
        <v>6.2E-2</v>
      </c>
      <c r="C2140" s="6" t="s">
        <v>216</v>
      </c>
      <c r="D2140" s="37">
        <f>Prec.!$C$54</f>
        <v>3200</v>
      </c>
      <c r="E2140" s="25">
        <f t="shared" si="202"/>
        <v>198.4</v>
      </c>
    </row>
    <row r="2141" spans="1:6" ht="12.75" hidden="1" customHeight="1">
      <c r="A2141" s="4" t="s">
        <v>217</v>
      </c>
      <c r="B2141" s="8">
        <f>B2140*2</f>
        <v>0.124</v>
      </c>
      <c r="C2141" s="6" t="s">
        <v>218</v>
      </c>
      <c r="D2141" s="37">
        <f>Prec.!$C$75</f>
        <v>60</v>
      </c>
      <c r="E2141" s="25">
        <f t="shared" si="202"/>
        <v>7.44</v>
      </c>
    </row>
    <row r="2142" spans="1:6" ht="12.75" hidden="1" customHeight="1">
      <c r="A2142" s="4" t="s">
        <v>427</v>
      </c>
      <c r="B2142" s="8">
        <v>3.9E-2</v>
      </c>
      <c r="C2142" s="6" t="s">
        <v>825</v>
      </c>
      <c r="D2142" s="37">
        <f>horm.ymez.!F8</f>
        <v>7163.99</v>
      </c>
      <c r="E2142" s="25">
        <f t="shared" si="202"/>
        <v>279.39999999999998</v>
      </c>
    </row>
    <row r="2143" spans="1:6" ht="12.75" hidden="1" customHeight="1">
      <c r="A2143" s="4" t="s">
        <v>421</v>
      </c>
      <c r="B2143" s="8">
        <v>7.8E-2</v>
      </c>
      <c r="C2143" s="6" t="s">
        <v>825</v>
      </c>
      <c r="D2143" s="37">
        <f>horm.ymez.!F14</f>
        <v>5771.3299999999981</v>
      </c>
      <c r="E2143" s="25">
        <f t="shared" si="202"/>
        <v>450.16</v>
      </c>
    </row>
    <row r="2144" spans="1:6" ht="12.75" hidden="1" customHeight="1">
      <c r="A2144" s="4" t="s">
        <v>430</v>
      </c>
      <c r="B2144" s="8">
        <v>1</v>
      </c>
      <c r="C2144" s="6" t="s">
        <v>213</v>
      </c>
      <c r="D2144" s="37">
        <f>horm.ymez.!F23</f>
        <v>19.66</v>
      </c>
      <c r="E2144" s="25">
        <f t="shared" si="202"/>
        <v>19.66</v>
      </c>
    </row>
    <row r="2145" spans="1:6" ht="12.75" hidden="1" customHeight="1">
      <c r="A2145" s="4" t="s">
        <v>428</v>
      </c>
      <c r="B2145" s="8">
        <v>13</v>
      </c>
      <c r="C2145" s="6" t="s">
        <v>1017</v>
      </c>
      <c r="D2145" s="37">
        <f>Prec.!$D$330</f>
        <v>0</v>
      </c>
      <c r="E2145" s="25">
        <f t="shared" si="202"/>
        <v>0</v>
      </c>
    </row>
    <row r="2146" spans="1:6" ht="12.75" hidden="1" customHeight="1">
      <c r="A2146" s="4" t="s">
        <v>432</v>
      </c>
      <c r="B2146" s="8">
        <v>13</v>
      </c>
      <c r="C2146" s="6" t="s">
        <v>1017</v>
      </c>
      <c r="D2146" s="37">
        <f>Prec.!$D$539</f>
        <v>1.7</v>
      </c>
      <c r="E2146" s="25">
        <f t="shared" si="202"/>
        <v>22.1</v>
      </c>
    </row>
    <row r="2147" spans="1:6" ht="12.75" hidden="1" customHeight="1">
      <c r="A2147" s="4" t="s">
        <v>433</v>
      </c>
      <c r="B2147" s="8">
        <v>13</v>
      </c>
      <c r="C2147" s="6" t="s">
        <v>1017</v>
      </c>
      <c r="D2147" s="37">
        <f>Prec.!$D$544</f>
        <v>4.2699999999999996</v>
      </c>
      <c r="E2147" s="25">
        <f t="shared" si="202"/>
        <v>55.51</v>
      </c>
    </row>
    <row r="2148" spans="1:6" ht="12.75" hidden="1" customHeight="1">
      <c r="A2148" s="4" t="s">
        <v>1183</v>
      </c>
      <c r="B2148" s="8">
        <v>13</v>
      </c>
      <c r="C2148" s="6" t="s">
        <v>1017</v>
      </c>
      <c r="D2148" s="37">
        <f>Prec.!D399</f>
        <v>2.95</v>
      </c>
      <c r="E2148" s="25">
        <f>ROUND(B2148*D2148,2)</f>
        <v>38.35</v>
      </c>
    </row>
    <row r="2149" spans="1:6" ht="12.75" hidden="1" customHeight="1">
      <c r="A2149" s="4" t="s">
        <v>208</v>
      </c>
      <c r="B2149" s="7">
        <f>SUM(E2139:E2148)</f>
        <v>1695.02</v>
      </c>
      <c r="C2149" s="6" t="s">
        <v>209</v>
      </c>
      <c r="D2149" s="37">
        <f>D2134</f>
        <v>0.02</v>
      </c>
      <c r="E2149" s="25">
        <f>ROUND(B2149*D2149,2)</f>
        <v>33.9</v>
      </c>
      <c r="F2149" s="26">
        <f>SUM(E2139:E2149)</f>
        <v>1728.92</v>
      </c>
    </row>
    <row r="2150" spans="1:6" ht="12.75" hidden="1" customHeight="1">
      <c r="B2150" s="7"/>
    </row>
    <row r="2151" spans="1:6" ht="12.75" hidden="1" customHeight="1">
      <c r="A2151" s="13" t="s">
        <v>930</v>
      </c>
      <c r="E2151" s="27" t="s">
        <v>151</v>
      </c>
      <c r="F2151" s="28" t="s">
        <v>213</v>
      </c>
    </row>
    <row r="2152" spans="1:6" ht="12.75" hidden="1" customHeight="1">
      <c r="A2152" s="4" t="s">
        <v>214</v>
      </c>
      <c r="B2152" s="8">
        <v>13</v>
      </c>
      <c r="C2152" s="6" t="s">
        <v>1017</v>
      </c>
      <c r="D2152" s="37">
        <f>Prec.!$C$85</f>
        <v>48</v>
      </c>
      <c r="E2152" s="25">
        <f t="shared" ref="E2152:E2160" si="203">ROUND(B2152*D2152,2)</f>
        <v>624</v>
      </c>
    </row>
    <row r="2153" spans="1:6" ht="12.75" hidden="1" customHeight="1">
      <c r="A2153" s="4" t="s">
        <v>117</v>
      </c>
      <c r="B2153" s="8">
        <v>3.6999999999999998E-2</v>
      </c>
      <c r="C2153" s="6" t="s">
        <v>216</v>
      </c>
      <c r="D2153" s="37">
        <f>Prec.!$C$54</f>
        <v>3200</v>
      </c>
      <c r="E2153" s="25">
        <f t="shared" si="203"/>
        <v>118.4</v>
      </c>
    </row>
    <row r="2154" spans="1:6" ht="12.75" hidden="1" customHeight="1">
      <c r="A2154" s="4" t="s">
        <v>217</v>
      </c>
      <c r="B2154" s="8">
        <f>B2153*2</f>
        <v>7.3999999999999996E-2</v>
      </c>
      <c r="C2154" s="6" t="s">
        <v>218</v>
      </c>
      <c r="D2154" s="37">
        <f>Prec.!$C$75</f>
        <v>60</v>
      </c>
      <c r="E2154" s="25">
        <f t="shared" si="203"/>
        <v>4.4400000000000004</v>
      </c>
    </row>
    <row r="2155" spans="1:6" ht="12.75" hidden="1" customHeight="1">
      <c r="A2155" s="4" t="s">
        <v>427</v>
      </c>
      <c r="B2155" s="8">
        <v>3.9E-2</v>
      </c>
      <c r="C2155" s="6" t="s">
        <v>825</v>
      </c>
      <c r="D2155" s="37">
        <f>horm.ymez.!F8</f>
        <v>7163.99</v>
      </c>
      <c r="E2155" s="25">
        <f t="shared" si="203"/>
        <v>279.39999999999998</v>
      </c>
    </row>
    <row r="2156" spans="1:6" ht="12.75" hidden="1" customHeight="1">
      <c r="A2156" s="4" t="s">
        <v>421</v>
      </c>
      <c r="B2156" s="8">
        <v>7.8E-2</v>
      </c>
      <c r="C2156" s="6" t="s">
        <v>825</v>
      </c>
      <c r="D2156" s="37">
        <f>horm.ymez.!F14</f>
        <v>5771.3299999999981</v>
      </c>
      <c r="E2156" s="25">
        <f t="shared" si="203"/>
        <v>450.16</v>
      </c>
    </row>
    <row r="2157" spans="1:6" ht="12.75" hidden="1" customHeight="1">
      <c r="A2157" s="4" t="s">
        <v>430</v>
      </c>
      <c r="B2157" s="8">
        <v>1</v>
      </c>
      <c r="C2157" s="6" t="s">
        <v>213</v>
      </c>
      <c r="D2157" s="37">
        <f>horm.ymez.!F23</f>
        <v>19.66</v>
      </c>
      <c r="E2157" s="25">
        <f t="shared" si="203"/>
        <v>19.66</v>
      </c>
    </row>
    <row r="2158" spans="1:6" ht="12.75" hidden="1" customHeight="1">
      <c r="A2158" s="4" t="s">
        <v>428</v>
      </c>
      <c r="B2158" s="8">
        <v>13</v>
      </c>
      <c r="C2158" s="6" t="s">
        <v>1017</v>
      </c>
      <c r="D2158" s="37">
        <f>Prec.!$D$330</f>
        <v>0</v>
      </c>
      <c r="E2158" s="25">
        <f t="shared" si="203"/>
        <v>0</v>
      </c>
    </row>
    <row r="2159" spans="1:6" ht="12.75" hidden="1" customHeight="1">
      <c r="A2159" s="4" t="s">
        <v>432</v>
      </c>
      <c r="B2159" s="8">
        <v>13</v>
      </c>
      <c r="C2159" s="6" t="s">
        <v>1017</v>
      </c>
      <c r="D2159" s="37">
        <f>Prec.!$D$540</f>
        <v>1.1499999999999999</v>
      </c>
      <c r="E2159" s="25">
        <f t="shared" si="203"/>
        <v>14.95</v>
      </c>
    </row>
    <row r="2160" spans="1:6" ht="12.75" hidden="1" customHeight="1">
      <c r="A2160" s="4" t="s">
        <v>433</v>
      </c>
      <c r="B2160" s="8">
        <v>13</v>
      </c>
      <c r="C2160" s="6" t="s">
        <v>1017</v>
      </c>
      <c r="D2160" s="37">
        <f>Prec.!D544</f>
        <v>4.2699999999999996</v>
      </c>
      <c r="E2160" s="25">
        <f t="shared" si="203"/>
        <v>55.51</v>
      </c>
    </row>
    <row r="2161" spans="1:6" ht="12.75" hidden="1" customHeight="1">
      <c r="A2161" s="4" t="s">
        <v>1183</v>
      </c>
      <c r="B2161" s="8">
        <v>13</v>
      </c>
      <c r="C2161" s="6" t="s">
        <v>1017</v>
      </c>
      <c r="D2161" s="37">
        <f>Prec.!D399</f>
        <v>2.95</v>
      </c>
      <c r="E2161" s="25">
        <f>ROUND(B2161*D2161,2)</f>
        <v>38.35</v>
      </c>
    </row>
    <row r="2162" spans="1:6" ht="12.75" hidden="1" customHeight="1">
      <c r="A2162" s="4" t="s">
        <v>208</v>
      </c>
      <c r="B2162" s="7">
        <f>SUM(E2152:E2161)</f>
        <v>1604.8700000000001</v>
      </c>
      <c r="C2162" s="6" t="s">
        <v>209</v>
      </c>
      <c r="D2162" s="37">
        <f>Ana.term!D2134</f>
        <v>0.02</v>
      </c>
      <c r="E2162" s="25">
        <f>ROUND(B2162*D2162,2)</f>
        <v>32.1</v>
      </c>
      <c r="F2162" s="26">
        <f>SUM(E2152:E2162)</f>
        <v>1636.97</v>
      </c>
    </row>
    <row r="2163" spans="1:6" ht="12.75" hidden="1" customHeight="1">
      <c r="B2163" s="7"/>
    </row>
    <row r="2164" spans="1:6" ht="12.75" hidden="1" customHeight="1">
      <c r="A2164" s="1" t="s">
        <v>931</v>
      </c>
      <c r="E2164" s="27" t="s">
        <v>151</v>
      </c>
      <c r="F2164" s="28" t="s">
        <v>213</v>
      </c>
    </row>
    <row r="2165" spans="1:6" ht="12.75" hidden="1" customHeight="1">
      <c r="A2165" s="4" t="s">
        <v>214</v>
      </c>
      <c r="B2165" s="8">
        <v>13</v>
      </c>
      <c r="C2165" s="6" t="s">
        <v>1017</v>
      </c>
      <c r="D2165" s="37">
        <f>Prec.!$C$85</f>
        <v>48</v>
      </c>
      <c r="E2165" s="25">
        <f t="shared" ref="E2165:E2173" si="204">ROUND(B2165*D2165,2)</f>
        <v>624</v>
      </c>
    </row>
    <row r="2166" spans="1:6" ht="12.75" hidden="1" customHeight="1">
      <c r="A2166" s="4" t="s">
        <v>117</v>
      </c>
      <c r="B2166" s="8">
        <v>2.4E-2</v>
      </c>
      <c r="C2166" s="6" t="s">
        <v>216</v>
      </c>
      <c r="D2166" s="37">
        <f>Prec.!$C$54</f>
        <v>3200</v>
      </c>
      <c r="E2166" s="25">
        <f t="shared" si="204"/>
        <v>76.8</v>
      </c>
    </row>
    <row r="2167" spans="1:6" ht="12.75" hidden="1" customHeight="1">
      <c r="A2167" s="4" t="s">
        <v>217</v>
      </c>
      <c r="B2167" s="8">
        <f>B2166*2</f>
        <v>4.8000000000000001E-2</v>
      </c>
      <c r="C2167" s="6" t="s">
        <v>218</v>
      </c>
      <c r="D2167" s="37">
        <f>Prec.!$C$75</f>
        <v>60</v>
      </c>
      <c r="E2167" s="25">
        <f t="shared" si="204"/>
        <v>2.88</v>
      </c>
    </row>
    <row r="2168" spans="1:6" ht="12.75" hidden="1" customHeight="1">
      <c r="A2168" s="4" t="s">
        <v>427</v>
      </c>
      <c r="B2168" s="8">
        <v>3.9E-2</v>
      </c>
      <c r="C2168" s="6" t="s">
        <v>825</v>
      </c>
      <c r="D2168" s="37">
        <f>horm.ymez.!F8</f>
        <v>7163.99</v>
      </c>
      <c r="E2168" s="25">
        <f t="shared" si="204"/>
        <v>279.39999999999998</v>
      </c>
    </row>
    <row r="2169" spans="1:6" ht="12.75" hidden="1" customHeight="1">
      <c r="A2169" s="4" t="s">
        <v>421</v>
      </c>
      <c r="B2169" s="8">
        <v>7.8E-2</v>
      </c>
      <c r="C2169" s="6" t="s">
        <v>825</v>
      </c>
      <c r="D2169" s="37">
        <f>horm.ymez.!F14</f>
        <v>5771.3299999999981</v>
      </c>
      <c r="E2169" s="25">
        <f t="shared" si="204"/>
        <v>450.16</v>
      </c>
    </row>
    <row r="2170" spans="1:6" ht="12.75" hidden="1" customHeight="1">
      <c r="A2170" s="4" t="s">
        <v>430</v>
      </c>
      <c r="B2170" s="8">
        <v>1</v>
      </c>
      <c r="C2170" s="6" t="s">
        <v>213</v>
      </c>
      <c r="D2170" s="37">
        <f>D2157</f>
        <v>19.66</v>
      </c>
      <c r="E2170" s="25">
        <f t="shared" si="204"/>
        <v>19.66</v>
      </c>
    </row>
    <row r="2171" spans="1:6" ht="12.75" hidden="1" customHeight="1">
      <c r="A2171" s="4" t="s">
        <v>428</v>
      </c>
      <c r="B2171" s="8">
        <v>13</v>
      </c>
      <c r="C2171" s="6" t="s">
        <v>1017</v>
      </c>
      <c r="D2171" s="37">
        <f>Prec.!$D$330</f>
        <v>0</v>
      </c>
      <c r="E2171" s="25">
        <f t="shared" si="204"/>
        <v>0</v>
      </c>
    </row>
    <row r="2172" spans="1:6" ht="12.75" hidden="1" customHeight="1">
      <c r="A2172" s="4" t="s">
        <v>432</v>
      </c>
      <c r="B2172" s="8">
        <v>13</v>
      </c>
      <c r="C2172" s="6" t="s">
        <v>1017</v>
      </c>
      <c r="D2172" s="37">
        <f>Prec.!$D$542</f>
        <v>0.55000000000000004</v>
      </c>
      <c r="E2172" s="25">
        <f t="shared" si="204"/>
        <v>7.15</v>
      </c>
    </row>
    <row r="2173" spans="1:6" ht="12.75" hidden="1" customHeight="1">
      <c r="A2173" s="4" t="s">
        <v>433</v>
      </c>
      <c r="B2173" s="8">
        <v>13</v>
      </c>
      <c r="C2173" s="6" t="s">
        <v>1017</v>
      </c>
      <c r="D2173" s="37">
        <f>Prec.!D544</f>
        <v>4.2699999999999996</v>
      </c>
      <c r="E2173" s="25">
        <f t="shared" si="204"/>
        <v>55.51</v>
      </c>
    </row>
    <row r="2174" spans="1:6" ht="12.75" hidden="1" customHeight="1">
      <c r="A2174" s="4" t="s">
        <v>1183</v>
      </c>
      <c r="B2174" s="8">
        <v>13</v>
      </c>
      <c r="C2174" s="6" t="s">
        <v>1017</v>
      </c>
      <c r="D2174" s="37">
        <f>D2148</f>
        <v>2.95</v>
      </c>
      <c r="E2174" s="25">
        <f>ROUND(B2174*D2174,2)</f>
        <v>38.35</v>
      </c>
    </row>
    <row r="2175" spans="1:6" ht="12.75" hidden="1" customHeight="1">
      <c r="A2175" s="4" t="s">
        <v>208</v>
      </c>
      <c r="B2175" s="7">
        <f>SUM(E2165:E2174)</f>
        <v>1553.91</v>
      </c>
      <c r="C2175" s="6" t="s">
        <v>209</v>
      </c>
      <c r="D2175" s="37">
        <f>D2149</f>
        <v>0.02</v>
      </c>
      <c r="E2175" s="25">
        <f>ROUND(B2175*D2175,2)</f>
        <v>31.08</v>
      </c>
      <c r="F2175" s="26">
        <f>SUM(E2165:E2175)</f>
        <v>1584.99</v>
      </c>
    </row>
    <row r="2176" spans="1:6" ht="6" hidden="1" customHeight="1">
      <c r="B2176" s="7"/>
    </row>
    <row r="2177" spans="1:13" ht="12.75" hidden="1" customHeight="1">
      <c r="A2177" s="1" t="s">
        <v>921</v>
      </c>
      <c r="E2177" s="27" t="s">
        <v>151</v>
      </c>
      <c r="F2177" s="28" t="s">
        <v>213</v>
      </c>
    </row>
    <row r="2178" spans="1:13" ht="12.75" hidden="1" customHeight="1">
      <c r="A2178" s="4" t="s">
        <v>214</v>
      </c>
      <c r="B2178" s="8">
        <v>13</v>
      </c>
      <c r="C2178" s="6" t="s">
        <v>1017</v>
      </c>
      <c r="D2178" s="37">
        <f>Prec.!$C$85</f>
        <v>48</v>
      </c>
      <c r="E2178" s="25">
        <f t="shared" ref="E2178:E2186" si="205">ROUND(B2178*D2178,2)</f>
        <v>624</v>
      </c>
    </row>
    <row r="2179" spans="1:13" ht="12.75" hidden="1" customHeight="1">
      <c r="A2179" s="4" t="s">
        <v>117</v>
      </c>
      <c r="B2179" s="8">
        <v>3.6999999999999998E-2</v>
      </c>
      <c r="C2179" s="6" t="s">
        <v>216</v>
      </c>
      <c r="D2179" s="37">
        <f>Prec.!$C$54</f>
        <v>3200</v>
      </c>
      <c r="E2179" s="25">
        <f t="shared" si="205"/>
        <v>118.4</v>
      </c>
    </row>
    <row r="2180" spans="1:13" ht="12.75" hidden="1" customHeight="1">
      <c r="A2180" s="4" t="s">
        <v>217</v>
      </c>
      <c r="B2180" s="8">
        <f>B2179*2</f>
        <v>7.3999999999999996E-2</v>
      </c>
      <c r="C2180" s="6" t="s">
        <v>218</v>
      </c>
      <c r="D2180" s="37">
        <f>Prec.!$C$75</f>
        <v>60</v>
      </c>
      <c r="E2180" s="25">
        <f t="shared" si="205"/>
        <v>4.4400000000000004</v>
      </c>
    </row>
    <row r="2181" spans="1:13" ht="12.75" hidden="1" customHeight="1">
      <c r="A2181" s="4" t="s">
        <v>427</v>
      </c>
      <c r="B2181" s="8">
        <v>3.9E-2</v>
      </c>
      <c r="C2181" s="6" t="s">
        <v>825</v>
      </c>
      <c r="D2181" s="37">
        <f>horm.ymez.!F8</f>
        <v>7163.99</v>
      </c>
      <c r="E2181" s="25">
        <f t="shared" si="205"/>
        <v>279.39999999999998</v>
      </c>
    </row>
    <row r="2182" spans="1:13" ht="12.75" hidden="1" customHeight="1">
      <c r="A2182" s="4" t="s">
        <v>421</v>
      </c>
      <c r="B2182" s="8">
        <v>5.1999999999999998E-2</v>
      </c>
      <c r="C2182" s="6" t="s">
        <v>825</v>
      </c>
      <c r="D2182" s="37">
        <f>horm.ymez.!F14</f>
        <v>5771.3299999999981</v>
      </c>
      <c r="E2182" s="25">
        <f t="shared" si="205"/>
        <v>300.11</v>
      </c>
    </row>
    <row r="2183" spans="1:13" ht="12.75" hidden="1" customHeight="1">
      <c r="A2183" s="4" t="s">
        <v>430</v>
      </c>
      <c r="B2183" s="8">
        <v>1</v>
      </c>
      <c r="C2183" s="6" t="s">
        <v>213</v>
      </c>
      <c r="D2183" s="37">
        <f>D2157</f>
        <v>19.66</v>
      </c>
      <c r="E2183" s="25">
        <f t="shared" si="205"/>
        <v>19.66</v>
      </c>
    </row>
    <row r="2184" spans="1:13" ht="12.75" hidden="1" customHeight="1">
      <c r="A2184" s="4" t="s">
        <v>428</v>
      </c>
      <c r="B2184" s="8">
        <v>13</v>
      </c>
      <c r="C2184" s="6" t="s">
        <v>1017</v>
      </c>
      <c r="D2184" s="37">
        <f>Prec.!$D$330</f>
        <v>0</v>
      </c>
      <c r="E2184" s="25">
        <f t="shared" si="205"/>
        <v>0</v>
      </c>
    </row>
    <row r="2185" spans="1:13" ht="12.75" hidden="1" customHeight="1">
      <c r="A2185" s="4" t="s">
        <v>432</v>
      </c>
      <c r="B2185" s="8">
        <v>13</v>
      </c>
      <c r="C2185" s="6" t="s">
        <v>1017</v>
      </c>
      <c r="D2185" s="37">
        <f>Prec.!$D$540</f>
        <v>1.1499999999999999</v>
      </c>
      <c r="E2185" s="25">
        <f t="shared" si="205"/>
        <v>14.95</v>
      </c>
    </row>
    <row r="2186" spans="1:13" ht="12.75" hidden="1" customHeight="1">
      <c r="A2186" s="4" t="s">
        <v>433</v>
      </c>
      <c r="B2186" s="8">
        <v>13</v>
      </c>
      <c r="C2186" s="6" t="s">
        <v>1017</v>
      </c>
      <c r="D2186" s="37">
        <f>Prec.!$D$545</f>
        <v>2.33</v>
      </c>
      <c r="E2186" s="25">
        <f t="shared" si="205"/>
        <v>30.29</v>
      </c>
    </row>
    <row r="2187" spans="1:13" ht="12.75" hidden="1" customHeight="1">
      <c r="A2187" s="4" t="s">
        <v>1183</v>
      </c>
      <c r="B2187" s="8">
        <v>13</v>
      </c>
      <c r="C2187" s="6" t="s">
        <v>1017</v>
      </c>
      <c r="D2187" s="37">
        <f>D2174</f>
        <v>2.95</v>
      </c>
      <c r="E2187" s="25">
        <f>ROUND(B2187*D2187,2)</f>
        <v>38.35</v>
      </c>
    </row>
    <row r="2188" spans="1:13" ht="12.75" hidden="1" customHeight="1">
      <c r="A2188" s="4" t="s">
        <v>208</v>
      </c>
      <c r="B2188" s="7">
        <f>SUM(E2178:E2187)</f>
        <v>1429.6</v>
      </c>
      <c r="C2188" s="6" t="s">
        <v>209</v>
      </c>
      <c r="D2188" s="37">
        <f>D2175</f>
        <v>0.02</v>
      </c>
      <c r="E2188" s="25">
        <f>ROUND(B2188*D2188,2)</f>
        <v>28.59</v>
      </c>
      <c r="F2188" s="26">
        <f>SUM(E2178:E2188)</f>
        <v>1458.1899999999998</v>
      </c>
    </row>
    <row r="2189" spans="1:13" ht="5.25" hidden="1" customHeight="1">
      <c r="B2189" s="7"/>
    </row>
    <row r="2190" spans="1:13" s="12" customFormat="1" ht="12.75" hidden="1" customHeight="1">
      <c r="A2190" s="13" t="s">
        <v>923</v>
      </c>
      <c r="B2190" s="30"/>
      <c r="C2190" s="24"/>
      <c r="D2190" s="35"/>
      <c r="E2190" s="43" t="s">
        <v>151</v>
      </c>
      <c r="F2190" s="44" t="s">
        <v>213</v>
      </c>
      <c r="G2190" s="20"/>
      <c r="H2190" s="22"/>
      <c r="I2190" s="20"/>
      <c r="J2190" s="20"/>
      <c r="K2190" s="20"/>
      <c r="L2190" s="22"/>
      <c r="M2190" s="20"/>
    </row>
    <row r="2191" spans="1:13" s="12" customFormat="1" ht="12.75" hidden="1" customHeight="1">
      <c r="A2191" s="12" t="s">
        <v>214</v>
      </c>
      <c r="B2191" s="30">
        <v>13</v>
      </c>
      <c r="C2191" s="24" t="s">
        <v>1017</v>
      </c>
      <c r="D2191" s="35">
        <f>Prec.!$C$85</f>
        <v>48</v>
      </c>
      <c r="E2191" s="31">
        <f t="shared" ref="E2191:E2199" si="206">ROUND(B2191*D2191,2)</f>
        <v>624</v>
      </c>
      <c r="F2191" s="32"/>
      <c r="G2191" s="20"/>
      <c r="H2191" s="22"/>
      <c r="I2191" s="20"/>
      <c r="J2191" s="20"/>
      <c r="K2191" s="20"/>
      <c r="L2191" s="22"/>
      <c r="M2191" s="20"/>
    </row>
    <row r="2192" spans="1:13" s="12" customFormat="1" ht="12.75" hidden="1" customHeight="1">
      <c r="A2192" s="12" t="s">
        <v>117</v>
      </c>
      <c r="B2192" s="30">
        <v>3.2000000000000001E-2</v>
      </c>
      <c r="C2192" s="24" t="s">
        <v>216</v>
      </c>
      <c r="D2192" s="35">
        <f>Prec.!$C$54</f>
        <v>3200</v>
      </c>
      <c r="E2192" s="31">
        <f t="shared" si="206"/>
        <v>102.4</v>
      </c>
      <c r="F2192" s="32"/>
      <c r="G2192" s="20"/>
      <c r="H2192" s="22"/>
      <c r="I2192" s="20"/>
      <c r="J2192" s="20"/>
      <c r="K2192" s="20"/>
      <c r="L2192" s="22"/>
      <c r="M2192" s="20"/>
    </row>
    <row r="2193" spans="1:13" s="12" customFormat="1" ht="12.75" hidden="1" customHeight="1">
      <c r="A2193" s="12" t="s">
        <v>217</v>
      </c>
      <c r="B2193" s="30">
        <f>B2192*2</f>
        <v>6.4000000000000001E-2</v>
      </c>
      <c r="C2193" s="24" t="s">
        <v>218</v>
      </c>
      <c r="D2193" s="35">
        <f>Prec.!$C$75</f>
        <v>60</v>
      </c>
      <c r="E2193" s="31">
        <f t="shared" si="206"/>
        <v>3.84</v>
      </c>
      <c r="F2193" s="32"/>
      <c r="G2193" s="20"/>
      <c r="H2193" s="22"/>
      <c r="I2193" s="20"/>
      <c r="J2193" s="20"/>
      <c r="K2193" s="20"/>
      <c r="L2193" s="22"/>
      <c r="M2193" s="20"/>
    </row>
    <row r="2194" spans="1:13" s="12" customFormat="1" ht="12.75" hidden="1" customHeight="1">
      <c r="A2194" s="12" t="s">
        <v>427</v>
      </c>
      <c r="B2194" s="30">
        <v>3.9E-2</v>
      </c>
      <c r="C2194" s="24" t="s">
        <v>825</v>
      </c>
      <c r="D2194" s="35">
        <f>horm.ymez.!F8</f>
        <v>7163.99</v>
      </c>
      <c r="E2194" s="31">
        <f t="shared" si="206"/>
        <v>279.39999999999998</v>
      </c>
      <c r="F2194" s="32"/>
      <c r="G2194" s="20"/>
      <c r="H2194" s="22"/>
      <c r="I2194" s="20"/>
      <c r="J2194" s="20"/>
      <c r="K2194" s="20"/>
      <c r="L2194" s="22"/>
      <c r="M2194" s="20"/>
    </row>
    <row r="2195" spans="1:13" s="12" customFormat="1" ht="12.75" hidden="1" customHeight="1">
      <c r="A2195" s="12" t="s">
        <v>421</v>
      </c>
      <c r="B2195" s="30">
        <v>3.3000000000000002E-2</v>
      </c>
      <c r="C2195" s="24" t="s">
        <v>825</v>
      </c>
      <c r="D2195" s="35">
        <f>horm.ymez.!F14</f>
        <v>5771.3299999999981</v>
      </c>
      <c r="E2195" s="31">
        <f t="shared" si="206"/>
        <v>190.45</v>
      </c>
      <c r="F2195" s="32"/>
      <c r="G2195" s="20"/>
      <c r="H2195" s="22"/>
      <c r="I2195" s="20"/>
      <c r="J2195" s="20"/>
      <c r="K2195" s="20"/>
      <c r="L2195" s="22"/>
      <c r="M2195" s="20"/>
    </row>
    <row r="2196" spans="1:13" s="12" customFormat="1" ht="12.75" hidden="1" customHeight="1">
      <c r="A2196" s="12" t="s">
        <v>430</v>
      </c>
      <c r="B2196" s="30">
        <v>1</v>
      </c>
      <c r="C2196" s="24" t="s">
        <v>213</v>
      </c>
      <c r="D2196" s="35">
        <f>D2183</f>
        <v>19.66</v>
      </c>
      <c r="E2196" s="31">
        <f t="shared" si="206"/>
        <v>19.66</v>
      </c>
      <c r="F2196" s="32"/>
      <c r="G2196" s="20"/>
      <c r="H2196" s="22"/>
      <c r="I2196" s="20"/>
      <c r="J2196" s="20"/>
      <c r="K2196" s="20"/>
      <c r="L2196" s="22"/>
      <c r="M2196" s="20"/>
    </row>
    <row r="2197" spans="1:13" s="12" customFormat="1" ht="12.75" hidden="1" customHeight="1">
      <c r="A2197" s="12" t="s">
        <v>428</v>
      </c>
      <c r="B2197" s="30">
        <v>13</v>
      </c>
      <c r="C2197" s="24" t="s">
        <v>1017</v>
      </c>
      <c r="D2197" s="35">
        <f>Prec.!$D$330</f>
        <v>0</v>
      </c>
      <c r="E2197" s="31">
        <f t="shared" si="206"/>
        <v>0</v>
      </c>
      <c r="F2197" s="32"/>
      <c r="G2197" s="20"/>
      <c r="H2197" s="22"/>
      <c r="I2197" s="20"/>
      <c r="J2197" s="20"/>
      <c r="K2197" s="20"/>
      <c r="L2197" s="22"/>
      <c r="M2197" s="20"/>
    </row>
    <row r="2198" spans="1:13" s="12" customFormat="1" ht="12.75" hidden="1" customHeight="1">
      <c r="A2198" s="12" t="s">
        <v>432</v>
      </c>
      <c r="B2198" s="30">
        <v>13</v>
      </c>
      <c r="C2198" s="24" t="s">
        <v>1017</v>
      </c>
      <c r="D2198" s="35">
        <f>Prec.!D541</f>
        <v>0.85</v>
      </c>
      <c r="E2198" s="31">
        <f t="shared" si="206"/>
        <v>11.05</v>
      </c>
      <c r="F2198" s="32"/>
      <c r="G2198" s="20"/>
      <c r="H2198" s="22"/>
      <c r="I2198" s="20"/>
      <c r="J2198" s="20"/>
      <c r="K2198" s="20"/>
      <c r="L2198" s="22"/>
      <c r="M2198" s="20"/>
    </row>
    <row r="2199" spans="1:13" s="12" customFormat="1" ht="12.75" hidden="1" customHeight="1">
      <c r="A2199" s="12" t="s">
        <v>433</v>
      </c>
      <c r="B2199" s="30">
        <v>13</v>
      </c>
      <c r="C2199" s="24" t="s">
        <v>1017</v>
      </c>
      <c r="D2199" s="35">
        <f>Prec.!D546</f>
        <v>1.7</v>
      </c>
      <c r="E2199" s="31">
        <f t="shared" si="206"/>
        <v>22.1</v>
      </c>
      <c r="F2199" s="32"/>
      <c r="G2199" s="20"/>
      <c r="H2199" s="22"/>
      <c r="I2199" s="20"/>
      <c r="J2199" s="20"/>
      <c r="K2199" s="20"/>
      <c r="L2199" s="22"/>
      <c r="M2199" s="20"/>
    </row>
    <row r="2200" spans="1:13" s="12" customFormat="1" ht="12.75" hidden="1" customHeight="1">
      <c r="A2200" s="12" t="s">
        <v>1183</v>
      </c>
      <c r="B2200" s="30">
        <v>13</v>
      </c>
      <c r="C2200" s="24" t="s">
        <v>1017</v>
      </c>
      <c r="D2200" s="35">
        <f>D2187</f>
        <v>2.95</v>
      </c>
      <c r="E2200" s="31">
        <f>ROUND(B2200*D2200,2)</f>
        <v>38.35</v>
      </c>
      <c r="F2200" s="32"/>
      <c r="G2200" s="20"/>
      <c r="H2200" s="22"/>
      <c r="I2200" s="20"/>
      <c r="J2200" s="20"/>
      <c r="K2200" s="20"/>
      <c r="L2200" s="22"/>
      <c r="M2200" s="20"/>
    </row>
    <row r="2201" spans="1:13" s="12" customFormat="1" ht="12.75" hidden="1" customHeight="1">
      <c r="A2201" s="12" t="s">
        <v>208</v>
      </c>
      <c r="B2201" s="14">
        <f>SUM(E2191:E2199)</f>
        <v>1252.8999999999999</v>
      </c>
      <c r="C2201" s="24" t="s">
        <v>209</v>
      </c>
      <c r="D2201" s="35">
        <f>D2188</f>
        <v>0.02</v>
      </c>
      <c r="E2201" s="31">
        <f>ROUND(B2201*D2201,2)</f>
        <v>25.06</v>
      </c>
      <c r="F2201" s="32">
        <f>SUM(E2191:E2201)</f>
        <v>1316.3099999999997</v>
      </c>
      <c r="G2201" s="20"/>
      <c r="H2201" s="22"/>
      <c r="I2201" s="20"/>
      <c r="J2201" s="20"/>
      <c r="K2201" s="20"/>
      <c r="L2201" s="22"/>
      <c r="M2201" s="20"/>
    </row>
    <row r="2202" spans="1:13" s="12" customFormat="1" ht="12.75" hidden="1" customHeight="1">
      <c r="B2202" s="14"/>
      <c r="C2202" s="24"/>
      <c r="D2202" s="35"/>
      <c r="E2202" s="31"/>
      <c r="F2202" s="32"/>
      <c r="G2202" s="20"/>
      <c r="H2202" s="22"/>
      <c r="I2202" s="20"/>
      <c r="J2202" s="20"/>
      <c r="K2202" s="20"/>
      <c r="L2202" s="22"/>
      <c r="M2202" s="20"/>
    </row>
    <row r="2203" spans="1:13" ht="12.75" hidden="1" customHeight="1">
      <c r="A2203" s="13" t="s">
        <v>933</v>
      </c>
      <c r="B2203" s="30"/>
      <c r="C2203" s="24"/>
      <c r="D2203" s="35"/>
      <c r="E2203" s="43" t="s">
        <v>151</v>
      </c>
      <c r="F2203" s="44" t="s">
        <v>213</v>
      </c>
    </row>
    <row r="2204" spans="1:13" ht="12.75" hidden="1" customHeight="1">
      <c r="A2204" s="12" t="s">
        <v>214</v>
      </c>
      <c r="B2204" s="30">
        <v>13</v>
      </c>
      <c r="C2204" s="24" t="s">
        <v>1017</v>
      </c>
      <c r="D2204" s="35">
        <f>Prec.!$C$85</f>
        <v>48</v>
      </c>
      <c r="E2204" s="31">
        <f t="shared" ref="E2204:E2212" si="207">ROUND(B2204*D2204,2)</f>
        <v>624</v>
      </c>
      <c r="F2204" s="32"/>
    </row>
    <row r="2205" spans="1:13" ht="12.75" hidden="1" customHeight="1">
      <c r="A2205" s="12" t="s">
        <v>117</v>
      </c>
      <c r="B2205" s="30">
        <v>2.4E-2</v>
      </c>
      <c r="C2205" s="24" t="s">
        <v>216</v>
      </c>
      <c r="D2205" s="35">
        <f>Prec.!$C$54</f>
        <v>3200</v>
      </c>
      <c r="E2205" s="31">
        <f t="shared" si="207"/>
        <v>76.8</v>
      </c>
      <c r="F2205" s="32"/>
    </row>
    <row r="2206" spans="1:13" ht="12.75" hidden="1" customHeight="1">
      <c r="A2206" s="12" t="s">
        <v>217</v>
      </c>
      <c r="B2206" s="30">
        <f>B2205*2</f>
        <v>4.8000000000000001E-2</v>
      </c>
      <c r="C2206" s="24" t="s">
        <v>218</v>
      </c>
      <c r="D2206" s="35">
        <f>Prec.!$C$75</f>
        <v>60</v>
      </c>
      <c r="E2206" s="31">
        <f t="shared" si="207"/>
        <v>2.88</v>
      </c>
      <c r="F2206" s="32"/>
    </row>
    <row r="2207" spans="1:13" ht="12.75" hidden="1" customHeight="1">
      <c r="A2207" s="12" t="s">
        <v>427</v>
      </c>
      <c r="B2207" s="30">
        <v>3.9E-2</v>
      </c>
      <c r="C2207" s="24" t="s">
        <v>825</v>
      </c>
      <c r="D2207" s="35">
        <f>horm.ymez.!F8</f>
        <v>7163.99</v>
      </c>
      <c r="E2207" s="31">
        <f t="shared" si="207"/>
        <v>279.39999999999998</v>
      </c>
      <c r="F2207" s="32"/>
    </row>
    <row r="2208" spans="1:13" ht="12.75" hidden="1" customHeight="1">
      <c r="A2208" s="12" t="s">
        <v>421</v>
      </c>
      <c r="B2208" s="30">
        <v>3.1E-2</v>
      </c>
      <c r="C2208" s="24" t="s">
        <v>825</v>
      </c>
      <c r="D2208" s="35">
        <f>horm.ymez.!F14</f>
        <v>5771.3299999999981</v>
      </c>
      <c r="E2208" s="31">
        <f t="shared" si="207"/>
        <v>178.91</v>
      </c>
      <c r="F2208" s="32"/>
    </row>
    <row r="2209" spans="1:6" ht="12.75" hidden="1" customHeight="1">
      <c r="A2209" s="12" t="s">
        <v>430</v>
      </c>
      <c r="B2209" s="30">
        <v>1</v>
      </c>
      <c r="C2209" s="24" t="s">
        <v>213</v>
      </c>
      <c r="D2209" s="35">
        <f>D2170</f>
        <v>19.66</v>
      </c>
      <c r="E2209" s="31">
        <f t="shared" si="207"/>
        <v>19.66</v>
      </c>
      <c r="F2209" s="32"/>
    </row>
    <row r="2210" spans="1:6" ht="12.75" hidden="1" customHeight="1">
      <c r="A2210" s="12" t="s">
        <v>428</v>
      </c>
      <c r="B2210" s="30">
        <v>13</v>
      </c>
      <c r="C2210" s="24" t="s">
        <v>1017</v>
      </c>
      <c r="D2210" s="35">
        <f>Prec.!$D$330</f>
        <v>0</v>
      </c>
      <c r="E2210" s="31">
        <f t="shared" si="207"/>
        <v>0</v>
      </c>
      <c r="F2210" s="32"/>
    </row>
    <row r="2211" spans="1:6" ht="12.75" hidden="1" customHeight="1">
      <c r="A2211" s="12" t="s">
        <v>432</v>
      </c>
      <c r="B2211" s="30">
        <v>13</v>
      </c>
      <c r="C2211" s="24" t="s">
        <v>1017</v>
      </c>
      <c r="D2211" s="35">
        <f>Prec.!$D$542</f>
        <v>0.55000000000000004</v>
      </c>
      <c r="E2211" s="31">
        <f t="shared" si="207"/>
        <v>7.15</v>
      </c>
      <c r="F2211" s="32"/>
    </row>
    <row r="2212" spans="1:6" ht="12.75" hidden="1" customHeight="1">
      <c r="A2212" s="12" t="s">
        <v>433</v>
      </c>
      <c r="B2212" s="30">
        <v>13</v>
      </c>
      <c r="C2212" s="24" t="s">
        <v>1017</v>
      </c>
      <c r="D2212" s="35">
        <f>Prec.!$D$547</f>
        <v>1.1499999999999999</v>
      </c>
      <c r="E2212" s="31">
        <f t="shared" si="207"/>
        <v>14.95</v>
      </c>
      <c r="F2212" s="32"/>
    </row>
    <row r="2213" spans="1:6" ht="12.75" hidden="1" customHeight="1">
      <c r="A2213" s="12" t="s">
        <v>1183</v>
      </c>
      <c r="B2213" s="30">
        <v>13</v>
      </c>
      <c r="C2213" s="24" t="s">
        <v>1017</v>
      </c>
      <c r="D2213" s="35">
        <f>D2174</f>
        <v>2.95</v>
      </c>
      <c r="E2213" s="31">
        <f>ROUND(B2213*D2213,2)</f>
        <v>38.35</v>
      </c>
      <c r="F2213" s="32"/>
    </row>
    <row r="2214" spans="1:6" ht="12.75" hidden="1" customHeight="1">
      <c r="A2214" s="12" t="s">
        <v>208</v>
      </c>
      <c r="B2214" s="14">
        <f>SUM(E2204:E2213)</f>
        <v>1242.1000000000001</v>
      </c>
      <c r="C2214" s="24" t="s">
        <v>209</v>
      </c>
      <c r="D2214" s="35">
        <f>D2175</f>
        <v>0.02</v>
      </c>
      <c r="E2214" s="31">
        <f>ROUND(B2214*D2214,2)</f>
        <v>24.84</v>
      </c>
      <c r="F2214" s="32">
        <f>SUM(E2204:E2214)</f>
        <v>1266.94</v>
      </c>
    </row>
    <row r="2215" spans="1:6" ht="10.15" hidden="1" customHeight="1">
      <c r="B2215" s="7"/>
    </row>
    <row r="2216" spans="1:6" ht="12.75" hidden="1" customHeight="1">
      <c r="A2216" s="1" t="s">
        <v>932</v>
      </c>
      <c r="E2216" s="27" t="s">
        <v>151</v>
      </c>
      <c r="F2216" s="28" t="s">
        <v>213</v>
      </c>
    </row>
    <row r="2217" spans="1:6" ht="12.75" hidden="1" customHeight="1">
      <c r="A2217" s="4" t="s">
        <v>102</v>
      </c>
      <c r="B2217" s="8">
        <v>13</v>
      </c>
      <c r="C2217" s="6" t="s">
        <v>1017</v>
      </c>
      <c r="D2217" s="37">
        <f>Prec.!$C$86</f>
        <v>44</v>
      </c>
      <c r="E2217" s="25">
        <f t="shared" ref="E2217:E2225" si="208">ROUND(B2217*D2217,2)</f>
        <v>572</v>
      </c>
    </row>
    <row r="2218" spans="1:6" ht="12.75" hidden="1" customHeight="1">
      <c r="A2218" s="4" t="s">
        <v>117</v>
      </c>
      <c r="B2218" s="8">
        <v>6.2E-2</v>
      </c>
      <c r="C2218" s="6" t="s">
        <v>216</v>
      </c>
      <c r="D2218" s="37">
        <f>Prec.!$C$54</f>
        <v>3200</v>
      </c>
      <c r="E2218" s="25">
        <f t="shared" si="208"/>
        <v>198.4</v>
      </c>
    </row>
    <row r="2219" spans="1:6" ht="12.75" hidden="1" customHeight="1">
      <c r="A2219" s="4" t="s">
        <v>217</v>
      </c>
      <c r="B2219" s="8">
        <f>B2218*2</f>
        <v>0.124</v>
      </c>
      <c r="C2219" s="6" t="s">
        <v>218</v>
      </c>
      <c r="D2219" s="37">
        <f>Prec.!$C$75</f>
        <v>60</v>
      </c>
      <c r="E2219" s="25">
        <f t="shared" si="208"/>
        <v>7.44</v>
      </c>
    </row>
    <row r="2220" spans="1:6" ht="12.75" hidden="1" customHeight="1">
      <c r="A2220" s="4" t="s">
        <v>427</v>
      </c>
      <c r="B2220" s="8">
        <v>3.1E-2</v>
      </c>
      <c r="C2220" s="6" t="s">
        <v>825</v>
      </c>
      <c r="D2220" s="37">
        <f>horm.ymez.!F8</f>
        <v>7163.99</v>
      </c>
      <c r="E2220" s="25">
        <f t="shared" si="208"/>
        <v>222.08</v>
      </c>
    </row>
    <row r="2221" spans="1:6" ht="12.75" hidden="1" customHeight="1">
      <c r="A2221" s="4" t="s">
        <v>421</v>
      </c>
      <c r="B2221" s="8">
        <v>4.8000000000000001E-2</v>
      </c>
      <c r="C2221" s="6" t="s">
        <v>825</v>
      </c>
      <c r="D2221" s="37">
        <f>horm.ymez.!F14</f>
        <v>5771.3299999999981</v>
      </c>
      <c r="E2221" s="25">
        <f t="shared" si="208"/>
        <v>277.02</v>
      </c>
    </row>
    <row r="2222" spans="1:6" ht="12.75" hidden="1" customHeight="1">
      <c r="A2222" s="4" t="s">
        <v>430</v>
      </c>
      <c r="B2222" s="8">
        <v>1</v>
      </c>
      <c r="C2222" s="6" t="s">
        <v>213</v>
      </c>
      <c r="D2222" s="37">
        <f>horm.ymez.!F23</f>
        <v>19.66</v>
      </c>
      <c r="E2222" s="25">
        <f t="shared" si="208"/>
        <v>19.66</v>
      </c>
    </row>
    <row r="2223" spans="1:6" ht="12.75" hidden="1" customHeight="1">
      <c r="A2223" s="4" t="s">
        <v>428</v>
      </c>
      <c r="B2223" s="8">
        <v>13</v>
      </c>
      <c r="C2223" s="6" t="s">
        <v>1017</v>
      </c>
      <c r="D2223" s="37">
        <f>Prec.!$D$329</f>
        <v>0</v>
      </c>
      <c r="E2223" s="25">
        <f t="shared" si="208"/>
        <v>0</v>
      </c>
    </row>
    <row r="2224" spans="1:6" ht="12.75" hidden="1" customHeight="1">
      <c r="A2224" s="4" t="s">
        <v>432</v>
      </c>
      <c r="B2224" s="8">
        <v>13</v>
      </c>
      <c r="C2224" s="6" t="s">
        <v>1017</v>
      </c>
      <c r="D2224" s="37">
        <f>Prec.!$D$539</f>
        <v>1.7</v>
      </c>
      <c r="E2224" s="25">
        <f t="shared" si="208"/>
        <v>22.1</v>
      </c>
    </row>
    <row r="2225" spans="1:13" ht="12.75" hidden="1" customHeight="1">
      <c r="A2225" s="4" t="s">
        <v>433</v>
      </c>
      <c r="B2225" s="8">
        <v>13</v>
      </c>
      <c r="C2225" s="6" t="s">
        <v>1017</v>
      </c>
      <c r="D2225" s="37">
        <f>Prec.!$D$544</f>
        <v>4.2699999999999996</v>
      </c>
      <c r="E2225" s="25">
        <f t="shared" si="208"/>
        <v>55.51</v>
      </c>
    </row>
    <row r="2226" spans="1:13" ht="12.75" hidden="1" customHeight="1">
      <c r="A2226" s="4" t="s">
        <v>1184</v>
      </c>
      <c r="B2226" s="8">
        <v>13</v>
      </c>
      <c r="C2226" s="6" t="s">
        <v>1017</v>
      </c>
      <c r="D2226" s="37">
        <f>Prec.!D404</f>
        <v>2.35</v>
      </c>
      <c r="E2226" s="25">
        <f>ROUND(B2226*D2226,2)</f>
        <v>30.55</v>
      </c>
    </row>
    <row r="2227" spans="1:13" ht="12.75" hidden="1" customHeight="1">
      <c r="A2227" s="4" t="s">
        <v>208</v>
      </c>
      <c r="B2227" s="7">
        <f>SUM(E2217:E2226)</f>
        <v>1404.76</v>
      </c>
      <c r="C2227" s="6" t="s">
        <v>209</v>
      </c>
      <c r="D2227" s="37">
        <f>D2214</f>
        <v>0.02</v>
      </c>
      <c r="E2227" s="25">
        <f>ROUND(B2227*D2227,2)</f>
        <v>28.1</v>
      </c>
      <c r="F2227" s="26">
        <f>SUM(E2217:E2227)</f>
        <v>1432.86</v>
      </c>
    </row>
    <row r="2228" spans="1:13" s="166" customFormat="1" ht="12.75" hidden="1" customHeight="1">
      <c r="B2228" s="7"/>
      <c r="C2228" s="165"/>
      <c r="D2228" s="37"/>
      <c r="E2228" s="25"/>
      <c r="F2228" s="26"/>
      <c r="G2228" s="15"/>
      <c r="H2228" s="21"/>
      <c r="I2228" s="15"/>
      <c r="J2228" s="15"/>
      <c r="K2228" s="15"/>
      <c r="L2228" s="21"/>
      <c r="M2228" s="15"/>
    </row>
    <row r="2229" spans="1:13" s="166" customFormat="1" ht="12.75" hidden="1" customHeight="1">
      <c r="A2229" s="13" t="s">
        <v>1655</v>
      </c>
      <c r="B2229" s="30"/>
      <c r="C2229" s="24"/>
      <c r="D2229" s="35"/>
      <c r="E2229" s="43" t="s">
        <v>151</v>
      </c>
      <c r="F2229" s="44" t="s">
        <v>213</v>
      </c>
      <c r="G2229" s="15"/>
      <c r="H2229" s="21"/>
      <c r="I2229" s="15"/>
      <c r="J2229" s="15"/>
      <c r="K2229" s="15"/>
      <c r="L2229" s="21"/>
      <c r="M2229" s="15"/>
    </row>
    <row r="2230" spans="1:13" s="166" customFormat="1" ht="12.75" hidden="1" customHeight="1">
      <c r="A2230" s="12" t="s">
        <v>102</v>
      </c>
      <c r="B2230" s="30">
        <v>13</v>
      </c>
      <c r="C2230" s="24" t="s">
        <v>1017</v>
      </c>
      <c r="D2230" s="35">
        <f>D2217</f>
        <v>44</v>
      </c>
      <c r="E2230" s="31">
        <f t="shared" ref="E2230:E2238" si="209">ROUND(B2230*D2230,2)</f>
        <v>572</v>
      </c>
      <c r="F2230" s="32"/>
      <c r="G2230" s="15"/>
      <c r="H2230" s="21"/>
      <c r="I2230" s="15"/>
      <c r="J2230" s="15"/>
      <c r="K2230" s="15"/>
      <c r="L2230" s="21"/>
      <c r="M2230" s="15"/>
    </row>
    <row r="2231" spans="1:13" s="166" customFormat="1" ht="12.75" hidden="1" customHeight="1">
      <c r="A2231" s="12" t="s">
        <v>117</v>
      </c>
      <c r="B2231" s="30">
        <v>3.2000000000000001E-2</v>
      </c>
      <c r="C2231" s="24" t="s">
        <v>216</v>
      </c>
      <c r="D2231" s="35">
        <f t="shared" ref="D2231:D2240" si="210">D2218</f>
        <v>3200</v>
      </c>
      <c r="E2231" s="31">
        <f t="shared" si="209"/>
        <v>102.4</v>
      </c>
      <c r="F2231" s="32"/>
      <c r="G2231" s="15"/>
      <c r="H2231" s="21"/>
      <c r="I2231" s="15"/>
      <c r="J2231" s="15"/>
      <c r="K2231" s="15"/>
      <c r="L2231" s="21"/>
      <c r="M2231" s="15"/>
    </row>
    <row r="2232" spans="1:13" s="166" customFormat="1" ht="12.75" hidden="1" customHeight="1">
      <c r="A2232" s="12" t="s">
        <v>217</v>
      </c>
      <c r="B2232" s="30">
        <f>B2231*2</f>
        <v>6.4000000000000001E-2</v>
      </c>
      <c r="C2232" s="24" t="s">
        <v>218</v>
      </c>
      <c r="D2232" s="35">
        <f t="shared" si="210"/>
        <v>60</v>
      </c>
      <c r="E2232" s="31">
        <f t="shared" si="209"/>
        <v>3.84</v>
      </c>
      <c r="F2232" s="32"/>
      <c r="G2232" s="15"/>
      <c r="H2232" s="21"/>
      <c r="I2232" s="15"/>
      <c r="J2232" s="15"/>
      <c r="K2232" s="15"/>
      <c r="L2232" s="21"/>
      <c r="M2232" s="15"/>
    </row>
    <row r="2233" spans="1:13" s="166" customFormat="1" ht="12.75" hidden="1" customHeight="1">
      <c r="A2233" s="12" t="s">
        <v>427</v>
      </c>
      <c r="B2233" s="30">
        <v>3.1E-2</v>
      </c>
      <c r="C2233" s="24" t="s">
        <v>825</v>
      </c>
      <c r="D2233" s="35">
        <f t="shared" si="210"/>
        <v>7163.99</v>
      </c>
      <c r="E2233" s="31">
        <f t="shared" si="209"/>
        <v>222.08</v>
      </c>
      <c r="F2233" s="32"/>
      <c r="G2233" s="15"/>
      <c r="H2233" s="21"/>
      <c r="I2233" s="15"/>
      <c r="J2233" s="15"/>
      <c r="K2233" s="15"/>
      <c r="L2233" s="21"/>
      <c r="M2233" s="15"/>
    </row>
    <row r="2234" spans="1:13" s="166" customFormat="1" ht="12.75" hidden="1" customHeight="1">
      <c r="A2234" s="12" t="s">
        <v>421</v>
      </c>
      <c r="B2234" s="30">
        <v>4.8000000000000001E-2</v>
      </c>
      <c r="C2234" s="24" t="s">
        <v>825</v>
      </c>
      <c r="D2234" s="35">
        <f t="shared" si="210"/>
        <v>5771.3299999999981</v>
      </c>
      <c r="E2234" s="31">
        <f t="shared" si="209"/>
        <v>277.02</v>
      </c>
      <c r="F2234" s="32"/>
      <c r="G2234" s="15"/>
      <c r="H2234" s="21"/>
      <c r="I2234" s="15"/>
      <c r="J2234" s="15"/>
      <c r="K2234" s="15"/>
      <c r="L2234" s="21"/>
      <c r="M2234" s="15"/>
    </row>
    <row r="2235" spans="1:13" s="166" customFormat="1" ht="12.75" hidden="1" customHeight="1">
      <c r="A2235" s="12" t="s">
        <v>430</v>
      </c>
      <c r="B2235" s="30">
        <v>1</v>
      </c>
      <c r="C2235" s="24" t="s">
        <v>213</v>
      </c>
      <c r="D2235" s="35">
        <f t="shared" si="210"/>
        <v>19.66</v>
      </c>
      <c r="E2235" s="31">
        <f t="shared" si="209"/>
        <v>19.66</v>
      </c>
      <c r="F2235" s="32"/>
      <c r="G2235" s="15"/>
      <c r="H2235" s="21"/>
      <c r="I2235" s="15"/>
      <c r="J2235" s="15"/>
      <c r="K2235" s="15"/>
      <c r="L2235" s="21"/>
      <c r="M2235" s="15"/>
    </row>
    <row r="2236" spans="1:13" s="166" customFormat="1" ht="12.75" hidden="1" customHeight="1">
      <c r="A2236" s="12" t="s">
        <v>428</v>
      </c>
      <c r="B2236" s="30">
        <v>13</v>
      </c>
      <c r="C2236" s="24" t="s">
        <v>1017</v>
      </c>
      <c r="D2236" s="35">
        <f t="shared" si="210"/>
        <v>0</v>
      </c>
      <c r="E2236" s="31">
        <f t="shared" si="209"/>
        <v>0</v>
      </c>
      <c r="F2236" s="32"/>
      <c r="G2236" s="15"/>
      <c r="H2236" s="21"/>
      <c r="I2236" s="15"/>
      <c r="J2236" s="15"/>
      <c r="K2236" s="15"/>
      <c r="L2236" s="21"/>
      <c r="M2236" s="15"/>
    </row>
    <row r="2237" spans="1:13" s="166" customFormat="1" ht="12.75" hidden="1" customHeight="1">
      <c r="A2237" s="12" t="s">
        <v>432</v>
      </c>
      <c r="B2237" s="30">
        <v>13</v>
      </c>
      <c r="C2237" s="24" t="s">
        <v>1017</v>
      </c>
      <c r="D2237" s="35">
        <f t="shared" si="210"/>
        <v>1.7</v>
      </c>
      <c r="E2237" s="31">
        <f t="shared" si="209"/>
        <v>22.1</v>
      </c>
      <c r="F2237" s="32"/>
      <c r="G2237" s="15"/>
      <c r="H2237" s="21"/>
      <c r="I2237" s="15"/>
      <c r="J2237" s="15"/>
      <c r="K2237" s="15"/>
      <c r="L2237" s="21"/>
      <c r="M2237" s="15"/>
    </row>
    <row r="2238" spans="1:13" s="166" customFormat="1" ht="12.75" hidden="1" customHeight="1">
      <c r="A2238" s="12" t="s">
        <v>433</v>
      </c>
      <c r="B2238" s="30">
        <v>13</v>
      </c>
      <c r="C2238" s="24" t="s">
        <v>1017</v>
      </c>
      <c r="D2238" s="35">
        <f t="shared" si="210"/>
        <v>4.2699999999999996</v>
      </c>
      <c r="E2238" s="31">
        <f t="shared" si="209"/>
        <v>55.51</v>
      </c>
      <c r="F2238" s="32"/>
      <c r="G2238" s="15"/>
      <c r="H2238" s="21"/>
      <c r="I2238" s="15"/>
      <c r="J2238" s="15"/>
      <c r="K2238" s="15"/>
      <c r="L2238" s="21"/>
      <c r="M2238" s="15"/>
    </row>
    <row r="2239" spans="1:13" s="166" customFormat="1" ht="12.75" hidden="1" customHeight="1">
      <c r="A2239" s="12" t="s">
        <v>1184</v>
      </c>
      <c r="B2239" s="30">
        <v>13</v>
      </c>
      <c r="C2239" s="24" t="s">
        <v>1017</v>
      </c>
      <c r="D2239" s="35">
        <f t="shared" si="210"/>
        <v>2.35</v>
      </c>
      <c r="E2239" s="31">
        <f>ROUND(B2239*D2239,2)</f>
        <v>30.55</v>
      </c>
      <c r="F2239" s="32"/>
      <c r="G2239" s="15"/>
      <c r="H2239" s="21"/>
      <c r="I2239" s="15"/>
      <c r="J2239" s="15"/>
      <c r="K2239" s="15"/>
      <c r="L2239" s="21"/>
      <c r="M2239" s="15"/>
    </row>
    <row r="2240" spans="1:13" s="166" customFormat="1" ht="12.75" hidden="1" customHeight="1">
      <c r="A2240" s="12" t="s">
        <v>208</v>
      </c>
      <c r="B2240" s="14">
        <f>SUM(E2230:E2239)</f>
        <v>1305.1600000000001</v>
      </c>
      <c r="C2240" s="24" t="s">
        <v>209</v>
      </c>
      <c r="D2240" s="35">
        <f t="shared" si="210"/>
        <v>0.02</v>
      </c>
      <c r="E2240" s="31">
        <f>ROUND(B2240*D2240,2)</f>
        <v>26.1</v>
      </c>
      <c r="F2240" s="32">
        <f>SUM(E2230:E2240)</f>
        <v>1331.26</v>
      </c>
      <c r="G2240" s="15"/>
      <c r="H2240" s="21"/>
      <c r="I2240" s="15"/>
      <c r="J2240" s="15"/>
      <c r="K2240" s="15"/>
      <c r="L2240" s="21"/>
      <c r="M2240" s="15"/>
    </row>
    <row r="2241" spans="1:13" s="166" customFormat="1" ht="12.75" hidden="1" customHeight="1">
      <c r="B2241" s="7"/>
      <c r="C2241" s="165"/>
      <c r="D2241" s="37"/>
      <c r="E2241" s="25"/>
      <c r="F2241" s="26"/>
      <c r="G2241" s="15"/>
      <c r="H2241" s="21"/>
      <c r="I2241" s="15"/>
      <c r="J2241" s="15"/>
      <c r="K2241" s="15"/>
      <c r="L2241" s="21"/>
      <c r="M2241" s="15"/>
    </row>
    <row r="2242" spans="1:13" s="166" customFormat="1" ht="12.75" customHeight="1">
      <c r="A2242" s="545" t="s">
        <v>4209</v>
      </c>
      <c r="B2242" s="546"/>
      <c r="C2242" s="547"/>
      <c r="D2242" s="548"/>
      <c r="E2242" s="549" t="s">
        <v>151</v>
      </c>
      <c r="F2242" s="550" t="s">
        <v>213</v>
      </c>
      <c r="G2242" s="15"/>
      <c r="H2242" s="21"/>
      <c r="I2242" s="15"/>
      <c r="J2242" s="15"/>
      <c r="K2242" s="15"/>
      <c r="L2242" s="21"/>
      <c r="M2242" s="15"/>
    </row>
    <row r="2243" spans="1:13" s="166" customFormat="1" ht="12.75" customHeight="1">
      <c r="A2243" s="551" t="s">
        <v>102</v>
      </c>
      <c r="B2243" s="546">
        <v>13</v>
      </c>
      <c r="C2243" s="547" t="s">
        <v>1017</v>
      </c>
      <c r="D2243" s="548">
        <f>D2230</f>
        <v>44</v>
      </c>
      <c r="E2243" s="552">
        <f t="shared" ref="E2243:E2252" si="211">ROUND(B2243*D2243,2)</f>
        <v>572</v>
      </c>
      <c r="F2243" s="553"/>
      <c r="G2243" s="15"/>
      <c r="H2243" s="21"/>
      <c r="I2243" s="15"/>
      <c r="J2243" s="15"/>
      <c r="K2243" s="15"/>
      <c r="L2243" s="21"/>
      <c r="M2243" s="15"/>
    </row>
    <row r="2244" spans="1:13" s="166" customFormat="1" ht="12.75" customHeight="1">
      <c r="A2244" s="551" t="s">
        <v>117</v>
      </c>
      <c r="B2244" s="546">
        <v>3.2000000000000001E-2</v>
      </c>
      <c r="C2244" s="547" t="s">
        <v>216</v>
      </c>
      <c r="D2244" s="548">
        <f t="shared" ref="D2244:D2245" si="212">D2231</f>
        <v>3200</v>
      </c>
      <c r="E2244" s="552">
        <f t="shared" si="211"/>
        <v>102.4</v>
      </c>
      <c r="F2244" s="553"/>
      <c r="G2244" s="15"/>
      <c r="H2244" s="21"/>
      <c r="I2244" s="15"/>
      <c r="J2244" s="15"/>
      <c r="K2244" s="15"/>
      <c r="L2244" s="21"/>
      <c r="M2244" s="15"/>
    </row>
    <row r="2245" spans="1:13" s="166" customFormat="1" ht="12.75" customHeight="1">
      <c r="A2245" s="551" t="s">
        <v>117</v>
      </c>
      <c r="B2245" s="546">
        <v>3.2000000000000001E-2</v>
      </c>
      <c r="C2245" s="547" t="s">
        <v>216</v>
      </c>
      <c r="D2245" s="548">
        <f t="shared" si="212"/>
        <v>60</v>
      </c>
      <c r="E2245" s="552">
        <f t="shared" ref="E2245" si="213">ROUND(B2245*D2245,2)</f>
        <v>1.92</v>
      </c>
      <c r="F2245" s="553"/>
      <c r="G2245" s="15"/>
      <c r="H2245" s="21"/>
      <c r="I2245" s="15"/>
      <c r="J2245" s="15"/>
      <c r="K2245" s="15"/>
      <c r="L2245" s="21"/>
      <c r="M2245" s="15"/>
    </row>
    <row r="2246" spans="1:13" s="166" customFormat="1" ht="12.75" customHeight="1">
      <c r="A2246" s="551" t="s">
        <v>217</v>
      </c>
      <c r="B2246" s="546">
        <f>(B2245+B2244)*2</f>
        <v>0.128</v>
      </c>
      <c r="C2246" s="547" t="s">
        <v>218</v>
      </c>
      <c r="D2246" s="548">
        <f>D2232</f>
        <v>60</v>
      </c>
      <c r="E2246" s="552">
        <f t="shared" si="211"/>
        <v>7.68</v>
      </c>
      <c r="F2246" s="553"/>
      <c r="G2246" s="15"/>
      <c r="H2246" s="21"/>
      <c r="I2246" s="15"/>
      <c r="J2246" s="15"/>
      <c r="K2246" s="15"/>
      <c r="L2246" s="21"/>
      <c r="M2246" s="15"/>
    </row>
    <row r="2247" spans="1:13" s="166" customFormat="1" ht="12.75" customHeight="1">
      <c r="A2247" s="551" t="s">
        <v>427</v>
      </c>
      <c r="B2247" s="546">
        <v>3.1E-2</v>
      </c>
      <c r="C2247" s="547" t="s">
        <v>825</v>
      </c>
      <c r="D2247" s="548">
        <f>D2233</f>
        <v>7163.99</v>
      </c>
      <c r="E2247" s="552">
        <f t="shared" si="211"/>
        <v>222.08</v>
      </c>
      <c r="F2247" s="553"/>
      <c r="G2247" s="15"/>
      <c r="H2247" s="21"/>
      <c r="I2247" s="15"/>
      <c r="J2247" s="15"/>
      <c r="K2247" s="15"/>
      <c r="L2247" s="21"/>
      <c r="M2247" s="15"/>
    </row>
    <row r="2248" spans="1:13" s="166" customFormat="1" ht="12.75" customHeight="1">
      <c r="A2248" s="551" t="s">
        <v>421</v>
      </c>
      <c r="B2248" s="546">
        <v>4.8000000000000001E-2</v>
      </c>
      <c r="C2248" s="547" t="s">
        <v>825</v>
      </c>
      <c r="D2248" s="548">
        <f>D2234</f>
        <v>5771.3299999999981</v>
      </c>
      <c r="E2248" s="552">
        <f t="shared" si="211"/>
        <v>277.02</v>
      </c>
      <c r="F2248" s="553"/>
      <c r="G2248" s="15"/>
      <c r="H2248" s="21"/>
      <c r="I2248" s="15"/>
      <c r="J2248" s="15"/>
      <c r="K2248" s="15"/>
      <c r="L2248" s="21"/>
      <c r="M2248" s="15"/>
    </row>
    <row r="2249" spans="1:13" s="166" customFormat="1" ht="12.75" customHeight="1">
      <c r="A2249" s="551" t="s">
        <v>430</v>
      </c>
      <c r="B2249" s="546">
        <v>1</v>
      </c>
      <c r="C2249" s="547" t="s">
        <v>213</v>
      </c>
      <c r="D2249" s="548">
        <f>D2235</f>
        <v>19.66</v>
      </c>
      <c r="E2249" s="552">
        <f t="shared" si="211"/>
        <v>19.66</v>
      </c>
      <c r="F2249" s="553"/>
      <c r="G2249" s="15"/>
      <c r="H2249" s="21"/>
      <c r="I2249" s="15"/>
      <c r="J2249" s="15"/>
      <c r="K2249" s="15"/>
      <c r="L2249" s="21"/>
      <c r="M2249" s="15"/>
    </row>
    <row r="2250" spans="1:13" s="166" customFormat="1" ht="12.75" customHeight="1">
      <c r="A2250" s="551" t="s">
        <v>428</v>
      </c>
      <c r="B2250" s="546">
        <v>13</v>
      </c>
      <c r="C2250" s="547" t="s">
        <v>1017</v>
      </c>
      <c r="D2250" s="548">
        <f>Prec.!C330</f>
        <v>21.68</v>
      </c>
      <c r="E2250" s="552">
        <f t="shared" si="211"/>
        <v>281.83999999999997</v>
      </c>
      <c r="F2250" s="553"/>
      <c r="G2250" s="15"/>
      <c r="H2250" s="21"/>
      <c r="I2250" s="15"/>
      <c r="J2250" s="15"/>
      <c r="K2250" s="15"/>
      <c r="L2250" s="21"/>
      <c r="M2250" s="15"/>
    </row>
    <row r="2251" spans="1:13" s="166" customFormat="1" ht="12.75" customHeight="1">
      <c r="A2251" s="551" t="s">
        <v>432</v>
      </c>
      <c r="B2251" s="546">
        <v>13</v>
      </c>
      <c r="C2251" s="547" t="s">
        <v>1017</v>
      </c>
      <c r="D2251" s="548">
        <f>D1481</f>
        <v>0.97749999999999992</v>
      </c>
      <c r="E2251" s="552">
        <f t="shared" si="211"/>
        <v>12.71</v>
      </c>
      <c r="F2251" s="553"/>
      <c r="G2251" s="15"/>
      <c r="H2251" s="21"/>
      <c r="I2251" s="15"/>
      <c r="J2251" s="15"/>
      <c r="K2251" s="15"/>
      <c r="L2251" s="21"/>
      <c r="M2251" s="15"/>
    </row>
    <row r="2252" spans="1:13" s="166" customFormat="1" ht="12.75" customHeight="1">
      <c r="A2252" s="551" t="s">
        <v>433</v>
      </c>
      <c r="B2252" s="546">
        <v>13</v>
      </c>
      <c r="C2252" s="547" t="s">
        <v>1017</v>
      </c>
      <c r="D2252" s="548">
        <f>D1482</f>
        <v>1.9549999999999998</v>
      </c>
      <c r="E2252" s="552">
        <f t="shared" si="211"/>
        <v>25.42</v>
      </c>
      <c r="F2252" s="553"/>
      <c r="G2252" s="15"/>
      <c r="H2252" s="21"/>
      <c r="I2252" s="15"/>
      <c r="J2252" s="15"/>
      <c r="K2252" s="15"/>
      <c r="L2252" s="21"/>
      <c r="M2252" s="15"/>
    </row>
    <row r="2253" spans="1:13" s="166" customFormat="1" ht="12.75" customHeight="1">
      <c r="A2253" s="551" t="s">
        <v>1184</v>
      </c>
      <c r="B2253" s="546">
        <v>13</v>
      </c>
      <c r="C2253" s="547" t="s">
        <v>1017</v>
      </c>
      <c r="D2253" s="548">
        <f>Prec.!C404</f>
        <v>2.7024999999999997</v>
      </c>
      <c r="E2253" s="552">
        <f>ROUND(B2253*D2253,2)</f>
        <v>35.130000000000003</v>
      </c>
      <c r="F2253" s="553"/>
      <c r="G2253" s="15"/>
      <c r="H2253" s="21"/>
      <c r="I2253" s="15"/>
      <c r="J2253" s="15"/>
      <c r="K2253" s="15"/>
      <c r="L2253" s="21"/>
      <c r="M2253" s="15"/>
    </row>
    <row r="2254" spans="1:13" s="166" customFormat="1" ht="12.75" customHeight="1">
      <c r="A2254" s="551" t="s">
        <v>208</v>
      </c>
      <c r="B2254" s="554">
        <f>SUM(E2243:E2248)</f>
        <v>1183.0999999999999</v>
      </c>
      <c r="C2254" s="547" t="s">
        <v>209</v>
      </c>
      <c r="D2254" s="548">
        <f>D2240</f>
        <v>0.02</v>
      </c>
      <c r="E2254" s="552">
        <f>ROUND(B2254*D2254,2)</f>
        <v>23.66</v>
      </c>
      <c r="F2254" s="553">
        <f>SUM(E2243:E2254)</f>
        <v>1581.5200000000002</v>
      </c>
      <c r="G2254" s="15"/>
      <c r="H2254" s="21"/>
      <c r="I2254" s="15"/>
      <c r="J2254" s="15"/>
      <c r="K2254" s="15"/>
      <c r="L2254" s="21"/>
      <c r="M2254" s="15"/>
    </row>
    <row r="2255" spans="1:13" s="166" customFormat="1" ht="12.75" customHeight="1">
      <c r="B2255" s="7"/>
      <c r="C2255" s="165"/>
      <c r="D2255" s="37"/>
      <c r="E2255" s="25"/>
      <c r="F2255" s="26"/>
      <c r="G2255" s="15"/>
      <c r="H2255" s="21"/>
      <c r="I2255" s="15"/>
      <c r="J2255" s="15"/>
      <c r="K2255" s="15"/>
      <c r="L2255" s="21"/>
      <c r="M2255" s="15"/>
    </row>
    <row r="2256" spans="1:13" ht="12.75" hidden="1" customHeight="1">
      <c r="A2256" s="1" t="s">
        <v>924</v>
      </c>
      <c r="E2256" s="27" t="s">
        <v>151</v>
      </c>
      <c r="F2256" s="28" t="s">
        <v>213</v>
      </c>
    </row>
    <row r="2257" spans="1:6" ht="12.75" hidden="1" customHeight="1">
      <c r="A2257" s="4" t="s">
        <v>102</v>
      </c>
      <c r="B2257" s="8">
        <v>13</v>
      </c>
      <c r="C2257" s="6" t="s">
        <v>1017</v>
      </c>
      <c r="D2257" s="37">
        <f>Prec.!$C$86</f>
        <v>44</v>
      </c>
      <c r="E2257" s="25">
        <f t="shared" ref="E2257:E2265" si="214">ROUND(B2257*D2257,2)</f>
        <v>572</v>
      </c>
    </row>
    <row r="2258" spans="1:6" ht="12.75" hidden="1" customHeight="1">
      <c r="A2258" s="4" t="s">
        <v>117</v>
      </c>
      <c r="B2258" s="8">
        <v>3.6999999999999998E-2</v>
      </c>
      <c r="C2258" s="6" t="s">
        <v>216</v>
      </c>
      <c r="D2258" s="37">
        <f>Prec.!$C$54</f>
        <v>3200</v>
      </c>
      <c r="E2258" s="25">
        <f t="shared" si="214"/>
        <v>118.4</v>
      </c>
    </row>
    <row r="2259" spans="1:6" ht="12.75" hidden="1" customHeight="1">
      <c r="A2259" s="4" t="s">
        <v>217</v>
      </c>
      <c r="B2259" s="8">
        <f>B2258*2</f>
        <v>7.3999999999999996E-2</v>
      </c>
      <c r="C2259" s="6" t="s">
        <v>218</v>
      </c>
      <c r="D2259" s="37">
        <f>Prec.!$C$75</f>
        <v>60</v>
      </c>
      <c r="E2259" s="25">
        <f t="shared" si="214"/>
        <v>4.4400000000000004</v>
      </c>
    </row>
    <row r="2260" spans="1:6" ht="12.75" hidden="1" customHeight="1">
      <c r="A2260" s="4" t="s">
        <v>427</v>
      </c>
      <c r="B2260" s="8">
        <v>3.1E-2</v>
      </c>
      <c r="C2260" s="6" t="s">
        <v>825</v>
      </c>
      <c r="D2260" s="37">
        <f>horm.ymez.!F8</f>
        <v>7163.99</v>
      </c>
      <c r="E2260" s="25">
        <f t="shared" si="214"/>
        <v>222.08</v>
      </c>
    </row>
    <row r="2261" spans="1:6" ht="12.75" hidden="1" customHeight="1">
      <c r="A2261" s="4" t="s">
        <v>421</v>
      </c>
      <c r="B2261" s="8">
        <v>4.8000000000000001E-2</v>
      </c>
      <c r="C2261" s="6" t="s">
        <v>825</v>
      </c>
      <c r="D2261" s="37">
        <f>horm.ymez.!F14</f>
        <v>5771.3299999999981</v>
      </c>
      <c r="E2261" s="25">
        <f t="shared" si="214"/>
        <v>277.02</v>
      </c>
    </row>
    <row r="2262" spans="1:6" ht="12.75" hidden="1" customHeight="1">
      <c r="A2262" s="4" t="s">
        <v>430</v>
      </c>
      <c r="B2262" s="8">
        <v>1</v>
      </c>
      <c r="C2262" s="6" t="s">
        <v>213</v>
      </c>
      <c r="D2262" s="37">
        <f>D2222</f>
        <v>19.66</v>
      </c>
      <c r="E2262" s="25">
        <f t="shared" si="214"/>
        <v>19.66</v>
      </c>
    </row>
    <row r="2263" spans="1:6" ht="12.75" hidden="1" customHeight="1">
      <c r="A2263" s="4" t="s">
        <v>428</v>
      </c>
      <c r="B2263" s="8">
        <v>13</v>
      </c>
      <c r="C2263" s="6" t="s">
        <v>1017</v>
      </c>
      <c r="D2263" s="37">
        <f>Prec.!$D$329</f>
        <v>0</v>
      </c>
      <c r="E2263" s="25">
        <f t="shared" si="214"/>
        <v>0</v>
      </c>
    </row>
    <row r="2264" spans="1:6" ht="12.75" hidden="1" customHeight="1">
      <c r="A2264" s="4" t="s">
        <v>432</v>
      </c>
      <c r="B2264" s="8">
        <v>13</v>
      </c>
      <c r="C2264" s="6" t="s">
        <v>1017</v>
      </c>
      <c r="D2264" s="37">
        <f>Prec.!$D$540</f>
        <v>1.1499999999999999</v>
      </c>
      <c r="E2264" s="25">
        <f t="shared" si="214"/>
        <v>14.95</v>
      </c>
    </row>
    <row r="2265" spans="1:6" ht="12.75" hidden="1" customHeight="1">
      <c r="A2265" s="4" t="s">
        <v>433</v>
      </c>
      <c r="B2265" s="8">
        <v>13</v>
      </c>
      <c r="C2265" s="6" t="s">
        <v>1017</v>
      </c>
      <c r="D2265" s="37">
        <f>Prec.!D544</f>
        <v>4.2699999999999996</v>
      </c>
      <c r="E2265" s="25">
        <f t="shared" si="214"/>
        <v>55.51</v>
      </c>
    </row>
    <row r="2266" spans="1:6" ht="12.75" hidden="1" customHeight="1">
      <c r="A2266" s="4" t="s">
        <v>1184</v>
      </c>
      <c r="B2266" s="8">
        <v>13</v>
      </c>
      <c r="C2266" s="6" t="s">
        <v>1017</v>
      </c>
      <c r="D2266" s="37">
        <f>Prec.!D404</f>
        <v>2.35</v>
      </c>
      <c r="E2266" s="25">
        <f>ROUND(B2266*D2266,2)</f>
        <v>30.55</v>
      </c>
    </row>
    <row r="2267" spans="1:6" ht="12.75" hidden="1" customHeight="1">
      <c r="A2267" s="4" t="s">
        <v>208</v>
      </c>
      <c r="B2267" s="7">
        <f>SUM(E2257:E2266)</f>
        <v>1314.6100000000001</v>
      </c>
      <c r="C2267" s="6" t="s">
        <v>209</v>
      </c>
      <c r="D2267" s="37">
        <f>D2227</f>
        <v>0.02</v>
      </c>
      <c r="E2267" s="25">
        <f>ROUND(B2267*D2267,2)</f>
        <v>26.29</v>
      </c>
      <c r="F2267" s="26">
        <f>SUM(E2257:E2267)</f>
        <v>1340.9</v>
      </c>
    </row>
    <row r="2268" spans="1:6" ht="6" hidden="1" customHeight="1">
      <c r="B2268" s="7"/>
    </row>
    <row r="2269" spans="1:6" ht="12.75" hidden="1" customHeight="1">
      <c r="A2269" s="1" t="s">
        <v>927</v>
      </c>
      <c r="E2269" s="27" t="s">
        <v>151</v>
      </c>
      <c r="F2269" s="28" t="s">
        <v>213</v>
      </c>
    </row>
    <row r="2270" spans="1:6" ht="12.75" hidden="1" customHeight="1">
      <c r="A2270" s="4" t="s">
        <v>102</v>
      </c>
      <c r="B2270" s="8">
        <v>13</v>
      </c>
      <c r="C2270" s="6" t="s">
        <v>1017</v>
      </c>
      <c r="D2270" s="37">
        <f>Prec.!$C$86</f>
        <v>44</v>
      </c>
      <c r="E2270" s="25">
        <f t="shared" ref="E2270:E2278" si="215">ROUND(B2270*D2270,2)</f>
        <v>572</v>
      </c>
    </row>
    <row r="2271" spans="1:6" ht="12.75" hidden="1" customHeight="1">
      <c r="A2271" s="4" t="s">
        <v>117</v>
      </c>
      <c r="B2271" s="8">
        <v>3.2000000000000001E-2</v>
      </c>
      <c r="C2271" s="6" t="s">
        <v>216</v>
      </c>
      <c r="D2271" s="37">
        <f>Prec.!$C$54</f>
        <v>3200</v>
      </c>
      <c r="E2271" s="25">
        <f t="shared" si="215"/>
        <v>102.4</v>
      </c>
    </row>
    <row r="2272" spans="1:6" ht="12.75" hidden="1" customHeight="1">
      <c r="A2272" s="4" t="s">
        <v>217</v>
      </c>
      <c r="B2272" s="8">
        <f>B2271*2</f>
        <v>6.4000000000000001E-2</v>
      </c>
      <c r="C2272" s="6" t="s">
        <v>218</v>
      </c>
      <c r="D2272" s="37">
        <f>Prec.!$C$75</f>
        <v>60</v>
      </c>
      <c r="E2272" s="25">
        <f t="shared" si="215"/>
        <v>3.84</v>
      </c>
    </row>
    <row r="2273" spans="1:6" ht="12.75" hidden="1" customHeight="1">
      <c r="A2273" s="4" t="s">
        <v>427</v>
      </c>
      <c r="B2273" s="8">
        <v>3.1E-2</v>
      </c>
      <c r="C2273" s="6" t="s">
        <v>825</v>
      </c>
      <c r="D2273" s="37">
        <f>D2260</f>
        <v>7163.99</v>
      </c>
      <c r="E2273" s="25">
        <f t="shared" si="215"/>
        <v>222.08</v>
      </c>
    </row>
    <row r="2274" spans="1:6" ht="12.75" hidden="1" customHeight="1">
      <c r="A2274" s="4" t="s">
        <v>421</v>
      </c>
      <c r="B2274" s="8">
        <v>4.8000000000000001E-2</v>
      </c>
      <c r="C2274" s="6" t="s">
        <v>825</v>
      </c>
      <c r="D2274" s="37">
        <f>D2261</f>
        <v>5771.3299999999981</v>
      </c>
      <c r="E2274" s="25">
        <f t="shared" si="215"/>
        <v>277.02</v>
      </c>
    </row>
    <row r="2275" spans="1:6" ht="12.75" hidden="1" customHeight="1">
      <c r="A2275" s="4" t="s">
        <v>430</v>
      </c>
      <c r="B2275" s="8">
        <v>1</v>
      </c>
      <c r="C2275" s="6" t="s">
        <v>213</v>
      </c>
      <c r="D2275" s="37">
        <f>D2262</f>
        <v>19.66</v>
      </c>
      <c r="E2275" s="25">
        <f t="shared" si="215"/>
        <v>19.66</v>
      </c>
    </row>
    <row r="2276" spans="1:6" ht="12.75" hidden="1" customHeight="1">
      <c r="A2276" s="4" t="s">
        <v>428</v>
      </c>
      <c r="B2276" s="8">
        <v>13</v>
      </c>
      <c r="C2276" s="6" t="s">
        <v>1017</v>
      </c>
      <c r="D2276" s="37">
        <f>Prec.!$D$329</f>
        <v>0</v>
      </c>
      <c r="E2276" s="25">
        <f t="shared" si="215"/>
        <v>0</v>
      </c>
    </row>
    <row r="2277" spans="1:6" ht="12.75" hidden="1" customHeight="1">
      <c r="A2277" s="4" t="s">
        <v>432</v>
      </c>
      <c r="B2277" s="8">
        <v>13</v>
      </c>
      <c r="C2277" s="6" t="s">
        <v>1017</v>
      </c>
      <c r="D2277" s="37">
        <f>Prec.!D541</f>
        <v>0.85</v>
      </c>
      <c r="E2277" s="25">
        <f t="shared" si="215"/>
        <v>11.05</v>
      </c>
    </row>
    <row r="2278" spans="1:6" ht="12.75" hidden="1" customHeight="1">
      <c r="A2278" s="4" t="s">
        <v>433</v>
      </c>
      <c r="B2278" s="8">
        <v>13</v>
      </c>
      <c r="C2278" s="6" t="s">
        <v>1017</v>
      </c>
      <c r="D2278" s="37">
        <f>Prec.!D544</f>
        <v>4.2699999999999996</v>
      </c>
      <c r="E2278" s="25">
        <f t="shared" si="215"/>
        <v>55.51</v>
      </c>
    </row>
    <row r="2279" spans="1:6" ht="12.75" hidden="1" customHeight="1">
      <c r="A2279" s="4" t="s">
        <v>1184</v>
      </c>
      <c r="B2279" s="8">
        <v>13</v>
      </c>
      <c r="C2279" s="6" t="s">
        <v>1017</v>
      </c>
      <c r="D2279" s="37">
        <f>D2266</f>
        <v>2.35</v>
      </c>
      <c r="E2279" s="25">
        <f>ROUND(B2279*D2279,2)</f>
        <v>30.55</v>
      </c>
    </row>
    <row r="2280" spans="1:6" ht="12.75" hidden="1" customHeight="1">
      <c r="A2280" s="4" t="s">
        <v>208</v>
      </c>
      <c r="B2280" s="7">
        <f>SUM(E2270:E2279)</f>
        <v>1294.1100000000001</v>
      </c>
      <c r="C2280" s="6" t="s">
        <v>209</v>
      </c>
      <c r="D2280" s="37">
        <f>D2267</f>
        <v>0.02</v>
      </c>
      <c r="E2280" s="25">
        <f>ROUND(B2280*D2280,2)</f>
        <v>25.88</v>
      </c>
      <c r="F2280" s="26">
        <f>SUM(E2270:E2280)</f>
        <v>1319.9900000000002</v>
      </c>
    </row>
    <row r="2281" spans="1:6" ht="12.75" hidden="1" customHeight="1">
      <c r="A2281" s="1" t="s">
        <v>934</v>
      </c>
      <c r="E2281" s="27" t="s">
        <v>151</v>
      </c>
      <c r="F2281" s="28" t="s">
        <v>213</v>
      </c>
    </row>
    <row r="2282" spans="1:6" ht="12.75" hidden="1" customHeight="1">
      <c r="A2282" s="4" t="s">
        <v>544</v>
      </c>
      <c r="B2282" s="8">
        <v>13</v>
      </c>
      <c r="C2282" s="6" t="s">
        <v>1017</v>
      </c>
      <c r="D2282" s="37">
        <f>Prec.!$C$86</f>
        <v>44</v>
      </c>
      <c r="E2282" s="25">
        <f t="shared" ref="E2282:E2290" si="216">ROUND(B2282*D2282,2)</f>
        <v>572</v>
      </c>
    </row>
    <row r="2283" spans="1:6" ht="12.75" hidden="1" customHeight="1">
      <c r="A2283" s="4" t="s">
        <v>117</v>
      </c>
      <c r="B2283" s="8">
        <v>2.4E-2</v>
      </c>
      <c r="C2283" s="6" t="s">
        <v>216</v>
      </c>
      <c r="D2283" s="37">
        <f>Prec.!$C$54</f>
        <v>3200</v>
      </c>
      <c r="E2283" s="25">
        <f t="shared" si="216"/>
        <v>76.8</v>
      </c>
    </row>
    <row r="2284" spans="1:6" ht="12.75" hidden="1" customHeight="1">
      <c r="A2284" s="4" t="s">
        <v>217</v>
      </c>
      <c r="B2284" s="8">
        <f>B2283*2</f>
        <v>4.8000000000000001E-2</v>
      </c>
      <c r="C2284" s="6" t="s">
        <v>218</v>
      </c>
      <c r="D2284" s="37">
        <f>Prec.!$C$75</f>
        <v>60</v>
      </c>
      <c r="E2284" s="25">
        <f t="shared" si="216"/>
        <v>2.88</v>
      </c>
    </row>
    <row r="2285" spans="1:6" ht="12.75" hidden="1" customHeight="1">
      <c r="A2285" s="4" t="s">
        <v>427</v>
      </c>
      <c r="B2285" s="8">
        <v>3.1E-2</v>
      </c>
      <c r="C2285" s="6" t="s">
        <v>825</v>
      </c>
      <c r="D2285" s="37">
        <f>horm.ymez.!F8</f>
        <v>7163.99</v>
      </c>
      <c r="E2285" s="25">
        <f t="shared" si="216"/>
        <v>222.08</v>
      </c>
    </row>
    <row r="2286" spans="1:6" ht="12.75" hidden="1" customHeight="1">
      <c r="A2286" s="4" t="s">
        <v>421</v>
      </c>
      <c r="B2286" s="8">
        <v>4.8000000000000001E-2</v>
      </c>
      <c r="C2286" s="6" t="s">
        <v>825</v>
      </c>
      <c r="D2286" s="37">
        <f>horm.ymez.!F14</f>
        <v>5771.3299999999981</v>
      </c>
      <c r="E2286" s="25">
        <f t="shared" si="216"/>
        <v>277.02</v>
      </c>
    </row>
    <row r="2287" spans="1:6" ht="12.75" hidden="1" customHeight="1">
      <c r="A2287" s="4" t="s">
        <v>430</v>
      </c>
      <c r="B2287" s="8">
        <v>1</v>
      </c>
      <c r="C2287" s="6" t="s">
        <v>213</v>
      </c>
      <c r="D2287" s="37">
        <f>D2222</f>
        <v>19.66</v>
      </c>
      <c r="E2287" s="25">
        <f t="shared" si="216"/>
        <v>19.66</v>
      </c>
    </row>
    <row r="2288" spans="1:6" ht="12.75" hidden="1" customHeight="1">
      <c r="A2288" s="4" t="s">
        <v>428</v>
      </c>
      <c r="B2288" s="8">
        <v>13</v>
      </c>
      <c r="C2288" s="6" t="s">
        <v>1017</v>
      </c>
      <c r="D2288" s="37">
        <f>Prec.!$D$329</f>
        <v>0</v>
      </c>
      <c r="E2288" s="25">
        <f t="shared" si="216"/>
        <v>0</v>
      </c>
    </row>
    <row r="2289" spans="1:6" ht="12.75" hidden="1" customHeight="1">
      <c r="A2289" s="4" t="s">
        <v>432</v>
      </c>
      <c r="B2289" s="8">
        <v>13</v>
      </c>
      <c r="C2289" s="6" t="s">
        <v>1017</v>
      </c>
      <c r="D2289" s="37">
        <f>Prec.!$D$542</f>
        <v>0.55000000000000004</v>
      </c>
      <c r="E2289" s="25">
        <f t="shared" si="216"/>
        <v>7.15</v>
      </c>
    </row>
    <row r="2290" spans="1:6" ht="12.75" hidden="1" customHeight="1">
      <c r="A2290" s="4" t="s">
        <v>433</v>
      </c>
      <c r="B2290" s="8">
        <v>13</v>
      </c>
      <c r="C2290" s="6" t="s">
        <v>1017</v>
      </c>
      <c r="D2290" s="37">
        <f>Prec.!D544</f>
        <v>4.2699999999999996</v>
      </c>
      <c r="E2290" s="25">
        <f t="shared" si="216"/>
        <v>55.51</v>
      </c>
    </row>
    <row r="2291" spans="1:6" ht="12.75" hidden="1" customHeight="1">
      <c r="A2291" s="4" t="s">
        <v>1184</v>
      </c>
      <c r="B2291" s="8">
        <v>13</v>
      </c>
      <c r="C2291" s="6" t="s">
        <v>1017</v>
      </c>
      <c r="D2291" s="37">
        <f>D2226</f>
        <v>2.35</v>
      </c>
      <c r="E2291" s="25">
        <f>ROUND(B2291*D2291,2)</f>
        <v>30.55</v>
      </c>
    </row>
    <row r="2292" spans="1:6" ht="12.75" hidden="1" customHeight="1">
      <c r="A2292" s="4" t="s">
        <v>208</v>
      </c>
      <c r="B2292" s="7">
        <f>SUM(E2282:E2291)</f>
        <v>1263.6500000000001</v>
      </c>
      <c r="C2292" s="6" t="s">
        <v>209</v>
      </c>
      <c r="D2292" s="37">
        <f>D2227</f>
        <v>0.02</v>
      </c>
      <c r="E2292" s="25">
        <f>ROUND(B2292*D2292,2)</f>
        <v>25.27</v>
      </c>
      <c r="F2292" s="26">
        <f>SUM(E2282:E2292)</f>
        <v>1288.92</v>
      </c>
    </row>
    <row r="2293" spans="1:6" ht="10.15" hidden="1" customHeight="1">
      <c r="B2293" s="7"/>
    </row>
    <row r="2294" spans="1:6" ht="12.75" hidden="1" customHeight="1">
      <c r="A2294" s="1" t="s">
        <v>936</v>
      </c>
      <c r="E2294" s="27" t="s">
        <v>151</v>
      </c>
      <c r="F2294" s="28" t="s">
        <v>213</v>
      </c>
    </row>
    <row r="2295" spans="1:6" ht="12.75" hidden="1" customHeight="1">
      <c r="A2295" s="4" t="s">
        <v>102</v>
      </c>
      <c r="B2295" s="8">
        <v>13</v>
      </c>
      <c r="C2295" s="6" t="s">
        <v>1017</v>
      </c>
      <c r="D2295" s="37">
        <f>Prec.!$C$86</f>
        <v>44</v>
      </c>
      <c r="E2295" s="25">
        <f t="shared" ref="E2295:E2303" si="217">ROUND(B2295*D2295,2)</f>
        <v>572</v>
      </c>
    </row>
    <row r="2296" spans="1:6" ht="12.75" hidden="1" customHeight="1">
      <c r="A2296" s="4" t="s">
        <v>117</v>
      </c>
      <c r="B2296" s="8">
        <v>3.6999999999999998E-2</v>
      </c>
      <c r="C2296" s="6" t="s">
        <v>216</v>
      </c>
      <c r="D2296" s="37">
        <f>Prec.!$C$54</f>
        <v>3200</v>
      </c>
      <c r="E2296" s="25">
        <f t="shared" si="217"/>
        <v>118.4</v>
      </c>
    </row>
    <row r="2297" spans="1:6" ht="12.75" hidden="1" customHeight="1">
      <c r="A2297" s="4" t="s">
        <v>217</v>
      </c>
      <c r="B2297" s="8">
        <f>B2296*2</f>
        <v>7.3999999999999996E-2</v>
      </c>
      <c r="C2297" s="6" t="s">
        <v>218</v>
      </c>
      <c r="D2297" s="37">
        <f>Prec.!$C$75</f>
        <v>60</v>
      </c>
      <c r="E2297" s="25">
        <f t="shared" si="217"/>
        <v>4.4400000000000004</v>
      </c>
    </row>
    <row r="2298" spans="1:6" ht="12.75" hidden="1" customHeight="1">
      <c r="A2298" s="4" t="s">
        <v>427</v>
      </c>
      <c r="B2298" s="8">
        <v>3.1E-2</v>
      </c>
      <c r="C2298" s="6" t="s">
        <v>825</v>
      </c>
      <c r="D2298" s="37">
        <f>horm.ymez.!F8</f>
        <v>7163.99</v>
      </c>
      <c r="E2298" s="25">
        <f t="shared" si="217"/>
        <v>222.08</v>
      </c>
    </row>
    <row r="2299" spans="1:6" ht="12.75" hidden="1" customHeight="1">
      <c r="A2299" s="4" t="s">
        <v>421</v>
      </c>
      <c r="B2299" s="8">
        <v>3.9E-2</v>
      </c>
      <c r="C2299" s="6" t="s">
        <v>825</v>
      </c>
      <c r="D2299" s="37">
        <f>horm.ymez.!F14</f>
        <v>5771.3299999999981</v>
      </c>
      <c r="E2299" s="25">
        <f t="shared" si="217"/>
        <v>225.08</v>
      </c>
    </row>
    <row r="2300" spans="1:6" ht="12.75" hidden="1" customHeight="1">
      <c r="A2300" s="4" t="s">
        <v>430</v>
      </c>
      <c r="B2300" s="8">
        <v>1</v>
      </c>
      <c r="C2300" s="6" t="s">
        <v>213</v>
      </c>
      <c r="D2300" s="37">
        <f>D2287</f>
        <v>19.66</v>
      </c>
      <c r="E2300" s="25">
        <f t="shared" si="217"/>
        <v>19.66</v>
      </c>
    </row>
    <row r="2301" spans="1:6" ht="12.75" hidden="1" customHeight="1">
      <c r="A2301" s="4" t="s">
        <v>428</v>
      </c>
      <c r="B2301" s="8">
        <v>13</v>
      </c>
      <c r="C2301" s="6" t="s">
        <v>1017</v>
      </c>
      <c r="D2301" s="37">
        <f>Prec.!$D$329</f>
        <v>0</v>
      </c>
      <c r="E2301" s="25">
        <f t="shared" si="217"/>
        <v>0</v>
      </c>
    </row>
    <row r="2302" spans="1:6" ht="12.75" hidden="1" customHeight="1">
      <c r="A2302" s="4" t="s">
        <v>432</v>
      </c>
      <c r="B2302" s="8">
        <v>13</v>
      </c>
      <c r="C2302" s="6" t="s">
        <v>1017</v>
      </c>
      <c r="D2302" s="37">
        <f>Prec.!$D$540</f>
        <v>1.1499999999999999</v>
      </c>
      <c r="E2302" s="25">
        <f t="shared" si="217"/>
        <v>14.95</v>
      </c>
    </row>
    <row r="2303" spans="1:6" ht="12.75" hidden="1" customHeight="1">
      <c r="A2303" s="4" t="s">
        <v>433</v>
      </c>
      <c r="B2303" s="8">
        <v>13</v>
      </c>
      <c r="C2303" s="6" t="s">
        <v>1017</v>
      </c>
      <c r="D2303" s="37">
        <f>Prec.!$D$545</f>
        <v>2.33</v>
      </c>
      <c r="E2303" s="25">
        <f t="shared" si="217"/>
        <v>30.29</v>
      </c>
    </row>
    <row r="2304" spans="1:6" ht="12.75" hidden="1" customHeight="1">
      <c r="A2304" s="4" t="s">
        <v>1184</v>
      </c>
      <c r="B2304" s="8">
        <v>13</v>
      </c>
      <c r="C2304" s="6" t="s">
        <v>1017</v>
      </c>
      <c r="D2304" s="37">
        <f>D2291</f>
        <v>2.35</v>
      </c>
      <c r="E2304" s="25">
        <f>ROUND(B2304*D2304,2)</f>
        <v>30.55</v>
      </c>
    </row>
    <row r="2305" spans="1:13" ht="12.75" hidden="1" customHeight="1">
      <c r="A2305" s="4" t="s">
        <v>208</v>
      </c>
      <c r="B2305" s="7">
        <f>SUM(E2295:E2304)</f>
        <v>1237.45</v>
      </c>
      <c r="C2305" s="6" t="s">
        <v>209</v>
      </c>
      <c r="D2305" s="37">
        <f>D2292</f>
        <v>0.02</v>
      </c>
      <c r="E2305" s="25">
        <f>ROUND(B2305*D2305,2)</f>
        <v>24.75</v>
      </c>
      <c r="F2305" s="26">
        <f>SUM(E2295:E2305)</f>
        <v>1262.2</v>
      </c>
    </row>
    <row r="2306" spans="1:13" s="166" customFormat="1" ht="6" hidden="1" customHeight="1">
      <c r="B2306" s="7"/>
      <c r="C2306" s="165"/>
      <c r="D2306" s="37"/>
      <c r="E2306" s="25"/>
      <c r="F2306" s="26"/>
      <c r="G2306" s="15"/>
      <c r="H2306" s="21"/>
      <c r="I2306" s="15"/>
      <c r="J2306" s="15"/>
      <c r="K2306" s="15"/>
      <c r="L2306" s="21"/>
      <c r="M2306" s="15"/>
    </row>
    <row r="2307" spans="1:13" ht="12.75" hidden="1" customHeight="1">
      <c r="A2307" s="13" t="s">
        <v>935</v>
      </c>
      <c r="B2307" s="30"/>
      <c r="C2307" s="24"/>
      <c r="D2307" s="35"/>
      <c r="E2307" s="43" t="s">
        <v>151</v>
      </c>
      <c r="F2307" s="44" t="s">
        <v>213</v>
      </c>
    </row>
    <row r="2308" spans="1:13" ht="12.75" hidden="1" customHeight="1">
      <c r="A2308" s="12" t="s">
        <v>102</v>
      </c>
      <c r="B2308" s="30">
        <v>13</v>
      </c>
      <c r="C2308" s="24" t="s">
        <v>1017</v>
      </c>
      <c r="D2308" s="35">
        <f>Prec.!$C$86</f>
        <v>44</v>
      </c>
      <c r="E2308" s="31">
        <f t="shared" ref="E2308:E2316" si="218">ROUND(B2308*D2308,2)</f>
        <v>572</v>
      </c>
      <c r="F2308" s="32"/>
    </row>
    <row r="2309" spans="1:13" ht="12.75" hidden="1" customHeight="1">
      <c r="A2309" s="12" t="s">
        <v>117</v>
      </c>
      <c r="B2309" s="30">
        <v>2.4E-2</v>
      </c>
      <c r="C2309" s="24" t="s">
        <v>216</v>
      </c>
      <c r="D2309" s="35">
        <f>Prec.!$C$54</f>
        <v>3200</v>
      </c>
      <c r="E2309" s="31">
        <f t="shared" si="218"/>
        <v>76.8</v>
      </c>
      <c r="F2309" s="32"/>
    </row>
    <row r="2310" spans="1:13" ht="12.75" hidden="1" customHeight="1">
      <c r="A2310" s="12" t="s">
        <v>217</v>
      </c>
      <c r="B2310" s="30">
        <f>B2309*2</f>
        <v>4.8000000000000001E-2</v>
      </c>
      <c r="C2310" s="24" t="s">
        <v>218</v>
      </c>
      <c r="D2310" s="35">
        <f>Prec.!$C$75</f>
        <v>60</v>
      </c>
      <c r="E2310" s="31">
        <f t="shared" si="218"/>
        <v>2.88</v>
      </c>
      <c r="F2310" s="32"/>
    </row>
    <row r="2311" spans="1:13" ht="12.75" hidden="1" customHeight="1">
      <c r="A2311" s="12" t="s">
        <v>427</v>
      </c>
      <c r="B2311" s="30">
        <v>3.1E-2</v>
      </c>
      <c r="C2311" s="24" t="s">
        <v>825</v>
      </c>
      <c r="D2311" s="35">
        <f>horm.ymez.!F8</f>
        <v>7163.99</v>
      </c>
      <c r="E2311" s="31">
        <f t="shared" si="218"/>
        <v>222.08</v>
      </c>
      <c r="F2311" s="32"/>
    </row>
    <row r="2312" spans="1:13" ht="12.75" hidden="1" customHeight="1">
      <c r="A2312" s="12" t="s">
        <v>421</v>
      </c>
      <c r="B2312" s="30">
        <v>0.03</v>
      </c>
      <c r="C2312" s="24" t="s">
        <v>825</v>
      </c>
      <c r="D2312" s="35">
        <f>horm.ymez.!F14</f>
        <v>5771.3299999999981</v>
      </c>
      <c r="E2312" s="31">
        <f t="shared" si="218"/>
        <v>173.14</v>
      </c>
      <c r="F2312" s="32"/>
    </row>
    <row r="2313" spans="1:13" ht="12.75" hidden="1" customHeight="1">
      <c r="A2313" s="12" t="s">
        <v>430</v>
      </c>
      <c r="B2313" s="30">
        <v>1</v>
      </c>
      <c r="C2313" s="24" t="s">
        <v>213</v>
      </c>
      <c r="D2313" s="35">
        <f>D2275</f>
        <v>19.66</v>
      </c>
      <c r="E2313" s="31">
        <f t="shared" si="218"/>
        <v>19.66</v>
      </c>
      <c r="F2313" s="32"/>
    </row>
    <row r="2314" spans="1:13" ht="12.75" hidden="1" customHeight="1">
      <c r="A2314" s="12" t="s">
        <v>428</v>
      </c>
      <c r="B2314" s="30">
        <v>13</v>
      </c>
      <c r="C2314" s="24" t="s">
        <v>1017</v>
      </c>
      <c r="D2314" s="35">
        <f>Prec.!$D$329</f>
        <v>0</v>
      </c>
      <c r="E2314" s="31">
        <f t="shared" si="218"/>
        <v>0</v>
      </c>
      <c r="F2314" s="32"/>
    </row>
    <row r="2315" spans="1:13" ht="12.75" hidden="1" customHeight="1">
      <c r="A2315" s="12" t="s">
        <v>432</v>
      </c>
      <c r="B2315" s="30">
        <v>13</v>
      </c>
      <c r="C2315" s="24" t="s">
        <v>1017</v>
      </c>
      <c r="D2315" s="35">
        <f>Prec.!$D$542</f>
        <v>0.55000000000000004</v>
      </c>
      <c r="E2315" s="31">
        <f t="shared" si="218"/>
        <v>7.15</v>
      </c>
      <c r="F2315" s="32"/>
    </row>
    <row r="2316" spans="1:13" ht="12.75" hidden="1" customHeight="1">
      <c r="A2316" s="12" t="s">
        <v>433</v>
      </c>
      <c r="B2316" s="30">
        <v>13</v>
      </c>
      <c r="C2316" s="24" t="s">
        <v>1017</v>
      </c>
      <c r="D2316" s="35">
        <f>Prec.!$D$547</f>
        <v>1.1499999999999999</v>
      </c>
      <c r="E2316" s="31">
        <f t="shared" si="218"/>
        <v>14.95</v>
      </c>
      <c r="F2316" s="32"/>
    </row>
    <row r="2317" spans="1:13" ht="12.75" hidden="1" customHeight="1">
      <c r="A2317" s="12" t="s">
        <v>1184</v>
      </c>
      <c r="B2317" s="30">
        <v>13</v>
      </c>
      <c r="C2317" s="24" t="s">
        <v>1017</v>
      </c>
      <c r="D2317" s="35">
        <f>D2279</f>
        <v>2.35</v>
      </c>
      <c r="E2317" s="31">
        <f>ROUND(B2317*D2317,2)</f>
        <v>30.55</v>
      </c>
      <c r="F2317" s="32"/>
    </row>
    <row r="2318" spans="1:13" ht="12.75" hidden="1" customHeight="1">
      <c r="A2318" s="12" t="s">
        <v>208</v>
      </c>
      <c r="B2318" s="14">
        <f>SUM(E2308:E2317)</f>
        <v>1119.2100000000003</v>
      </c>
      <c r="C2318" s="24" t="s">
        <v>209</v>
      </c>
      <c r="D2318" s="35">
        <f>D2280</f>
        <v>0.02</v>
      </c>
      <c r="E2318" s="31">
        <f>ROUND(B2318*D2318,2)</f>
        <v>22.38</v>
      </c>
      <c r="F2318" s="32">
        <f>SUM(E2308:E2318)</f>
        <v>1141.5900000000004</v>
      </c>
    </row>
    <row r="2319" spans="1:13" ht="8.25" hidden="1" customHeight="1">
      <c r="B2319" s="7"/>
    </row>
    <row r="2320" spans="1:13" s="166" customFormat="1" ht="8.25" hidden="1" customHeight="1">
      <c r="B2320" s="7"/>
      <c r="C2320" s="165"/>
      <c r="D2320" s="37"/>
      <c r="E2320" s="25"/>
      <c r="F2320" s="26"/>
      <c r="G2320" s="15"/>
      <c r="H2320" s="21"/>
      <c r="I2320" s="15"/>
      <c r="J2320" s="15"/>
      <c r="K2320" s="15"/>
      <c r="L2320" s="21"/>
      <c r="M2320" s="15"/>
    </row>
    <row r="2321" spans="1:13" ht="12.75" customHeight="1">
      <c r="A2321" s="545" t="s">
        <v>1573</v>
      </c>
      <c r="B2321" s="546"/>
      <c r="C2321" s="547"/>
      <c r="D2321" s="548"/>
      <c r="E2321" s="549" t="s">
        <v>151</v>
      </c>
      <c r="F2321" s="550" t="s">
        <v>213</v>
      </c>
    </row>
    <row r="2322" spans="1:13" ht="12.75" customHeight="1">
      <c r="A2322" s="551" t="s">
        <v>429</v>
      </c>
      <c r="B2322" s="546">
        <v>13</v>
      </c>
      <c r="C2322" s="547" t="s">
        <v>1017</v>
      </c>
      <c r="D2322" s="548">
        <f>Prec.!C87</f>
        <v>34</v>
      </c>
      <c r="E2322" s="552">
        <f t="shared" ref="E2322:E2330" si="219">ROUND(B2322*D2322,2)</f>
        <v>442</v>
      </c>
      <c r="F2322" s="553"/>
    </row>
    <row r="2323" spans="1:13" ht="12.75" customHeight="1">
      <c r="A2323" s="551" t="s">
        <v>1574</v>
      </c>
      <c r="B2323" s="546">
        <v>2.4E-2</v>
      </c>
      <c r="C2323" s="547" t="s">
        <v>216</v>
      </c>
      <c r="D2323" s="548">
        <f>Prec.!$C$53</f>
        <v>3200</v>
      </c>
      <c r="E2323" s="552">
        <f t="shared" si="219"/>
        <v>76.8</v>
      </c>
      <c r="F2323" s="553"/>
    </row>
    <row r="2324" spans="1:13" ht="12.75" customHeight="1">
      <c r="A2324" s="551" t="s">
        <v>217</v>
      </c>
      <c r="B2324" s="546">
        <f>B2323*2</f>
        <v>4.8000000000000001E-2</v>
      </c>
      <c r="C2324" s="547" t="s">
        <v>218</v>
      </c>
      <c r="D2324" s="548">
        <f>Prec.!$C$75</f>
        <v>60</v>
      </c>
      <c r="E2324" s="552">
        <f t="shared" si="219"/>
        <v>2.88</v>
      </c>
      <c r="F2324" s="553"/>
    </row>
    <row r="2325" spans="1:13" ht="12.75" customHeight="1">
      <c r="A2325" s="551" t="s">
        <v>427</v>
      </c>
      <c r="B2325" s="546">
        <v>0.02</v>
      </c>
      <c r="C2325" s="547" t="s">
        <v>825</v>
      </c>
      <c r="D2325" s="548">
        <f>horm.ymez.!F8</f>
        <v>7163.99</v>
      </c>
      <c r="E2325" s="552">
        <f t="shared" si="219"/>
        <v>143.28</v>
      </c>
      <c r="F2325" s="553"/>
    </row>
    <row r="2326" spans="1:13" ht="12.75" customHeight="1">
      <c r="A2326" s="551" t="s">
        <v>421</v>
      </c>
      <c r="B2326" s="546">
        <v>8.9999999999999993E-3</v>
      </c>
      <c r="C2326" s="547" t="s">
        <v>825</v>
      </c>
      <c r="D2326" s="548">
        <f>horm.ymez.!F14</f>
        <v>5771.3299999999981</v>
      </c>
      <c r="E2326" s="552">
        <f t="shared" si="219"/>
        <v>51.94</v>
      </c>
      <c r="F2326" s="553"/>
    </row>
    <row r="2327" spans="1:13" ht="12.75" customHeight="1">
      <c r="A2327" s="551" t="s">
        <v>430</v>
      </c>
      <c r="B2327" s="546">
        <v>1</v>
      </c>
      <c r="C2327" s="547" t="s">
        <v>213</v>
      </c>
      <c r="D2327" s="548">
        <f>D2313</f>
        <v>19.66</v>
      </c>
      <c r="E2327" s="552">
        <f t="shared" si="219"/>
        <v>19.66</v>
      </c>
      <c r="F2327" s="553"/>
    </row>
    <row r="2328" spans="1:13" ht="12.75" customHeight="1">
      <c r="A2328" s="551" t="s">
        <v>428</v>
      </c>
      <c r="B2328" s="546">
        <v>13</v>
      </c>
      <c r="C2328" s="547" t="s">
        <v>1017</v>
      </c>
      <c r="D2328" s="548">
        <f>Prec.!C328</f>
        <v>23.46</v>
      </c>
      <c r="E2328" s="552">
        <f t="shared" si="219"/>
        <v>304.98</v>
      </c>
      <c r="F2328" s="553"/>
    </row>
    <row r="2329" spans="1:13" ht="12.75" customHeight="1">
      <c r="A2329" s="551" t="s">
        <v>432</v>
      </c>
      <c r="B2329" s="546">
        <v>13</v>
      </c>
      <c r="C2329" s="547" t="s">
        <v>1017</v>
      </c>
      <c r="D2329" s="548">
        <f>D1530</f>
        <v>0.63249999999999995</v>
      </c>
      <c r="E2329" s="552">
        <f t="shared" si="219"/>
        <v>8.2200000000000006</v>
      </c>
      <c r="F2329" s="553"/>
    </row>
    <row r="2330" spans="1:13" ht="12.75" customHeight="1">
      <c r="A2330" s="551" t="s">
        <v>433</v>
      </c>
      <c r="B2330" s="546">
        <v>13</v>
      </c>
      <c r="C2330" s="547" t="s">
        <v>1017</v>
      </c>
      <c r="D2330" s="548">
        <f>D1531</f>
        <v>1.3224999999999998</v>
      </c>
      <c r="E2330" s="552">
        <f t="shared" si="219"/>
        <v>17.190000000000001</v>
      </c>
      <c r="F2330" s="553"/>
    </row>
    <row r="2331" spans="1:13" ht="12.75" customHeight="1">
      <c r="A2331" s="551" t="s">
        <v>1185</v>
      </c>
      <c r="B2331" s="546">
        <v>13</v>
      </c>
      <c r="C2331" s="547" t="s">
        <v>1017</v>
      </c>
      <c r="D2331" s="548">
        <f>Prec.!C409</f>
        <v>4.0594999999999999</v>
      </c>
      <c r="E2331" s="552">
        <f>ROUND(B2331*D2331,2)</f>
        <v>52.77</v>
      </c>
      <c r="F2331" s="553"/>
    </row>
    <row r="2332" spans="1:13" ht="12.75" customHeight="1">
      <c r="A2332" s="551" t="s">
        <v>208</v>
      </c>
      <c r="B2332" s="554">
        <f>SUM(E2322:E2326)</f>
        <v>716.89999999999986</v>
      </c>
      <c r="C2332" s="547" t="s">
        <v>209</v>
      </c>
      <c r="D2332" s="548">
        <f>D2318</f>
        <v>0.02</v>
      </c>
      <c r="E2332" s="552">
        <f>ROUND(B2332*D2332,2)</f>
        <v>14.34</v>
      </c>
      <c r="F2332" s="553">
        <f>SUM(E2322:E2332)</f>
        <v>1134.06</v>
      </c>
    </row>
    <row r="2333" spans="1:13" s="722" customFormat="1" ht="12.75" customHeight="1">
      <c r="B2333" s="1625"/>
      <c r="C2333" s="718"/>
      <c r="D2333" s="1552"/>
      <c r="E2333" s="720"/>
      <c r="F2333" s="721"/>
      <c r="G2333" s="1626"/>
      <c r="H2333" s="1627"/>
      <c r="I2333" s="1626"/>
      <c r="J2333" s="1626"/>
      <c r="K2333" s="1626"/>
      <c r="L2333" s="1627"/>
      <c r="M2333" s="1626"/>
    </row>
    <row r="2334" spans="1:13" s="722" customFormat="1" ht="12.75" customHeight="1">
      <c r="B2334" s="1625"/>
      <c r="C2334" s="718"/>
      <c r="D2334" s="1552"/>
      <c r="E2334" s="720"/>
      <c r="F2334" s="721"/>
      <c r="G2334" s="1626"/>
      <c r="H2334" s="1627"/>
      <c r="I2334" s="1626"/>
      <c r="J2334" s="1626"/>
      <c r="K2334" s="1626"/>
      <c r="L2334" s="1627"/>
      <c r="M2334" s="1626"/>
    </row>
    <row r="2335" spans="1:13" s="722" customFormat="1" ht="12.75" customHeight="1">
      <c r="A2335" s="1530" t="s">
        <v>923</v>
      </c>
      <c r="B2335" s="1537"/>
      <c r="C2335" s="1538"/>
      <c r="D2335" s="1533"/>
      <c r="E2335" s="1534" t="s">
        <v>151</v>
      </c>
      <c r="F2335" s="1535" t="s">
        <v>213</v>
      </c>
      <c r="G2335" s="1626"/>
      <c r="H2335" s="1627"/>
      <c r="I2335" s="1626"/>
      <c r="J2335" s="1626"/>
      <c r="K2335" s="1626"/>
      <c r="L2335" s="1627"/>
      <c r="M2335" s="1626"/>
    </row>
    <row r="2336" spans="1:13" s="722" customFormat="1" ht="12.75" customHeight="1">
      <c r="A2336" s="1536" t="s">
        <v>214</v>
      </c>
      <c r="B2336" s="1537">
        <v>13</v>
      </c>
      <c r="C2336" s="1538" t="s">
        <v>1017</v>
      </c>
      <c r="D2336" s="1533">
        <f>D2071</f>
        <v>48</v>
      </c>
      <c r="E2336" s="1539">
        <f t="shared" ref="E2336:E2344" si="220">ROUND(B2336*D2336,2)</f>
        <v>624</v>
      </c>
      <c r="F2336" s="1540"/>
      <c r="G2336" s="1626"/>
      <c r="H2336" s="1627"/>
      <c r="I2336" s="1626"/>
      <c r="J2336" s="1626"/>
      <c r="K2336" s="1626"/>
      <c r="L2336" s="1627"/>
      <c r="M2336" s="1626"/>
    </row>
    <row r="2337" spans="1:13" s="722" customFormat="1" ht="12.75" customHeight="1">
      <c r="A2337" s="1536" t="s">
        <v>117</v>
      </c>
      <c r="B2337" s="1537">
        <v>3.2000000000000001E-2</v>
      </c>
      <c r="C2337" s="1538" t="s">
        <v>216</v>
      </c>
      <c r="D2337" s="1533">
        <f t="shared" ref="D2337:D2346" si="221">D2072</f>
        <v>3200</v>
      </c>
      <c r="E2337" s="1539">
        <f t="shared" si="220"/>
        <v>102.4</v>
      </c>
      <c r="F2337" s="1540"/>
      <c r="G2337" s="1626"/>
      <c r="H2337" s="1627"/>
      <c r="I2337" s="1626"/>
      <c r="J2337" s="1626"/>
      <c r="K2337" s="1626"/>
      <c r="L2337" s="1627"/>
      <c r="M2337" s="1626"/>
    </row>
    <row r="2338" spans="1:13" s="722" customFormat="1" ht="12.75" customHeight="1">
      <c r="A2338" s="1536" t="s">
        <v>217</v>
      </c>
      <c r="B2338" s="1537">
        <f>B2337*2</f>
        <v>6.4000000000000001E-2</v>
      </c>
      <c r="C2338" s="1538" t="s">
        <v>218</v>
      </c>
      <c r="D2338" s="1533">
        <f t="shared" si="221"/>
        <v>60</v>
      </c>
      <c r="E2338" s="1539">
        <f t="shared" si="220"/>
        <v>3.84</v>
      </c>
      <c r="F2338" s="1540"/>
      <c r="G2338" s="1626"/>
      <c r="H2338" s="1627"/>
      <c r="I2338" s="1626"/>
      <c r="J2338" s="1626"/>
      <c r="K2338" s="1626"/>
      <c r="L2338" s="1627"/>
      <c r="M2338" s="1626"/>
    </row>
    <row r="2339" spans="1:13" s="722" customFormat="1" ht="12.75" customHeight="1">
      <c r="A2339" s="1536" t="s">
        <v>427</v>
      </c>
      <c r="B2339" s="1537">
        <v>3.9E-2</v>
      </c>
      <c r="C2339" s="1538" t="s">
        <v>825</v>
      </c>
      <c r="D2339" s="1533">
        <f t="shared" si="221"/>
        <v>6851.01</v>
      </c>
      <c r="E2339" s="1539">
        <f t="shared" si="220"/>
        <v>267.19</v>
      </c>
      <c r="F2339" s="1540"/>
      <c r="G2339" s="1626"/>
      <c r="H2339" s="1627"/>
      <c r="I2339" s="1626"/>
      <c r="J2339" s="1626"/>
      <c r="K2339" s="1626"/>
      <c r="L2339" s="1627"/>
      <c r="M2339" s="1626"/>
    </row>
    <row r="2340" spans="1:13" s="722" customFormat="1" ht="12.75" customHeight="1">
      <c r="A2340" s="1536" t="s">
        <v>421</v>
      </c>
      <c r="B2340" s="1537">
        <v>3.3000000000000002E-2</v>
      </c>
      <c r="C2340" s="1538" t="s">
        <v>825</v>
      </c>
      <c r="D2340" s="1533">
        <f t="shared" si="221"/>
        <v>5373.880000000001</v>
      </c>
      <c r="E2340" s="1539">
        <f t="shared" si="220"/>
        <v>177.34</v>
      </c>
      <c r="F2340" s="1540"/>
      <c r="G2340" s="1626"/>
      <c r="H2340" s="1627"/>
      <c r="I2340" s="1626"/>
      <c r="J2340" s="1626"/>
      <c r="K2340" s="1626"/>
      <c r="L2340" s="1627"/>
      <c r="M2340" s="1626"/>
    </row>
    <row r="2341" spans="1:13" s="722" customFormat="1" ht="12.75" customHeight="1">
      <c r="A2341" s="1536" t="s">
        <v>430</v>
      </c>
      <c r="B2341" s="1537">
        <v>1</v>
      </c>
      <c r="C2341" s="1538" t="s">
        <v>213</v>
      </c>
      <c r="D2341" s="1533">
        <f t="shared" si="221"/>
        <v>19.21</v>
      </c>
      <c r="E2341" s="1539">
        <f t="shared" si="220"/>
        <v>19.21</v>
      </c>
      <c r="F2341" s="1540"/>
      <c r="G2341" s="1626"/>
      <c r="H2341" s="1627"/>
      <c r="I2341" s="1626"/>
      <c r="J2341" s="1626"/>
      <c r="K2341" s="1626"/>
      <c r="L2341" s="1627"/>
      <c r="M2341" s="1626"/>
    </row>
    <row r="2342" spans="1:13" s="722" customFormat="1" ht="12.75" customHeight="1">
      <c r="A2342" s="1536" t="s">
        <v>428</v>
      </c>
      <c r="B2342" s="1537">
        <v>13</v>
      </c>
      <c r="C2342" s="1538" t="s">
        <v>1017</v>
      </c>
      <c r="D2342" s="1533">
        <f t="shared" si="221"/>
        <v>0</v>
      </c>
      <c r="E2342" s="1539">
        <f t="shared" si="220"/>
        <v>0</v>
      </c>
      <c r="F2342" s="1540"/>
      <c r="G2342" s="1626"/>
      <c r="H2342" s="1627"/>
      <c r="I2342" s="1626"/>
      <c r="J2342" s="1626"/>
      <c r="K2342" s="1626"/>
      <c r="L2342" s="1627"/>
      <c r="M2342" s="1626"/>
    </row>
    <row r="2343" spans="1:13" s="722" customFormat="1" ht="12.75" customHeight="1">
      <c r="A2343" s="1536" t="s">
        <v>432</v>
      </c>
      <c r="B2343" s="1537">
        <v>13</v>
      </c>
      <c r="C2343" s="1538" t="s">
        <v>1017</v>
      </c>
      <c r="D2343" s="1533">
        <f t="shared" si="221"/>
        <v>0.85</v>
      </c>
      <c r="E2343" s="1539">
        <f t="shared" si="220"/>
        <v>11.05</v>
      </c>
      <c r="F2343" s="1540"/>
      <c r="G2343" s="1626"/>
      <c r="H2343" s="1627"/>
      <c r="I2343" s="1626"/>
      <c r="J2343" s="1626"/>
      <c r="K2343" s="1626"/>
      <c r="L2343" s="1627"/>
      <c r="M2343" s="1626"/>
    </row>
    <row r="2344" spans="1:13" s="722" customFormat="1" ht="12.75" customHeight="1">
      <c r="A2344" s="1536" t="s">
        <v>433</v>
      </c>
      <c r="B2344" s="1537">
        <v>13</v>
      </c>
      <c r="C2344" s="1538" t="s">
        <v>1017</v>
      </c>
      <c r="D2344" s="1533">
        <f t="shared" si="221"/>
        <v>1.7</v>
      </c>
      <c r="E2344" s="1539">
        <f t="shared" si="220"/>
        <v>22.1</v>
      </c>
      <c r="F2344" s="1540"/>
      <c r="G2344" s="1626"/>
      <c r="H2344" s="1627"/>
      <c r="I2344" s="1626"/>
      <c r="J2344" s="1626"/>
      <c r="K2344" s="1626"/>
      <c r="L2344" s="1627"/>
      <c r="M2344" s="1626"/>
    </row>
    <row r="2345" spans="1:13" s="722" customFormat="1" ht="12.75" customHeight="1">
      <c r="A2345" s="1536" t="s">
        <v>1183</v>
      </c>
      <c r="B2345" s="1537">
        <v>13</v>
      </c>
      <c r="C2345" s="1538" t="s">
        <v>1017</v>
      </c>
      <c r="D2345" s="1533">
        <f>Prec.!C399</f>
        <v>3.3925000000000001</v>
      </c>
      <c r="E2345" s="1539">
        <f>ROUND(B2345*D2345,2)</f>
        <v>44.1</v>
      </c>
      <c r="F2345" s="1540"/>
      <c r="G2345" s="1626"/>
      <c r="H2345" s="1627"/>
      <c r="I2345" s="1626"/>
      <c r="J2345" s="1626"/>
      <c r="K2345" s="1626"/>
      <c r="L2345" s="1627"/>
      <c r="M2345" s="1626"/>
    </row>
    <row r="2346" spans="1:13" s="722" customFormat="1" ht="12.75" customHeight="1">
      <c r="A2346" s="1536" t="s">
        <v>208</v>
      </c>
      <c r="B2346" s="1541">
        <f>SUM(E2336:E2344)</f>
        <v>1227.1299999999999</v>
      </c>
      <c r="C2346" s="1538" t="s">
        <v>209</v>
      </c>
      <c r="D2346" s="1533">
        <f t="shared" si="221"/>
        <v>0.02</v>
      </c>
      <c r="E2346" s="1539">
        <f t="shared" ref="E2346" si="222">ROUND(B2346*D2346,2)</f>
        <v>24.54</v>
      </c>
      <c r="F2346" s="1540">
        <f>SUM(E2336:E2346)</f>
        <v>1295.7699999999998</v>
      </c>
      <c r="G2346" s="1626"/>
      <c r="H2346" s="1627"/>
      <c r="I2346" s="1626"/>
      <c r="J2346" s="1626"/>
      <c r="K2346" s="1626"/>
      <c r="L2346" s="1627"/>
      <c r="M2346" s="1626"/>
    </row>
    <row r="2347" spans="1:13" s="722" customFormat="1" ht="12.75" customHeight="1">
      <c r="A2347" s="12"/>
      <c r="B2347" s="14"/>
      <c r="C2347" s="24"/>
      <c r="D2347" s="35"/>
      <c r="E2347" s="31"/>
      <c r="F2347" s="32"/>
      <c r="G2347" s="1626"/>
      <c r="H2347" s="1627"/>
      <c r="I2347" s="1626"/>
      <c r="J2347" s="1626"/>
      <c r="K2347" s="1626"/>
      <c r="L2347" s="1627"/>
      <c r="M2347" s="1626"/>
    </row>
    <row r="2348" spans="1:13" s="722" customFormat="1" ht="12.75" customHeight="1">
      <c r="A2348" s="1530" t="s">
        <v>5400</v>
      </c>
      <c r="B2348" s="1537"/>
      <c r="C2348" s="1538"/>
      <c r="D2348" s="1533"/>
      <c r="E2348" s="1534" t="s">
        <v>151</v>
      </c>
      <c r="F2348" s="1535" t="s">
        <v>213</v>
      </c>
      <c r="G2348" s="1626"/>
      <c r="H2348" s="1627"/>
      <c r="I2348" s="1626"/>
      <c r="J2348" s="1626"/>
      <c r="K2348" s="1626"/>
      <c r="L2348" s="1627"/>
      <c r="M2348" s="1626"/>
    </row>
    <row r="2349" spans="1:13" s="722" customFormat="1" ht="12.75" customHeight="1">
      <c r="A2349" s="1536" t="s">
        <v>214</v>
      </c>
      <c r="B2349" s="1537">
        <v>13</v>
      </c>
      <c r="C2349" s="1538" t="s">
        <v>1017</v>
      </c>
      <c r="D2349" s="1533">
        <f>D2084</f>
        <v>48</v>
      </c>
      <c r="E2349" s="1539">
        <f t="shared" ref="E2349:E2358" si="223">ROUND(B2349*D2349,2)</f>
        <v>624</v>
      </c>
      <c r="F2349" s="1540"/>
      <c r="G2349" s="1626"/>
      <c r="H2349" s="1627"/>
      <c r="I2349" s="1626"/>
      <c r="J2349" s="1626"/>
      <c r="K2349" s="1626"/>
      <c r="L2349" s="1627"/>
      <c r="M2349" s="1626"/>
    </row>
    <row r="2350" spans="1:13" s="722" customFormat="1" ht="12.75" customHeight="1">
      <c r="A2350" s="1536" t="s">
        <v>117</v>
      </c>
      <c r="B2350" s="1537">
        <v>3.2000000000000001E-2</v>
      </c>
      <c r="C2350" s="1538" t="s">
        <v>216</v>
      </c>
      <c r="D2350" s="1533">
        <f t="shared" ref="D2350:D2358" si="224">D2085</f>
        <v>3200</v>
      </c>
      <c r="E2350" s="1539">
        <f t="shared" si="223"/>
        <v>102.4</v>
      </c>
      <c r="F2350" s="1540"/>
      <c r="G2350" s="1626"/>
      <c r="H2350" s="1627"/>
      <c r="I2350" s="1626"/>
      <c r="J2350" s="1626"/>
      <c r="K2350" s="1626"/>
      <c r="L2350" s="1627"/>
      <c r="M2350" s="1626"/>
    </row>
    <row r="2351" spans="1:13" s="722" customFormat="1" ht="12.75" customHeight="1">
      <c r="A2351" s="1536" t="s">
        <v>4424</v>
      </c>
      <c r="B2351" s="1537">
        <v>4.1082E-2</v>
      </c>
      <c r="C2351" s="1538" t="s">
        <v>216</v>
      </c>
      <c r="D2351" s="1533">
        <f t="shared" si="224"/>
        <v>3200</v>
      </c>
      <c r="E2351" s="1539">
        <f t="shared" si="223"/>
        <v>131.46</v>
      </c>
      <c r="F2351" s="1540"/>
      <c r="G2351" s="1626"/>
      <c r="H2351" s="1627"/>
      <c r="I2351" s="1626"/>
      <c r="J2351" s="1626"/>
      <c r="K2351" s="1626"/>
      <c r="L2351" s="1627"/>
      <c r="M2351" s="1626"/>
    </row>
    <row r="2352" spans="1:13" s="722" customFormat="1" ht="12.75" customHeight="1">
      <c r="A2352" s="1536" t="s">
        <v>217</v>
      </c>
      <c r="B2352" s="1537">
        <f>B2350*2</f>
        <v>6.4000000000000001E-2</v>
      </c>
      <c r="C2352" s="1538" t="s">
        <v>218</v>
      </c>
      <c r="D2352" s="1533">
        <f t="shared" si="224"/>
        <v>60</v>
      </c>
      <c r="E2352" s="1539">
        <f t="shared" si="223"/>
        <v>3.84</v>
      </c>
      <c r="F2352" s="1540"/>
      <c r="G2352" s="1626"/>
      <c r="H2352" s="1627"/>
      <c r="I2352" s="1626"/>
      <c r="J2352" s="1626"/>
      <c r="K2352" s="1626"/>
      <c r="L2352" s="1627"/>
      <c r="M2352" s="1626"/>
    </row>
    <row r="2353" spans="1:13" s="722" customFormat="1" ht="12.75" customHeight="1">
      <c r="A2353" s="1536" t="s">
        <v>427</v>
      </c>
      <c r="B2353" s="1537">
        <v>3.9E-2</v>
      </c>
      <c r="C2353" s="1538" t="s">
        <v>825</v>
      </c>
      <c r="D2353" s="1533">
        <f t="shared" si="224"/>
        <v>6851.01</v>
      </c>
      <c r="E2353" s="1539">
        <f t="shared" si="223"/>
        <v>267.19</v>
      </c>
      <c r="F2353" s="1540"/>
      <c r="G2353" s="1626"/>
      <c r="H2353" s="1627"/>
      <c r="I2353" s="1626"/>
      <c r="J2353" s="1626"/>
      <c r="K2353" s="1626"/>
      <c r="L2353" s="1627"/>
      <c r="M2353" s="1626"/>
    </row>
    <row r="2354" spans="1:13" s="722" customFormat="1" ht="12.75" customHeight="1">
      <c r="A2354" s="1536" t="s">
        <v>421</v>
      </c>
      <c r="B2354" s="1537">
        <v>3.3000000000000002E-2</v>
      </c>
      <c r="C2354" s="1538" t="s">
        <v>825</v>
      </c>
      <c r="D2354" s="1533">
        <f t="shared" si="224"/>
        <v>5373.880000000001</v>
      </c>
      <c r="E2354" s="1539">
        <f t="shared" si="223"/>
        <v>177.34</v>
      </c>
      <c r="F2354" s="1540"/>
      <c r="G2354" s="1626"/>
      <c r="H2354" s="1627"/>
      <c r="I2354" s="1626"/>
      <c r="J2354" s="1626"/>
      <c r="K2354" s="1626"/>
      <c r="L2354" s="1627"/>
      <c r="M2354" s="1626"/>
    </row>
    <row r="2355" spans="1:13" s="722" customFormat="1" ht="12.75" customHeight="1">
      <c r="A2355" s="1536" t="s">
        <v>430</v>
      </c>
      <c r="B2355" s="1537">
        <v>1</v>
      </c>
      <c r="C2355" s="1538" t="s">
        <v>213</v>
      </c>
      <c r="D2355" s="1533">
        <f t="shared" si="224"/>
        <v>19.21</v>
      </c>
      <c r="E2355" s="1539">
        <f t="shared" si="223"/>
        <v>19.21</v>
      </c>
      <c r="F2355" s="1540"/>
      <c r="G2355" s="1626"/>
      <c r="H2355" s="1627"/>
      <c r="I2355" s="1626"/>
      <c r="J2355" s="1626"/>
      <c r="K2355" s="1626"/>
      <c r="L2355" s="1627"/>
      <c r="M2355" s="1626"/>
    </row>
    <row r="2356" spans="1:13" s="722" customFormat="1" ht="12.75" customHeight="1">
      <c r="A2356" s="1536" t="s">
        <v>428</v>
      </c>
      <c r="B2356" s="1537">
        <v>13</v>
      </c>
      <c r="C2356" s="1538" t="s">
        <v>1017</v>
      </c>
      <c r="D2356" s="1533">
        <f t="shared" si="224"/>
        <v>21.68</v>
      </c>
      <c r="E2356" s="1539">
        <f t="shared" si="223"/>
        <v>281.83999999999997</v>
      </c>
      <c r="F2356" s="1540"/>
      <c r="G2356" s="1626"/>
      <c r="H2356" s="1627"/>
      <c r="I2356" s="1626"/>
      <c r="J2356" s="1626"/>
      <c r="K2356" s="1626"/>
      <c r="L2356" s="1627"/>
      <c r="M2356" s="1626"/>
    </row>
    <row r="2357" spans="1:13" s="722" customFormat="1" ht="12.75" customHeight="1">
      <c r="A2357" s="1536" t="s">
        <v>432</v>
      </c>
      <c r="B2357" s="1537">
        <v>13</v>
      </c>
      <c r="C2357" s="1538" t="s">
        <v>1017</v>
      </c>
      <c r="D2357" s="1533">
        <f t="shared" si="224"/>
        <v>1.1499999999999999</v>
      </c>
      <c r="E2357" s="1539">
        <f t="shared" si="223"/>
        <v>14.95</v>
      </c>
      <c r="F2357" s="1540"/>
      <c r="G2357" s="1626"/>
      <c r="H2357" s="1627"/>
      <c r="I2357" s="1626"/>
      <c r="J2357" s="1626"/>
      <c r="K2357" s="1626"/>
      <c r="L2357" s="1627"/>
      <c r="M2357" s="1626"/>
    </row>
    <row r="2358" spans="1:13" s="722" customFormat="1" ht="12.75" customHeight="1">
      <c r="A2358" s="1536" t="s">
        <v>433</v>
      </c>
      <c r="B2358" s="1537">
        <v>13</v>
      </c>
      <c r="C2358" s="1538" t="s">
        <v>1017</v>
      </c>
      <c r="D2358" s="1533">
        <f t="shared" si="224"/>
        <v>2.33</v>
      </c>
      <c r="E2358" s="1539">
        <f t="shared" si="223"/>
        <v>30.29</v>
      </c>
      <c r="F2358" s="1540"/>
      <c r="G2358" s="1626"/>
      <c r="H2358" s="1627"/>
      <c r="I2358" s="1626"/>
      <c r="J2358" s="1626"/>
      <c r="K2358" s="1626"/>
      <c r="L2358" s="1627"/>
      <c r="M2358" s="1626"/>
    </row>
    <row r="2359" spans="1:13" s="722" customFormat="1" ht="12.75" customHeight="1">
      <c r="A2359" s="1536" t="s">
        <v>1183</v>
      </c>
      <c r="B2359" s="1537">
        <v>13</v>
      </c>
      <c r="C2359" s="1538" t="s">
        <v>1017</v>
      </c>
      <c r="D2359" s="1533">
        <f>Prec.!C399</f>
        <v>3.3925000000000001</v>
      </c>
      <c r="E2359" s="1539">
        <f>ROUND(B2359*D2359,2)</f>
        <v>44.1</v>
      </c>
      <c r="F2359" s="1540"/>
      <c r="G2359" s="1626"/>
      <c r="H2359" s="1627"/>
      <c r="I2359" s="1626"/>
      <c r="J2359" s="1626"/>
      <c r="K2359" s="1626"/>
      <c r="L2359" s="1627"/>
      <c r="M2359" s="1626"/>
    </row>
    <row r="2360" spans="1:13" s="722" customFormat="1" ht="12.75" customHeight="1">
      <c r="A2360" s="1536" t="s">
        <v>208</v>
      </c>
      <c r="B2360" s="1541">
        <f>SUM(E2349:E2358)</f>
        <v>1652.52</v>
      </c>
      <c r="C2360" s="1538" t="s">
        <v>209</v>
      </c>
      <c r="D2360" s="1533">
        <f>D2095</f>
        <v>0.02</v>
      </c>
      <c r="E2360" s="1539">
        <f t="shared" ref="E2360" si="225">ROUND(B2360*D2360,2)</f>
        <v>33.049999999999997</v>
      </c>
      <c r="F2360" s="1540">
        <f>SUM(E2349:E2360)</f>
        <v>1729.6699999999998</v>
      </c>
      <c r="G2360" s="1626"/>
      <c r="H2360" s="1627"/>
      <c r="I2360" s="1626"/>
      <c r="J2360" s="1626"/>
      <c r="K2360" s="1626"/>
      <c r="L2360" s="1627"/>
      <c r="M2360" s="1626"/>
    </row>
    <row r="2361" spans="1:13" s="722" customFormat="1" ht="12.75" customHeight="1">
      <c r="B2361" s="1625"/>
      <c r="C2361" s="718"/>
      <c r="D2361" s="1552"/>
      <c r="E2361" s="720"/>
      <c r="F2361" s="721"/>
      <c r="G2361" s="1626"/>
      <c r="H2361" s="1627"/>
      <c r="I2361" s="1626"/>
      <c r="J2361" s="1626"/>
      <c r="K2361" s="1626"/>
      <c r="L2361" s="1627"/>
      <c r="M2361" s="1626"/>
    </row>
    <row r="2362" spans="1:13" s="722" customFormat="1" ht="12.75" customHeight="1">
      <c r="A2362" s="1530" t="s">
        <v>1655</v>
      </c>
      <c r="B2362" s="1537"/>
      <c r="C2362" s="1538"/>
      <c r="D2362" s="1533"/>
      <c r="E2362" s="1534" t="s">
        <v>151</v>
      </c>
      <c r="F2362" s="1535" t="s">
        <v>213</v>
      </c>
      <c r="G2362" s="1626"/>
      <c r="H2362" s="1627"/>
      <c r="I2362" s="1626"/>
      <c r="J2362" s="1626"/>
      <c r="K2362" s="1626"/>
      <c r="L2362" s="1627"/>
      <c r="M2362" s="1626"/>
    </row>
    <row r="2363" spans="1:13" s="722" customFormat="1" ht="12.75" customHeight="1">
      <c r="A2363" s="1536" t="s">
        <v>102</v>
      </c>
      <c r="B2363" s="1537">
        <v>13</v>
      </c>
      <c r="C2363" s="1538" t="s">
        <v>1017</v>
      </c>
      <c r="D2363" s="1533">
        <f>D2098</f>
        <v>44</v>
      </c>
      <c r="E2363" s="1539">
        <f t="shared" ref="E2363:E2371" si="226">ROUND(B2363*D2363,2)</f>
        <v>572</v>
      </c>
      <c r="F2363" s="1540"/>
      <c r="G2363" s="1626"/>
      <c r="H2363" s="1627"/>
      <c r="I2363" s="1626"/>
      <c r="J2363" s="1626"/>
      <c r="K2363" s="1626"/>
      <c r="L2363" s="1627"/>
      <c r="M2363" s="1626"/>
    </row>
    <row r="2364" spans="1:13" s="722" customFormat="1" ht="12.75" customHeight="1">
      <c r="A2364" s="1536" t="s">
        <v>117</v>
      </c>
      <c r="B2364" s="1537">
        <v>3.2000000000000001E-2</v>
      </c>
      <c r="C2364" s="1538" t="s">
        <v>216</v>
      </c>
      <c r="D2364" s="1533">
        <f t="shared" ref="D2364:D2373" si="227">D2099</f>
        <v>3200</v>
      </c>
      <c r="E2364" s="1539">
        <f t="shared" si="226"/>
        <v>102.4</v>
      </c>
      <c r="F2364" s="1540"/>
      <c r="G2364" s="1626"/>
      <c r="H2364" s="1627"/>
      <c r="I2364" s="1626"/>
      <c r="J2364" s="1626"/>
      <c r="K2364" s="1626"/>
      <c r="L2364" s="1627"/>
      <c r="M2364" s="1626"/>
    </row>
    <row r="2365" spans="1:13" s="722" customFormat="1" ht="12.75" customHeight="1">
      <c r="A2365" s="1536" t="s">
        <v>217</v>
      </c>
      <c r="B2365" s="1537">
        <f>B2364*2</f>
        <v>6.4000000000000001E-2</v>
      </c>
      <c r="C2365" s="1538" t="s">
        <v>218</v>
      </c>
      <c r="D2365" s="1533">
        <f t="shared" si="227"/>
        <v>60</v>
      </c>
      <c r="E2365" s="1539">
        <f t="shared" si="226"/>
        <v>3.84</v>
      </c>
      <c r="F2365" s="1540"/>
      <c r="G2365" s="1626"/>
      <c r="H2365" s="1627"/>
      <c r="I2365" s="1626"/>
      <c r="J2365" s="1626"/>
      <c r="K2365" s="1626"/>
      <c r="L2365" s="1627"/>
      <c r="M2365" s="1626"/>
    </row>
    <row r="2366" spans="1:13" s="722" customFormat="1" ht="12.75" customHeight="1">
      <c r="A2366" s="1536" t="s">
        <v>427</v>
      </c>
      <c r="B2366" s="1537">
        <v>3.1E-2</v>
      </c>
      <c r="C2366" s="1538" t="s">
        <v>825</v>
      </c>
      <c r="D2366" s="1533">
        <f t="shared" si="227"/>
        <v>6851.01</v>
      </c>
      <c r="E2366" s="1539">
        <f t="shared" si="226"/>
        <v>212.38</v>
      </c>
      <c r="F2366" s="1540"/>
      <c r="G2366" s="1626"/>
      <c r="H2366" s="1627"/>
      <c r="I2366" s="1626"/>
      <c r="J2366" s="1626"/>
      <c r="K2366" s="1626"/>
      <c r="L2366" s="1627"/>
      <c r="M2366" s="1626"/>
    </row>
    <row r="2367" spans="1:13" s="722" customFormat="1" ht="12.75" customHeight="1">
      <c r="A2367" s="1536" t="s">
        <v>421</v>
      </c>
      <c r="B2367" s="1537">
        <v>4.8000000000000001E-2</v>
      </c>
      <c r="C2367" s="1538" t="s">
        <v>825</v>
      </c>
      <c r="D2367" s="1533">
        <f t="shared" si="227"/>
        <v>5373.880000000001</v>
      </c>
      <c r="E2367" s="1539">
        <f t="shared" si="226"/>
        <v>257.95</v>
      </c>
      <c r="F2367" s="1540"/>
      <c r="G2367" s="1626"/>
      <c r="H2367" s="1627"/>
      <c r="I2367" s="1626"/>
      <c r="J2367" s="1626"/>
      <c r="K2367" s="1626"/>
      <c r="L2367" s="1627"/>
      <c r="M2367" s="1626"/>
    </row>
    <row r="2368" spans="1:13" s="722" customFormat="1" ht="12.75" customHeight="1">
      <c r="A2368" s="1536" t="s">
        <v>430</v>
      </c>
      <c r="B2368" s="1537">
        <v>1</v>
      </c>
      <c r="C2368" s="1538" t="s">
        <v>213</v>
      </c>
      <c r="D2368" s="1533">
        <f t="shared" si="227"/>
        <v>19.21</v>
      </c>
      <c r="E2368" s="1539">
        <f t="shared" si="226"/>
        <v>19.21</v>
      </c>
      <c r="F2368" s="1540"/>
      <c r="G2368" s="1626"/>
      <c r="H2368" s="1627"/>
      <c r="I2368" s="1626"/>
      <c r="J2368" s="1626"/>
      <c r="K2368" s="1626"/>
      <c r="L2368" s="1627"/>
      <c r="M2368" s="1626"/>
    </row>
    <row r="2369" spans="1:13" s="722" customFormat="1" ht="12.75" customHeight="1">
      <c r="A2369" s="1536" t="s">
        <v>428</v>
      </c>
      <c r="B2369" s="1537">
        <v>13</v>
      </c>
      <c r="C2369" s="1538" t="s">
        <v>1017</v>
      </c>
      <c r="D2369" s="1533">
        <f t="shared" si="227"/>
        <v>0</v>
      </c>
      <c r="E2369" s="1539">
        <f t="shared" si="226"/>
        <v>0</v>
      </c>
      <c r="F2369" s="1540"/>
      <c r="G2369" s="1626"/>
      <c r="H2369" s="1627"/>
      <c r="I2369" s="1626"/>
      <c r="J2369" s="1626"/>
      <c r="K2369" s="1626"/>
      <c r="L2369" s="1627"/>
      <c r="M2369" s="1626"/>
    </row>
    <row r="2370" spans="1:13" s="722" customFormat="1" ht="12.75" customHeight="1">
      <c r="A2370" s="1536" t="s">
        <v>432</v>
      </c>
      <c r="B2370" s="1537">
        <v>13</v>
      </c>
      <c r="C2370" s="1538" t="s">
        <v>1017</v>
      </c>
      <c r="D2370" s="1533">
        <f t="shared" si="227"/>
        <v>0.85</v>
      </c>
      <c r="E2370" s="1539">
        <f t="shared" si="226"/>
        <v>11.05</v>
      </c>
      <c r="F2370" s="1540"/>
      <c r="G2370" s="1626"/>
      <c r="H2370" s="1627"/>
      <c r="I2370" s="1626"/>
      <c r="J2370" s="1626"/>
      <c r="K2370" s="1626"/>
      <c r="L2370" s="1627"/>
      <c r="M2370" s="1626"/>
    </row>
    <row r="2371" spans="1:13" s="722" customFormat="1" ht="12.75" customHeight="1">
      <c r="A2371" s="1536" t="s">
        <v>433</v>
      </c>
      <c r="B2371" s="1537">
        <v>13</v>
      </c>
      <c r="C2371" s="1538" t="s">
        <v>1017</v>
      </c>
      <c r="D2371" s="1533">
        <f t="shared" si="227"/>
        <v>1.7</v>
      </c>
      <c r="E2371" s="1539">
        <f t="shared" si="226"/>
        <v>22.1</v>
      </c>
      <c r="F2371" s="1540"/>
      <c r="G2371" s="1626"/>
      <c r="H2371" s="1627"/>
      <c r="I2371" s="1626"/>
      <c r="J2371" s="1626"/>
      <c r="K2371" s="1626"/>
      <c r="L2371" s="1627"/>
      <c r="M2371" s="1626"/>
    </row>
    <row r="2372" spans="1:13" s="722" customFormat="1" ht="12.75" customHeight="1">
      <c r="A2372" s="1536" t="s">
        <v>1184</v>
      </c>
      <c r="B2372" s="1537">
        <v>13</v>
      </c>
      <c r="C2372" s="1538" t="s">
        <v>1017</v>
      </c>
      <c r="D2372" s="1533">
        <f>Prec.!C404</f>
        <v>2.7024999999999997</v>
      </c>
      <c r="E2372" s="1539">
        <f>ROUND(B2372*D2372,2)</f>
        <v>35.130000000000003</v>
      </c>
      <c r="F2372" s="1540"/>
      <c r="G2372" s="1626"/>
      <c r="H2372" s="1627"/>
      <c r="I2372" s="1626"/>
      <c r="J2372" s="1626"/>
      <c r="K2372" s="1626"/>
      <c r="L2372" s="1627"/>
      <c r="M2372" s="1626"/>
    </row>
    <row r="2373" spans="1:13" s="722" customFormat="1" ht="12.75" customHeight="1">
      <c r="A2373" s="1536" t="s">
        <v>208</v>
      </c>
      <c r="B2373" s="1541">
        <f>SUM(E2363:E2372)</f>
        <v>1236.06</v>
      </c>
      <c r="C2373" s="1538" t="s">
        <v>209</v>
      </c>
      <c r="D2373" s="1533">
        <f t="shared" si="227"/>
        <v>0.02</v>
      </c>
      <c r="E2373" s="1539">
        <f>ROUND(B2373*D2373,2)</f>
        <v>24.72</v>
      </c>
      <c r="F2373" s="1540">
        <f>SUM(E2363:E2373)</f>
        <v>1260.78</v>
      </c>
      <c r="G2373" s="1626"/>
      <c r="H2373" s="1627"/>
      <c r="I2373" s="1626"/>
      <c r="J2373" s="1626"/>
      <c r="K2373" s="1626"/>
      <c r="L2373" s="1627"/>
      <c r="M2373" s="1626"/>
    </row>
    <row r="2374" spans="1:13" s="722" customFormat="1" ht="12.75" customHeight="1">
      <c r="A2374" s="12"/>
      <c r="B2374" s="14"/>
      <c r="C2374" s="24"/>
      <c r="D2374" s="35"/>
      <c r="E2374" s="31"/>
      <c r="F2374" s="32"/>
      <c r="G2374" s="1626"/>
      <c r="H2374" s="1627"/>
      <c r="I2374" s="1626"/>
      <c r="J2374" s="1626"/>
      <c r="K2374" s="1626"/>
      <c r="L2374" s="1627"/>
      <c r="M2374" s="1626"/>
    </row>
    <row r="2375" spans="1:13" s="722" customFormat="1" ht="12.75" customHeight="1">
      <c r="A2375" s="1530" t="s">
        <v>5424</v>
      </c>
      <c r="B2375" s="1537"/>
      <c r="C2375" s="1538"/>
      <c r="D2375" s="1533"/>
      <c r="E2375" s="1534" t="s">
        <v>151</v>
      </c>
      <c r="F2375" s="1535" t="s">
        <v>213</v>
      </c>
      <c r="G2375" s="1626"/>
      <c r="H2375" s="1627"/>
      <c r="I2375" s="1626"/>
      <c r="J2375" s="1626"/>
      <c r="K2375" s="1626"/>
      <c r="L2375" s="1627"/>
      <c r="M2375" s="1626"/>
    </row>
    <row r="2376" spans="1:13" s="722" customFormat="1" ht="12.75" customHeight="1">
      <c r="A2376" s="1536" t="s">
        <v>102</v>
      </c>
      <c r="B2376" s="1537">
        <v>13</v>
      </c>
      <c r="C2376" s="1538" t="s">
        <v>1017</v>
      </c>
      <c r="D2376" s="1533">
        <f>D2111</f>
        <v>44</v>
      </c>
      <c r="E2376" s="1539">
        <f t="shared" ref="E2376:E2385" si="228">ROUND(B2376*D2376,2)</f>
        <v>572</v>
      </c>
      <c r="F2376" s="1540"/>
      <c r="G2376" s="1626"/>
      <c r="H2376" s="1627"/>
      <c r="I2376" s="1626"/>
      <c r="J2376" s="1626"/>
      <c r="K2376" s="1626"/>
      <c r="L2376" s="1627"/>
      <c r="M2376" s="1626"/>
    </row>
    <row r="2377" spans="1:13" s="722" customFormat="1" ht="12.75" customHeight="1">
      <c r="A2377" s="1536" t="s">
        <v>117</v>
      </c>
      <c r="B2377" s="1537">
        <v>3.2000000000000001E-2</v>
      </c>
      <c r="C2377" s="1538" t="s">
        <v>216</v>
      </c>
      <c r="D2377" s="1533">
        <f t="shared" ref="D2377:D2387" si="229">D2112</f>
        <v>3200</v>
      </c>
      <c r="E2377" s="1539">
        <f t="shared" si="228"/>
        <v>102.4</v>
      </c>
      <c r="F2377" s="1540"/>
      <c r="G2377" s="1626"/>
      <c r="H2377" s="1627"/>
      <c r="I2377" s="1626"/>
      <c r="J2377" s="1626"/>
      <c r="K2377" s="1626"/>
      <c r="L2377" s="1627"/>
      <c r="M2377" s="1626"/>
    </row>
    <row r="2378" spans="1:13" s="722" customFormat="1" ht="12.75" customHeight="1">
      <c r="A2378" s="1536" t="s">
        <v>117</v>
      </c>
      <c r="B2378" s="1537">
        <v>4.1082E-2</v>
      </c>
      <c r="C2378" s="1538" t="s">
        <v>216</v>
      </c>
      <c r="D2378" s="1533">
        <f t="shared" si="229"/>
        <v>3200</v>
      </c>
      <c r="E2378" s="1539">
        <f t="shared" si="228"/>
        <v>131.46</v>
      </c>
      <c r="F2378" s="1540"/>
      <c r="G2378" s="1626"/>
      <c r="H2378" s="1627"/>
      <c r="I2378" s="1626"/>
      <c r="J2378" s="1626"/>
      <c r="K2378" s="1626"/>
      <c r="L2378" s="1627"/>
      <c r="M2378" s="1626"/>
    </row>
    <row r="2379" spans="1:13" s="722" customFormat="1" ht="12.75" customHeight="1">
      <c r="A2379" s="1536" t="s">
        <v>217</v>
      </c>
      <c r="B2379" s="1537">
        <f>B2377*2</f>
        <v>6.4000000000000001E-2</v>
      </c>
      <c r="C2379" s="1538" t="s">
        <v>218</v>
      </c>
      <c r="D2379" s="1533">
        <f t="shared" si="229"/>
        <v>60</v>
      </c>
      <c r="E2379" s="1539">
        <f t="shared" si="228"/>
        <v>3.84</v>
      </c>
      <c r="F2379" s="1540"/>
      <c r="G2379" s="1626"/>
      <c r="H2379" s="1627"/>
      <c r="I2379" s="1626"/>
      <c r="J2379" s="1626"/>
      <c r="K2379" s="1626"/>
      <c r="L2379" s="1627"/>
      <c r="M2379" s="1626"/>
    </row>
    <row r="2380" spans="1:13" s="722" customFormat="1" ht="12.75" customHeight="1">
      <c r="A2380" s="1536" t="s">
        <v>427</v>
      </c>
      <c r="B2380" s="1537">
        <v>3.1E-2</v>
      </c>
      <c r="C2380" s="1538" t="s">
        <v>825</v>
      </c>
      <c r="D2380" s="1533">
        <f t="shared" si="229"/>
        <v>6851.01</v>
      </c>
      <c r="E2380" s="1539">
        <f t="shared" si="228"/>
        <v>212.38</v>
      </c>
      <c r="F2380" s="1540"/>
      <c r="G2380" s="1626"/>
      <c r="H2380" s="1627"/>
      <c r="I2380" s="1626"/>
      <c r="J2380" s="1626"/>
      <c r="K2380" s="1626"/>
      <c r="L2380" s="1627"/>
      <c r="M2380" s="1626"/>
    </row>
    <row r="2381" spans="1:13" s="722" customFormat="1" ht="12.75" customHeight="1">
      <c r="A2381" s="1536" t="s">
        <v>421</v>
      </c>
      <c r="B2381" s="1537">
        <v>4.8000000000000001E-2</v>
      </c>
      <c r="C2381" s="1538" t="s">
        <v>825</v>
      </c>
      <c r="D2381" s="1533">
        <f t="shared" si="229"/>
        <v>5373.880000000001</v>
      </c>
      <c r="E2381" s="1539">
        <f t="shared" si="228"/>
        <v>257.95</v>
      </c>
      <c r="F2381" s="1540"/>
      <c r="G2381" s="1626"/>
      <c r="H2381" s="1627"/>
      <c r="I2381" s="1626"/>
      <c r="J2381" s="1626"/>
      <c r="K2381" s="1626"/>
      <c r="L2381" s="1627"/>
      <c r="M2381" s="1626"/>
    </row>
    <row r="2382" spans="1:13" s="722" customFormat="1" ht="12.75" customHeight="1">
      <c r="A2382" s="1536" t="s">
        <v>430</v>
      </c>
      <c r="B2382" s="1537">
        <v>1</v>
      </c>
      <c r="C2382" s="1538" t="s">
        <v>213</v>
      </c>
      <c r="D2382" s="1533">
        <f t="shared" si="229"/>
        <v>19.21</v>
      </c>
      <c r="E2382" s="1539">
        <f t="shared" si="228"/>
        <v>19.21</v>
      </c>
      <c r="F2382" s="1540"/>
      <c r="G2382" s="1626"/>
      <c r="H2382" s="1627"/>
      <c r="I2382" s="1626"/>
      <c r="J2382" s="1626"/>
      <c r="K2382" s="1626"/>
      <c r="L2382" s="1627"/>
      <c r="M2382" s="1626"/>
    </row>
    <row r="2383" spans="1:13" s="722" customFormat="1" ht="12.75" customHeight="1">
      <c r="A2383" s="1536" t="s">
        <v>428</v>
      </c>
      <c r="B2383" s="1537">
        <v>13</v>
      </c>
      <c r="C2383" s="1538" t="s">
        <v>1017</v>
      </c>
      <c r="D2383" s="1533">
        <f t="shared" si="229"/>
        <v>21.68</v>
      </c>
      <c r="E2383" s="1539">
        <f t="shared" si="228"/>
        <v>281.83999999999997</v>
      </c>
      <c r="F2383" s="1540"/>
      <c r="G2383" s="1626"/>
      <c r="H2383" s="1627"/>
      <c r="I2383" s="1626"/>
      <c r="J2383" s="1626"/>
      <c r="K2383" s="1626"/>
      <c r="L2383" s="1627"/>
      <c r="M2383" s="1626"/>
    </row>
    <row r="2384" spans="1:13" s="722" customFormat="1" ht="12.75" customHeight="1">
      <c r="A2384" s="1536" t="s">
        <v>432</v>
      </c>
      <c r="B2384" s="1537">
        <v>13</v>
      </c>
      <c r="C2384" s="1538" t="s">
        <v>1017</v>
      </c>
      <c r="D2384" s="1533">
        <f t="shared" si="229"/>
        <v>0.97749999999999992</v>
      </c>
      <c r="E2384" s="1539">
        <f t="shared" si="228"/>
        <v>12.71</v>
      </c>
      <c r="F2384" s="1540"/>
      <c r="G2384" s="1626"/>
      <c r="H2384" s="1627"/>
      <c r="I2384" s="1626"/>
      <c r="J2384" s="1626"/>
      <c r="K2384" s="1626"/>
      <c r="L2384" s="1627"/>
      <c r="M2384" s="1626"/>
    </row>
    <row r="2385" spans="1:13" s="722" customFormat="1" ht="12.75" customHeight="1">
      <c r="A2385" s="1536" t="s">
        <v>433</v>
      </c>
      <c r="B2385" s="1537">
        <v>13</v>
      </c>
      <c r="C2385" s="1538" t="s">
        <v>1017</v>
      </c>
      <c r="D2385" s="1533">
        <f t="shared" si="229"/>
        <v>1.9549999999999998</v>
      </c>
      <c r="E2385" s="1539">
        <f t="shared" si="228"/>
        <v>25.42</v>
      </c>
      <c r="F2385" s="1540"/>
      <c r="G2385" s="1626"/>
      <c r="H2385" s="1627"/>
      <c r="I2385" s="1626"/>
      <c r="J2385" s="1626"/>
      <c r="K2385" s="1626"/>
      <c r="L2385" s="1627"/>
      <c r="M2385" s="1626"/>
    </row>
    <row r="2386" spans="1:13" s="722" customFormat="1" ht="12.75" customHeight="1">
      <c r="A2386" s="1536" t="s">
        <v>1184</v>
      </c>
      <c r="B2386" s="1537">
        <v>13</v>
      </c>
      <c r="C2386" s="1538" t="s">
        <v>1017</v>
      </c>
      <c r="D2386" s="1533">
        <f>Prec.!C404</f>
        <v>2.7024999999999997</v>
      </c>
      <c r="E2386" s="1539">
        <f>ROUND(B2386*D2386,2)</f>
        <v>35.130000000000003</v>
      </c>
      <c r="F2386" s="1540"/>
      <c r="G2386" s="1626"/>
      <c r="H2386" s="1627"/>
      <c r="I2386" s="1626"/>
      <c r="J2386" s="1626"/>
      <c r="K2386" s="1626"/>
      <c r="L2386" s="1627"/>
      <c r="M2386" s="1626"/>
    </row>
    <row r="2387" spans="1:13" s="722" customFormat="1" ht="12.75" customHeight="1">
      <c r="A2387" s="1536" t="s">
        <v>208</v>
      </c>
      <c r="B2387" s="1541">
        <f>SUM(E2376:E2381)</f>
        <v>1280.03</v>
      </c>
      <c r="C2387" s="1538" t="s">
        <v>209</v>
      </c>
      <c r="D2387" s="1533">
        <f t="shared" si="229"/>
        <v>0.02</v>
      </c>
      <c r="E2387" s="1539">
        <f>ROUND(B2387*D2387,2)</f>
        <v>25.6</v>
      </c>
      <c r="F2387" s="1540">
        <f>SUM(E2376:E2387)</f>
        <v>1679.94</v>
      </c>
      <c r="G2387" s="1626"/>
      <c r="H2387" s="1627"/>
      <c r="I2387" s="1626"/>
      <c r="J2387" s="1626"/>
      <c r="K2387" s="1626"/>
      <c r="L2387" s="1627"/>
      <c r="M2387" s="1626"/>
    </row>
    <row r="2388" spans="1:13" s="722" customFormat="1" ht="12.75" customHeight="1">
      <c r="B2388" s="1625"/>
      <c r="C2388" s="718"/>
      <c r="D2388" s="1552"/>
      <c r="E2388" s="720"/>
      <c r="F2388" s="721"/>
      <c r="G2388" s="1626"/>
      <c r="H2388" s="1627"/>
      <c r="I2388" s="1626"/>
      <c r="J2388" s="1626"/>
      <c r="K2388" s="1626"/>
      <c r="L2388" s="1627"/>
      <c r="M2388" s="1626"/>
    </row>
    <row r="2389" spans="1:13" s="722" customFormat="1" ht="12.75" customHeight="1">
      <c r="B2389" s="1625"/>
      <c r="C2389" s="718"/>
      <c r="D2389" s="1552"/>
      <c r="E2389" s="720"/>
      <c r="F2389" s="721"/>
      <c r="G2389" s="1626"/>
      <c r="H2389" s="1627"/>
      <c r="I2389" s="1626"/>
      <c r="J2389" s="1626"/>
      <c r="K2389" s="1626"/>
      <c r="L2389" s="1627"/>
      <c r="M2389" s="1626"/>
    </row>
    <row r="2390" spans="1:13" s="722" customFormat="1" ht="12.75" customHeight="1">
      <c r="B2390" s="1625"/>
      <c r="C2390" s="718"/>
      <c r="D2390" s="1552"/>
      <c r="E2390" s="720"/>
      <c r="F2390" s="721"/>
      <c r="G2390" s="1626"/>
      <c r="H2390" s="1627"/>
      <c r="I2390" s="1626"/>
      <c r="J2390" s="1626"/>
      <c r="K2390" s="1626"/>
      <c r="L2390" s="1627"/>
      <c r="M2390" s="1626"/>
    </row>
    <row r="2391" spans="1:13" s="722" customFormat="1" ht="12.75" customHeight="1">
      <c r="B2391" s="1625"/>
      <c r="C2391" s="718"/>
      <c r="D2391" s="1552"/>
      <c r="E2391" s="720"/>
      <c r="F2391" s="721"/>
      <c r="G2391" s="1626"/>
      <c r="H2391" s="1627"/>
      <c r="I2391" s="1626"/>
      <c r="J2391" s="1626"/>
      <c r="K2391" s="1626"/>
      <c r="L2391" s="1627"/>
      <c r="M2391" s="1626"/>
    </row>
    <row r="2392" spans="1:13" s="722" customFormat="1" ht="12.75" customHeight="1">
      <c r="B2392" s="1625"/>
      <c r="C2392" s="718"/>
      <c r="D2392" s="1552"/>
      <c r="E2392" s="720"/>
      <c r="F2392" s="721"/>
      <c r="G2392" s="1626"/>
      <c r="H2392" s="1627"/>
      <c r="I2392" s="1626"/>
      <c r="J2392" s="1626"/>
      <c r="K2392" s="1626"/>
      <c r="L2392" s="1627"/>
      <c r="M2392" s="1626"/>
    </row>
    <row r="2393" spans="1:13" s="166" customFormat="1" ht="12.75" customHeight="1">
      <c r="A2393" s="12"/>
      <c r="B2393" s="14"/>
      <c r="C2393" s="24"/>
      <c r="D2393" s="35"/>
      <c r="E2393" s="31"/>
      <c r="F2393" s="32"/>
      <c r="G2393" s="15"/>
      <c r="H2393" s="21"/>
      <c r="I2393" s="15"/>
      <c r="J2393" s="15"/>
      <c r="K2393" s="15"/>
      <c r="L2393" s="21"/>
      <c r="M2393" s="15"/>
    </row>
    <row r="2394" spans="1:13" ht="12.75" hidden="1" customHeight="1">
      <c r="A2394" s="13" t="s">
        <v>220</v>
      </c>
      <c r="B2394" s="30"/>
      <c r="C2394" s="24"/>
      <c r="D2394" s="35"/>
      <c r="E2394" s="43" t="s">
        <v>151</v>
      </c>
      <c r="F2394" s="44" t="s">
        <v>213</v>
      </c>
    </row>
    <row r="2395" spans="1:13" ht="12.75" hidden="1" customHeight="1">
      <c r="A2395" s="12" t="s">
        <v>2</v>
      </c>
      <c r="B2395" s="30">
        <v>2.1000000000000001E-2</v>
      </c>
      <c r="C2395" s="24" t="s">
        <v>1172</v>
      </c>
      <c r="D2395" s="41">
        <f>Prec.!$C$6</f>
        <v>900</v>
      </c>
      <c r="E2395" s="31">
        <f t="shared" ref="E2395:E2401" si="230">ROUND(B2395*D2395,2)</f>
        <v>18.899999999999999</v>
      </c>
      <c r="F2395" s="44"/>
    </row>
    <row r="2396" spans="1:13" ht="12.75" hidden="1" customHeight="1">
      <c r="A2396" s="12" t="s">
        <v>170</v>
      </c>
      <c r="B2396" s="30">
        <v>25.75</v>
      </c>
      <c r="C2396" s="24" t="s">
        <v>1017</v>
      </c>
      <c r="D2396" s="35">
        <f>Prec.!$C$91</f>
        <v>225</v>
      </c>
      <c r="E2396" s="31">
        <f t="shared" si="230"/>
        <v>5793.75</v>
      </c>
      <c r="F2396" s="32"/>
    </row>
    <row r="2397" spans="1:13" ht="12.75" hidden="1" customHeight="1">
      <c r="A2397" s="12" t="s">
        <v>430</v>
      </c>
      <c r="B2397" s="30">
        <v>1</v>
      </c>
      <c r="C2397" s="24" t="s">
        <v>213</v>
      </c>
      <c r="D2397" s="35">
        <f>D2327</f>
        <v>19.66</v>
      </c>
      <c r="E2397" s="31">
        <f t="shared" si="230"/>
        <v>19.66</v>
      </c>
      <c r="F2397" s="32"/>
    </row>
    <row r="2398" spans="1:13" ht="12.75" hidden="1" customHeight="1">
      <c r="A2398" s="12" t="s">
        <v>428</v>
      </c>
      <c r="B2398" s="30">
        <v>25</v>
      </c>
      <c r="C2398" s="24" t="s">
        <v>1017</v>
      </c>
      <c r="D2398" s="35">
        <f>Prec.!$D$336</f>
        <v>0</v>
      </c>
      <c r="E2398" s="31">
        <f t="shared" si="230"/>
        <v>0</v>
      </c>
      <c r="F2398" s="32"/>
    </row>
    <row r="2399" spans="1:13" ht="12.75" hidden="1" customHeight="1">
      <c r="A2399" s="4" t="s">
        <v>111</v>
      </c>
      <c r="B2399" s="8">
        <v>1</v>
      </c>
      <c r="C2399" s="6" t="s">
        <v>213</v>
      </c>
      <c r="D2399" s="37">
        <f>Prec.!$D$338</f>
        <v>0</v>
      </c>
      <c r="E2399" s="25">
        <f t="shared" si="230"/>
        <v>0</v>
      </c>
    </row>
    <row r="2400" spans="1:13" ht="12.75" hidden="1" customHeight="1">
      <c r="A2400" s="4" t="s">
        <v>1186</v>
      </c>
      <c r="B2400" s="8">
        <v>25</v>
      </c>
      <c r="C2400" s="6" t="s">
        <v>1017</v>
      </c>
      <c r="D2400" s="37">
        <f>Prec.!D404</f>
        <v>2.35</v>
      </c>
      <c r="E2400" s="25">
        <f t="shared" si="230"/>
        <v>58.75</v>
      </c>
    </row>
    <row r="2401" spans="1:6" ht="12.75" hidden="1" customHeight="1">
      <c r="A2401" s="4" t="s">
        <v>208</v>
      </c>
      <c r="B2401" s="7">
        <f>SUM(E2395:E2400)</f>
        <v>5891.0599999999995</v>
      </c>
      <c r="C2401" s="6" t="s">
        <v>209</v>
      </c>
      <c r="D2401" s="37">
        <f>D2332</f>
        <v>0.02</v>
      </c>
      <c r="E2401" s="25">
        <f t="shared" si="230"/>
        <v>117.82</v>
      </c>
      <c r="F2401" s="26">
        <f>SUM(E2395:E2401)</f>
        <v>6008.8799999999992</v>
      </c>
    </row>
    <row r="2402" spans="1:6" ht="12.75" hidden="1" customHeight="1">
      <c r="A2402" s="2"/>
      <c r="B2402" s="7"/>
    </row>
    <row r="2403" spans="1:6" ht="12.75" hidden="1" customHeight="1">
      <c r="A2403" s="23" t="s">
        <v>619</v>
      </c>
      <c r="B2403" s="37"/>
    </row>
    <row r="2404" spans="1:6" ht="12.75" hidden="1" customHeight="1">
      <c r="A2404" s="2"/>
      <c r="B2404" s="7"/>
    </row>
    <row r="2405" spans="1:6" ht="12.75" hidden="1" customHeight="1">
      <c r="A2405" s="1" t="s">
        <v>922</v>
      </c>
      <c r="E2405" s="27" t="s">
        <v>151</v>
      </c>
      <c r="F2405" s="28" t="s">
        <v>213</v>
      </c>
    </row>
    <row r="2406" spans="1:6" ht="12.75" hidden="1" customHeight="1">
      <c r="A2406" s="4" t="s">
        <v>214</v>
      </c>
      <c r="B2406" s="8">
        <v>13</v>
      </c>
      <c r="C2406" s="6" t="s">
        <v>1017</v>
      </c>
      <c r="D2406" s="37">
        <f>Prec.!$C$85</f>
        <v>48</v>
      </c>
      <c r="E2406" s="25">
        <f t="shared" ref="E2406:E2414" si="231">ROUND(B2406*D2406,2)</f>
        <v>624</v>
      </c>
    </row>
    <row r="2407" spans="1:6" ht="12.75" hidden="1" customHeight="1">
      <c r="A2407" s="4" t="s">
        <v>117</v>
      </c>
      <c r="B2407" s="8">
        <v>6.2E-2</v>
      </c>
      <c r="C2407" s="6" t="s">
        <v>216</v>
      </c>
      <c r="D2407" s="37">
        <f>Prec.!$C$54</f>
        <v>3200</v>
      </c>
      <c r="E2407" s="25">
        <f t="shared" si="231"/>
        <v>198.4</v>
      </c>
    </row>
    <row r="2408" spans="1:6" ht="12.75" hidden="1" customHeight="1">
      <c r="A2408" s="4" t="s">
        <v>217</v>
      </c>
      <c r="B2408" s="8">
        <f>B2407*2</f>
        <v>0.124</v>
      </c>
      <c r="C2408" s="6" t="s">
        <v>218</v>
      </c>
      <c r="D2408" s="37">
        <f>Prec.!$C$75</f>
        <v>60</v>
      </c>
      <c r="E2408" s="25">
        <f t="shared" si="231"/>
        <v>7.44</v>
      </c>
    </row>
    <row r="2409" spans="1:6" ht="12.75" hidden="1" customHeight="1">
      <c r="A2409" s="4" t="s">
        <v>427</v>
      </c>
      <c r="B2409" s="8">
        <v>3.9E-2</v>
      </c>
      <c r="C2409" s="6" t="s">
        <v>825</v>
      </c>
      <c r="D2409" s="37">
        <f>horm.ymez.!G8</f>
        <v>7343.1500000000005</v>
      </c>
      <c r="E2409" s="25">
        <f t="shared" si="231"/>
        <v>286.38</v>
      </c>
    </row>
    <row r="2410" spans="1:6" ht="12.75" hidden="1" customHeight="1">
      <c r="A2410" s="4" t="s">
        <v>421</v>
      </c>
      <c r="B2410" s="8">
        <v>7.8E-2</v>
      </c>
      <c r="C2410" s="6" t="s">
        <v>825</v>
      </c>
      <c r="D2410" s="37">
        <f>horm.ymez.!G14</f>
        <v>5976.1900000000005</v>
      </c>
      <c r="E2410" s="25">
        <f t="shared" si="231"/>
        <v>466.14</v>
      </c>
    </row>
    <row r="2411" spans="1:6" ht="12.75" hidden="1" customHeight="1">
      <c r="A2411" s="4" t="s">
        <v>430</v>
      </c>
      <c r="B2411" s="8">
        <v>1</v>
      </c>
      <c r="C2411" s="6" t="s">
        <v>213</v>
      </c>
      <c r="D2411" s="37">
        <f>horm.ymez.!G23</f>
        <v>20.03</v>
      </c>
      <c r="E2411" s="25">
        <f t="shared" si="231"/>
        <v>20.03</v>
      </c>
    </row>
    <row r="2412" spans="1:6" ht="12.75" hidden="1" customHeight="1">
      <c r="A2412" s="4" t="s">
        <v>428</v>
      </c>
      <c r="B2412" s="8">
        <v>13</v>
      </c>
      <c r="C2412" s="6" t="s">
        <v>1017</v>
      </c>
      <c r="D2412" s="37">
        <f>Prec.!$D$330</f>
        <v>0</v>
      </c>
      <c r="E2412" s="25">
        <f t="shared" si="231"/>
        <v>0</v>
      </c>
    </row>
    <row r="2413" spans="1:6" ht="12.75" hidden="1" customHeight="1">
      <c r="A2413" s="4" t="s">
        <v>432</v>
      </c>
      <c r="B2413" s="8">
        <v>13</v>
      </c>
      <c r="C2413" s="6" t="s">
        <v>1017</v>
      </c>
      <c r="D2413" s="37">
        <f>Prec.!$D$539</f>
        <v>1.7</v>
      </c>
      <c r="E2413" s="25">
        <f t="shared" si="231"/>
        <v>22.1</v>
      </c>
    </row>
    <row r="2414" spans="1:6" ht="12.75" hidden="1" customHeight="1">
      <c r="A2414" s="4" t="s">
        <v>433</v>
      </c>
      <c r="B2414" s="8">
        <v>13</v>
      </c>
      <c r="C2414" s="6" t="s">
        <v>1017</v>
      </c>
      <c r="D2414" s="37">
        <f>Prec.!$D$544</f>
        <v>4.2699999999999996</v>
      </c>
      <c r="E2414" s="25">
        <f t="shared" si="231"/>
        <v>55.51</v>
      </c>
    </row>
    <row r="2415" spans="1:6" ht="12.75" hidden="1" customHeight="1">
      <c r="A2415" s="4" t="s">
        <v>1183</v>
      </c>
      <c r="B2415" s="8">
        <v>13</v>
      </c>
      <c r="C2415" s="6" t="s">
        <v>1017</v>
      </c>
      <c r="D2415" s="37">
        <f>Prec.!D400</f>
        <v>3.67</v>
      </c>
      <c r="E2415" s="25">
        <f>ROUND(B2415*D2415,2)</f>
        <v>47.71</v>
      </c>
    </row>
    <row r="2416" spans="1:6" ht="12.75" hidden="1" customHeight="1">
      <c r="A2416" s="4" t="s">
        <v>208</v>
      </c>
      <c r="B2416" s="7">
        <f>SUM(E2406:E2415)</f>
        <v>1727.71</v>
      </c>
      <c r="C2416" s="6" t="s">
        <v>209</v>
      </c>
      <c r="D2416" s="37">
        <f>D2401</f>
        <v>0.02</v>
      </c>
      <c r="E2416" s="25">
        <f>ROUND(B2416*D2416,2)</f>
        <v>34.549999999999997</v>
      </c>
      <c r="F2416" s="26">
        <f>SUM(E2406:E2416)</f>
        <v>1762.26</v>
      </c>
    </row>
    <row r="2417" spans="1:6" ht="12.75" hidden="1" customHeight="1">
      <c r="B2417" s="7"/>
    </row>
    <row r="2418" spans="1:6" ht="12.75" hidden="1" customHeight="1">
      <c r="A2418" s="13" t="s">
        <v>930</v>
      </c>
      <c r="E2418" s="27" t="s">
        <v>151</v>
      </c>
      <c r="F2418" s="28" t="s">
        <v>213</v>
      </c>
    </row>
    <row r="2419" spans="1:6" ht="12.75" hidden="1" customHeight="1">
      <c r="A2419" s="4" t="s">
        <v>214</v>
      </c>
      <c r="B2419" s="8">
        <v>13</v>
      </c>
      <c r="C2419" s="6" t="s">
        <v>1017</v>
      </c>
      <c r="D2419" s="37">
        <f>Prec.!$C$85</f>
        <v>48</v>
      </c>
      <c r="E2419" s="25">
        <f t="shared" ref="E2419:E2427" si="232">ROUND(B2419*D2419,2)</f>
        <v>624</v>
      </c>
    </row>
    <row r="2420" spans="1:6" ht="12.75" hidden="1" customHeight="1">
      <c r="A2420" s="4" t="s">
        <v>117</v>
      </c>
      <c r="B2420" s="8">
        <v>3.6999999999999998E-2</v>
      </c>
      <c r="C2420" s="6" t="s">
        <v>216</v>
      </c>
      <c r="D2420" s="37">
        <f>Prec.!$C$54</f>
        <v>3200</v>
      </c>
      <c r="E2420" s="25">
        <f t="shared" si="232"/>
        <v>118.4</v>
      </c>
    </row>
    <row r="2421" spans="1:6" ht="12.75" hidden="1" customHeight="1">
      <c r="A2421" s="4" t="s">
        <v>217</v>
      </c>
      <c r="B2421" s="8">
        <f>B2420*2</f>
        <v>7.3999999999999996E-2</v>
      </c>
      <c r="C2421" s="6" t="s">
        <v>218</v>
      </c>
      <c r="D2421" s="37">
        <f>Prec.!$C$75</f>
        <v>60</v>
      </c>
      <c r="E2421" s="25">
        <f t="shared" si="232"/>
        <v>4.4400000000000004</v>
      </c>
    </row>
    <row r="2422" spans="1:6" ht="12.75" hidden="1" customHeight="1">
      <c r="A2422" s="4" t="s">
        <v>427</v>
      </c>
      <c r="B2422" s="8">
        <v>3.9E-2</v>
      </c>
      <c r="C2422" s="6" t="s">
        <v>825</v>
      </c>
      <c r="D2422" s="37">
        <f>horm.ymez.!G8</f>
        <v>7343.1500000000005</v>
      </c>
      <c r="E2422" s="25">
        <f t="shared" si="232"/>
        <v>286.38</v>
      </c>
    </row>
    <row r="2423" spans="1:6" ht="12.75" hidden="1" customHeight="1">
      <c r="A2423" s="4" t="s">
        <v>421</v>
      </c>
      <c r="B2423" s="8">
        <v>7.8E-2</v>
      </c>
      <c r="C2423" s="6" t="s">
        <v>825</v>
      </c>
      <c r="D2423" s="37">
        <f>horm.ymez.!G14</f>
        <v>5976.1900000000005</v>
      </c>
      <c r="E2423" s="25">
        <f t="shared" si="232"/>
        <v>466.14</v>
      </c>
    </row>
    <row r="2424" spans="1:6" ht="12.75" hidden="1" customHeight="1">
      <c r="A2424" s="4" t="s">
        <v>430</v>
      </c>
      <c r="B2424" s="8">
        <v>1</v>
      </c>
      <c r="C2424" s="6" t="s">
        <v>213</v>
      </c>
      <c r="D2424" s="37">
        <f>horm.ymez.!G23</f>
        <v>20.03</v>
      </c>
      <c r="E2424" s="25">
        <f t="shared" si="232"/>
        <v>20.03</v>
      </c>
    </row>
    <row r="2425" spans="1:6" ht="12.75" hidden="1" customHeight="1">
      <c r="A2425" s="4" t="s">
        <v>428</v>
      </c>
      <c r="B2425" s="8">
        <v>13</v>
      </c>
      <c r="C2425" s="6" t="s">
        <v>1017</v>
      </c>
      <c r="D2425" s="37">
        <f>Prec.!$D$330</f>
        <v>0</v>
      </c>
      <c r="E2425" s="25">
        <f t="shared" si="232"/>
        <v>0</v>
      </c>
    </row>
    <row r="2426" spans="1:6" ht="12.75" hidden="1" customHeight="1">
      <c r="A2426" s="4" t="s">
        <v>432</v>
      </c>
      <c r="B2426" s="8">
        <v>13</v>
      </c>
      <c r="C2426" s="6" t="s">
        <v>1017</v>
      </c>
      <c r="D2426" s="37">
        <f>Prec.!$D$540</f>
        <v>1.1499999999999999</v>
      </c>
      <c r="E2426" s="25">
        <f t="shared" si="232"/>
        <v>14.95</v>
      </c>
    </row>
    <row r="2427" spans="1:6" ht="12.75" hidden="1" customHeight="1">
      <c r="A2427" s="4" t="s">
        <v>433</v>
      </c>
      <c r="B2427" s="8">
        <v>13</v>
      </c>
      <c r="C2427" s="6" t="s">
        <v>1017</v>
      </c>
      <c r="D2427" s="37">
        <f>Prec.!D544</f>
        <v>4.2699999999999996</v>
      </c>
      <c r="E2427" s="25">
        <f t="shared" si="232"/>
        <v>55.51</v>
      </c>
    </row>
    <row r="2428" spans="1:6" ht="12.75" hidden="1" customHeight="1">
      <c r="A2428" s="4" t="s">
        <v>1183</v>
      </c>
      <c r="B2428" s="8">
        <v>13</v>
      </c>
      <c r="C2428" s="6" t="s">
        <v>1017</v>
      </c>
      <c r="D2428" s="37">
        <f>Prec.!D400</f>
        <v>3.67</v>
      </c>
      <c r="E2428" s="25">
        <f>ROUND(B2428*D2428,2)</f>
        <v>47.71</v>
      </c>
    </row>
    <row r="2429" spans="1:6" ht="12.75" hidden="1" customHeight="1">
      <c r="A2429" s="4" t="s">
        <v>208</v>
      </c>
      <c r="B2429" s="7">
        <f>SUM(E2419:E2428)</f>
        <v>1637.5600000000002</v>
      </c>
      <c r="C2429" s="6" t="s">
        <v>209</v>
      </c>
      <c r="D2429" s="37">
        <f>D2416</f>
        <v>0.02</v>
      </c>
      <c r="E2429" s="25">
        <f>ROUND(B2429*D2429,2)</f>
        <v>32.75</v>
      </c>
      <c r="F2429" s="26">
        <f>SUM(E2419:E2429)</f>
        <v>1670.3100000000002</v>
      </c>
    </row>
    <row r="2430" spans="1:6" ht="10.15" hidden="1" customHeight="1">
      <c r="B2430" s="7"/>
    </row>
    <row r="2431" spans="1:6" ht="12.75" hidden="1" customHeight="1">
      <c r="A2431" s="1" t="s">
        <v>931</v>
      </c>
      <c r="E2431" s="27" t="s">
        <v>151</v>
      </c>
      <c r="F2431" s="28" t="s">
        <v>213</v>
      </c>
    </row>
    <row r="2432" spans="1:6" ht="12.75" hidden="1" customHeight="1">
      <c r="A2432" s="4" t="s">
        <v>214</v>
      </c>
      <c r="B2432" s="8">
        <v>13</v>
      </c>
      <c r="C2432" s="6" t="s">
        <v>1017</v>
      </c>
      <c r="D2432" s="37">
        <f>Prec.!$C$85</f>
        <v>48</v>
      </c>
      <c r="E2432" s="25">
        <f t="shared" ref="E2432:E2440" si="233">ROUND(B2432*D2432,2)</f>
        <v>624</v>
      </c>
    </row>
    <row r="2433" spans="1:6" ht="12.75" hidden="1" customHeight="1">
      <c r="A2433" s="4" t="s">
        <v>117</v>
      </c>
      <c r="B2433" s="8">
        <v>2.4E-2</v>
      </c>
      <c r="C2433" s="6" t="s">
        <v>216</v>
      </c>
      <c r="D2433" s="37">
        <f>Prec.!$C$54</f>
        <v>3200</v>
      </c>
      <c r="E2433" s="25">
        <f t="shared" si="233"/>
        <v>76.8</v>
      </c>
    </row>
    <row r="2434" spans="1:6" ht="12.75" hidden="1" customHeight="1">
      <c r="A2434" s="4" t="s">
        <v>217</v>
      </c>
      <c r="B2434" s="8">
        <f>B2433*2</f>
        <v>4.8000000000000001E-2</v>
      </c>
      <c r="C2434" s="6" t="s">
        <v>218</v>
      </c>
      <c r="D2434" s="37">
        <f>Prec.!$C$75</f>
        <v>60</v>
      </c>
      <c r="E2434" s="25">
        <f t="shared" si="233"/>
        <v>2.88</v>
      </c>
    </row>
    <row r="2435" spans="1:6" ht="12.75" hidden="1" customHeight="1">
      <c r="A2435" s="4" t="s">
        <v>427</v>
      </c>
      <c r="B2435" s="8">
        <v>3.9E-2</v>
      </c>
      <c r="C2435" s="6" t="s">
        <v>825</v>
      </c>
      <c r="D2435" s="37">
        <f>horm.ymez.!G8</f>
        <v>7343.1500000000005</v>
      </c>
      <c r="E2435" s="25">
        <f t="shared" si="233"/>
        <v>286.38</v>
      </c>
    </row>
    <row r="2436" spans="1:6" ht="12.75" hidden="1" customHeight="1">
      <c r="A2436" s="4" t="s">
        <v>421</v>
      </c>
      <c r="B2436" s="8">
        <v>7.8E-2</v>
      </c>
      <c r="C2436" s="6" t="s">
        <v>825</v>
      </c>
      <c r="D2436" s="37">
        <f>horm.ymez.!G14</f>
        <v>5976.1900000000005</v>
      </c>
      <c r="E2436" s="25">
        <f t="shared" si="233"/>
        <v>466.14</v>
      </c>
    </row>
    <row r="2437" spans="1:6" ht="12.75" hidden="1" customHeight="1">
      <c r="A2437" s="4" t="s">
        <v>430</v>
      </c>
      <c r="B2437" s="8">
        <v>1</v>
      </c>
      <c r="C2437" s="6" t="s">
        <v>213</v>
      </c>
      <c r="D2437" s="37">
        <f>D2411</f>
        <v>20.03</v>
      </c>
      <c r="E2437" s="25">
        <f t="shared" si="233"/>
        <v>20.03</v>
      </c>
    </row>
    <row r="2438" spans="1:6" ht="12.75" hidden="1" customHeight="1">
      <c r="A2438" s="4" t="s">
        <v>428</v>
      </c>
      <c r="B2438" s="8">
        <v>13</v>
      </c>
      <c r="C2438" s="6" t="s">
        <v>1017</v>
      </c>
      <c r="D2438" s="37">
        <f>Prec.!$D$330</f>
        <v>0</v>
      </c>
      <c r="E2438" s="25">
        <f t="shared" si="233"/>
        <v>0</v>
      </c>
    </row>
    <row r="2439" spans="1:6" ht="12.75" hidden="1" customHeight="1">
      <c r="A2439" s="4" t="s">
        <v>432</v>
      </c>
      <c r="B2439" s="8">
        <v>13</v>
      </c>
      <c r="C2439" s="6" t="s">
        <v>1017</v>
      </c>
      <c r="D2439" s="37">
        <f>Prec.!$D$542</f>
        <v>0.55000000000000004</v>
      </c>
      <c r="E2439" s="25">
        <f t="shared" si="233"/>
        <v>7.15</v>
      </c>
    </row>
    <row r="2440" spans="1:6" ht="12.75" hidden="1" customHeight="1">
      <c r="A2440" s="4" t="s">
        <v>433</v>
      </c>
      <c r="B2440" s="8">
        <v>13</v>
      </c>
      <c r="C2440" s="6" t="s">
        <v>1017</v>
      </c>
      <c r="D2440" s="37">
        <f>Prec.!D544</f>
        <v>4.2699999999999996</v>
      </c>
      <c r="E2440" s="25">
        <f t="shared" si="233"/>
        <v>55.51</v>
      </c>
    </row>
    <row r="2441" spans="1:6" ht="12.75" hidden="1" customHeight="1">
      <c r="A2441" s="4" t="s">
        <v>1183</v>
      </c>
      <c r="B2441" s="8">
        <v>13</v>
      </c>
      <c r="C2441" s="6" t="s">
        <v>1017</v>
      </c>
      <c r="D2441" s="37">
        <f>D2415</f>
        <v>3.67</v>
      </c>
      <c r="E2441" s="25">
        <f>ROUND(B2441*D2441,2)</f>
        <v>47.71</v>
      </c>
    </row>
    <row r="2442" spans="1:6" ht="12.75" hidden="1" customHeight="1">
      <c r="A2442" s="4" t="s">
        <v>208</v>
      </c>
      <c r="B2442" s="7">
        <f>SUM(E2432:E2441)</f>
        <v>1586.6</v>
      </c>
      <c r="C2442" s="6" t="s">
        <v>209</v>
      </c>
      <c r="D2442" s="37">
        <f>D2416</f>
        <v>0.02</v>
      </c>
      <c r="E2442" s="25">
        <f>ROUND(B2442*D2442,2)</f>
        <v>31.73</v>
      </c>
      <c r="F2442" s="26">
        <f>SUM(E2432:E2442)</f>
        <v>1618.33</v>
      </c>
    </row>
    <row r="2443" spans="1:6" ht="10.15" hidden="1" customHeight="1">
      <c r="B2443" s="7"/>
    </row>
    <row r="2444" spans="1:6" ht="12.75" hidden="1" customHeight="1">
      <c r="A2444" s="1" t="s">
        <v>937</v>
      </c>
      <c r="E2444" s="27" t="s">
        <v>151</v>
      </c>
      <c r="F2444" s="28" t="s">
        <v>213</v>
      </c>
    </row>
    <row r="2445" spans="1:6" ht="12.75" hidden="1" customHeight="1">
      <c r="A2445" s="4" t="s">
        <v>214</v>
      </c>
      <c r="B2445" s="8">
        <v>13</v>
      </c>
      <c r="C2445" s="6" t="s">
        <v>1017</v>
      </c>
      <c r="D2445" s="37">
        <f>Prec.!$C$85</f>
        <v>48</v>
      </c>
      <c r="E2445" s="25">
        <f t="shared" ref="E2445:E2453" si="234">ROUND(B2445*D2445,2)</f>
        <v>624</v>
      </c>
    </row>
    <row r="2446" spans="1:6" ht="12.75" hidden="1" customHeight="1">
      <c r="A2446" s="4" t="s">
        <v>117</v>
      </c>
      <c r="B2446" s="8">
        <v>3.6999999999999998E-2</v>
      </c>
      <c r="C2446" s="6" t="s">
        <v>216</v>
      </c>
      <c r="D2446" s="37">
        <f>Prec.!$C$54</f>
        <v>3200</v>
      </c>
      <c r="E2446" s="25">
        <f t="shared" si="234"/>
        <v>118.4</v>
      </c>
    </row>
    <row r="2447" spans="1:6" ht="12.75" hidden="1" customHeight="1">
      <c r="A2447" s="4" t="s">
        <v>217</v>
      </c>
      <c r="B2447" s="8">
        <f>B2446*2</f>
        <v>7.3999999999999996E-2</v>
      </c>
      <c r="C2447" s="6" t="s">
        <v>218</v>
      </c>
      <c r="D2447" s="37">
        <f>Prec.!$C$75</f>
        <v>60</v>
      </c>
      <c r="E2447" s="25">
        <f t="shared" si="234"/>
        <v>4.4400000000000004</v>
      </c>
    </row>
    <row r="2448" spans="1:6" ht="12.75" hidden="1" customHeight="1">
      <c r="A2448" s="4" t="s">
        <v>427</v>
      </c>
      <c r="B2448" s="8">
        <v>3.9E-2</v>
      </c>
      <c r="C2448" s="6" t="s">
        <v>825</v>
      </c>
      <c r="D2448" s="37">
        <f>horm.ymez.!G8</f>
        <v>7343.1500000000005</v>
      </c>
      <c r="E2448" s="25">
        <f t="shared" si="234"/>
        <v>286.38</v>
      </c>
    </row>
    <row r="2449" spans="1:13" ht="12.75" hidden="1" customHeight="1">
      <c r="A2449" s="4" t="s">
        <v>421</v>
      </c>
      <c r="B2449" s="8">
        <v>5.1999999999999998E-2</v>
      </c>
      <c r="C2449" s="6" t="s">
        <v>825</v>
      </c>
      <c r="D2449" s="37">
        <f>horm.ymez.!G14</f>
        <v>5976.1900000000005</v>
      </c>
      <c r="E2449" s="25">
        <f t="shared" si="234"/>
        <v>310.76</v>
      </c>
    </row>
    <row r="2450" spans="1:13" ht="12.75" hidden="1" customHeight="1">
      <c r="A2450" s="4" t="s">
        <v>430</v>
      </c>
      <c r="B2450" s="8">
        <v>1</v>
      </c>
      <c r="C2450" s="6" t="s">
        <v>213</v>
      </c>
      <c r="D2450" s="37">
        <f>D2437</f>
        <v>20.03</v>
      </c>
      <c r="E2450" s="25">
        <f t="shared" si="234"/>
        <v>20.03</v>
      </c>
    </row>
    <row r="2451" spans="1:13" ht="12.75" hidden="1" customHeight="1">
      <c r="A2451" s="4" t="s">
        <v>428</v>
      </c>
      <c r="B2451" s="8">
        <v>13</v>
      </c>
      <c r="C2451" s="6" t="s">
        <v>1017</v>
      </c>
      <c r="D2451" s="37">
        <f>Prec.!$D$330</f>
        <v>0</v>
      </c>
      <c r="E2451" s="25">
        <f t="shared" si="234"/>
        <v>0</v>
      </c>
    </row>
    <row r="2452" spans="1:13" ht="12.75" hidden="1" customHeight="1">
      <c r="A2452" s="4" t="s">
        <v>432</v>
      </c>
      <c r="B2452" s="8">
        <v>13</v>
      </c>
      <c r="C2452" s="6" t="s">
        <v>1017</v>
      </c>
      <c r="D2452" s="37">
        <f>Prec.!$D$540</f>
        <v>1.1499999999999999</v>
      </c>
      <c r="E2452" s="25">
        <f t="shared" si="234"/>
        <v>14.95</v>
      </c>
    </row>
    <row r="2453" spans="1:13" ht="12.75" hidden="1" customHeight="1">
      <c r="A2453" s="4" t="s">
        <v>433</v>
      </c>
      <c r="B2453" s="8">
        <v>13</v>
      </c>
      <c r="C2453" s="6" t="s">
        <v>1017</v>
      </c>
      <c r="D2453" s="37">
        <f>Prec.!$D$545</f>
        <v>2.33</v>
      </c>
      <c r="E2453" s="25">
        <f t="shared" si="234"/>
        <v>30.29</v>
      </c>
    </row>
    <row r="2454" spans="1:13" ht="12.75" hidden="1" customHeight="1">
      <c r="A2454" s="4" t="s">
        <v>1183</v>
      </c>
      <c r="B2454" s="8">
        <v>13</v>
      </c>
      <c r="C2454" s="6" t="s">
        <v>1017</v>
      </c>
      <c r="D2454" s="37">
        <f>D2441</f>
        <v>3.67</v>
      </c>
      <c r="E2454" s="25">
        <f>ROUND(B2454*D2454,2)</f>
        <v>47.71</v>
      </c>
    </row>
    <row r="2455" spans="1:13" ht="12.75" hidden="1" customHeight="1">
      <c r="A2455" s="4" t="s">
        <v>208</v>
      </c>
      <c r="B2455" s="7">
        <f>SUM(E2445:E2454)</f>
        <v>1456.96</v>
      </c>
      <c r="C2455" s="6" t="s">
        <v>209</v>
      </c>
      <c r="D2455" s="37">
        <f>D2442</f>
        <v>0.02</v>
      </c>
      <c r="E2455" s="25">
        <f>ROUND(B2455*D2455,2)</f>
        <v>29.14</v>
      </c>
      <c r="F2455" s="26">
        <f>SUM(E2445:E2455)</f>
        <v>1486.1000000000001</v>
      </c>
    </row>
    <row r="2456" spans="1:13" ht="10.15" hidden="1" customHeight="1">
      <c r="B2456" s="7"/>
    </row>
    <row r="2457" spans="1:13" s="12" customFormat="1" ht="12.75" hidden="1" customHeight="1">
      <c r="A2457" s="13" t="s">
        <v>938</v>
      </c>
      <c r="B2457" s="30"/>
      <c r="C2457" s="24"/>
      <c r="D2457" s="35"/>
      <c r="E2457" s="43" t="s">
        <v>151</v>
      </c>
      <c r="F2457" s="44" t="s">
        <v>213</v>
      </c>
      <c r="G2457" s="20"/>
      <c r="H2457" s="22"/>
      <c r="I2457" s="20"/>
      <c r="J2457" s="20"/>
      <c r="K2457" s="20"/>
      <c r="L2457" s="22"/>
      <c r="M2457" s="20"/>
    </row>
    <row r="2458" spans="1:13" s="12" customFormat="1" ht="12.75" hidden="1" customHeight="1">
      <c r="A2458" s="12" t="s">
        <v>214</v>
      </c>
      <c r="B2458" s="30">
        <v>13</v>
      </c>
      <c r="C2458" s="24" t="s">
        <v>1017</v>
      </c>
      <c r="D2458" s="35">
        <f>Prec.!$C$85</f>
        <v>48</v>
      </c>
      <c r="E2458" s="31">
        <f t="shared" ref="E2458:E2466" si="235">ROUND(B2458*D2458,2)</f>
        <v>624</v>
      </c>
      <c r="F2458" s="32"/>
      <c r="G2458" s="20"/>
      <c r="H2458" s="22"/>
      <c r="I2458" s="20"/>
      <c r="J2458" s="20"/>
      <c r="K2458" s="20"/>
      <c r="L2458" s="22"/>
      <c r="M2458" s="20"/>
    </row>
    <row r="2459" spans="1:13" s="12" customFormat="1" ht="12.75" hidden="1" customHeight="1">
      <c r="A2459" s="12" t="s">
        <v>117</v>
      </c>
      <c r="B2459" s="30">
        <v>3.2000000000000001E-2</v>
      </c>
      <c r="C2459" s="24" t="s">
        <v>216</v>
      </c>
      <c r="D2459" s="35">
        <f>Prec.!$C$54</f>
        <v>3200</v>
      </c>
      <c r="E2459" s="31">
        <f t="shared" si="235"/>
        <v>102.4</v>
      </c>
      <c r="F2459" s="32"/>
      <c r="G2459" s="20"/>
      <c r="H2459" s="22"/>
      <c r="I2459" s="20"/>
      <c r="J2459" s="20"/>
      <c r="K2459" s="20"/>
      <c r="L2459" s="22"/>
      <c r="M2459" s="20"/>
    </row>
    <row r="2460" spans="1:13" s="12" customFormat="1" ht="12.75" hidden="1" customHeight="1">
      <c r="A2460" s="12" t="s">
        <v>217</v>
      </c>
      <c r="B2460" s="30">
        <f>B2459*2</f>
        <v>6.4000000000000001E-2</v>
      </c>
      <c r="C2460" s="24" t="s">
        <v>218</v>
      </c>
      <c r="D2460" s="35">
        <f>Prec.!$C$75</f>
        <v>60</v>
      </c>
      <c r="E2460" s="31">
        <f t="shared" si="235"/>
        <v>3.84</v>
      </c>
      <c r="F2460" s="32"/>
      <c r="G2460" s="20"/>
      <c r="H2460" s="22"/>
      <c r="I2460" s="20"/>
      <c r="J2460" s="20"/>
      <c r="K2460" s="20"/>
      <c r="L2460" s="22"/>
      <c r="M2460" s="20"/>
    </row>
    <row r="2461" spans="1:13" s="12" customFormat="1" ht="12.75" hidden="1" customHeight="1">
      <c r="A2461" s="12" t="s">
        <v>427</v>
      </c>
      <c r="B2461" s="30">
        <v>3.9E-2</v>
      </c>
      <c r="C2461" s="24" t="s">
        <v>825</v>
      </c>
      <c r="D2461" s="35">
        <f>horm.ymez.!G8</f>
        <v>7343.1500000000005</v>
      </c>
      <c r="E2461" s="31">
        <f t="shared" si="235"/>
        <v>286.38</v>
      </c>
      <c r="F2461" s="32"/>
      <c r="G2461" s="20"/>
      <c r="H2461" s="22"/>
      <c r="I2461" s="20"/>
      <c r="J2461" s="20"/>
      <c r="K2461" s="20"/>
      <c r="L2461" s="22"/>
      <c r="M2461" s="20"/>
    </row>
    <row r="2462" spans="1:13" s="12" customFormat="1" ht="12.75" hidden="1" customHeight="1">
      <c r="A2462" s="12" t="s">
        <v>421</v>
      </c>
      <c r="B2462" s="30">
        <v>3.3000000000000002E-2</v>
      </c>
      <c r="C2462" s="24" t="s">
        <v>825</v>
      </c>
      <c r="D2462" s="35">
        <f>horm.ymez.!G14</f>
        <v>5976.1900000000005</v>
      </c>
      <c r="E2462" s="31">
        <f t="shared" si="235"/>
        <v>197.21</v>
      </c>
      <c r="F2462" s="32"/>
      <c r="G2462" s="20"/>
      <c r="H2462" s="22"/>
      <c r="I2462" s="20"/>
      <c r="J2462" s="20"/>
      <c r="K2462" s="20"/>
      <c r="L2462" s="22"/>
      <c r="M2462" s="20"/>
    </row>
    <row r="2463" spans="1:13" s="12" customFormat="1" ht="12.75" hidden="1" customHeight="1">
      <c r="A2463" s="12" t="s">
        <v>430</v>
      </c>
      <c r="B2463" s="30">
        <v>1</v>
      </c>
      <c r="C2463" s="24" t="s">
        <v>213</v>
      </c>
      <c r="D2463" s="35">
        <f>D2450</f>
        <v>20.03</v>
      </c>
      <c r="E2463" s="31">
        <f t="shared" si="235"/>
        <v>20.03</v>
      </c>
      <c r="F2463" s="32"/>
      <c r="G2463" s="20"/>
      <c r="H2463" s="22"/>
      <c r="I2463" s="20"/>
      <c r="J2463" s="20"/>
      <c r="K2463" s="20"/>
      <c r="L2463" s="22"/>
      <c r="M2463" s="20"/>
    </row>
    <row r="2464" spans="1:13" s="12" customFormat="1" ht="12.75" hidden="1" customHeight="1">
      <c r="A2464" s="12" t="s">
        <v>428</v>
      </c>
      <c r="B2464" s="30">
        <v>13</v>
      </c>
      <c r="C2464" s="24" t="s">
        <v>1017</v>
      </c>
      <c r="D2464" s="35">
        <f>Prec.!$D$330</f>
        <v>0</v>
      </c>
      <c r="E2464" s="31">
        <f t="shared" si="235"/>
        <v>0</v>
      </c>
      <c r="F2464" s="32"/>
      <c r="G2464" s="20"/>
      <c r="H2464" s="22"/>
      <c r="I2464" s="20"/>
      <c r="J2464" s="20"/>
      <c r="K2464" s="20"/>
      <c r="L2464" s="22"/>
      <c r="M2464" s="20"/>
    </row>
    <row r="2465" spans="1:13" s="12" customFormat="1" ht="12.75" hidden="1" customHeight="1">
      <c r="A2465" s="12" t="s">
        <v>432</v>
      </c>
      <c r="B2465" s="30">
        <v>13</v>
      </c>
      <c r="C2465" s="24" t="s">
        <v>1017</v>
      </c>
      <c r="D2465" s="35">
        <f>Prec.!D541</f>
        <v>0.85</v>
      </c>
      <c r="E2465" s="31">
        <f t="shared" si="235"/>
        <v>11.05</v>
      </c>
      <c r="F2465" s="32"/>
      <c r="G2465" s="20"/>
      <c r="H2465" s="22"/>
      <c r="I2465" s="20"/>
      <c r="J2465" s="20"/>
      <c r="K2465" s="20"/>
      <c r="L2465" s="22"/>
      <c r="M2465" s="20"/>
    </row>
    <row r="2466" spans="1:13" s="12" customFormat="1" ht="12.75" hidden="1" customHeight="1">
      <c r="A2466" s="12" t="s">
        <v>433</v>
      </c>
      <c r="B2466" s="30">
        <v>13</v>
      </c>
      <c r="C2466" s="24" t="s">
        <v>1017</v>
      </c>
      <c r="D2466" s="35">
        <f>Prec.!D546</f>
        <v>1.7</v>
      </c>
      <c r="E2466" s="31">
        <f t="shared" si="235"/>
        <v>22.1</v>
      </c>
      <c r="F2466" s="32"/>
      <c r="G2466" s="20"/>
      <c r="H2466" s="22"/>
      <c r="I2466" s="20"/>
      <c r="J2466" s="20"/>
      <c r="K2466" s="20"/>
      <c r="L2466" s="22"/>
      <c r="M2466" s="20"/>
    </row>
    <row r="2467" spans="1:13" s="12" customFormat="1" ht="12.75" hidden="1" customHeight="1">
      <c r="A2467" s="12" t="s">
        <v>1183</v>
      </c>
      <c r="B2467" s="30">
        <v>13</v>
      </c>
      <c r="C2467" s="24" t="s">
        <v>1017</v>
      </c>
      <c r="D2467" s="35">
        <f>D2454</f>
        <v>3.67</v>
      </c>
      <c r="E2467" s="31">
        <f>ROUND(B2467*D2467,2)</f>
        <v>47.71</v>
      </c>
      <c r="F2467" s="32"/>
      <c r="G2467" s="20"/>
      <c r="H2467" s="22"/>
      <c r="I2467" s="20"/>
      <c r="J2467" s="20"/>
      <c r="K2467" s="20"/>
      <c r="L2467" s="22"/>
      <c r="M2467" s="20"/>
    </row>
    <row r="2468" spans="1:13" s="12" customFormat="1" ht="12.75" hidden="1" customHeight="1">
      <c r="A2468" s="12" t="s">
        <v>208</v>
      </c>
      <c r="B2468" s="14">
        <f>SUM(E2458:E2466)</f>
        <v>1267.0099999999998</v>
      </c>
      <c r="C2468" s="24" t="s">
        <v>209</v>
      </c>
      <c r="D2468" s="35">
        <f>D2455</f>
        <v>0.02</v>
      </c>
      <c r="E2468" s="31">
        <f>ROUND(B2468*D2468,2)</f>
        <v>25.34</v>
      </c>
      <c r="F2468" s="32">
        <f>SUM(E2458:E2468)</f>
        <v>1340.0599999999997</v>
      </c>
      <c r="G2468" s="20"/>
      <c r="H2468" s="22"/>
      <c r="I2468" s="20"/>
      <c r="J2468" s="20"/>
      <c r="K2468" s="20"/>
      <c r="L2468" s="22"/>
      <c r="M2468" s="20"/>
    </row>
    <row r="2469" spans="1:13" s="12" customFormat="1" ht="12.75" hidden="1" customHeight="1">
      <c r="B2469" s="14"/>
      <c r="C2469" s="24"/>
      <c r="D2469" s="35"/>
      <c r="E2469" s="31"/>
      <c r="F2469" s="32"/>
      <c r="G2469" s="20"/>
      <c r="H2469" s="22"/>
      <c r="I2469" s="20"/>
      <c r="J2469" s="20"/>
      <c r="K2469" s="20"/>
      <c r="L2469" s="22"/>
      <c r="M2469" s="20"/>
    </row>
    <row r="2470" spans="1:13" ht="12.75" hidden="1" customHeight="1">
      <c r="A2470" s="13" t="s">
        <v>933</v>
      </c>
      <c r="B2470" s="30"/>
      <c r="C2470" s="24"/>
      <c r="D2470" s="35"/>
      <c r="E2470" s="43" t="s">
        <v>151</v>
      </c>
      <c r="F2470" s="44" t="s">
        <v>213</v>
      </c>
    </row>
    <row r="2471" spans="1:13" ht="12.75" hidden="1" customHeight="1">
      <c r="A2471" s="12" t="s">
        <v>214</v>
      </c>
      <c r="B2471" s="30">
        <v>13</v>
      </c>
      <c r="C2471" s="24" t="s">
        <v>1017</v>
      </c>
      <c r="D2471" s="35">
        <f>Prec.!$C$85</f>
        <v>48</v>
      </c>
      <c r="E2471" s="31">
        <f t="shared" ref="E2471:E2479" si="236">ROUND(B2471*D2471,2)</f>
        <v>624</v>
      </c>
      <c r="F2471" s="32"/>
    </row>
    <row r="2472" spans="1:13" ht="12.75" hidden="1" customHeight="1">
      <c r="A2472" s="12" t="s">
        <v>117</v>
      </c>
      <c r="B2472" s="30">
        <v>2.4E-2</v>
      </c>
      <c r="C2472" s="24" t="s">
        <v>216</v>
      </c>
      <c r="D2472" s="35">
        <f>Prec.!$C$54</f>
        <v>3200</v>
      </c>
      <c r="E2472" s="31">
        <f t="shared" si="236"/>
        <v>76.8</v>
      </c>
      <c r="F2472" s="32"/>
    </row>
    <row r="2473" spans="1:13" ht="12.75" hidden="1" customHeight="1">
      <c r="A2473" s="12" t="s">
        <v>217</v>
      </c>
      <c r="B2473" s="30">
        <f>B2472*2</f>
        <v>4.8000000000000001E-2</v>
      </c>
      <c r="C2473" s="24" t="s">
        <v>218</v>
      </c>
      <c r="D2473" s="35">
        <f>Prec.!$C$75</f>
        <v>60</v>
      </c>
      <c r="E2473" s="31">
        <f t="shared" si="236"/>
        <v>2.88</v>
      </c>
      <c r="F2473" s="32"/>
    </row>
    <row r="2474" spans="1:13" ht="12.75" hidden="1" customHeight="1">
      <c r="A2474" s="12" t="s">
        <v>427</v>
      </c>
      <c r="B2474" s="30">
        <v>3.9E-2</v>
      </c>
      <c r="C2474" s="24" t="s">
        <v>825</v>
      </c>
      <c r="D2474" s="35">
        <f>horm.ymez.!G8</f>
        <v>7343.1500000000005</v>
      </c>
      <c r="E2474" s="31">
        <f t="shared" si="236"/>
        <v>286.38</v>
      </c>
      <c r="F2474" s="32"/>
    </row>
    <row r="2475" spans="1:13" ht="12.75" hidden="1" customHeight="1">
      <c r="A2475" s="12" t="s">
        <v>421</v>
      </c>
      <c r="B2475" s="30">
        <v>3.1E-2</v>
      </c>
      <c r="C2475" s="24" t="s">
        <v>825</v>
      </c>
      <c r="D2475" s="35">
        <f>horm.ymez.!G14</f>
        <v>5976.1900000000005</v>
      </c>
      <c r="E2475" s="31">
        <f t="shared" si="236"/>
        <v>185.26</v>
      </c>
      <c r="F2475" s="32"/>
    </row>
    <row r="2476" spans="1:13" ht="12.75" hidden="1" customHeight="1">
      <c r="A2476" s="12" t="s">
        <v>430</v>
      </c>
      <c r="B2476" s="30">
        <v>1</v>
      </c>
      <c r="C2476" s="24" t="s">
        <v>213</v>
      </c>
      <c r="D2476" s="35">
        <f>D2437</f>
        <v>20.03</v>
      </c>
      <c r="E2476" s="31">
        <f t="shared" si="236"/>
        <v>20.03</v>
      </c>
      <c r="F2476" s="32"/>
    </row>
    <row r="2477" spans="1:13" ht="12.75" hidden="1" customHeight="1">
      <c r="A2477" s="12" t="s">
        <v>428</v>
      </c>
      <c r="B2477" s="30">
        <v>13</v>
      </c>
      <c r="C2477" s="24" t="s">
        <v>1017</v>
      </c>
      <c r="D2477" s="35">
        <f>Prec.!$D$330</f>
        <v>0</v>
      </c>
      <c r="E2477" s="31">
        <f t="shared" si="236"/>
        <v>0</v>
      </c>
      <c r="F2477" s="32"/>
    </row>
    <row r="2478" spans="1:13" ht="12.75" hidden="1" customHeight="1">
      <c r="A2478" s="12" t="s">
        <v>432</v>
      </c>
      <c r="B2478" s="30">
        <v>13</v>
      </c>
      <c r="C2478" s="24" t="s">
        <v>1017</v>
      </c>
      <c r="D2478" s="35">
        <f>Prec.!$D$542</f>
        <v>0.55000000000000004</v>
      </c>
      <c r="E2478" s="31">
        <f t="shared" si="236"/>
        <v>7.15</v>
      </c>
      <c r="F2478" s="32"/>
    </row>
    <row r="2479" spans="1:13" ht="12.75" hidden="1" customHeight="1">
      <c r="A2479" s="12" t="s">
        <v>433</v>
      </c>
      <c r="B2479" s="30">
        <v>13</v>
      </c>
      <c r="C2479" s="24" t="s">
        <v>1017</v>
      </c>
      <c r="D2479" s="35">
        <f>Prec.!$D$547</f>
        <v>1.1499999999999999</v>
      </c>
      <c r="E2479" s="31">
        <f t="shared" si="236"/>
        <v>14.95</v>
      </c>
      <c r="F2479" s="32"/>
    </row>
    <row r="2480" spans="1:13" ht="12.75" hidden="1" customHeight="1">
      <c r="A2480" s="12" t="s">
        <v>1183</v>
      </c>
      <c r="B2480" s="30">
        <v>13</v>
      </c>
      <c r="C2480" s="24" t="s">
        <v>1017</v>
      </c>
      <c r="D2480" s="35">
        <f>D2441</f>
        <v>3.67</v>
      </c>
      <c r="E2480" s="31">
        <f>ROUND(B2480*D2480,2)</f>
        <v>47.71</v>
      </c>
      <c r="F2480" s="32"/>
    </row>
    <row r="2481" spans="1:6" ht="12.75" hidden="1" customHeight="1">
      <c r="A2481" s="12" t="s">
        <v>208</v>
      </c>
      <c r="B2481" s="14">
        <f>SUM(E2471:E2480)</f>
        <v>1265.1600000000001</v>
      </c>
      <c r="C2481" s="24" t="s">
        <v>209</v>
      </c>
      <c r="D2481" s="35">
        <f>D2442</f>
        <v>0.02</v>
      </c>
      <c r="E2481" s="31">
        <f>ROUND(B2481*D2481,2)</f>
        <v>25.3</v>
      </c>
      <c r="F2481" s="32">
        <f>SUM(E2471:E2481)</f>
        <v>1290.46</v>
      </c>
    </row>
    <row r="2482" spans="1:6" ht="12.75" hidden="1" customHeight="1">
      <c r="A2482" s="12"/>
      <c r="B2482" s="14"/>
      <c r="C2482" s="24"/>
      <c r="D2482" s="35"/>
      <c r="E2482" s="31"/>
      <c r="F2482" s="32"/>
    </row>
    <row r="2483" spans="1:6" ht="12.75" hidden="1" customHeight="1">
      <c r="A2483" s="13" t="s">
        <v>932</v>
      </c>
      <c r="B2483" s="30"/>
      <c r="C2483" s="24"/>
      <c r="D2483" s="35"/>
      <c r="E2483" s="43" t="s">
        <v>151</v>
      </c>
      <c r="F2483" s="44" t="s">
        <v>213</v>
      </c>
    </row>
    <row r="2484" spans="1:6" ht="12.75" hidden="1" customHeight="1">
      <c r="A2484" s="12" t="s">
        <v>102</v>
      </c>
      <c r="B2484" s="30">
        <v>13</v>
      </c>
      <c r="C2484" s="24" t="s">
        <v>1017</v>
      </c>
      <c r="D2484" s="35">
        <f>Prec.!$C$86</f>
        <v>44</v>
      </c>
      <c r="E2484" s="31">
        <f t="shared" ref="E2484:E2492" si="237">ROUND(B2484*D2484,2)</f>
        <v>572</v>
      </c>
      <c r="F2484" s="32"/>
    </row>
    <row r="2485" spans="1:6" ht="12.75" hidden="1" customHeight="1">
      <c r="A2485" s="12" t="s">
        <v>117</v>
      </c>
      <c r="B2485" s="30">
        <v>6.2E-2</v>
      </c>
      <c r="C2485" s="24" t="s">
        <v>216</v>
      </c>
      <c r="D2485" s="35">
        <f>Prec.!$C$54</f>
        <v>3200</v>
      </c>
      <c r="E2485" s="31">
        <f t="shared" si="237"/>
        <v>198.4</v>
      </c>
      <c r="F2485" s="32"/>
    </row>
    <row r="2486" spans="1:6" ht="12.75" hidden="1" customHeight="1">
      <c r="A2486" s="12" t="s">
        <v>217</v>
      </c>
      <c r="B2486" s="30">
        <f>B2485*2</f>
        <v>0.124</v>
      </c>
      <c r="C2486" s="24" t="s">
        <v>218</v>
      </c>
      <c r="D2486" s="35">
        <f>Prec.!$C$75</f>
        <v>60</v>
      </c>
      <c r="E2486" s="31">
        <f t="shared" si="237"/>
        <v>7.44</v>
      </c>
      <c r="F2486" s="32"/>
    </row>
    <row r="2487" spans="1:6" ht="12.75" hidden="1" customHeight="1">
      <c r="A2487" s="12" t="s">
        <v>427</v>
      </c>
      <c r="B2487" s="30">
        <v>3.1E-2</v>
      </c>
      <c r="C2487" s="24" t="s">
        <v>825</v>
      </c>
      <c r="D2487" s="35">
        <f>horm.ymez.!G8</f>
        <v>7343.1500000000005</v>
      </c>
      <c r="E2487" s="31">
        <f t="shared" si="237"/>
        <v>227.64</v>
      </c>
      <c r="F2487" s="32"/>
    </row>
    <row r="2488" spans="1:6" ht="12.75" hidden="1" customHeight="1">
      <c r="A2488" s="12" t="s">
        <v>421</v>
      </c>
      <c r="B2488" s="30">
        <v>4.8000000000000001E-2</v>
      </c>
      <c r="C2488" s="24" t="s">
        <v>825</v>
      </c>
      <c r="D2488" s="35">
        <f>horm.ymez.!G14</f>
        <v>5976.1900000000005</v>
      </c>
      <c r="E2488" s="31">
        <f t="shared" si="237"/>
        <v>286.86</v>
      </c>
      <c r="F2488" s="32"/>
    </row>
    <row r="2489" spans="1:6" ht="12.75" hidden="1" customHeight="1">
      <c r="A2489" s="12" t="s">
        <v>430</v>
      </c>
      <c r="B2489" s="30">
        <v>1</v>
      </c>
      <c r="C2489" s="24" t="s">
        <v>213</v>
      </c>
      <c r="D2489" s="35">
        <f>D2476</f>
        <v>20.03</v>
      </c>
      <c r="E2489" s="31">
        <f t="shared" si="237"/>
        <v>20.03</v>
      </c>
      <c r="F2489" s="32"/>
    </row>
    <row r="2490" spans="1:6" ht="12.75" hidden="1" customHeight="1">
      <c r="A2490" s="12" t="s">
        <v>428</v>
      </c>
      <c r="B2490" s="30">
        <v>13</v>
      </c>
      <c r="C2490" s="24" t="s">
        <v>1017</v>
      </c>
      <c r="D2490" s="35">
        <f>Prec.!$D$329</f>
        <v>0</v>
      </c>
      <c r="E2490" s="31">
        <f t="shared" si="237"/>
        <v>0</v>
      </c>
      <c r="F2490" s="32"/>
    </row>
    <row r="2491" spans="1:6" ht="12.75" hidden="1" customHeight="1">
      <c r="A2491" s="12" t="s">
        <v>432</v>
      </c>
      <c r="B2491" s="30">
        <v>13</v>
      </c>
      <c r="C2491" s="24" t="s">
        <v>1017</v>
      </c>
      <c r="D2491" s="35">
        <f>Prec.!$D$539</f>
        <v>1.7</v>
      </c>
      <c r="E2491" s="31">
        <f t="shared" si="237"/>
        <v>22.1</v>
      </c>
      <c r="F2491" s="32"/>
    </row>
    <row r="2492" spans="1:6" ht="12.75" hidden="1" customHeight="1">
      <c r="A2492" s="12" t="s">
        <v>433</v>
      </c>
      <c r="B2492" s="30">
        <v>13</v>
      </c>
      <c r="C2492" s="24" t="s">
        <v>1017</v>
      </c>
      <c r="D2492" s="35">
        <f>Prec.!$D$544</f>
        <v>4.2699999999999996</v>
      </c>
      <c r="E2492" s="31">
        <f t="shared" si="237"/>
        <v>55.51</v>
      </c>
      <c r="F2492" s="32"/>
    </row>
    <row r="2493" spans="1:6" ht="12.75" hidden="1" customHeight="1">
      <c r="A2493" s="12" t="s">
        <v>1184</v>
      </c>
      <c r="B2493" s="30">
        <v>13</v>
      </c>
      <c r="C2493" s="24" t="s">
        <v>1017</v>
      </c>
      <c r="D2493" s="35">
        <f>Prec.!D405</f>
        <v>2.95</v>
      </c>
      <c r="E2493" s="31">
        <f>ROUND(B2493*D2493,2)</f>
        <v>38.35</v>
      </c>
      <c r="F2493" s="32"/>
    </row>
    <row r="2494" spans="1:6" ht="12.75" hidden="1" customHeight="1">
      <c r="A2494" s="12" t="s">
        <v>208</v>
      </c>
      <c r="B2494" s="14">
        <f>SUM(E2484:E2493)</f>
        <v>1428.33</v>
      </c>
      <c r="C2494" s="24" t="s">
        <v>209</v>
      </c>
      <c r="D2494" s="35">
        <f>D2481</f>
        <v>0.02</v>
      </c>
      <c r="E2494" s="31">
        <f>ROUND(B2494*D2494,2)</f>
        <v>28.57</v>
      </c>
      <c r="F2494" s="32">
        <f>SUM(E2484:E2494)</f>
        <v>1456.8999999999999</v>
      </c>
    </row>
    <row r="2495" spans="1:6" ht="12.75" hidden="1" customHeight="1">
      <c r="A2495" s="13" t="s">
        <v>924</v>
      </c>
      <c r="B2495" s="30"/>
      <c r="C2495" s="24"/>
      <c r="D2495" s="35"/>
      <c r="E2495" s="43" t="s">
        <v>151</v>
      </c>
      <c r="F2495" s="44" t="s">
        <v>213</v>
      </c>
    </row>
    <row r="2496" spans="1:6" ht="12.75" hidden="1" customHeight="1">
      <c r="A2496" s="12" t="s">
        <v>102</v>
      </c>
      <c r="B2496" s="30">
        <v>13</v>
      </c>
      <c r="C2496" s="24" t="s">
        <v>1017</v>
      </c>
      <c r="D2496" s="35">
        <f>Prec.!$C$86</f>
        <v>44</v>
      </c>
      <c r="E2496" s="31">
        <f t="shared" ref="E2496:E2504" si="238">ROUND(B2496*D2496,2)</f>
        <v>572</v>
      </c>
      <c r="F2496" s="32"/>
    </row>
    <row r="2497" spans="1:6" ht="12.75" hidden="1" customHeight="1">
      <c r="A2497" s="12" t="s">
        <v>117</v>
      </c>
      <c r="B2497" s="30">
        <v>3.6999999999999998E-2</v>
      </c>
      <c r="C2497" s="24" t="s">
        <v>216</v>
      </c>
      <c r="D2497" s="35">
        <f>Prec.!$C$54</f>
        <v>3200</v>
      </c>
      <c r="E2497" s="31">
        <f t="shared" si="238"/>
        <v>118.4</v>
      </c>
      <c r="F2497" s="32"/>
    </row>
    <row r="2498" spans="1:6" ht="12.75" hidden="1" customHeight="1">
      <c r="A2498" s="12" t="s">
        <v>217</v>
      </c>
      <c r="B2498" s="30">
        <f>B2497*2</f>
        <v>7.3999999999999996E-2</v>
      </c>
      <c r="C2498" s="24" t="s">
        <v>218</v>
      </c>
      <c r="D2498" s="35">
        <f>Prec.!$C$75</f>
        <v>60</v>
      </c>
      <c r="E2498" s="31">
        <f t="shared" si="238"/>
        <v>4.4400000000000004</v>
      </c>
      <c r="F2498" s="32"/>
    </row>
    <row r="2499" spans="1:6" ht="12.75" hidden="1" customHeight="1">
      <c r="A2499" s="12" t="s">
        <v>427</v>
      </c>
      <c r="B2499" s="30">
        <v>3.1E-2</v>
      </c>
      <c r="C2499" s="24" t="s">
        <v>825</v>
      </c>
      <c r="D2499" s="35">
        <f>horm.ymez.!G8</f>
        <v>7343.1500000000005</v>
      </c>
      <c r="E2499" s="31">
        <f t="shared" si="238"/>
        <v>227.64</v>
      </c>
      <c r="F2499" s="32"/>
    </row>
    <row r="2500" spans="1:6" ht="12.75" hidden="1" customHeight="1">
      <c r="A2500" s="12" t="s">
        <v>421</v>
      </c>
      <c r="B2500" s="30">
        <v>4.8000000000000001E-2</v>
      </c>
      <c r="C2500" s="24" t="s">
        <v>825</v>
      </c>
      <c r="D2500" s="35">
        <f>horm.ymez.!G14</f>
        <v>5976.1900000000005</v>
      </c>
      <c r="E2500" s="31">
        <f t="shared" si="238"/>
        <v>286.86</v>
      </c>
      <c r="F2500" s="32"/>
    </row>
    <row r="2501" spans="1:6" ht="12.75" hidden="1" customHeight="1">
      <c r="A2501" s="12" t="s">
        <v>430</v>
      </c>
      <c r="B2501" s="30">
        <v>1</v>
      </c>
      <c r="C2501" s="24" t="s">
        <v>213</v>
      </c>
      <c r="D2501" s="35">
        <f>D2489</f>
        <v>20.03</v>
      </c>
      <c r="E2501" s="31">
        <f t="shared" si="238"/>
        <v>20.03</v>
      </c>
      <c r="F2501" s="32"/>
    </row>
    <row r="2502" spans="1:6" ht="12.75" hidden="1" customHeight="1">
      <c r="A2502" s="12" t="s">
        <v>428</v>
      </c>
      <c r="B2502" s="30">
        <v>13</v>
      </c>
      <c r="C2502" s="24" t="s">
        <v>1017</v>
      </c>
      <c r="D2502" s="35">
        <f>Prec.!$D$329</f>
        <v>0</v>
      </c>
      <c r="E2502" s="31">
        <f t="shared" si="238"/>
        <v>0</v>
      </c>
      <c r="F2502" s="32"/>
    </row>
    <row r="2503" spans="1:6" ht="12.75" hidden="1" customHeight="1">
      <c r="A2503" s="12" t="s">
        <v>432</v>
      </c>
      <c r="B2503" s="30">
        <v>13</v>
      </c>
      <c r="C2503" s="24" t="s">
        <v>1017</v>
      </c>
      <c r="D2503" s="35">
        <f>Prec.!$D$540</f>
        <v>1.1499999999999999</v>
      </c>
      <c r="E2503" s="31">
        <f t="shared" si="238"/>
        <v>14.95</v>
      </c>
      <c r="F2503" s="32"/>
    </row>
    <row r="2504" spans="1:6" ht="12.75" hidden="1" customHeight="1">
      <c r="A2504" s="12" t="s">
        <v>433</v>
      </c>
      <c r="B2504" s="30">
        <v>13</v>
      </c>
      <c r="C2504" s="24" t="s">
        <v>1017</v>
      </c>
      <c r="D2504" s="35">
        <f>Prec.!D544</f>
        <v>4.2699999999999996</v>
      </c>
      <c r="E2504" s="31">
        <f t="shared" si="238"/>
        <v>55.51</v>
      </c>
      <c r="F2504" s="32"/>
    </row>
    <row r="2505" spans="1:6" ht="12.75" hidden="1" customHeight="1">
      <c r="A2505" s="12" t="s">
        <v>1184</v>
      </c>
      <c r="B2505" s="30">
        <v>13</v>
      </c>
      <c r="C2505" s="24" t="s">
        <v>1017</v>
      </c>
      <c r="D2505" s="35">
        <f>Prec.!D405</f>
        <v>2.95</v>
      </c>
      <c r="E2505" s="31">
        <f>ROUND(B2505*D2505,2)</f>
        <v>38.35</v>
      </c>
      <c r="F2505" s="32"/>
    </row>
    <row r="2506" spans="1:6" ht="12.75" hidden="1" customHeight="1">
      <c r="A2506" s="12" t="s">
        <v>208</v>
      </c>
      <c r="B2506" s="14">
        <f>SUM(E2496:E2505)</f>
        <v>1338.18</v>
      </c>
      <c r="C2506" s="24" t="s">
        <v>209</v>
      </c>
      <c r="D2506" s="35">
        <f>D2494</f>
        <v>0.02</v>
      </c>
      <c r="E2506" s="31">
        <f>ROUND(B2506*D2506,2)</f>
        <v>26.76</v>
      </c>
      <c r="F2506" s="32">
        <f>SUM(E2496:E2506)</f>
        <v>1364.94</v>
      </c>
    </row>
    <row r="2507" spans="1:6" ht="10.15" hidden="1" customHeight="1">
      <c r="A2507" s="12"/>
      <c r="B2507" s="14"/>
      <c r="C2507" s="24"/>
      <c r="D2507" s="35"/>
      <c r="E2507" s="31"/>
      <c r="F2507" s="32"/>
    </row>
    <row r="2508" spans="1:6" ht="12.75" hidden="1" customHeight="1">
      <c r="A2508" s="13" t="s">
        <v>939</v>
      </c>
      <c r="B2508" s="30"/>
      <c r="C2508" s="24"/>
      <c r="D2508" s="35"/>
      <c r="E2508" s="43" t="s">
        <v>151</v>
      </c>
      <c r="F2508" s="44" t="s">
        <v>213</v>
      </c>
    </row>
    <row r="2509" spans="1:6" ht="12.75" hidden="1" customHeight="1">
      <c r="A2509" s="12" t="s">
        <v>102</v>
      </c>
      <c r="B2509" s="30">
        <v>13</v>
      </c>
      <c r="C2509" s="24" t="s">
        <v>1017</v>
      </c>
      <c r="D2509" s="35">
        <f>Prec.!$C$86</f>
        <v>44</v>
      </c>
      <c r="E2509" s="31">
        <f t="shared" ref="E2509:E2517" si="239">ROUND(B2509*D2509,2)</f>
        <v>572</v>
      </c>
      <c r="F2509" s="32"/>
    </row>
    <row r="2510" spans="1:6" ht="12.75" hidden="1" customHeight="1">
      <c r="A2510" s="12" t="s">
        <v>117</v>
      </c>
      <c r="B2510" s="30">
        <v>3.2000000000000001E-2</v>
      </c>
      <c r="C2510" s="24" t="s">
        <v>216</v>
      </c>
      <c r="D2510" s="35">
        <f>Prec.!$C$54</f>
        <v>3200</v>
      </c>
      <c r="E2510" s="31">
        <f t="shared" si="239"/>
        <v>102.4</v>
      </c>
      <c r="F2510" s="32"/>
    </row>
    <row r="2511" spans="1:6" ht="12.75" hidden="1" customHeight="1">
      <c r="A2511" s="12" t="s">
        <v>217</v>
      </c>
      <c r="B2511" s="30">
        <f>B2510*2</f>
        <v>6.4000000000000001E-2</v>
      </c>
      <c r="C2511" s="24" t="s">
        <v>218</v>
      </c>
      <c r="D2511" s="35">
        <f>Prec.!$C$75</f>
        <v>60</v>
      </c>
      <c r="E2511" s="31">
        <f t="shared" si="239"/>
        <v>3.84</v>
      </c>
      <c r="F2511" s="32"/>
    </row>
    <row r="2512" spans="1:6" ht="12.75" hidden="1" customHeight="1">
      <c r="A2512" s="12" t="s">
        <v>427</v>
      </c>
      <c r="B2512" s="30">
        <v>3.1E-2</v>
      </c>
      <c r="C2512" s="24" t="s">
        <v>825</v>
      </c>
      <c r="D2512" s="35">
        <f>D2499</f>
        <v>7343.1500000000005</v>
      </c>
      <c r="E2512" s="31">
        <f t="shared" si="239"/>
        <v>227.64</v>
      </c>
      <c r="F2512" s="32"/>
    </row>
    <row r="2513" spans="1:13" ht="12.75" hidden="1" customHeight="1">
      <c r="A2513" s="12" t="s">
        <v>421</v>
      </c>
      <c r="B2513" s="30">
        <v>4.8000000000000001E-2</v>
      </c>
      <c r="C2513" s="24" t="s">
        <v>825</v>
      </c>
      <c r="D2513" s="35">
        <f>D2500</f>
        <v>5976.1900000000005</v>
      </c>
      <c r="E2513" s="31">
        <f t="shared" si="239"/>
        <v>286.86</v>
      </c>
      <c r="F2513" s="32"/>
    </row>
    <row r="2514" spans="1:13" ht="12.75" hidden="1" customHeight="1">
      <c r="A2514" s="12" t="s">
        <v>430</v>
      </c>
      <c r="B2514" s="30">
        <v>1</v>
      </c>
      <c r="C2514" s="24" t="s">
        <v>213</v>
      </c>
      <c r="D2514" s="35">
        <f>D2501</f>
        <v>20.03</v>
      </c>
      <c r="E2514" s="31">
        <f t="shared" si="239"/>
        <v>20.03</v>
      </c>
      <c r="F2514" s="32"/>
    </row>
    <row r="2515" spans="1:13" ht="12.75" hidden="1" customHeight="1">
      <c r="A2515" s="12" t="s">
        <v>428</v>
      </c>
      <c r="B2515" s="30">
        <v>13</v>
      </c>
      <c r="C2515" s="24" t="s">
        <v>1017</v>
      </c>
      <c r="D2515" s="35">
        <f>Prec.!$D$329</f>
        <v>0</v>
      </c>
      <c r="E2515" s="31">
        <f t="shared" si="239"/>
        <v>0</v>
      </c>
      <c r="F2515" s="32"/>
    </row>
    <row r="2516" spans="1:13" ht="12.75" hidden="1" customHeight="1">
      <c r="A2516" s="12" t="s">
        <v>432</v>
      </c>
      <c r="B2516" s="30">
        <v>13</v>
      </c>
      <c r="C2516" s="24" t="s">
        <v>1017</v>
      </c>
      <c r="D2516" s="35">
        <f>Prec.!D541</f>
        <v>0.85</v>
      </c>
      <c r="E2516" s="31">
        <f t="shared" si="239"/>
        <v>11.05</v>
      </c>
      <c r="F2516" s="32"/>
    </row>
    <row r="2517" spans="1:13" ht="12.75" hidden="1" customHeight="1">
      <c r="A2517" s="12" t="s">
        <v>433</v>
      </c>
      <c r="B2517" s="30">
        <v>13</v>
      </c>
      <c r="C2517" s="24" t="s">
        <v>1017</v>
      </c>
      <c r="D2517" s="35">
        <f>Prec.!D544</f>
        <v>4.2699999999999996</v>
      </c>
      <c r="E2517" s="31">
        <f t="shared" si="239"/>
        <v>55.51</v>
      </c>
      <c r="F2517" s="32"/>
    </row>
    <row r="2518" spans="1:13" ht="12.75" hidden="1" customHeight="1">
      <c r="A2518" s="12" t="s">
        <v>1184</v>
      </c>
      <c r="B2518" s="30">
        <v>13</v>
      </c>
      <c r="C2518" s="24" t="s">
        <v>1017</v>
      </c>
      <c r="D2518" s="35">
        <f>D2505</f>
        <v>2.95</v>
      </c>
      <c r="E2518" s="31">
        <f>ROUND(B2518*D2518,2)</f>
        <v>38.35</v>
      </c>
      <c r="F2518" s="32"/>
    </row>
    <row r="2519" spans="1:13" ht="12.75" hidden="1" customHeight="1">
      <c r="A2519" s="12" t="s">
        <v>208</v>
      </c>
      <c r="B2519" s="14">
        <f>SUM(E2509:E2518)</f>
        <v>1317.6799999999998</v>
      </c>
      <c r="C2519" s="24" t="s">
        <v>209</v>
      </c>
      <c r="D2519" s="35">
        <f>D2506</f>
        <v>0.02</v>
      </c>
      <c r="E2519" s="31">
        <f>ROUND(B2519*D2519,2)</f>
        <v>26.35</v>
      </c>
      <c r="F2519" s="32">
        <f>SUM(E2509:E2519)</f>
        <v>1344.0299999999997</v>
      </c>
    </row>
    <row r="2520" spans="1:13" s="166" customFormat="1" ht="8.25" hidden="1" customHeight="1">
      <c r="A2520" s="12"/>
      <c r="B2520" s="14"/>
      <c r="C2520" s="24"/>
      <c r="D2520" s="35"/>
      <c r="E2520" s="31"/>
      <c r="F2520" s="32"/>
      <c r="G2520" s="15"/>
      <c r="H2520" s="21"/>
      <c r="I2520" s="15"/>
      <c r="J2520" s="15"/>
      <c r="K2520" s="15"/>
      <c r="L2520" s="21"/>
      <c r="M2520" s="15"/>
    </row>
    <row r="2521" spans="1:13" ht="12.75" hidden="1" customHeight="1">
      <c r="A2521" s="13" t="s">
        <v>926</v>
      </c>
      <c r="B2521" s="30"/>
      <c r="C2521" s="24"/>
      <c r="D2521" s="35"/>
      <c r="E2521" s="43" t="s">
        <v>151</v>
      </c>
      <c r="F2521" s="44" t="s">
        <v>213</v>
      </c>
    </row>
    <row r="2522" spans="1:13" ht="12.75" hidden="1" customHeight="1">
      <c r="A2522" s="12" t="s">
        <v>544</v>
      </c>
      <c r="B2522" s="30">
        <v>13</v>
      </c>
      <c r="C2522" s="24" t="s">
        <v>1017</v>
      </c>
      <c r="D2522" s="35">
        <f>Prec.!$C$86</f>
        <v>44</v>
      </c>
      <c r="E2522" s="31">
        <f t="shared" ref="E2522:E2530" si="240">ROUND(B2522*D2522,2)</f>
        <v>572</v>
      </c>
      <c r="F2522" s="32"/>
    </row>
    <row r="2523" spans="1:13" ht="12.75" hidden="1" customHeight="1">
      <c r="A2523" s="12" t="s">
        <v>117</v>
      </c>
      <c r="B2523" s="30">
        <v>2.4E-2</v>
      </c>
      <c r="C2523" s="24" t="s">
        <v>216</v>
      </c>
      <c r="D2523" s="35">
        <f>Prec.!$C$54</f>
        <v>3200</v>
      </c>
      <c r="E2523" s="31">
        <f t="shared" si="240"/>
        <v>76.8</v>
      </c>
      <c r="F2523" s="32"/>
    </row>
    <row r="2524" spans="1:13" ht="12.75" hidden="1" customHeight="1">
      <c r="A2524" s="12" t="s">
        <v>217</v>
      </c>
      <c r="B2524" s="30">
        <f>B2523*2</f>
        <v>4.8000000000000001E-2</v>
      </c>
      <c r="C2524" s="24" t="s">
        <v>218</v>
      </c>
      <c r="D2524" s="35">
        <f>Prec.!$C$75</f>
        <v>60</v>
      </c>
      <c r="E2524" s="31">
        <f t="shared" si="240"/>
        <v>2.88</v>
      </c>
      <c r="F2524" s="32"/>
    </row>
    <row r="2525" spans="1:13" ht="12.75" hidden="1" customHeight="1">
      <c r="A2525" s="12" t="s">
        <v>427</v>
      </c>
      <c r="B2525" s="30">
        <v>3.1E-2</v>
      </c>
      <c r="C2525" s="24" t="s">
        <v>825</v>
      </c>
      <c r="D2525" s="35">
        <f>horm.ymez.!G8</f>
        <v>7343.1500000000005</v>
      </c>
      <c r="E2525" s="31">
        <f t="shared" si="240"/>
        <v>227.64</v>
      </c>
      <c r="F2525" s="32"/>
    </row>
    <row r="2526" spans="1:13" ht="12.75" hidden="1" customHeight="1">
      <c r="A2526" s="12" t="s">
        <v>421</v>
      </c>
      <c r="B2526" s="30">
        <v>4.8000000000000001E-2</v>
      </c>
      <c r="C2526" s="24" t="s">
        <v>825</v>
      </c>
      <c r="D2526" s="35">
        <f>horm.ymez.!G14</f>
        <v>5976.1900000000005</v>
      </c>
      <c r="E2526" s="31">
        <f t="shared" si="240"/>
        <v>286.86</v>
      </c>
      <c r="F2526" s="32"/>
    </row>
    <row r="2527" spans="1:13" ht="12.75" hidden="1" customHeight="1">
      <c r="A2527" s="12" t="s">
        <v>430</v>
      </c>
      <c r="B2527" s="30">
        <v>1</v>
      </c>
      <c r="C2527" s="24" t="s">
        <v>213</v>
      </c>
      <c r="D2527" s="35">
        <f>D2489</f>
        <v>20.03</v>
      </c>
      <c r="E2527" s="31">
        <f t="shared" si="240"/>
        <v>20.03</v>
      </c>
      <c r="F2527" s="32"/>
    </row>
    <row r="2528" spans="1:13" ht="12.75" hidden="1" customHeight="1">
      <c r="A2528" s="12" t="s">
        <v>428</v>
      </c>
      <c r="B2528" s="30">
        <v>13</v>
      </c>
      <c r="C2528" s="24" t="s">
        <v>1017</v>
      </c>
      <c r="D2528" s="35">
        <f>Prec.!$D$329</f>
        <v>0</v>
      </c>
      <c r="E2528" s="31">
        <f t="shared" si="240"/>
        <v>0</v>
      </c>
      <c r="F2528" s="32"/>
    </row>
    <row r="2529" spans="1:6" ht="12.75" hidden="1" customHeight="1">
      <c r="A2529" s="12" t="s">
        <v>432</v>
      </c>
      <c r="B2529" s="30">
        <v>13</v>
      </c>
      <c r="C2529" s="24" t="s">
        <v>1017</v>
      </c>
      <c r="D2529" s="35">
        <f>Prec.!$D$542</f>
        <v>0.55000000000000004</v>
      </c>
      <c r="E2529" s="31">
        <f t="shared" si="240"/>
        <v>7.15</v>
      </c>
      <c r="F2529" s="32"/>
    </row>
    <row r="2530" spans="1:6" ht="12.75" hidden="1" customHeight="1">
      <c r="A2530" s="12" t="s">
        <v>433</v>
      </c>
      <c r="B2530" s="30">
        <v>13</v>
      </c>
      <c r="C2530" s="24" t="s">
        <v>1017</v>
      </c>
      <c r="D2530" s="35">
        <f>D2492</f>
        <v>4.2699999999999996</v>
      </c>
      <c r="E2530" s="31">
        <f t="shared" si="240"/>
        <v>55.51</v>
      </c>
      <c r="F2530" s="32"/>
    </row>
    <row r="2531" spans="1:6" ht="12.75" hidden="1" customHeight="1">
      <c r="A2531" s="12" t="s">
        <v>1184</v>
      </c>
      <c r="B2531" s="30">
        <v>13</v>
      </c>
      <c r="C2531" s="24" t="s">
        <v>1017</v>
      </c>
      <c r="D2531" s="35">
        <f>D2493</f>
        <v>2.95</v>
      </c>
      <c r="E2531" s="31">
        <f>ROUND(B2531*D2531,2)</f>
        <v>38.35</v>
      </c>
      <c r="F2531" s="32"/>
    </row>
    <row r="2532" spans="1:6" ht="12.75" hidden="1" customHeight="1">
      <c r="A2532" s="12" t="s">
        <v>208</v>
      </c>
      <c r="B2532" s="14">
        <f>SUM(E2522:E2531)</f>
        <v>1287.2199999999998</v>
      </c>
      <c r="C2532" s="24" t="s">
        <v>209</v>
      </c>
      <c r="D2532" s="35">
        <f>D2494</f>
        <v>0.02</v>
      </c>
      <c r="E2532" s="31">
        <f>ROUND(B2532*D2532,2)</f>
        <v>25.74</v>
      </c>
      <c r="F2532" s="32">
        <f>SUM(E2522:E2532)</f>
        <v>1312.9599999999998</v>
      </c>
    </row>
    <row r="2533" spans="1:6" ht="10.15" hidden="1" customHeight="1">
      <c r="A2533" s="12"/>
      <c r="B2533" s="14"/>
      <c r="C2533" s="24"/>
      <c r="D2533" s="35"/>
      <c r="E2533" s="31"/>
      <c r="F2533" s="32"/>
    </row>
    <row r="2534" spans="1:6" ht="12.75" hidden="1" customHeight="1">
      <c r="A2534" s="13" t="s">
        <v>929</v>
      </c>
      <c r="B2534" s="30"/>
      <c r="C2534" s="24"/>
      <c r="D2534" s="35"/>
      <c r="E2534" s="43" t="s">
        <v>151</v>
      </c>
      <c r="F2534" s="44" t="s">
        <v>213</v>
      </c>
    </row>
    <row r="2535" spans="1:6" ht="12.75" hidden="1" customHeight="1">
      <c r="A2535" s="12" t="s">
        <v>102</v>
      </c>
      <c r="B2535" s="30">
        <v>13</v>
      </c>
      <c r="C2535" s="24" t="s">
        <v>1017</v>
      </c>
      <c r="D2535" s="35">
        <f>Prec.!$C$86</f>
        <v>44</v>
      </c>
      <c r="E2535" s="31">
        <f t="shared" ref="E2535:E2543" si="241">ROUND(B2535*D2535,2)</f>
        <v>572</v>
      </c>
      <c r="F2535" s="32"/>
    </row>
    <row r="2536" spans="1:6" ht="12.75" hidden="1" customHeight="1">
      <c r="A2536" s="12" t="s">
        <v>117</v>
      </c>
      <c r="B2536" s="30">
        <v>3.6999999999999998E-2</v>
      </c>
      <c r="C2536" s="24" t="s">
        <v>216</v>
      </c>
      <c r="D2536" s="35">
        <f>Prec.!$C$54</f>
        <v>3200</v>
      </c>
      <c r="E2536" s="31">
        <f t="shared" si="241"/>
        <v>118.4</v>
      </c>
      <c r="F2536" s="32"/>
    </row>
    <row r="2537" spans="1:6" ht="12.75" hidden="1" customHeight="1">
      <c r="A2537" s="12" t="s">
        <v>217</v>
      </c>
      <c r="B2537" s="30">
        <f>B2536*2</f>
        <v>7.3999999999999996E-2</v>
      </c>
      <c r="C2537" s="24" t="s">
        <v>218</v>
      </c>
      <c r="D2537" s="35">
        <f>Prec.!$C$75</f>
        <v>60</v>
      </c>
      <c r="E2537" s="31">
        <f t="shared" si="241"/>
        <v>4.4400000000000004</v>
      </c>
      <c r="F2537" s="32"/>
    </row>
    <row r="2538" spans="1:6" ht="12.75" hidden="1" customHeight="1">
      <c r="A2538" s="12" t="s">
        <v>427</v>
      </c>
      <c r="B2538" s="30">
        <v>3.1E-2</v>
      </c>
      <c r="C2538" s="24" t="s">
        <v>825</v>
      </c>
      <c r="D2538" s="35">
        <f>horm.ymez.!G8</f>
        <v>7343.1500000000005</v>
      </c>
      <c r="E2538" s="31">
        <f t="shared" si="241"/>
        <v>227.64</v>
      </c>
      <c r="F2538" s="32"/>
    </row>
    <row r="2539" spans="1:6" ht="12.75" hidden="1" customHeight="1">
      <c r="A2539" s="12" t="s">
        <v>421</v>
      </c>
      <c r="B2539" s="30">
        <v>3.9E-2</v>
      </c>
      <c r="C2539" s="24" t="s">
        <v>825</v>
      </c>
      <c r="D2539" s="35">
        <f>horm.ymez.!G14</f>
        <v>5976.1900000000005</v>
      </c>
      <c r="E2539" s="31">
        <f t="shared" si="241"/>
        <v>233.07</v>
      </c>
      <c r="F2539" s="32"/>
    </row>
    <row r="2540" spans="1:6" ht="12.75" hidden="1" customHeight="1">
      <c r="A2540" s="12" t="s">
        <v>430</v>
      </c>
      <c r="B2540" s="30">
        <v>1</v>
      </c>
      <c r="C2540" s="24" t="s">
        <v>213</v>
      </c>
      <c r="D2540" s="35">
        <f>D2527</f>
        <v>20.03</v>
      </c>
      <c r="E2540" s="31">
        <f t="shared" si="241"/>
        <v>20.03</v>
      </c>
      <c r="F2540" s="32"/>
    </row>
    <row r="2541" spans="1:6" ht="12.75" hidden="1" customHeight="1">
      <c r="A2541" s="12" t="s">
        <v>428</v>
      </c>
      <c r="B2541" s="30">
        <v>13</v>
      </c>
      <c r="C2541" s="24" t="s">
        <v>1017</v>
      </c>
      <c r="D2541" s="35">
        <f>Prec.!$D$329</f>
        <v>0</v>
      </c>
      <c r="E2541" s="31">
        <f t="shared" si="241"/>
        <v>0</v>
      </c>
      <c r="F2541" s="32"/>
    </row>
    <row r="2542" spans="1:6" ht="12.75" hidden="1" customHeight="1">
      <c r="A2542" s="12" t="s">
        <v>432</v>
      </c>
      <c r="B2542" s="30">
        <v>13</v>
      </c>
      <c r="C2542" s="24" t="s">
        <v>1017</v>
      </c>
      <c r="D2542" s="35">
        <f>Prec.!$D$540</f>
        <v>1.1499999999999999</v>
      </c>
      <c r="E2542" s="31">
        <f t="shared" si="241"/>
        <v>14.95</v>
      </c>
      <c r="F2542" s="32"/>
    </row>
    <row r="2543" spans="1:6" ht="12.75" hidden="1" customHeight="1">
      <c r="A2543" s="12" t="s">
        <v>433</v>
      </c>
      <c r="B2543" s="30">
        <v>13</v>
      </c>
      <c r="C2543" s="24" t="s">
        <v>1017</v>
      </c>
      <c r="D2543" s="35">
        <f>Prec.!$D$545</f>
        <v>2.33</v>
      </c>
      <c r="E2543" s="31">
        <f t="shared" si="241"/>
        <v>30.29</v>
      </c>
      <c r="F2543" s="32"/>
    </row>
    <row r="2544" spans="1:6" ht="12.75" hidden="1" customHeight="1">
      <c r="A2544" s="12" t="s">
        <v>1184</v>
      </c>
      <c r="B2544" s="30">
        <v>13</v>
      </c>
      <c r="C2544" s="24" t="s">
        <v>1017</v>
      </c>
      <c r="D2544" s="35">
        <f>D2531</f>
        <v>2.95</v>
      </c>
      <c r="E2544" s="31">
        <f>ROUND(B2544*D2544,2)</f>
        <v>38.35</v>
      </c>
      <c r="F2544" s="32"/>
    </row>
    <row r="2545" spans="1:13" ht="12.75" hidden="1" customHeight="1">
      <c r="A2545" s="12" t="s">
        <v>208</v>
      </c>
      <c r="B2545" s="14">
        <f>SUM(E2535:E2544)</f>
        <v>1259.1699999999998</v>
      </c>
      <c r="C2545" s="24" t="s">
        <v>209</v>
      </c>
      <c r="D2545" s="35">
        <f>D2532</f>
        <v>0.02</v>
      </c>
      <c r="E2545" s="31">
        <f>ROUND(B2545*D2545,2)</f>
        <v>25.18</v>
      </c>
      <c r="F2545" s="32">
        <f>SUM(E2535:E2545)</f>
        <v>1284.3499999999999</v>
      </c>
    </row>
    <row r="2546" spans="1:13" s="166" customFormat="1" ht="12.75" hidden="1" customHeight="1">
      <c r="A2546" s="12"/>
      <c r="B2546" s="14"/>
      <c r="C2546" s="24"/>
      <c r="D2546" s="35"/>
      <c r="E2546" s="31"/>
      <c r="F2546" s="32"/>
      <c r="G2546" s="15"/>
      <c r="H2546" s="21"/>
      <c r="I2546" s="15"/>
      <c r="J2546" s="15"/>
      <c r="K2546" s="15"/>
      <c r="L2546" s="21"/>
      <c r="M2546" s="15"/>
    </row>
    <row r="2547" spans="1:13" ht="12.75" hidden="1" customHeight="1">
      <c r="A2547" s="13" t="s">
        <v>928</v>
      </c>
      <c r="B2547" s="30"/>
      <c r="C2547" s="24"/>
      <c r="D2547" s="35"/>
      <c r="E2547" s="43" t="s">
        <v>151</v>
      </c>
      <c r="F2547" s="44" t="s">
        <v>213</v>
      </c>
    </row>
    <row r="2548" spans="1:13" ht="12.75" hidden="1" customHeight="1">
      <c r="A2548" s="12" t="s">
        <v>102</v>
      </c>
      <c r="B2548" s="30">
        <v>13</v>
      </c>
      <c r="C2548" s="24" t="s">
        <v>1017</v>
      </c>
      <c r="D2548" s="35">
        <f>Prec.!$C$86</f>
        <v>44</v>
      </c>
      <c r="E2548" s="31">
        <f t="shared" ref="E2548:E2556" si="242">ROUND(B2548*D2548,2)</f>
        <v>572</v>
      </c>
      <c r="F2548" s="32"/>
    </row>
    <row r="2549" spans="1:13" ht="12.75" hidden="1" customHeight="1">
      <c r="A2549" s="12" t="s">
        <v>117</v>
      </c>
      <c r="B2549" s="30">
        <v>2.4E-2</v>
      </c>
      <c r="C2549" s="24" t="s">
        <v>216</v>
      </c>
      <c r="D2549" s="35">
        <f>Prec.!$C$54</f>
        <v>3200</v>
      </c>
      <c r="E2549" s="31">
        <f t="shared" si="242"/>
        <v>76.8</v>
      </c>
      <c r="F2549" s="32"/>
    </row>
    <row r="2550" spans="1:13" ht="12.75" hidden="1" customHeight="1">
      <c r="A2550" s="12" t="s">
        <v>217</v>
      </c>
      <c r="B2550" s="30">
        <f>B2549*2</f>
        <v>4.8000000000000001E-2</v>
      </c>
      <c r="C2550" s="24" t="s">
        <v>218</v>
      </c>
      <c r="D2550" s="35">
        <f>Prec.!$C$75</f>
        <v>60</v>
      </c>
      <c r="E2550" s="31">
        <f t="shared" si="242"/>
        <v>2.88</v>
      </c>
      <c r="F2550" s="32"/>
    </row>
    <row r="2551" spans="1:13" ht="12.75" hidden="1" customHeight="1">
      <c r="A2551" s="12" t="s">
        <v>427</v>
      </c>
      <c r="B2551" s="30">
        <v>3.1E-2</v>
      </c>
      <c r="C2551" s="24" t="s">
        <v>825</v>
      </c>
      <c r="D2551" s="35">
        <f>horm.ymez.!G8</f>
        <v>7343.1500000000005</v>
      </c>
      <c r="E2551" s="31">
        <f t="shared" si="242"/>
        <v>227.64</v>
      </c>
      <c r="F2551" s="32"/>
    </row>
    <row r="2552" spans="1:13" ht="12.75" hidden="1" customHeight="1">
      <c r="A2552" s="12" t="s">
        <v>421</v>
      </c>
      <c r="B2552" s="30">
        <v>0.03</v>
      </c>
      <c r="C2552" s="24" t="s">
        <v>825</v>
      </c>
      <c r="D2552" s="35">
        <f>horm.ymez.!G14</f>
        <v>5976.1900000000005</v>
      </c>
      <c r="E2552" s="31">
        <f t="shared" si="242"/>
        <v>179.29</v>
      </c>
      <c r="F2552" s="32"/>
    </row>
    <row r="2553" spans="1:13" ht="12.75" hidden="1" customHeight="1">
      <c r="A2553" s="12" t="s">
        <v>430</v>
      </c>
      <c r="B2553" s="30">
        <v>1</v>
      </c>
      <c r="C2553" s="24" t="s">
        <v>213</v>
      </c>
      <c r="D2553" s="35">
        <f>D2514</f>
        <v>20.03</v>
      </c>
      <c r="E2553" s="31">
        <f t="shared" si="242"/>
        <v>20.03</v>
      </c>
      <c r="F2553" s="32"/>
    </row>
    <row r="2554" spans="1:13" ht="12.75" hidden="1" customHeight="1">
      <c r="A2554" s="12" t="s">
        <v>428</v>
      </c>
      <c r="B2554" s="30">
        <v>13</v>
      </c>
      <c r="C2554" s="24" t="s">
        <v>1017</v>
      </c>
      <c r="D2554" s="35">
        <f>Prec.!$D$329</f>
        <v>0</v>
      </c>
      <c r="E2554" s="31">
        <f t="shared" si="242"/>
        <v>0</v>
      </c>
      <c r="F2554" s="32"/>
    </row>
    <row r="2555" spans="1:13" ht="12.75" hidden="1" customHeight="1">
      <c r="A2555" s="12" t="s">
        <v>432</v>
      </c>
      <c r="B2555" s="30">
        <v>13</v>
      </c>
      <c r="C2555" s="24" t="s">
        <v>1017</v>
      </c>
      <c r="D2555" s="35">
        <f>Prec.!$D$542</f>
        <v>0.55000000000000004</v>
      </c>
      <c r="E2555" s="31">
        <f t="shared" si="242"/>
        <v>7.15</v>
      </c>
      <c r="F2555" s="32"/>
    </row>
    <row r="2556" spans="1:13" ht="12.75" hidden="1" customHeight="1">
      <c r="A2556" s="12" t="s">
        <v>433</v>
      </c>
      <c r="B2556" s="30">
        <v>13</v>
      </c>
      <c r="C2556" s="24" t="s">
        <v>1017</v>
      </c>
      <c r="D2556" s="35">
        <f>Prec.!$D$547</f>
        <v>1.1499999999999999</v>
      </c>
      <c r="E2556" s="31">
        <f t="shared" si="242"/>
        <v>14.95</v>
      </c>
      <c r="F2556" s="32"/>
    </row>
    <row r="2557" spans="1:13" ht="12.75" hidden="1" customHeight="1">
      <c r="A2557" s="12" t="s">
        <v>1184</v>
      </c>
      <c r="B2557" s="30">
        <v>13</v>
      </c>
      <c r="C2557" s="24" t="s">
        <v>1017</v>
      </c>
      <c r="D2557" s="35">
        <f>D2518</f>
        <v>2.95</v>
      </c>
      <c r="E2557" s="31">
        <f>ROUND(B2557*D2557,2)</f>
        <v>38.35</v>
      </c>
      <c r="F2557" s="32"/>
    </row>
    <row r="2558" spans="1:13" ht="12.75" hidden="1" customHeight="1">
      <c r="A2558" s="12" t="s">
        <v>208</v>
      </c>
      <c r="B2558" s="14">
        <f>SUM(E2548:E2557)</f>
        <v>1139.0899999999999</v>
      </c>
      <c r="C2558" s="24" t="s">
        <v>209</v>
      </c>
      <c r="D2558" s="35">
        <f>D2519</f>
        <v>0.02</v>
      </c>
      <c r="E2558" s="31">
        <f>ROUND(B2558*D2558,2)</f>
        <v>22.78</v>
      </c>
      <c r="F2558" s="32">
        <f>SUM(E2548:E2558)</f>
        <v>1161.8699999999999</v>
      </c>
    </row>
    <row r="2559" spans="1:13" ht="10.15" hidden="1" customHeight="1">
      <c r="A2559" s="12"/>
      <c r="B2559" s="14"/>
      <c r="C2559" s="24"/>
      <c r="D2559" s="35"/>
      <c r="E2559" s="31"/>
      <c r="F2559" s="32"/>
    </row>
    <row r="2560" spans="1:13" ht="12.75" hidden="1" customHeight="1">
      <c r="A2560" s="13" t="s">
        <v>1573</v>
      </c>
      <c r="B2560" s="30"/>
      <c r="C2560" s="24"/>
      <c r="D2560" s="35"/>
      <c r="E2560" s="43" t="s">
        <v>151</v>
      </c>
      <c r="F2560" s="44" t="s">
        <v>213</v>
      </c>
    </row>
    <row r="2561" spans="1:13" ht="12.75" hidden="1" customHeight="1">
      <c r="A2561" s="12" t="s">
        <v>429</v>
      </c>
      <c r="B2561" s="30">
        <v>13</v>
      </c>
      <c r="C2561" s="24" t="s">
        <v>1017</v>
      </c>
      <c r="D2561" s="35">
        <f>Prec.!$C$87</f>
        <v>34</v>
      </c>
      <c r="E2561" s="31">
        <f t="shared" ref="E2561:E2569" si="243">ROUND(B2561*D2561,2)</f>
        <v>442</v>
      </c>
      <c r="F2561" s="32"/>
    </row>
    <row r="2562" spans="1:13" ht="12.75" hidden="1" customHeight="1">
      <c r="A2562" s="12" t="s">
        <v>1574</v>
      </c>
      <c r="B2562" s="30">
        <v>2.4E-2</v>
      </c>
      <c r="C2562" s="24" t="s">
        <v>216</v>
      </c>
      <c r="D2562" s="35">
        <f>Prec.!$C$53</f>
        <v>3200</v>
      </c>
      <c r="E2562" s="31">
        <f t="shared" si="243"/>
        <v>76.8</v>
      </c>
      <c r="F2562" s="32"/>
    </row>
    <row r="2563" spans="1:13" ht="12.75" hidden="1" customHeight="1">
      <c r="A2563" s="12" t="s">
        <v>217</v>
      </c>
      <c r="B2563" s="30">
        <f>B2562*2</f>
        <v>4.8000000000000001E-2</v>
      </c>
      <c r="C2563" s="24" t="s">
        <v>218</v>
      </c>
      <c r="D2563" s="35">
        <f>Prec.!$C$75</f>
        <v>60</v>
      </c>
      <c r="E2563" s="31">
        <f t="shared" si="243"/>
        <v>2.88</v>
      </c>
      <c r="F2563" s="32"/>
    </row>
    <row r="2564" spans="1:13" ht="12.75" hidden="1" customHeight="1">
      <c r="A2564" s="12" t="s">
        <v>427</v>
      </c>
      <c r="B2564" s="30">
        <v>0.02</v>
      </c>
      <c r="C2564" s="24" t="s">
        <v>825</v>
      </c>
      <c r="D2564" s="35">
        <f>horm.ymez.!G8</f>
        <v>7343.1500000000005</v>
      </c>
      <c r="E2564" s="31">
        <f t="shared" si="243"/>
        <v>146.86000000000001</v>
      </c>
      <c r="F2564" s="32"/>
    </row>
    <row r="2565" spans="1:13" ht="12.75" hidden="1" customHeight="1">
      <c r="A2565" s="12" t="s">
        <v>421</v>
      </c>
      <c r="B2565" s="30">
        <v>8.9999999999999993E-3</v>
      </c>
      <c r="C2565" s="24" t="s">
        <v>825</v>
      </c>
      <c r="D2565" s="35">
        <f>horm.ymez.!G14</f>
        <v>5976.1900000000005</v>
      </c>
      <c r="E2565" s="31">
        <f t="shared" si="243"/>
        <v>53.79</v>
      </c>
      <c r="F2565" s="32"/>
    </row>
    <row r="2566" spans="1:13" ht="12.75" hidden="1" customHeight="1">
      <c r="A2566" s="12" t="s">
        <v>430</v>
      </c>
      <c r="B2566" s="30">
        <v>1</v>
      </c>
      <c r="C2566" s="24" t="s">
        <v>213</v>
      </c>
      <c r="D2566" s="35">
        <f>D2553</f>
        <v>20.03</v>
      </c>
      <c r="E2566" s="31">
        <f t="shared" si="243"/>
        <v>20.03</v>
      </c>
      <c r="F2566" s="32"/>
    </row>
    <row r="2567" spans="1:13" ht="12.75" hidden="1" customHeight="1">
      <c r="A2567" s="12" t="s">
        <v>428</v>
      </c>
      <c r="B2567" s="30">
        <v>13</v>
      </c>
      <c r="C2567" s="24" t="s">
        <v>1017</v>
      </c>
      <c r="D2567" s="35">
        <f>Prec.!$D$328</f>
        <v>0</v>
      </c>
      <c r="E2567" s="31">
        <f t="shared" si="243"/>
        <v>0</v>
      </c>
      <c r="F2567" s="32"/>
    </row>
    <row r="2568" spans="1:13" ht="12.75" hidden="1" customHeight="1">
      <c r="A2568" s="12" t="s">
        <v>432</v>
      </c>
      <c r="B2568" s="30">
        <v>13</v>
      </c>
      <c r="C2568" s="24" t="s">
        <v>1017</v>
      </c>
      <c r="D2568" s="35">
        <f>Prec.!$D$542</f>
        <v>0.55000000000000004</v>
      </c>
      <c r="E2568" s="31">
        <f t="shared" si="243"/>
        <v>7.15</v>
      </c>
      <c r="F2568" s="32"/>
    </row>
    <row r="2569" spans="1:13" ht="12.75" hidden="1" customHeight="1">
      <c r="A2569" s="12" t="s">
        <v>433</v>
      </c>
      <c r="B2569" s="30">
        <v>13</v>
      </c>
      <c r="C2569" s="24" t="s">
        <v>1017</v>
      </c>
      <c r="D2569" s="35">
        <f>Prec.!$D$547</f>
        <v>1.1499999999999999</v>
      </c>
      <c r="E2569" s="31">
        <f t="shared" si="243"/>
        <v>14.95</v>
      </c>
      <c r="F2569" s="32"/>
    </row>
    <row r="2570" spans="1:13" ht="12.75" hidden="1" customHeight="1">
      <c r="A2570" s="12" t="s">
        <v>1185</v>
      </c>
      <c r="B2570" s="30">
        <v>13</v>
      </c>
      <c r="C2570" s="24" t="s">
        <v>1017</v>
      </c>
      <c r="D2570" s="35">
        <f>Prec.!D410</f>
        <v>5.89</v>
      </c>
      <c r="E2570" s="31">
        <f>ROUND(B2570*D2570,2)</f>
        <v>76.569999999999993</v>
      </c>
      <c r="F2570" s="32"/>
    </row>
    <row r="2571" spans="1:13" ht="12.75" hidden="1" customHeight="1">
      <c r="A2571" s="12" t="s">
        <v>208</v>
      </c>
      <c r="B2571" s="14">
        <f>SUM(E2561:E2570)</f>
        <v>841.03</v>
      </c>
      <c r="C2571" s="24" t="s">
        <v>209</v>
      </c>
      <c r="D2571" s="35">
        <f>D2558</f>
        <v>0.02</v>
      </c>
      <c r="E2571" s="31">
        <f>ROUND(B2571*D2571,2)</f>
        <v>16.82</v>
      </c>
      <c r="F2571" s="32">
        <f>SUM(E2561:E2571)</f>
        <v>857.85</v>
      </c>
    </row>
    <row r="2572" spans="1:13" s="156" customFormat="1" ht="12.75" hidden="1" customHeight="1">
      <c r="A2572" s="12"/>
      <c r="B2572" s="14"/>
      <c r="C2572" s="24"/>
      <c r="D2572" s="35"/>
      <c r="E2572" s="31"/>
      <c r="F2572" s="32"/>
      <c r="G2572" s="15"/>
      <c r="H2572" s="21"/>
      <c r="I2572" s="15"/>
      <c r="J2572" s="15"/>
      <c r="K2572" s="15"/>
      <c r="L2572" s="21"/>
      <c r="M2572" s="15"/>
    </row>
    <row r="2573" spans="1:13" ht="12.75" hidden="1" customHeight="1">
      <c r="A2573" s="13" t="s">
        <v>220</v>
      </c>
      <c r="B2573" s="30"/>
      <c r="C2573" s="24"/>
      <c r="D2573" s="35"/>
      <c r="E2573" s="43" t="s">
        <v>151</v>
      </c>
      <c r="F2573" s="44" t="s">
        <v>213</v>
      </c>
    </row>
    <row r="2574" spans="1:13" ht="12.75" hidden="1" customHeight="1">
      <c r="A2574" s="12" t="s">
        <v>2</v>
      </c>
      <c r="B2574" s="30">
        <v>2.1000000000000001E-2</v>
      </c>
      <c r="C2574" s="24" t="s">
        <v>1172</v>
      </c>
      <c r="D2574" s="41">
        <f>Prec.!$C$6</f>
        <v>900</v>
      </c>
      <c r="E2574" s="31">
        <f t="shared" ref="E2574:E2580" si="244">ROUND(B2574*D2574,2)</f>
        <v>18.899999999999999</v>
      </c>
      <c r="F2574" s="44"/>
    </row>
    <row r="2575" spans="1:13" ht="12.75" hidden="1" customHeight="1">
      <c r="A2575" s="12" t="s">
        <v>170</v>
      </c>
      <c r="B2575" s="30">
        <v>25.75</v>
      </c>
      <c r="C2575" s="24" t="s">
        <v>1017</v>
      </c>
      <c r="D2575" s="35">
        <f>Prec.!$C$91</f>
        <v>225</v>
      </c>
      <c r="E2575" s="31">
        <f t="shared" si="244"/>
        <v>5793.75</v>
      </c>
      <c r="F2575" s="32"/>
    </row>
    <row r="2576" spans="1:13" ht="12.75" hidden="1" customHeight="1">
      <c r="A2576" s="12" t="s">
        <v>430</v>
      </c>
      <c r="B2576" s="30">
        <v>1</v>
      </c>
      <c r="C2576" s="24" t="s">
        <v>213</v>
      </c>
      <c r="D2576" s="35">
        <f>D2566</f>
        <v>20.03</v>
      </c>
      <c r="E2576" s="31">
        <f t="shared" si="244"/>
        <v>20.03</v>
      </c>
      <c r="F2576" s="32"/>
    </row>
    <row r="2577" spans="1:6" ht="12.75" hidden="1" customHeight="1">
      <c r="A2577" s="12" t="s">
        <v>428</v>
      </c>
      <c r="B2577" s="30">
        <v>25</v>
      </c>
      <c r="C2577" s="24" t="s">
        <v>1017</v>
      </c>
      <c r="D2577" s="35">
        <f>Prec.!$D$336</f>
        <v>0</v>
      </c>
      <c r="E2577" s="31">
        <f t="shared" si="244"/>
        <v>0</v>
      </c>
      <c r="F2577" s="32"/>
    </row>
    <row r="2578" spans="1:6" ht="12.75" hidden="1" customHeight="1">
      <c r="A2578" s="12" t="s">
        <v>111</v>
      </c>
      <c r="B2578" s="30">
        <v>1</v>
      </c>
      <c r="C2578" s="24" t="s">
        <v>213</v>
      </c>
      <c r="D2578" s="35">
        <f>Prec.!$D$338</f>
        <v>0</v>
      </c>
      <c r="E2578" s="31">
        <f t="shared" si="244"/>
        <v>0</v>
      </c>
      <c r="F2578" s="32"/>
    </row>
    <row r="2579" spans="1:6" ht="12.75" hidden="1" customHeight="1">
      <c r="A2579" s="12" t="s">
        <v>1186</v>
      </c>
      <c r="B2579" s="30">
        <v>25</v>
      </c>
      <c r="C2579" s="24" t="s">
        <v>1017</v>
      </c>
      <c r="D2579" s="35">
        <f>Prec.!D405</f>
        <v>2.95</v>
      </c>
      <c r="E2579" s="31">
        <f t="shared" si="244"/>
        <v>73.75</v>
      </c>
      <c r="F2579" s="32"/>
    </row>
    <row r="2580" spans="1:6" ht="12.75" hidden="1" customHeight="1">
      <c r="A2580" s="12" t="s">
        <v>208</v>
      </c>
      <c r="B2580" s="14">
        <f>SUM(E2574:E2579)</f>
        <v>5906.4299999999994</v>
      </c>
      <c r="C2580" s="24" t="s">
        <v>209</v>
      </c>
      <c r="D2580" s="35">
        <f>D2571</f>
        <v>0.02</v>
      </c>
      <c r="E2580" s="31">
        <f t="shared" si="244"/>
        <v>118.13</v>
      </c>
      <c r="F2580" s="32">
        <f>SUM(E2574:E2580)</f>
        <v>6024.5599999999995</v>
      </c>
    </row>
    <row r="2581" spans="1:6" ht="12.75" hidden="1" customHeight="1">
      <c r="A2581" s="12"/>
      <c r="B2581" s="14"/>
      <c r="C2581" s="24"/>
      <c r="D2581" s="35"/>
      <c r="E2581" s="31"/>
      <c r="F2581" s="32"/>
    </row>
    <row r="2582" spans="1:6" ht="12.75" hidden="1" customHeight="1">
      <c r="A2582" s="23" t="s">
        <v>879</v>
      </c>
      <c r="B2582" s="7"/>
    </row>
    <row r="2583" spans="1:6" ht="12.75" hidden="1" customHeight="1">
      <c r="A2583" s="2"/>
      <c r="B2583" s="7"/>
    </row>
    <row r="2584" spans="1:6" ht="12.75" hidden="1" customHeight="1">
      <c r="A2584" s="1" t="s">
        <v>922</v>
      </c>
      <c r="E2584" s="27" t="s">
        <v>151</v>
      </c>
      <c r="F2584" s="28" t="s">
        <v>213</v>
      </c>
    </row>
    <row r="2585" spans="1:6" ht="12.75" hidden="1" customHeight="1">
      <c r="A2585" s="4" t="s">
        <v>214</v>
      </c>
      <c r="B2585" s="8">
        <v>13</v>
      </c>
      <c r="C2585" s="6" t="s">
        <v>1017</v>
      </c>
      <c r="D2585" s="37">
        <f>Prec.!$C$85</f>
        <v>48</v>
      </c>
      <c r="E2585" s="25">
        <f t="shared" ref="E2585:E2593" si="245">ROUND(B2585*D2585,2)</f>
        <v>624</v>
      </c>
    </row>
    <row r="2586" spans="1:6" ht="12.75" hidden="1" customHeight="1">
      <c r="A2586" s="4" t="s">
        <v>117</v>
      </c>
      <c r="B2586" s="8">
        <v>6.2E-2</v>
      </c>
      <c r="C2586" s="6" t="s">
        <v>216</v>
      </c>
      <c r="D2586" s="37">
        <f>Prec.!$C$54</f>
        <v>3200</v>
      </c>
      <c r="E2586" s="25">
        <f t="shared" si="245"/>
        <v>198.4</v>
      </c>
    </row>
    <row r="2587" spans="1:6" ht="12.75" hidden="1" customHeight="1">
      <c r="A2587" s="4" t="s">
        <v>217</v>
      </c>
      <c r="B2587" s="8">
        <f>B2586*2</f>
        <v>0.124</v>
      </c>
      <c r="C2587" s="6" t="s">
        <v>218</v>
      </c>
      <c r="D2587" s="37">
        <f>Prec.!$C$75</f>
        <v>60</v>
      </c>
      <c r="E2587" s="25">
        <f t="shared" si="245"/>
        <v>7.44</v>
      </c>
    </row>
    <row r="2588" spans="1:6" ht="12.75" hidden="1" customHeight="1">
      <c r="A2588" s="4" t="s">
        <v>427</v>
      </c>
      <c r="B2588" s="8">
        <v>3.9E-2</v>
      </c>
      <c r="C2588" s="6" t="s">
        <v>825</v>
      </c>
      <c r="D2588" s="37">
        <f>horm.ymez.!H8</f>
        <v>6795.98</v>
      </c>
      <c r="E2588" s="25">
        <f t="shared" si="245"/>
        <v>265.04000000000002</v>
      </c>
    </row>
    <row r="2589" spans="1:6" ht="12.75" hidden="1" customHeight="1">
      <c r="A2589" s="4" t="s">
        <v>421</v>
      </c>
      <c r="B2589" s="8">
        <v>7.8E-2</v>
      </c>
      <c r="C2589" s="6" t="s">
        <v>825</v>
      </c>
      <c r="D2589" s="37">
        <f>horm.ymez.!H14</f>
        <v>5466.17</v>
      </c>
      <c r="E2589" s="25">
        <f t="shared" si="245"/>
        <v>426.36</v>
      </c>
    </row>
    <row r="2590" spans="1:6" ht="12.75" hidden="1" customHeight="1">
      <c r="A2590" s="4" t="s">
        <v>430</v>
      </c>
      <c r="B2590" s="8">
        <v>1</v>
      </c>
      <c r="C2590" s="6" t="s">
        <v>213</v>
      </c>
      <c r="D2590" s="37">
        <f>horm.ymez.!H23</f>
        <v>20.250000000000004</v>
      </c>
      <c r="E2590" s="25">
        <f t="shared" si="245"/>
        <v>20.25</v>
      </c>
    </row>
    <row r="2591" spans="1:6" ht="12.75" hidden="1" customHeight="1">
      <c r="A2591" s="4" t="s">
        <v>428</v>
      </c>
      <c r="B2591" s="8">
        <v>13</v>
      </c>
      <c r="C2591" s="6" t="s">
        <v>1017</v>
      </c>
      <c r="D2591" s="37">
        <f>Prec.!$D$330</f>
        <v>0</v>
      </c>
      <c r="E2591" s="25">
        <f t="shared" si="245"/>
        <v>0</v>
      </c>
    </row>
    <row r="2592" spans="1:6" ht="12.75" hidden="1" customHeight="1">
      <c r="A2592" s="4" t="s">
        <v>432</v>
      </c>
      <c r="B2592" s="8">
        <v>13</v>
      </c>
      <c r="C2592" s="6" t="s">
        <v>1017</v>
      </c>
      <c r="D2592" s="37">
        <f>Prec.!$D$539</f>
        <v>1.7</v>
      </c>
      <c r="E2592" s="25">
        <f t="shared" si="245"/>
        <v>22.1</v>
      </c>
    </row>
    <row r="2593" spans="1:6" ht="12.75" hidden="1" customHeight="1">
      <c r="A2593" s="4" t="s">
        <v>433</v>
      </c>
      <c r="B2593" s="8">
        <v>13</v>
      </c>
      <c r="C2593" s="6" t="s">
        <v>1017</v>
      </c>
      <c r="D2593" s="37">
        <f>Prec.!$D$544</f>
        <v>4.2699999999999996</v>
      </c>
      <c r="E2593" s="25">
        <f t="shared" si="245"/>
        <v>55.51</v>
      </c>
    </row>
    <row r="2594" spans="1:6" ht="12.75" hidden="1" customHeight="1">
      <c r="A2594" s="4" t="s">
        <v>1183</v>
      </c>
      <c r="B2594" s="8">
        <v>13</v>
      </c>
      <c r="C2594" s="6" t="s">
        <v>1017</v>
      </c>
      <c r="D2594" s="37">
        <f>Prec.!D401</f>
        <v>4.41</v>
      </c>
      <c r="E2594" s="25">
        <f>ROUND(B2594*D2594,2)</f>
        <v>57.33</v>
      </c>
    </row>
    <row r="2595" spans="1:6" ht="12.75" hidden="1" customHeight="1">
      <c r="A2595" s="4" t="s">
        <v>208</v>
      </c>
      <c r="B2595" s="7">
        <f>SUM(E2585:E2594)</f>
        <v>1676.43</v>
      </c>
      <c r="C2595" s="6" t="s">
        <v>209</v>
      </c>
      <c r="D2595" s="37">
        <f>D2571</f>
        <v>0.02</v>
      </c>
      <c r="E2595" s="25">
        <f>ROUND(B2595*D2595,2)</f>
        <v>33.53</v>
      </c>
      <c r="F2595" s="26">
        <f>SUM(E2585:E2595)</f>
        <v>1709.96</v>
      </c>
    </row>
    <row r="2596" spans="1:6" ht="12.75" hidden="1" customHeight="1">
      <c r="B2596" s="7"/>
    </row>
    <row r="2597" spans="1:6" ht="12.75" hidden="1" customHeight="1">
      <c r="A2597" s="13" t="s">
        <v>918</v>
      </c>
      <c r="E2597" s="27" t="s">
        <v>151</v>
      </c>
      <c r="F2597" s="28" t="s">
        <v>213</v>
      </c>
    </row>
    <row r="2598" spans="1:6" ht="12.75" hidden="1" customHeight="1">
      <c r="A2598" s="4" t="s">
        <v>214</v>
      </c>
      <c r="B2598" s="8">
        <v>13</v>
      </c>
      <c r="C2598" s="6" t="s">
        <v>1017</v>
      </c>
      <c r="D2598" s="37">
        <f>Prec.!$C$85</f>
        <v>48</v>
      </c>
      <c r="E2598" s="25">
        <f t="shared" ref="E2598:E2606" si="246">ROUND(B2598*D2598,2)</f>
        <v>624</v>
      </c>
    </row>
    <row r="2599" spans="1:6" ht="12.75" hidden="1" customHeight="1">
      <c r="A2599" s="4" t="s">
        <v>117</v>
      </c>
      <c r="B2599" s="8">
        <v>3.6999999999999998E-2</v>
      </c>
      <c r="C2599" s="6" t="s">
        <v>216</v>
      </c>
      <c r="D2599" s="37">
        <f>Prec.!$C$54</f>
        <v>3200</v>
      </c>
      <c r="E2599" s="25">
        <f t="shared" si="246"/>
        <v>118.4</v>
      </c>
    </row>
    <row r="2600" spans="1:6" ht="12.75" hidden="1" customHeight="1">
      <c r="A2600" s="4" t="s">
        <v>217</v>
      </c>
      <c r="B2600" s="8">
        <f>B2599*2</f>
        <v>7.3999999999999996E-2</v>
      </c>
      <c r="C2600" s="6" t="s">
        <v>218</v>
      </c>
      <c r="D2600" s="37">
        <f>Prec.!$C$75</f>
        <v>60</v>
      </c>
      <c r="E2600" s="25">
        <f t="shared" si="246"/>
        <v>4.4400000000000004</v>
      </c>
    </row>
    <row r="2601" spans="1:6" ht="12.75" hidden="1" customHeight="1">
      <c r="A2601" s="4" t="s">
        <v>427</v>
      </c>
      <c r="B2601" s="8">
        <v>3.9E-2</v>
      </c>
      <c r="C2601" s="6" t="s">
        <v>825</v>
      </c>
      <c r="D2601" s="37">
        <f>horm.ymez.!H8</f>
        <v>6795.98</v>
      </c>
      <c r="E2601" s="25">
        <f t="shared" si="246"/>
        <v>265.04000000000002</v>
      </c>
    </row>
    <row r="2602" spans="1:6" ht="12.75" hidden="1" customHeight="1">
      <c r="A2602" s="4" t="s">
        <v>421</v>
      </c>
      <c r="B2602" s="8">
        <v>7.8E-2</v>
      </c>
      <c r="C2602" s="6" t="s">
        <v>825</v>
      </c>
      <c r="D2602" s="37">
        <f>horm.ymez.!H14</f>
        <v>5466.17</v>
      </c>
      <c r="E2602" s="25">
        <f t="shared" si="246"/>
        <v>426.36</v>
      </c>
    </row>
    <row r="2603" spans="1:6" ht="12.75" hidden="1" customHeight="1">
      <c r="A2603" s="4" t="s">
        <v>430</v>
      </c>
      <c r="B2603" s="8">
        <v>1</v>
      </c>
      <c r="C2603" s="6" t="s">
        <v>213</v>
      </c>
      <c r="D2603" s="37">
        <f>horm.ymez.!H23</f>
        <v>20.250000000000004</v>
      </c>
      <c r="E2603" s="25">
        <f t="shared" si="246"/>
        <v>20.25</v>
      </c>
    </row>
    <row r="2604" spans="1:6" ht="12.75" hidden="1" customHeight="1">
      <c r="A2604" s="4" t="s">
        <v>428</v>
      </c>
      <c r="B2604" s="8">
        <v>13</v>
      </c>
      <c r="C2604" s="6" t="s">
        <v>1017</v>
      </c>
      <c r="D2604" s="37">
        <f>Prec.!$D$330</f>
        <v>0</v>
      </c>
      <c r="E2604" s="25">
        <f t="shared" si="246"/>
        <v>0</v>
      </c>
    </row>
    <row r="2605" spans="1:6" ht="12.75" hidden="1" customHeight="1">
      <c r="A2605" s="4" t="s">
        <v>432</v>
      </c>
      <c r="B2605" s="8">
        <v>13</v>
      </c>
      <c r="C2605" s="6" t="s">
        <v>1017</v>
      </c>
      <c r="D2605" s="37">
        <f>Prec.!$D$540</f>
        <v>1.1499999999999999</v>
      </c>
      <c r="E2605" s="25">
        <f t="shared" si="246"/>
        <v>14.95</v>
      </c>
    </row>
    <row r="2606" spans="1:6" ht="12.75" hidden="1" customHeight="1">
      <c r="A2606" s="4" t="s">
        <v>433</v>
      </c>
      <c r="B2606" s="8">
        <v>13</v>
      </c>
      <c r="C2606" s="6" t="s">
        <v>1017</v>
      </c>
      <c r="D2606" s="37">
        <f>Prec.!D544</f>
        <v>4.2699999999999996</v>
      </c>
      <c r="E2606" s="25">
        <f t="shared" si="246"/>
        <v>55.51</v>
      </c>
    </row>
    <row r="2607" spans="1:6" ht="12.75" hidden="1" customHeight="1">
      <c r="A2607" s="4" t="s">
        <v>1183</v>
      </c>
      <c r="B2607" s="8">
        <v>13</v>
      </c>
      <c r="C2607" s="6" t="s">
        <v>1017</v>
      </c>
      <c r="D2607" s="37">
        <f>Prec.!D401</f>
        <v>4.41</v>
      </c>
      <c r="E2607" s="25">
        <f>ROUND(B2607*D2607,2)</f>
        <v>57.33</v>
      </c>
    </row>
    <row r="2608" spans="1:6" ht="12.75" hidden="1" customHeight="1">
      <c r="A2608" s="4" t="s">
        <v>208</v>
      </c>
      <c r="B2608" s="7">
        <f>SUM(E2598:E2607)</f>
        <v>1586.2800000000002</v>
      </c>
      <c r="C2608" s="6" t="s">
        <v>209</v>
      </c>
      <c r="D2608" s="37">
        <f>D2595</f>
        <v>0.02</v>
      </c>
      <c r="E2608" s="25">
        <f>ROUND(B2608*D2608,2)</f>
        <v>31.73</v>
      </c>
      <c r="F2608" s="26">
        <f>SUM(E2598:E2608)</f>
        <v>1618.0100000000002</v>
      </c>
    </row>
    <row r="2609" spans="1:6" ht="12.75" hidden="1" customHeight="1">
      <c r="B2609" s="7"/>
    </row>
    <row r="2610" spans="1:6" ht="12.75" hidden="1" customHeight="1">
      <c r="A2610" s="1" t="s">
        <v>931</v>
      </c>
      <c r="E2610" s="27" t="s">
        <v>151</v>
      </c>
      <c r="F2610" s="28" t="s">
        <v>213</v>
      </c>
    </row>
    <row r="2611" spans="1:6" ht="12.75" hidden="1" customHeight="1">
      <c r="A2611" s="4" t="s">
        <v>214</v>
      </c>
      <c r="B2611" s="8">
        <v>13</v>
      </c>
      <c r="C2611" s="6" t="s">
        <v>1017</v>
      </c>
      <c r="D2611" s="37">
        <f>Prec.!$C$85</f>
        <v>48</v>
      </c>
      <c r="E2611" s="25">
        <f t="shared" ref="E2611:E2619" si="247">ROUND(B2611*D2611,2)</f>
        <v>624</v>
      </c>
    </row>
    <row r="2612" spans="1:6" ht="12.75" hidden="1" customHeight="1">
      <c r="A2612" s="4" t="s">
        <v>117</v>
      </c>
      <c r="B2612" s="8">
        <v>2.4E-2</v>
      </c>
      <c r="C2612" s="6" t="s">
        <v>216</v>
      </c>
      <c r="D2612" s="37">
        <f>Prec.!$C$54</f>
        <v>3200</v>
      </c>
      <c r="E2612" s="25">
        <f t="shared" si="247"/>
        <v>76.8</v>
      </c>
    </row>
    <row r="2613" spans="1:6" ht="12.75" hidden="1" customHeight="1">
      <c r="A2613" s="4" t="s">
        <v>217</v>
      </c>
      <c r="B2613" s="8">
        <f>B2612*2</f>
        <v>4.8000000000000001E-2</v>
      </c>
      <c r="C2613" s="6" t="s">
        <v>218</v>
      </c>
      <c r="D2613" s="37">
        <f>Prec.!$C$75</f>
        <v>60</v>
      </c>
      <c r="E2613" s="25">
        <f t="shared" si="247"/>
        <v>2.88</v>
      </c>
    </row>
    <row r="2614" spans="1:6" ht="12.75" hidden="1" customHeight="1">
      <c r="A2614" s="4" t="s">
        <v>427</v>
      </c>
      <c r="B2614" s="8">
        <v>3.9E-2</v>
      </c>
      <c r="C2614" s="6" t="s">
        <v>825</v>
      </c>
      <c r="D2614" s="37">
        <f>horm.ymez.!H8</f>
        <v>6795.98</v>
      </c>
      <c r="E2614" s="25">
        <f t="shared" si="247"/>
        <v>265.04000000000002</v>
      </c>
    </row>
    <row r="2615" spans="1:6" ht="12.75" hidden="1" customHeight="1">
      <c r="A2615" s="4" t="s">
        <v>421</v>
      </c>
      <c r="B2615" s="8">
        <v>7.8E-2</v>
      </c>
      <c r="C2615" s="6" t="s">
        <v>825</v>
      </c>
      <c r="D2615" s="37">
        <f>horm.ymez.!H14</f>
        <v>5466.17</v>
      </c>
      <c r="E2615" s="25">
        <f t="shared" si="247"/>
        <v>426.36</v>
      </c>
    </row>
    <row r="2616" spans="1:6" ht="12.75" hidden="1" customHeight="1">
      <c r="A2616" s="4" t="s">
        <v>430</v>
      </c>
      <c r="B2616" s="8">
        <v>1</v>
      </c>
      <c r="C2616" s="6" t="s">
        <v>213</v>
      </c>
      <c r="D2616" s="37">
        <f>D2590</f>
        <v>20.250000000000004</v>
      </c>
      <c r="E2616" s="25">
        <f t="shared" si="247"/>
        <v>20.25</v>
      </c>
    </row>
    <row r="2617" spans="1:6" ht="12.75" hidden="1" customHeight="1">
      <c r="A2617" s="4" t="s">
        <v>428</v>
      </c>
      <c r="B2617" s="8">
        <v>13</v>
      </c>
      <c r="C2617" s="6" t="s">
        <v>1017</v>
      </c>
      <c r="D2617" s="37">
        <f>Prec.!$D$330</f>
        <v>0</v>
      </c>
      <c r="E2617" s="25">
        <f t="shared" si="247"/>
        <v>0</v>
      </c>
    </row>
    <row r="2618" spans="1:6" ht="12.75" hidden="1" customHeight="1">
      <c r="A2618" s="4" t="s">
        <v>432</v>
      </c>
      <c r="B2618" s="8">
        <v>13</v>
      </c>
      <c r="C2618" s="6" t="s">
        <v>1017</v>
      </c>
      <c r="D2618" s="37">
        <f>Prec.!$D$542</f>
        <v>0.55000000000000004</v>
      </c>
      <c r="E2618" s="25">
        <f t="shared" si="247"/>
        <v>7.15</v>
      </c>
    </row>
    <row r="2619" spans="1:6" ht="12.75" hidden="1" customHeight="1">
      <c r="A2619" s="4" t="s">
        <v>433</v>
      </c>
      <c r="B2619" s="8">
        <v>13</v>
      </c>
      <c r="C2619" s="6" t="s">
        <v>1017</v>
      </c>
      <c r="D2619" s="37">
        <f>Prec.!D544</f>
        <v>4.2699999999999996</v>
      </c>
      <c r="E2619" s="25">
        <f t="shared" si="247"/>
        <v>55.51</v>
      </c>
    </row>
    <row r="2620" spans="1:6" ht="12.75" hidden="1" customHeight="1">
      <c r="A2620" s="4" t="s">
        <v>1183</v>
      </c>
      <c r="B2620" s="8">
        <v>13</v>
      </c>
      <c r="C2620" s="6" t="s">
        <v>1017</v>
      </c>
      <c r="D2620" s="37">
        <f>D2594</f>
        <v>4.41</v>
      </c>
      <c r="E2620" s="25">
        <f>ROUND(B2620*D2620,2)</f>
        <v>57.33</v>
      </c>
    </row>
    <row r="2621" spans="1:6" ht="12.75" hidden="1" customHeight="1">
      <c r="A2621" s="4" t="s">
        <v>208</v>
      </c>
      <c r="B2621" s="7">
        <f>SUM(E2611:E2620)</f>
        <v>1535.32</v>
      </c>
      <c r="C2621" s="6" t="s">
        <v>209</v>
      </c>
      <c r="D2621" s="37">
        <f>D2595</f>
        <v>0.02</v>
      </c>
      <c r="E2621" s="25">
        <f>ROUND(B2621*D2621,2)</f>
        <v>30.71</v>
      </c>
      <c r="F2621" s="26">
        <f>SUM(E2611:E2621)</f>
        <v>1566.03</v>
      </c>
    </row>
    <row r="2622" spans="1:6" ht="5.25" hidden="1" customHeight="1">
      <c r="B2622" s="7"/>
    </row>
    <row r="2623" spans="1:6" ht="12.75" hidden="1" customHeight="1">
      <c r="A2623" s="1" t="s">
        <v>937</v>
      </c>
      <c r="E2623" s="27" t="s">
        <v>151</v>
      </c>
      <c r="F2623" s="28" t="s">
        <v>213</v>
      </c>
    </row>
    <row r="2624" spans="1:6" ht="12.75" hidden="1" customHeight="1">
      <c r="A2624" s="4" t="s">
        <v>214</v>
      </c>
      <c r="B2624" s="8">
        <v>13</v>
      </c>
      <c r="C2624" s="6" t="s">
        <v>1017</v>
      </c>
      <c r="D2624" s="37">
        <f>Prec.!$C$85</f>
        <v>48</v>
      </c>
      <c r="E2624" s="25">
        <f t="shared" ref="E2624:E2632" si="248">ROUND(B2624*D2624,2)</f>
        <v>624</v>
      </c>
    </row>
    <row r="2625" spans="1:6" ht="12.75" hidden="1" customHeight="1">
      <c r="A2625" s="4" t="s">
        <v>117</v>
      </c>
      <c r="B2625" s="8">
        <v>3.6999999999999998E-2</v>
      </c>
      <c r="C2625" s="6" t="s">
        <v>216</v>
      </c>
      <c r="D2625" s="37">
        <f>Prec.!$C$54</f>
        <v>3200</v>
      </c>
      <c r="E2625" s="25">
        <f t="shared" si="248"/>
        <v>118.4</v>
      </c>
    </row>
    <row r="2626" spans="1:6" ht="12.75" hidden="1" customHeight="1">
      <c r="A2626" s="4" t="s">
        <v>217</v>
      </c>
      <c r="B2626" s="8">
        <f>B2625*2</f>
        <v>7.3999999999999996E-2</v>
      </c>
      <c r="C2626" s="6" t="s">
        <v>218</v>
      </c>
      <c r="D2626" s="37">
        <f>Prec.!$C$75</f>
        <v>60</v>
      </c>
      <c r="E2626" s="25">
        <f t="shared" si="248"/>
        <v>4.4400000000000004</v>
      </c>
    </row>
    <row r="2627" spans="1:6" ht="12.75" hidden="1" customHeight="1">
      <c r="A2627" s="4" t="s">
        <v>427</v>
      </c>
      <c r="B2627" s="8">
        <v>3.9E-2</v>
      </c>
      <c r="C2627" s="6" t="s">
        <v>825</v>
      </c>
      <c r="D2627" s="37">
        <f>horm.ymez.!H8</f>
        <v>6795.98</v>
      </c>
      <c r="E2627" s="25">
        <f t="shared" si="248"/>
        <v>265.04000000000002</v>
      </c>
    </row>
    <row r="2628" spans="1:6" ht="12.75" hidden="1" customHeight="1">
      <c r="A2628" s="4" t="s">
        <v>421</v>
      </c>
      <c r="B2628" s="8">
        <v>5.1999999999999998E-2</v>
      </c>
      <c r="C2628" s="6" t="s">
        <v>825</v>
      </c>
      <c r="D2628" s="37">
        <f>horm.ymez.!H14</f>
        <v>5466.17</v>
      </c>
      <c r="E2628" s="25">
        <f t="shared" si="248"/>
        <v>284.24</v>
      </c>
    </row>
    <row r="2629" spans="1:6" ht="12.75" hidden="1" customHeight="1">
      <c r="A2629" s="4" t="s">
        <v>430</v>
      </c>
      <c r="B2629" s="8">
        <v>1</v>
      </c>
      <c r="C2629" s="6" t="s">
        <v>213</v>
      </c>
      <c r="D2629" s="37">
        <f>D2616</f>
        <v>20.250000000000004</v>
      </c>
      <c r="E2629" s="25">
        <f t="shared" si="248"/>
        <v>20.25</v>
      </c>
    </row>
    <row r="2630" spans="1:6" ht="12.75" hidden="1" customHeight="1">
      <c r="A2630" s="4" t="s">
        <v>428</v>
      </c>
      <c r="B2630" s="8">
        <v>13</v>
      </c>
      <c r="C2630" s="6" t="s">
        <v>1017</v>
      </c>
      <c r="D2630" s="37">
        <f>Prec.!$D$330</f>
        <v>0</v>
      </c>
      <c r="E2630" s="25">
        <f t="shared" si="248"/>
        <v>0</v>
      </c>
    </row>
    <row r="2631" spans="1:6" ht="12.75" hidden="1" customHeight="1">
      <c r="A2631" s="4" t="s">
        <v>432</v>
      </c>
      <c r="B2631" s="8">
        <v>13</v>
      </c>
      <c r="C2631" s="6" t="s">
        <v>1017</v>
      </c>
      <c r="D2631" s="37">
        <f>Prec.!$D$540</f>
        <v>1.1499999999999999</v>
      </c>
      <c r="E2631" s="25">
        <f t="shared" si="248"/>
        <v>14.95</v>
      </c>
    </row>
    <row r="2632" spans="1:6" ht="12.75" hidden="1" customHeight="1">
      <c r="A2632" s="4" t="s">
        <v>433</v>
      </c>
      <c r="B2632" s="8">
        <v>13</v>
      </c>
      <c r="C2632" s="6" t="s">
        <v>1017</v>
      </c>
      <c r="D2632" s="37">
        <f>Prec.!$D$545</f>
        <v>2.33</v>
      </c>
      <c r="E2632" s="25">
        <f t="shared" si="248"/>
        <v>30.29</v>
      </c>
    </row>
    <row r="2633" spans="1:6" ht="12.75" hidden="1" customHeight="1">
      <c r="A2633" s="4" t="s">
        <v>1183</v>
      </c>
      <c r="B2633" s="8">
        <v>13</v>
      </c>
      <c r="C2633" s="6" t="s">
        <v>1017</v>
      </c>
      <c r="D2633" s="37">
        <f>D2620</f>
        <v>4.41</v>
      </c>
      <c r="E2633" s="25">
        <f>ROUND(B2633*D2633,2)</f>
        <v>57.33</v>
      </c>
    </row>
    <row r="2634" spans="1:6" ht="12.75" hidden="1" customHeight="1">
      <c r="A2634" s="4" t="s">
        <v>208</v>
      </c>
      <c r="B2634" s="7">
        <f>SUM(E2624:E2633)</f>
        <v>1418.94</v>
      </c>
      <c r="C2634" s="6" t="s">
        <v>209</v>
      </c>
      <c r="D2634" s="37">
        <f>D2621</f>
        <v>0.02</v>
      </c>
      <c r="E2634" s="25">
        <f>ROUND(B2634*D2634,2)</f>
        <v>28.38</v>
      </c>
      <c r="F2634" s="26">
        <f>SUM(E2624:E2634)</f>
        <v>1447.3200000000002</v>
      </c>
    </row>
    <row r="2635" spans="1:6" ht="10.15" hidden="1" customHeight="1">
      <c r="B2635" s="7"/>
    </row>
    <row r="2636" spans="1:6" ht="12.75" hidden="1" customHeight="1">
      <c r="A2636" s="1" t="s">
        <v>933</v>
      </c>
      <c r="E2636" s="27" t="s">
        <v>151</v>
      </c>
      <c r="F2636" s="28" t="s">
        <v>213</v>
      </c>
    </row>
    <row r="2637" spans="1:6" ht="12.75" hidden="1" customHeight="1">
      <c r="A2637" s="4" t="s">
        <v>214</v>
      </c>
      <c r="B2637" s="8">
        <v>13</v>
      </c>
      <c r="C2637" s="6" t="s">
        <v>1017</v>
      </c>
      <c r="D2637" s="37">
        <f>Prec.!$C$85</f>
        <v>48</v>
      </c>
      <c r="E2637" s="25">
        <f t="shared" ref="E2637:E2645" si="249">ROUND(B2637*D2637,2)</f>
        <v>624</v>
      </c>
    </row>
    <row r="2638" spans="1:6" ht="12.75" hidden="1" customHeight="1">
      <c r="A2638" s="4" t="s">
        <v>117</v>
      </c>
      <c r="B2638" s="8">
        <v>2.4E-2</v>
      </c>
      <c r="C2638" s="6" t="s">
        <v>216</v>
      </c>
      <c r="D2638" s="37">
        <f>Prec.!$C$54</f>
        <v>3200</v>
      </c>
      <c r="E2638" s="25">
        <f t="shared" si="249"/>
        <v>76.8</v>
      </c>
    </row>
    <row r="2639" spans="1:6" ht="12.75" hidden="1" customHeight="1">
      <c r="A2639" s="4" t="s">
        <v>217</v>
      </c>
      <c r="B2639" s="8">
        <f>B2638*2</f>
        <v>4.8000000000000001E-2</v>
      </c>
      <c r="C2639" s="6" t="s">
        <v>218</v>
      </c>
      <c r="D2639" s="37">
        <f>Prec.!$C$75</f>
        <v>60</v>
      </c>
      <c r="E2639" s="25">
        <f t="shared" si="249"/>
        <v>2.88</v>
      </c>
    </row>
    <row r="2640" spans="1:6" ht="12.75" hidden="1" customHeight="1">
      <c r="A2640" s="4" t="s">
        <v>427</v>
      </c>
      <c r="B2640" s="8">
        <v>3.9E-2</v>
      </c>
      <c r="C2640" s="6" t="s">
        <v>825</v>
      </c>
      <c r="D2640" s="37">
        <f>horm.ymez.!H8</f>
        <v>6795.98</v>
      </c>
      <c r="E2640" s="25">
        <f t="shared" si="249"/>
        <v>265.04000000000002</v>
      </c>
    </row>
    <row r="2641" spans="1:6" ht="12.75" hidden="1" customHeight="1">
      <c r="A2641" s="4" t="s">
        <v>421</v>
      </c>
      <c r="B2641" s="8">
        <v>3.1E-2</v>
      </c>
      <c r="C2641" s="6" t="s">
        <v>825</v>
      </c>
      <c r="D2641" s="37">
        <f>horm.ymez.!H14</f>
        <v>5466.17</v>
      </c>
      <c r="E2641" s="25">
        <f t="shared" si="249"/>
        <v>169.45</v>
      </c>
    </row>
    <row r="2642" spans="1:6" ht="12.75" hidden="1" customHeight="1">
      <c r="A2642" s="4" t="s">
        <v>430</v>
      </c>
      <c r="B2642" s="8">
        <v>1</v>
      </c>
      <c r="C2642" s="6" t="s">
        <v>213</v>
      </c>
      <c r="D2642" s="37">
        <f>D2616</f>
        <v>20.250000000000004</v>
      </c>
      <c r="E2642" s="25">
        <f t="shared" si="249"/>
        <v>20.25</v>
      </c>
    </row>
    <row r="2643" spans="1:6" ht="12.75" hidden="1" customHeight="1">
      <c r="A2643" s="4" t="s">
        <v>428</v>
      </c>
      <c r="B2643" s="8">
        <v>13</v>
      </c>
      <c r="C2643" s="6" t="s">
        <v>1017</v>
      </c>
      <c r="D2643" s="37">
        <f>Prec.!$D$330</f>
        <v>0</v>
      </c>
      <c r="E2643" s="25">
        <f t="shared" si="249"/>
        <v>0</v>
      </c>
    </row>
    <row r="2644" spans="1:6" ht="12.75" hidden="1" customHeight="1">
      <c r="A2644" s="4" t="s">
        <v>432</v>
      </c>
      <c r="B2644" s="8">
        <v>13</v>
      </c>
      <c r="C2644" s="6" t="s">
        <v>1017</v>
      </c>
      <c r="D2644" s="37">
        <f>Prec.!$D$542</f>
        <v>0.55000000000000004</v>
      </c>
      <c r="E2644" s="25">
        <f t="shared" si="249"/>
        <v>7.15</v>
      </c>
    </row>
    <row r="2645" spans="1:6" ht="12.75" hidden="1" customHeight="1">
      <c r="A2645" s="4" t="s">
        <v>433</v>
      </c>
      <c r="B2645" s="8">
        <v>13</v>
      </c>
      <c r="C2645" s="6" t="s">
        <v>1017</v>
      </c>
      <c r="D2645" s="37">
        <f>Prec.!$D$547</f>
        <v>1.1499999999999999</v>
      </c>
      <c r="E2645" s="25">
        <f t="shared" si="249"/>
        <v>14.95</v>
      </c>
    </row>
    <row r="2646" spans="1:6" ht="12.75" hidden="1" customHeight="1">
      <c r="A2646" s="4" t="s">
        <v>1183</v>
      </c>
      <c r="B2646" s="8">
        <v>13</v>
      </c>
      <c r="C2646" s="6" t="s">
        <v>1017</v>
      </c>
      <c r="D2646" s="37">
        <f>D2620</f>
        <v>4.41</v>
      </c>
      <c r="E2646" s="25">
        <f>ROUND(B2646*D2646,2)</f>
        <v>57.33</v>
      </c>
    </row>
    <row r="2647" spans="1:6" ht="12.75" hidden="1" customHeight="1">
      <c r="A2647" s="4" t="s">
        <v>208</v>
      </c>
      <c r="B2647" s="7">
        <f>SUM(E2637:E2646)</f>
        <v>1237.8500000000001</v>
      </c>
      <c r="C2647" s="6" t="s">
        <v>209</v>
      </c>
      <c r="D2647" s="37">
        <f>D2621</f>
        <v>0.02</v>
      </c>
      <c r="E2647" s="25">
        <f>ROUND(B2647*D2647,2)</f>
        <v>24.76</v>
      </c>
      <c r="F2647" s="26">
        <f>SUM(E2637:E2647)</f>
        <v>1262.6100000000001</v>
      </c>
    </row>
    <row r="2648" spans="1:6" ht="12.75" hidden="1" customHeight="1">
      <c r="A2648" s="1" t="s">
        <v>932</v>
      </c>
      <c r="D2648" s="35"/>
      <c r="E2648" s="27" t="s">
        <v>151</v>
      </c>
      <c r="F2648" s="28" t="s">
        <v>213</v>
      </c>
    </row>
    <row r="2649" spans="1:6" ht="12.75" hidden="1" customHeight="1">
      <c r="A2649" s="4" t="s">
        <v>102</v>
      </c>
      <c r="B2649" s="8">
        <v>13</v>
      </c>
      <c r="C2649" s="6" t="s">
        <v>1017</v>
      </c>
      <c r="D2649" s="37">
        <f>Prec.!$C$86</f>
        <v>44</v>
      </c>
      <c r="E2649" s="25">
        <f t="shared" ref="E2649:E2657" si="250">ROUND(B2649*D2649,2)</f>
        <v>572</v>
      </c>
    </row>
    <row r="2650" spans="1:6" ht="12.75" hidden="1" customHeight="1">
      <c r="A2650" s="4" t="s">
        <v>117</v>
      </c>
      <c r="B2650" s="8">
        <v>6.2E-2</v>
      </c>
      <c r="C2650" s="6" t="s">
        <v>216</v>
      </c>
      <c r="D2650" s="37">
        <f>Prec.!$C$54</f>
        <v>3200</v>
      </c>
      <c r="E2650" s="25">
        <f t="shared" si="250"/>
        <v>198.4</v>
      </c>
    </row>
    <row r="2651" spans="1:6" ht="12.75" hidden="1" customHeight="1">
      <c r="A2651" s="4" t="s">
        <v>217</v>
      </c>
      <c r="B2651" s="8">
        <f>B2650*2</f>
        <v>0.124</v>
      </c>
      <c r="C2651" s="6" t="s">
        <v>218</v>
      </c>
      <c r="D2651" s="37">
        <f>Prec.!$C$75</f>
        <v>60</v>
      </c>
      <c r="E2651" s="25">
        <f t="shared" si="250"/>
        <v>7.44</v>
      </c>
    </row>
    <row r="2652" spans="1:6" ht="12.75" hidden="1" customHeight="1">
      <c r="A2652" s="4" t="s">
        <v>427</v>
      </c>
      <c r="B2652" s="8">
        <v>3.1E-2</v>
      </c>
      <c r="C2652" s="6" t="s">
        <v>825</v>
      </c>
      <c r="D2652" s="37">
        <f>horm.ymez.!H8</f>
        <v>6795.98</v>
      </c>
      <c r="E2652" s="25">
        <f t="shared" si="250"/>
        <v>210.68</v>
      </c>
    </row>
    <row r="2653" spans="1:6" ht="12.75" hidden="1" customHeight="1">
      <c r="A2653" s="4" t="s">
        <v>421</v>
      </c>
      <c r="B2653" s="8">
        <v>4.8000000000000001E-2</v>
      </c>
      <c r="C2653" s="6" t="s">
        <v>825</v>
      </c>
      <c r="D2653" s="37">
        <f>horm.ymez.!H14</f>
        <v>5466.17</v>
      </c>
      <c r="E2653" s="25">
        <f t="shared" si="250"/>
        <v>262.38</v>
      </c>
    </row>
    <row r="2654" spans="1:6" ht="12.75" hidden="1" customHeight="1">
      <c r="A2654" s="4" t="s">
        <v>430</v>
      </c>
      <c r="B2654" s="8">
        <v>1</v>
      </c>
      <c r="C2654" s="6" t="s">
        <v>213</v>
      </c>
      <c r="D2654" s="37">
        <f>D2642</f>
        <v>20.250000000000004</v>
      </c>
      <c r="E2654" s="25">
        <f t="shared" si="250"/>
        <v>20.25</v>
      </c>
    </row>
    <row r="2655" spans="1:6" ht="12.75" hidden="1" customHeight="1">
      <c r="A2655" s="4" t="s">
        <v>428</v>
      </c>
      <c r="B2655" s="8">
        <v>13</v>
      </c>
      <c r="C2655" s="6" t="s">
        <v>1017</v>
      </c>
      <c r="D2655" s="37">
        <f>Prec.!$D$329</f>
        <v>0</v>
      </c>
      <c r="E2655" s="25">
        <f t="shared" si="250"/>
        <v>0</v>
      </c>
    </row>
    <row r="2656" spans="1:6" ht="12.75" hidden="1" customHeight="1">
      <c r="A2656" s="4" t="s">
        <v>432</v>
      </c>
      <c r="B2656" s="8">
        <v>13</v>
      </c>
      <c r="C2656" s="6" t="s">
        <v>1017</v>
      </c>
      <c r="D2656" s="37">
        <f>Prec.!$D$539</f>
        <v>1.7</v>
      </c>
      <c r="E2656" s="25">
        <f t="shared" si="250"/>
        <v>22.1</v>
      </c>
    </row>
    <row r="2657" spans="1:6" ht="12.75" hidden="1" customHeight="1">
      <c r="A2657" s="4" t="s">
        <v>433</v>
      </c>
      <c r="B2657" s="8">
        <v>13</v>
      </c>
      <c r="C2657" s="6" t="s">
        <v>1017</v>
      </c>
      <c r="D2657" s="37">
        <f>Prec.!$D$544</f>
        <v>4.2699999999999996</v>
      </c>
      <c r="E2657" s="25">
        <f t="shared" si="250"/>
        <v>55.51</v>
      </c>
    </row>
    <row r="2658" spans="1:6" ht="12.75" hidden="1" customHeight="1">
      <c r="A2658" s="4" t="s">
        <v>1184</v>
      </c>
      <c r="B2658" s="8">
        <v>13</v>
      </c>
      <c r="C2658" s="6" t="s">
        <v>1017</v>
      </c>
      <c r="D2658" s="37">
        <f>Prec.!D406</f>
        <v>3.53</v>
      </c>
      <c r="E2658" s="25">
        <f>ROUND(B2658*D2658,2)</f>
        <v>45.89</v>
      </c>
    </row>
    <row r="2659" spans="1:6" ht="12.75" hidden="1" customHeight="1">
      <c r="A2659" s="4" t="s">
        <v>208</v>
      </c>
      <c r="B2659" s="7">
        <f>SUM(E2649:E2658)</f>
        <v>1394.65</v>
      </c>
      <c r="C2659" s="6" t="s">
        <v>209</v>
      </c>
      <c r="D2659" s="37">
        <f>D2647</f>
        <v>0.02</v>
      </c>
      <c r="E2659" s="25">
        <f>ROUND(B2659*D2659,2)</f>
        <v>27.89</v>
      </c>
      <c r="F2659" s="26">
        <f>SUM(E2649:E2659)</f>
        <v>1422.5400000000002</v>
      </c>
    </row>
    <row r="2660" spans="1:6" ht="10.15" hidden="1" customHeight="1">
      <c r="B2660" s="7"/>
    </row>
    <row r="2661" spans="1:6" ht="12.75" hidden="1" customHeight="1">
      <c r="A2661" s="1" t="s">
        <v>940</v>
      </c>
      <c r="E2661" s="27" t="s">
        <v>151</v>
      </c>
      <c r="F2661" s="28" t="s">
        <v>213</v>
      </c>
    </row>
    <row r="2662" spans="1:6" ht="12.75" hidden="1" customHeight="1">
      <c r="A2662" s="4" t="s">
        <v>102</v>
      </c>
      <c r="B2662" s="8">
        <v>13</v>
      </c>
      <c r="C2662" s="6" t="s">
        <v>1017</v>
      </c>
      <c r="D2662" s="37">
        <f>Prec.!$C$86</f>
        <v>44</v>
      </c>
      <c r="E2662" s="25">
        <f t="shared" ref="E2662:E2670" si="251">ROUND(B2662*D2662,2)</f>
        <v>572</v>
      </c>
    </row>
    <row r="2663" spans="1:6" ht="12.75" hidden="1" customHeight="1">
      <c r="A2663" s="4" t="s">
        <v>117</v>
      </c>
      <c r="B2663" s="8">
        <v>3.6999999999999998E-2</v>
      </c>
      <c r="C2663" s="6" t="s">
        <v>216</v>
      </c>
      <c r="D2663" s="37">
        <f>Prec.!$C$54</f>
        <v>3200</v>
      </c>
      <c r="E2663" s="25">
        <f t="shared" si="251"/>
        <v>118.4</v>
      </c>
    </row>
    <row r="2664" spans="1:6" ht="12.75" hidden="1" customHeight="1">
      <c r="A2664" s="4" t="s">
        <v>217</v>
      </c>
      <c r="B2664" s="8">
        <f>B2663*2</f>
        <v>7.3999999999999996E-2</v>
      </c>
      <c r="C2664" s="6" t="s">
        <v>218</v>
      </c>
      <c r="D2664" s="37">
        <f>Prec.!$C$75</f>
        <v>60</v>
      </c>
      <c r="E2664" s="25">
        <f t="shared" si="251"/>
        <v>4.4400000000000004</v>
      </c>
    </row>
    <row r="2665" spans="1:6" ht="12.75" hidden="1" customHeight="1">
      <c r="A2665" s="4" t="s">
        <v>427</v>
      </c>
      <c r="B2665" s="8">
        <v>3.1E-2</v>
      </c>
      <c r="C2665" s="6" t="s">
        <v>825</v>
      </c>
      <c r="D2665" s="37">
        <f>horm.ymez.!H8</f>
        <v>6795.98</v>
      </c>
      <c r="E2665" s="25">
        <f t="shared" si="251"/>
        <v>210.68</v>
      </c>
    </row>
    <row r="2666" spans="1:6" ht="12.75" hidden="1" customHeight="1">
      <c r="A2666" s="4" t="s">
        <v>421</v>
      </c>
      <c r="B2666" s="8">
        <v>4.8000000000000001E-2</v>
      </c>
      <c r="C2666" s="6" t="s">
        <v>825</v>
      </c>
      <c r="D2666" s="37">
        <f>horm.ymez.!H14</f>
        <v>5466.17</v>
      </c>
      <c r="E2666" s="25">
        <f t="shared" si="251"/>
        <v>262.38</v>
      </c>
    </row>
    <row r="2667" spans="1:6" ht="12.75" hidden="1" customHeight="1">
      <c r="A2667" s="4" t="s">
        <v>430</v>
      </c>
      <c r="B2667" s="8">
        <v>1</v>
      </c>
      <c r="C2667" s="6" t="s">
        <v>213</v>
      </c>
      <c r="D2667" s="37">
        <f>D2654</f>
        <v>20.250000000000004</v>
      </c>
      <c r="E2667" s="25">
        <f t="shared" si="251"/>
        <v>20.25</v>
      </c>
    </row>
    <row r="2668" spans="1:6" ht="12.75" hidden="1" customHeight="1">
      <c r="A2668" s="4" t="s">
        <v>428</v>
      </c>
      <c r="B2668" s="8">
        <v>13</v>
      </c>
      <c r="C2668" s="6" t="s">
        <v>1017</v>
      </c>
      <c r="D2668" s="37">
        <f>Prec.!$D$329</f>
        <v>0</v>
      </c>
      <c r="E2668" s="25">
        <f t="shared" si="251"/>
        <v>0</v>
      </c>
    </row>
    <row r="2669" spans="1:6" ht="12.75" hidden="1" customHeight="1">
      <c r="A2669" s="4" t="s">
        <v>432</v>
      </c>
      <c r="B2669" s="8">
        <v>13</v>
      </c>
      <c r="C2669" s="6" t="s">
        <v>1017</v>
      </c>
      <c r="D2669" s="37">
        <f>Prec.!$D$540</f>
        <v>1.1499999999999999</v>
      </c>
      <c r="E2669" s="25">
        <f t="shared" si="251"/>
        <v>14.95</v>
      </c>
    </row>
    <row r="2670" spans="1:6" ht="12.75" hidden="1" customHeight="1">
      <c r="A2670" s="4" t="s">
        <v>433</v>
      </c>
      <c r="B2670" s="8">
        <v>13</v>
      </c>
      <c r="C2670" s="6" t="s">
        <v>1017</v>
      </c>
      <c r="D2670" s="37">
        <f>Prec.!D544</f>
        <v>4.2699999999999996</v>
      </c>
      <c r="E2670" s="25">
        <f t="shared" si="251"/>
        <v>55.51</v>
      </c>
    </row>
    <row r="2671" spans="1:6" ht="12.75" hidden="1" customHeight="1">
      <c r="A2671" s="4" t="s">
        <v>1184</v>
      </c>
      <c r="B2671" s="8">
        <v>13</v>
      </c>
      <c r="C2671" s="6" t="s">
        <v>1017</v>
      </c>
      <c r="D2671" s="37">
        <f>Prec.!D406</f>
        <v>3.53</v>
      </c>
      <c r="E2671" s="25">
        <f>ROUND(B2671*D2671,2)</f>
        <v>45.89</v>
      </c>
    </row>
    <row r="2672" spans="1:6" ht="12.75" hidden="1" customHeight="1">
      <c r="A2672" s="4" t="s">
        <v>208</v>
      </c>
      <c r="B2672" s="7">
        <f>SUM(E2662:E2671)</f>
        <v>1304.5000000000002</v>
      </c>
      <c r="C2672" s="6" t="s">
        <v>209</v>
      </c>
      <c r="D2672" s="37">
        <f>D2647</f>
        <v>0.02</v>
      </c>
      <c r="E2672" s="25">
        <f>ROUND(B2672*D2672,2)</f>
        <v>26.09</v>
      </c>
      <c r="F2672" s="26">
        <f>SUM(E2662:E2672)</f>
        <v>1330.5900000000001</v>
      </c>
    </row>
    <row r="2673" spans="1:13" s="166" customFormat="1" ht="12.75" hidden="1" customHeight="1">
      <c r="B2673" s="7"/>
      <c r="C2673" s="165"/>
      <c r="D2673" s="37"/>
      <c r="E2673" s="25"/>
      <c r="F2673" s="26"/>
      <c r="G2673" s="15"/>
      <c r="H2673" s="21"/>
      <c r="I2673" s="15"/>
      <c r="J2673" s="15"/>
      <c r="K2673" s="15"/>
      <c r="L2673" s="21"/>
      <c r="M2673" s="15"/>
    </row>
    <row r="2674" spans="1:13" ht="12.75" hidden="1" customHeight="1">
      <c r="A2674" s="1" t="s">
        <v>927</v>
      </c>
      <c r="E2674" s="27" t="s">
        <v>151</v>
      </c>
      <c r="F2674" s="28" t="s">
        <v>213</v>
      </c>
    </row>
    <row r="2675" spans="1:13" ht="12.75" hidden="1" customHeight="1">
      <c r="A2675" s="4" t="s">
        <v>102</v>
      </c>
      <c r="B2675" s="8">
        <v>13</v>
      </c>
      <c r="C2675" s="6" t="s">
        <v>1017</v>
      </c>
      <c r="D2675" s="37">
        <f>Prec.!$C$86</f>
        <v>44</v>
      </c>
      <c r="E2675" s="25">
        <f t="shared" ref="E2675:E2683" si="252">ROUND(B2675*D2675,2)</f>
        <v>572</v>
      </c>
    </row>
    <row r="2676" spans="1:13" ht="12.75" hidden="1" customHeight="1">
      <c r="A2676" s="4" t="s">
        <v>117</v>
      </c>
      <c r="B2676" s="8">
        <v>3.2000000000000001E-2</v>
      </c>
      <c r="C2676" s="6" t="s">
        <v>216</v>
      </c>
      <c r="D2676" s="37">
        <f>Prec.!$C$54</f>
        <v>3200</v>
      </c>
      <c r="E2676" s="25">
        <f t="shared" si="252"/>
        <v>102.4</v>
      </c>
    </row>
    <row r="2677" spans="1:13" ht="12.75" hidden="1" customHeight="1">
      <c r="A2677" s="4" t="s">
        <v>217</v>
      </c>
      <c r="B2677" s="8">
        <f>B2676*2</f>
        <v>6.4000000000000001E-2</v>
      </c>
      <c r="C2677" s="6" t="s">
        <v>218</v>
      </c>
      <c r="D2677" s="37">
        <f>Prec.!$C$75</f>
        <v>60</v>
      </c>
      <c r="E2677" s="25">
        <f t="shared" si="252"/>
        <v>3.84</v>
      </c>
    </row>
    <row r="2678" spans="1:13" ht="12.75" hidden="1" customHeight="1">
      <c r="A2678" s="4" t="s">
        <v>427</v>
      </c>
      <c r="B2678" s="8">
        <v>3.1E-2</v>
      </c>
      <c r="C2678" s="6" t="s">
        <v>825</v>
      </c>
      <c r="D2678" s="37">
        <f>D2665</f>
        <v>6795.98</v>
      </c>
      <c r="E2678" s="25">
        <f t="shared" si="252"/>
        <v>210.68</v>
      </c>
    </row>
    <row r="2679" spans="1:13" ht="12.75" hidden="1" customHeight="1">
      <c r="A2679" s="4" t="s">
        <v>421</v>
      </c>
      <c r="B2679" s="8">
        <v>4.8000000000000001E-2</v>
      </c>
      <c r="C2679" s="6" t="s">
        <v>825</v>
      </c>
      <c r="D2679" s="37">
        <f>D2666</f>
        <v>5466.17</v>
      </c>
      <c r="E2679" s="25">
        <f t="shared" si="252"/>
        <v>262.38</v>
      </c>
    </row>
    <row r="2680" spans="1:13" ht="12.75" hidden="1" customHeight="1">
      <c r="A2680" s="4" t="s">
        <v>430</v>
      </c>
      <c r="B2680" s="8">
        <v>1</v>
      </c>
      <c r="C2680" s="6" t="s">
        <v>213</v>
      </c>
      <c r="D2680" s="37">
        <f>D2667</f>
        <v>20.250000000000004</v>
      </c>
      <c r="E2680" s="25">
        <f t="shared" si="252"/>
        <v>20.25</v>
      </c>
    </row>
    <row r="2681" spans="1:13" ht="12.75" hidden="1" customHeight="1">
      <c r="A2681" s="4" t="s">
        <v>428</v>
      </c>
      <c r="B2681" s="8">
        <v>13</v>
      </c>
      <c r="C2681" s="6" t="s">
        <v>1017</v>
      </c>
      <c r="D2681" s="37">
        <f>Prec.!$D$329</f>
        <v>0</v>
      </c>
      <c r="E2681" s="25">
        <f t="shared" si="252"/>
        <v>0</v>
      </c>
    </row>
    <row r="2682" spans="1:13" ht="12.75" hidden="1" customHeight="1">
      <c r="A2682" s="4" t="s">
        <v>432</v>
      </c>
      <c r="B2682" s="8">
        <v>13</v>
      </c>
      <c r="C2682" s="6" t="s">
        <v>1017</v>
      </c>
      <c r="D2682" s="37">
        <f>Prec.!D541</f>
        <v>0.85</v>
      </c>
      <c r="E2682" s="25">
        <f t="shared" si="252"/>
        <v>11.05</v>
      </c>
    </row>
    <row r="2683" spans="1:13" ht="12.75" hidden="1" customHeight="1">
      <c r="A2683" s="4" t="s">
        <v>433</v>
      </c>
      <c r="B2683" s="8">
        <v>13</v>
      </c>
      <c r="C2683" s="6" t="s">
        <v>1017</v>
      </c>
      <c r="D2683" s="37">
        <f>Prec.!D544</f>
        <v>4.2699999999999996</v>
      </c>
      <c r="E2683" s="25">
        <f t="shared" si="252"/>
        <v>55.51</v>
      </c>
    </row>
    <row r="2684" spans="1:13" ht="12.75" hidden="1" customHeight="1">
      <c r="A2684" s="4" t="s">
        <v>1184</v>
      </c>
      <c r="B2684" s="8">
        <v>13</v>
      </c>
      <c r="C2684" s="6" t="s">
        <v>1017</v>
      </c>
      <c r="D2684" s="37">
        <f>D2671</f>
        <v>3.53</v>
      </c>
      <c r="E2684" s="25">
        <f>ROUND(B2684*D2684,2)</f>
        <v>45.89</v>
      </c>
    </row>
    <row r="2685" spans="1:13" ht="12.75" hidden="1" customHeight="1">
      <c r="A2685" s="4" t="s">
        <v>208</v>
      </c>
      <c r="B2685" s="7">
        <f>SUM(E2675:E2684)</f>
        <v>1284.0000000000002</v>
      </c>
      <c r="C2685" s="6" t="s">
        <v>209</v>
      </c>
      <c r="D2685" s="37">
        <f>D2698</f>
        <v>0.02</v>
      </c>
      <c r="E2685" s="25">
        <f>ROUND(B2685*D2685,2)</f>
        <v>25.68</v>
      </c>
      <c r="F2685" s="26">
        <f>SUM(E2675:E2685)</f>
        <v>1309.6800000000003</v>
      </c>
    </row>
    <row r="2686" spans="1:13" ht="5.25" hidden="1" customHeight="1">
      <c r="B2686" s="7"/>
    </row>
    <row r="2687" spans="1:13" ht="12.75" hidden="1" customHeight="1">
      <c r="A2687" s="1" t="s">
        <v>926</v>
      </c>
      <c r="E2687" s="27" t="s">
        <v>151</v>
      </c>
      <c r="F2687" s="28" t="s">
        <v>213</v>
      </c>
    </row>
    <row r="2688" spans="1:13" ht="12.75" hidden="1" customHeight="1">
      <c r="A2688" s="4" t="s">
        <v>544</v>
      </c>
      <c r="B2688" s="8">
        <v>13</v>
      </c>
      <c r="C2688" s="6" t="s">
        <v>1017</v>
      </c>
      <c r="D2688" s="37">
        <f>Prec.!$C$86</f>
        <v>44</v>
      </c>
      <c r="E2688" s="25">
        <f t="shared" ref="E2688:E2696" si="253">ROUND(B2688*D2688,2)</f>
        <v>572</v>
      </c>
    </row>
    <row r="2689" spans="1:6" ht="12.75" hidden="1" customHeight="1">
      <c r="A2689" s="4" t="s">
        <v>117</v>
      </c>
      <c r="B2689" s="8">
        <v>2.4E-2</v>
      </c>
      <c r="C2689" s="6" t="s">
        <v>216</v>
      </c>
      <c r="D2689" s="37">
        <f>Prec.!$C$54</f>
        <v>3200</v>
      </c>
      <c r="E2689" s="25">
        <f t="shared" si="253"/>
        <v>76.8</v>
      </c>
    </row>
    <row r="2690" spans="1:6" ht="12.75" hidden="1" customHeight="1">
      <c r="A2690" s="4" t="s">
        <v>217</v>
      </c>
      <c r="B2690" s="8">
        <f>B2689*2</f>
        <v>4.8000000000000001E-2</v>
      </c>
      <c r="C2690" s="6" t="s">
        <v>218</v>
      </c>
      <c r="D2690" s="37">
        <f>Prec.!$C$75</f>
        <v>60</v>
      </c>
      <c r="E2690" s="25">
        <f t="shared" si="253"/>
        <v>2.88</v>
      </c>
    </row>
    <row r="2691" spans="1:6" ht="12.75" hidden="1" customHeight="1">
      <c r="A2691" s="4" t="s">
        <v>427</v>
      </c>
      <c r="B2691" s="8">
        <v>3.1E-2</v>
      </c>
      <c r="C2691" s="6" t="s">
        <v>825</v>
      </c>
      <c r="D2691" s="37">
        <f>horm.ymez.!H8</f>
        <v>6795.98</v>
      </c>
      <c r="E2691" s="25">
        <f t="shared" si="253"/>
        <v>210.68</v>
      </c>
    </row>
    <row r="2692" spans="1:6" ht="12.75" hidden="1" customHeight="1">
      <c r="A2692" s="4" t="s">
        <v>421</v>
      </c>
      <c r="B2692" s="8">
        <v>4.8000000000000001E-2</v>
      </c>
      <c r="C2692" s="6" t="s">
        <v>825</v>
      </c>
      <c r="D2692" s="37">
        <f>horm.ymez.!H14</f>
        <v>5466.17</v>
      </c>
      <c r="E2692" s="25">
        <f t="shared" si="253"/>
        <v>262.38</v>
      </c>
    </row>
    <row r="2693" spans="1:6" ht="12.75" hidden="1" customHeight="1">
      <c r="A2693" s="4" t="s">
        <v>430</v>
      </c>
      <c r="B2693" s="8">
        <v>1</v>
      </c>
      <c r="C2693" s="6" t="s">
        <v>213</v>
      </c>
      <c r="D2693" s="37">
        <f>D2654</f>
        <v>20.250000000000004</v>
      </c>
      <c r="E2693" s="25">
        <f t="shared" si="253"/>
        <v>20.25</v>
      </c>
    </row>
    <row r="2694" spans="1:6" ht="12.75" hidden="1" customHeight="1">
      <c r="A2694" s="4" t="s">
        <v>428</v>
      </c>
      <c r="B2694" s="8">
        <v>13</v>
      </c>
      <c r="C2694" s="6" t="s">
        <v>1017</v>
      </c>
      <c r="D2694" s="37">
        <f>Prec.!$D$329</f>
        <v>0</v>
      </c>
      <c r="E2694" s="25">
        <f t="shared" si="253"/>
        <v>0</v>
      </c>
    </row>
    <row r="2695" spans="1:6" ht="12.75" hidden="1" customHeight="1">
      <c r="A2695" s="4" t="s">
        <v>432</v>
      </c>
      <c r="B2695" s="8">
        <v>13</v>
      </c>
      <c r="C2695" s="6" t="s">
        <v>1017</v>
      </c>
      <c r="D2695" s="37">
        <f>Prec.!$D$542</f>
        <v>0.55000000000000004</v>
      </c>
      <c r="E2695" s="25">
        <f t="shared" si="253"/>
        <v>7.15</v>
      </c>
    </row>
    <row r="2696" spans="1:6" ht="12.75" hidden="1" customHeight="1">
      <c r="A2696" s="4" t="s">
        <v>433</v>
      </c>
      <c r="B2696" s="8">
        <v>13</v>
      </c>
      <c r="C2696" s="6" t="s">
        <v>1017</v>
      </c>
      <c r="D2696" s="37">
        <f>Prec.!D544</f>
        <v>4.2699999999999996</v>
      </c>
      <c r="E2696" s="25">
        <f t="shared" si="253"/>
        <v>55.51</v>
      </c>
    </row>
    <row r="2697" spans="1:6" ht="12.75" hidden="1" customHeight="1">
      <c r="A2697" s="4" t="s">
        <v>1184</v>
      </c>
      <c r="B2697" s="8">
        <v>13</v>
      </c>
      <c r="C2697" s="6" t="s">
        <v>1017</v>
      </c>
      <c r="D2697" s="37">
        <f>D2658</f>
        <v>3.53</v>
      </c>
      <c r="E2697" s="25">
        <f>ROUND(B2697*D2697,2)</f>
        <v>45.89</v>
      </c>
    </row>
    <row r="2698" spans="1:6" ht="12.75" hidden="1" customHeight="1">
      <c r="A2698" s="4" t="s">
        <v>208</v>
      </c>
      <c r="B2698" s="7">
        <f>SUM(E2688:E2697)</f>
        <v>1253.54</v>
      </c>
      <c r="C2698" s="6" t="s">
        <v>209</v>
      </c>
      <c r="D2698" s="37">
        <f>D2659</f>
        <v>0.02</v>
      </c>
      <c r="E2698" s="25">
        <f>ROUND(B2698*D2698,2)</f>
        <v>25.07</v>
      </c>
      <c r="F2698" s="26">
        <f>SUM(E2688:E2698)</f>
        <v>1278.6099999999999</v>
      </c>
    </row>
    <row r="2699" spans="1:6" ht="12.75" hidden="1" customHeight="1">
      <c r="A2699" s="1" t="s">
        <v>936</v>
      </c>
      <c r="E2699" s="27" t="s">
        <v>151</v>
      </c>
      <c r="F2699" s="28" t="s">
        <v>213</v>
      </c>
    </row>
    <row r="2700" spans="1:6" ht="12.75" hidden="1" customHeight="1">
      <c r="A2700" s="4" t="s">
        <v>102</v>
      </c>
      <c r="B2700" s="8">
        <v>12.875</v>
      </c>
      <c r="C2700" s="6" t="s">
        <v>1017</v>
      </c>
      <c r="D2700" s="37">
        <f>Prec.!$C$86</f>
        <v>44</v>
      </c>
      <c r="E2700" s="25">
        <f t="shared" ref="E2700:E2708" si="254">ROUND(B2700*D2700,2)</f>
        <v>566.5</v>
      </c>
    </row>
    <row r="2701" spans="1:6" ht="12.75" hidden="1" customHeight="1">
      <c r="A2701" s="4" t="s">
        <v>117</v>
      </c>
      <c r="B2701" s="8">
        <v>3.6999999999999998E-2</v>
      </c>
      <c r="C2701" s="6" t="s">
        <v>216</v>
      </c>
      <c r="D2701" s="37">
        <f>Prec.!$C$54</f>
        <v>3200</v>
      </c>
      <c r="E2701" s="25">
        <f t="shared" si="254"/>
        <v>118.4</v>
      </c>
    </row>
    <row r="2702" spans="1:6" ht="12.75" hidden="1" customHeight="1">
      <c r="A2702" s="4" t="s">
        <v>217</v>
      </c>
      <c r="B2702" s="8">
        <f>B2701*2</f>
        <v>7.3999999999999996E-2</v>
      </c>
      <c r="C2702" s="6" t="s">
        <v>218</v>
      </c>
      <c r="D2702" s="37">
        <f>Prec.!$C$75</f>
        <v>60</v>
      </c>
      <c r="E2702" s="25">
        <f t="shared" si="254"/>
        <v>4.4400000000000004</v>
      </c>
    </row>
    <row r="2703" spans="1:6" ht="12.75" hidden="1" customHeight="1">
      <c r="A2703" s="4" t="s">
        <v>427</v>
      </c>
      <c r="B2703" s="8">
        <v>3.1E-2</v>
      </c>
      <c r="C2703" s="6" t="s">
        <v>825</v>
      </c>
      <c r="D2703" s="37">
        <f>horm.ymez.!H8</f>
        <v>6795.98</v>
      </c>
      <c r="E2703" s="25">
        <f t="shared" si="254"/>
        <v>210.68</v>
      </c>
    </row>
    <row r="2704" spans="1:6" ht="12.75" hidden="1" customHeight="1">
      <c r="A2704" s="4" t="s">
        <v>421</v>
      </c>
      <c r="B2704" s="8">
        <v>3.9E-2</v>
      </c>
      <c r="C2704" s="6" t="s">
        <v>825</v>
      </c>
      <c r="D2704" s="37">
        <f>horm.ymez.!H14</f>
        <v>5466.17</v>
      </c>
      <c r="E2704" s="25">
        <f t="shared" si="254"/>
        <v>213.18</v>
      </c>
    </row>
    <row r="2705" spans="1:6" ht="12.75" hidden="1" customHeight="1">
      <c r="A2705" s="4" t="s">
        <v>430</v>
      </c>
      <c r="B2705" s="8">
        <v>1</v>
      </c>
      <c r="C2705" s="6" t="s">
        <v>213</v>
      </c>
      <c r="D2705" s="37">
        <f>D2693</f>
        <v>20.250000000000004</v>
      </c>
      <c r="E2705" s="25">
        <f t="shared" si="254"/>
        <v>20.25</v>
      </c>
    </row>
    <row r="2706" spans="1:6" ht="12.75" hidden="1" customHeight="1">
      <c r="A2706" s="4" t="s">
        <v>428</v>
      </c>
      <c r="B2706" s="8">
        <v>13</v>
      </c>
      <c r="C2706" s="6" t="s">
        <v>1017</v>
      </c>
      <c r="D2706" s="37">
        <f>Prec.!$D$329</f>
        <v>0</v>
      </c>
      <c r="E2706" s="25">
        <f t="shared" si="254"/>
        <v>0</v>
      </c>
    </row>
    <row r="2707" spans="1:6" ht="12.75" hidden="1" customHeight="1">
      <c r="A2707" s="4" t="s">
        <v>432</v>
      </c>
      <c r="B2707" s="8">
        <v>13</v>
      </c>
      <c r="C2707" s="6" t="s">
        <v>1017</v>
      </c>
      <c r="D2707" s="37">
        <f>Prec.!$D$540</f>
        <v>1.1499999999999999</v>
      </c>
      <c r="E2707" s="25">
        <f t="shared" si="254"/>
        <v>14.95</v>
      </c>
    </row>
    <row r="2708" spans="1:6" ht="12.75" hidden="1" customHeight="1">
      <c r="A2708" s="4" t="s">
        <v>433</v>
      </c>
      <c r="B2708" s="8">
        <v>13</v>
      </c>
      <c r="C2708" s="6" t="s">
        <v>1017</v>
      </c>
      <c r="D2708" s="37">
        <f>Prec.!$D$545</f>
        <v>2.33</v>
      </c>
      <c r="E2708" s="25">
        <f t="shared" si="254"/>
        <v>30.29</v>
      </c>
    </row>
    <row r="2709" spans="1:6" ht="12.75" hidden="1" customHeight="1">
      <c r="A2709" s="4" t="s">
        <v>1184</v>
      </c>
      <c r="B2709" s="8">
        <v>13</v>
      </c>
      <c r="C2709" s="6" t="s">
        <v>1017</v>
      </c>
      <c r="D2709" s="37">
        <f>D2697</f>
        <v>3.53</v>
      </c>
      <c r="E2709" s="25">
        <f>ROUND(B2709*D2709,2)</f>
        <v>45.89</v>
      </c>
    </row>
    <row r="2710" spans="1:6" ht="12.75" hidden="1" customHeight="1">
      <c r="A2710" s="4" t="s">
        <v>208</v>
      </c>
      <c r="B2710" s="7">
        <f>SUM(E2700:E2709)</f>
        <v>1224.5800000000002</v>
      </c>
      <c r="C2710" s="6" t="s">
        <v>209</v>
      </c>
      <c r="D2710" s="37">
        <f>D2698</f>
        <v>0.02</v>
      </c>
      <c r="E2710" s="25">
        <f>ROUND(B2710*D2710,2)</f>
        <v>24.49</v>
      </c>
      <c r="F2710" s="26">
        <f>SUM(E2700:E2710)</f>
        <v>1249.0700000000002</v>
      </c>
    </row>
    <row r="2711" spans="1:6" ht="10.15" hidden="1" customHeight="1">
      <c r="B2711" s="7"/>
    </row>
    <row r="2712" spans="1:6" ht="12.75" hidden="1" customHeight="1">
      <c r="A2712" s="1" t="s">
        <v>928</v>
      </c>
      <c r="E2712" s="27" t="s">
        <v>151</v>
      </c>
      <c r="F2712" s="28" t="s">
        <v>213</v>
      </c>
    </row>
    <row r="2713" spans="1:6" ht="12.75" hidden="1" customHeight="1">
      <c r="A2713" s="4" t="s">
        <v>102</v>
      </c>
      <c r="B2713" s="8">
        <v>12.875</v>
      </c>
      <c r="C2713" s="6" t="s">
        <v>1017</v>
      </c>
      <c r="D2713" s="37">
        <f>Prec.!$C$86</f>
        <v>44</v>
      </c>
      <c r="E2713" s="25">
        <f t="shared" ref="E2713:E2721" si="255">ROUND(B2713*D2713,2)</f>
        <v>566.5</v>
      </c>
    </row>
    <row r="2714" spans="1:6" ht="12.75" hidden="1" customHeight="1">
      <c r="A2714" s="4" t="s">
        <v>117</v>
      </c>
      <c r="B2714" s="8">
        <v>2.4E-2</v>
      </c>
      <c r="C2714" s="6" t="s">
        <v>216</v>
      </c>
      <c r="D2714" s="37">
        <f>Prec.!$C$54</f>
        <v>3200</v>
      </c>
      <c r="E2714" s="25">
        <f t="shared" si="255"/>
        <v>76.8</v>
      </c>
    </row>
    <row r="2715" spans="1:6" ht="12.75" hidden="1" customHeight="1">
      <c r="A2715" s="4" t="s">
        <v>217</v>
      </c>
      <c r="B2715" s="8">
        <f>B2714*2</f>
        <v>4.8000000000000001E-2</v>
      </c>
      <c r="C2715" s="6" t="s">
        <v>218</v>
      </c>
      <c r="D2715" s="37">
        <f>Prec.!$C$75</f>
        <v>60</v>
      </c>
      <c r="E2715" s="25">
        <f t="shared" si="255"/>
        <v>2.88</v>
      </c>
    </row>
    <row r="2716" spans="1:6" ht="12.75" hidden="1" customHeight="1">
      <c r="A2716" s="4" t="s">
        <v>427</v>
      </c>
      <c r="B2716" s="8">
        <v>3.1E-2</v>
      </c>
      <c r="C2716" s="6" t="s">
        <v>825</v>
      </c>
      <c r="D2716" s="37">
        <f>horm.ymez.!H8</f>
        <v>6795.98</v>
      </c>
      <c r="E2716" s="25">
        <f t="shared" si="255"/>
        <v>210.68</v>
      </c>
    </row>
    <row r="2717" spans="1:6" ht="12.75" hidden="1" customHeight="1">
      <c r="A2717" s="4" t="s">
        <v>421</v>
      </c>
      <c r="B2717" s="8">
        <v>1.9E-2</v>
      </c>
      <c r="C2717" s="6" t="s">
        <v>825</v>
      </c>
      <c r="D2717" s="37">
        <f>horm.ymez.!H14</f>
        <v>5466.17</v>
      </c>
      <c r="E2717" s="25">
        <f t="shared" si="255"/>
        <v>103.86</v>
      </c>
    </row>
    <row r="2718" spans="1:6" ht="12.75" hidden="1" customHeight="1">
      <c r="A2718" s="4" t="s">
        <v>430</v>
      </c>
      <c r="B2718" s="8">
        <v>1</v>
      </c>
      <c r="C2718" s="6" t="s">
        <v>213</v>
      </c>
      <c r="D2718" s="37">
        <f>D2680</f>
        <v>20.250000000000004</v>
      </c>
      <c r="E2718" s="25">
        <f t="shared" si="255"/>
        <v>20.25</v>
      </c>
    </row>
    <row r="2719" spans="1:6" ht="12.75" hidden="1" customHeight="1">
      <c r="A2719" s="4" t="s">
        <v>428</v>
      </c>
      <c r="B2719" s="8">
        <v>13</v>
      </c>
      <c r="C2719" s="6" t="s">
        <v>1017</v>
      </c>
      <c r="D2719" s="37">
        <f>Prec.!$D$329</f>
        <v>0</v>
      </c>
      <c r="E2719" s="25">
        <f t="shared" si="255"/>
        <v>0</v>
      </c>
    </row>
    <row r="2720" spans="1:6" ht="12.75" hidden="1" customHeight="1">
      <c r="A2720" s="4" t="s">
        <v>432</v>
      </c>
      <c r="B2720" s="8">
        <v>13</v>
      </c>
      <c r="C2720" s="6" t="s">
        <v>1017</v>
      </c>
      <c r="D2720" s="37">
        <f>Prec.!$D$542</f>
        <v>0.55000000000000004</v>
      </c>
      <c r="E2720" s="25">
        <f t="shared" si="255"/>
        <v>7.15</v>
      </c>
    </row>
    <row r="2721" spans="1:6" ht="12.75" hidden="1" customHeight="1">
      <c r="A2721" s="4" t="s">
        <v>433</v>
      </c>
      <c r="B2721" s="8">
        <v>13</v>
      </c>
      <c r="C2721" s="6" t="s">
        <v>1017</v>
      </c>
      <c r="D2721" s="37">
        <f>Prec.!$D$547</f>
        <v>1.1499999999999999</v>
      </c>
      <c r="E2721" s="25">
        <f t="shared" si="255"/>
        <v>14.95</v>
      </c>
    </row>
    <row r="2722" spans="1:6" ht="12.75" hidden="1" customHeight="1">
      <c r="A2722" s="4" t="s">
        <v>1184</v>
      </c>
      <c r="B2722" s="8">
        <v>13</v>
      </c>
      <c r="C2722" s="6" t="s">
        <v>1017</v>
      </c>
      <c r="D2722" s="37">
        <f>D2684</f>
        <v>3.53</v>
      </c>
      <c r="E2722" s="25">
        <f>ROUND(B2722*D2722,2)</f>
        <v>45.89</v>
      </c>
    </row>
    <row r="2723" spans="1:6" ht="12.75" hidden="1" customHeight="1">
      <c r="A2723" s="4" t="s">
        <v>208</v>
      </c>
      <c r="B2723" s="7">
        <f>SUM(E2713:E2722)</f>
        <v>1048.96</v>
      </c>
      <c r="C2723" s="6" t="s">
        <v>209</v>
      </c>
      <c r="D2723" s="37">
        <f>D2685</f>
        <v>0.02</v>
      </c>
      <c r="E2723" s="25">
        <f>ROUND(B2723*D2723,2)</f>
        <v>20.98</v>
      </c>
      <c r="F2723" s="26">
        <f>SUM(E2713:E2723)</f>
        <v>1069.94</v>
      </c>
    </row>
    <row r="2724" spans="1:6" ht="12.75" hidden="1" customHeight="1">
      <c r="A2724" s="13" t="s">
        <v>1573</v>
      </c>
      <c r="E2724" s="27" t="s">
        <v>151</v>
      </c>
      <c r="F2724" s="28" t="s">
        <v>213</v>
      </c>
    </row>
    <row r="2725" spans="1:6" ht="12.75" hidden="1" customHeight="1">
      <c r="A2725" s="4" t="s">
        <v>429</v>
      </c>
      <c r="B2725" s="8">
        <v>13</v>
      </c>
      <c r="C2725" s="6" t="s">
        <v>1017</v>
      </c>
      <c r="D2725" s="37">
        <f>Prec.!$C$87</f>
        <v>34</v>
      </c>
      <c r="E2725" s="25">
        <f t="shared" ref="E2725:E2733" si="256">ROUND(B2725*D2725,2)</f>
        <v>442</v>
      </c>
    </row>
    <row r="2726" spans="1:6" ht="12.75" hidden="1" customHeight="1">
      <c r="A2726" s="4" t="s">
        <v>1574</v>
      </c>
      <c r="B2726" s="8">
        <v>2.4E-2</v>
      </c>
      <c r="C2726" s="6" t="s">
        <v>216</v>
      </c>
      <c r="D2726" s="37">
        <f>Prec.!$C$53</f>
        <v>3200</v>
      </c>
      <c r="E2726" s="25">
        <f t="shared" si="256"/>
        <v>76.8</v>
      </c>
    </row>
    <row r="2727" spans="1:6" ht="12.75" hidden="1" customHeight="1">
      <c r="A2727" s="4" t="s">
        <v>217</v>
      </c>
      <c r="B2727" s="8">
        <f>B2726*2</f>
        <v>4.8000000000000001E-2</v>
      </c>
      <c r="C2727" s="6" t="s">
        <v>218</v>
      </c>
      <c r="D2727" s="37">
        <f>Prec.!$C$75</f>
        <v>60</v>
      </c>
      <c r="E2727" s="25">
        <f t="shared" si="256"/>
        <v>2.88</v>
      </c>
    </row>
    <row r="2728" spans="1:6" ht="12.75" hidden="1" customHeight="1">
      <c r="A2728" s="4" t="s">
        <v>427</v>
      </c>
      <c r="B2728" s="8">
        <v>0.02</v>
      </c>
      <c r="C2728" s="6" t="s">
        <v>825</v>
      </c>
      <c r="D2728" s="37">
        <f>horm.ymez.!H8</f>
        <v>6795.98</v>
      </c>
      <c r="E2728" s="25">
        <f t="shared" si="256"/>
        <v>135.91999999999999</v>
      </c>
    </row>
    <row r="2729" spans="1:6" ht="12.75" hidden="1" customHeight="1">
      <c r="A2729" s="4" t="s">
        <v>421</v>
      </c>
      <c r="B2729" s="8">
        <v>8.9999999999999993E-3</v>
      </c>
      <c r="C2729" s="6" t="s">
        <v>825</v>
      </c>
      <c r="D2729" s="37">
        <f>horm.ymez.!H14</f>
        <v>5466.17</v>
      </c>
      <c r="E2729" s="25">
        <f t="shared" si="256"/>
        <v>49.2</v>
      </c>
    </row>
    <row r="2730" spans="1:6" ht="12.75" hidden="1" customHeight="1">
      <c r="A2730" s="4" t="s">
        <v>430</v>
      </c>
      <c r="B2730" s="8">
        <v>1</v>
      </c>
      <c r="C2730" s="6" t="s">
        <v>213</v>
      </c>
      <c r="D2730" s="37">
        <f>horm.ymez.!H23</f>
        <v>20.250000000000004</v>
      </c>
      <c r="E2730" s="25">
        <f t="shared" si="256"/>
        <v>20.25</v>
      </c>
    </row>
    <row r="2731" spans="1:6" ht="12.75" hidden="1" customHeight="1">
      <c r="A2731" s="4" t="s">
        <v>428</v>
      </c>
      <c r="B2731" s="8">
        <v>13</v>
      </c>
      <c r="C2731" s="6" t="s">
        <v>1017</v>
      </c>
      <c r="D2731" s="37">
        <f>Prec.!$D$328</f>
        <v>0</v>
      </c>
      <c r="E2731" s="25">
        <f t="shared" si="256"/>
        <v>0</v>
      </c>
    </row>
    <row r="2732" spans="1:6" ht="12.75" hidden="1" customHeight="1">
      <c r="A2732" s="4" t="s">
        <v>432</v>
      </c>
      <c r="B2732" s="8">
        <v>13</v>
      </c>
      <c r="C2732" s="6" t="s">
        <v>1017</v>
      </c>
      <c r="D2732" s="37">
        <f>Prec.!$D$542</f>
        <v>0.55000000000000004</v>
      </c>
      <c r="E2732" s="25">
        <f t="shared" si="256"/>
        <v>7.15</v>
      </c>
    </row>
    <row r="2733" spans="1:6" ht="12.75" hidden="1" customHeight="1">
      <c r="A2733" s="4" t="s">
        <v>433</v>
      </c>
      <c r="B2733" s="8">
        <v>13</v>
      </c>
      <c r="C2733" s="6" t="s">
        <v>1017</v>
      </c>
      <c r="D2733" s="37">
        <f>Prec.!$D$547</f>
        <v>1.1499999999999999</v>
      </c>
      <c r="E2733" s="25">
        <f t="shared" si="256"/>
        <v>14.95</v>
      </c>
    </row>
    <row r="2734" spans="1:6" ht="12.75" hidden="1" customHeight="1">
      <c r="A2734" s="4" t="s">
        <v>1185</v>
      </c>
      <c r="B2734" s="8">
        <v>13</v>
      </c>
      <c r="C2734" s="6" t="s">
        <v>1017</v>
      </c>
      <c r="D2734" s="37">
        <f>Prec.!D411</f>
        <v>6.32</v>
      </c>
      <c r="E2734" s="25">
        <f>ROUND(B2734*D2734,2)</f>
        <v>82.16</v>
      </c>
    </row>
    <row r="2735" spans="1:6" ht="12.75" hidden="1" customHeight="1">
      <c r="A2735" s="4" t="s">
        <v>208</v>
      </c>
      <c r="B2735" s="7">
        <f>SUM(E2725:E2734)</f>
        <v>831.31</v>
      </c>
      <c r="C2735" s="6" t="s">
        <v>209</v>
      </c>
      <c r="D2735" s="37">
        <f>D2723</f>
        <v>0.02</v>
      </c>
      <c r="E2735" s="25">
        <f>ROUND(B2735*D2735,2)</f>
        <v>16.63</v>
      </c>
      <c r="F2735" s="26">
        <f>SUM(E2725:E2735)</f>
        <v>847.93999999999994</v>
      </c>
    </row>
    <row r="2736" spans="1:6" ht="10.15" hidden="1" customHeight="1">
      <c r="B2736" s="7"/>
    </row>
    <row r="2737" spans="1:13" ht="14.1" hidden="1" customHeight="1">
      <c r="A2737" s="13" t="s">
        <v>220</v>
      </c>
      <c r="E2737" s="27" t="s">
        <v>151</v>
      </c>
      <c r="F2737" s="28" t="s">
        <v>213</v>
      </c>
    </row>
    <row r="2738" spans="1:13" ht="14.1" hidden="1" customHeight="1">
      <c r="A2738" s="12" t="s">
        <v>2</v>
      </c>
      <c r="B2738" s="8">
        <v>2.1000000000000001E-2</v>
      </c>
      <c r="C2738" s="6" t="s">
        <v>1172</v>
      </c>
      <c r="D2738" s="36">
        <f>Prec.!$C$6</f>
        <v>900</v>
      </c>
      <c r="E2738" s="25">
        <f t="shared" ref="E2738:E2744" si="257">ROUND(B2738*D2738,2)</f>
        <v>18.899999999999999</v>
      </c>
      <c r="F2738" s="28"/>
    </row>
    <row r="2739" spans="1:13" ht="14.1" hidden="1" customHeight="1">
      <c r="A2739" s="4" t="s">
        <v>170</v>
      </c>
      <c r="B2739" s="8">
        <v>25.75</v>
      </c>
      <c r="C2739" s="6" t="s">
        <v>1017</v>
      </c>
      <c r="D2739" s="35">
        <f>Prec.!$C$91</f>
        <v>225</v>
      </c>
      <c r="E2739" s="25">
        <f t="shared" si="257"/>
        <v>5793.75</v>
      </c>
    </row>
    <row r="2740" spans="1:13" ht="14.1" hidden="1" customHeight="1">
      <c r="A2740" s="4" t="s">
        <v>430</v>
      </c>
      <c r="B2740" s="8">
        <v>1</v>
      </c>
      <c r="C2740" s="6" t="s">
        <v>213</v>
      </c>
      <c r="D2740" s="37">
        <f>D2730</f>
        <v>20.250000000000004</v>
      </c>
      <c r="E2740" s="25">
        <f t="shared" si="257"/>
        <v>20.25</v>
      </c>
    </row>
    <row r="2741" spans="1:13" ht="14.1" hidden="1" customHeight="1">
      <c r="A2741" s="4" t="s">
        <v>428</v>
      </c>
      <c r="B2741" s="8">
        <v>25</v>
      </c>
      <c r="C2741" s="6" t="s">
        <v>1017</v>
      </c>
      <c r="D2741" s="37">
        <f>Prec.!$D$336</f>
        <v>0</v>
      </c>
      <c r="E2741" s="25">
        <f t="shared" si="257"/>
        <v>0</v>
      </c>
    </row>
    <row r="2742" spans="1:13" ht="14.1" hidden="1" customHeight="1">
      <c r="A2742" s="4" t="s">
        <v>111</v>
      </c>
      <c r="B2742" s="8">
        <v>1</v>
      </c>
      <c r="C2742" s="6" t="s">
        <v>213</v>
      </c>
      <c r="D2742" s="37">
        <f>Prec.!$D$338</f>
        <v>0</v>
      </c>
      <c r="E2742" s="25">
        <f t="shared" si="257"/>
        <v>0</v>
      </c>
    </row>
    <row r="2743" spans="1:13" ht="14.1" hidden="1" customHeight="1">
      <c r="A2743" s="4" t="s">
        <v>1186</v>
      </c>
      <c r="B2743" s="8">
        <v>25</v>
      </c>
      <c r="C2743" s="6" t="s">
        <v>1017</v>
      </c>
      <c r="D2743" s="37">
        <f>Prec.!D406</f>
        <v>3.53</v>
      </c>
      <c r="E2743" s="25">
        <f t="shared" si="257"/>
        <v>88.25</v>
      </c>
    </row>
    <row r="2744" spans="1:13" ht="14.1" hidden="1" customHeight="1">
      <c r="A2744" s="4" t="s">
        <v>208</v>
      </c>
      <c r="B2744" s="7">
        <f>SUM(E2738:E2743)</f>
        <v>5921.15</v>
      </c>
      <c r="C2744" s="6" t="s">
        <v>209</v>
      </c>
      <c r="D2744" s="37">
        <f>D2735</f>
        <v>0.02</v>
      </c>
      <c r="E2744" s="25">
        <f t="shared" si="257"/>
        <v>118.42</v>
      </c>
      <c r="F2744" s="26">
        <f>SUM(E2738:E2744)</f>
        <v>6039.57</v>
      </c>
    </row>
    <row r="2745" spans="1:13" ht="10.15" hidden="1" customHeight="1">
      <c r="A2745" s="12"/>
      <c r="B2745" s="7"/>
    </row>
    <row r="2746" spans="1:13" s="166" customFormat="1" ht="10.15" hidden="1" customHeight="1">
      <c r="A2746" s="12"/>
      <c r="B2746" s="7"/>
      <c r="C2746" s="165"/>
      <c r="D2746" s="37"/>
      <c r="E2746" s="25"/>
      <c r="F2746" s="26"/>
      <c r="G2746" s="15"/>
      <c r="H2746" s="21"/>
      <c r="I2746" s="15"/>
      <c r="J2746" s="15"/>
      <c r="K2746" s="15"/>
      <c r="L2746" s="21"/>
      <c r="M2746" s="15"/>
    </row>
    <row r="2747" spans="1:13" s="166" customFormat="1" ht="10.15" hidden="1" customHeight="1">
      <c r="A2747" s="12"/>
      <c r="B2747" s="7"/>
      <c r="C2747" s="165"/>
      <c r="D2747" s="37"/>
      <c r="E2747" s="25"/>
      <c r="F2747" s="26"/>
      <c r="G2747" s="15"/>
      <c r="H2747" s="21"/>
      <c r="I2747" s="15"/>
      <c r="J2747" s="15"/>
      <c r="K2747" s="15"/>
      <c r="L2747" s="21"/>
      <c r="M2747" s="15"/>
    </row>
    <row r="2748" spans="1:13" s="166" customFormat="1" ht="10.15" hidden="1" customHeight="1">
      <c r="A2748" s="12"/>
      <c r="B2748" s="7"/>
      <c r="C2748" s="165"/>
      <c r="D2748" s="37"/>
      <c r="E2748" s="25"/>
      <c r="F2748" s="26"/>
      <c r="G2748" s="15"/>
      <c r="H2748" s="21"/>
      <c r="I2748" s="15"/>
      <c r="J2748" s="15"/>
      <c r="K2748" s="15"/>
      <c r="L2748" s="21"/>
      <c r="M2748" s="15"/>
    </row>
    <row r="2749" spans="1:13" ht="12.75" customHeight="1">
      <c r="A2749" s="1746" t="s">
        <v>228</v>
      </c>
      <c r="B2749" s="1746"/>
    </row>
    <row r="2750" spans="1:13" ht="10.15" customHeight="1">
      <c r="B2750" s="7"/>
    </row>
    <row r="2751" spans="1:13" ht="12.75" customHeight="1">
      <c r="A2751" s="23" t="s">
        <v>321</v>
      </c>
      <c r="B2751" s="7"/>
    </row>
    <row r="2752" spans="1:13" ht="13.5" customHeight="1">
      <c r="A2752" s="29"/>
      <c r="B2752" s="7"/>
    </row>
    <row r="2753" spans="1:12" ht="12.75" customHeight="1">
      <c r="A2753" s="698" t="s">
        <v>391</v>
      </c>
      <c r="B2753" s="706" t="s">
        <v>151</v>
      </c>
      <c r="C2753" s="707" t="s">
        <v>213</v>
      </c>
      <c r="D2753" s="708"/>
      <c r="E2753" s="702"/>
      <c r="F2753" s="703"/>
    </row>
    <row r="2754" spans="1:12" ht="12.75" customHeight="1">
      <c r="A2754" s="704" t="s">
        <v>1169</v>
      </c>
      <c r="B2754" s="705">
        <v>2.1999999999999999E-2</v>
      </c>
      <c r="C2754" s="700" t="s">
        <v>825</v>
      </c>
      <c r="D2754" s="708">
        <f>horm.ymez.!C12</f>
        <v>7269.64</v>
      </c>
      <c r="E2754" s="702">
        <f>ROUND(B2754*D2754,2)</f>
        <v>159.93</v>
      </c>
      <c r="F2754" s="703"/>
    </row>
    <row r="2755" spans="1:12" ht="12.75" customHeight="1">
      <c r="A2755" s="704" t="s">
        <v>183</v>
      </c>
      <c r="B2755" s="705">
        <v>3.3000000000000002E-2</v>
      </c>
      <c r="C2755" s="700" t="s">
        <v>211</v>
      </c>
      <c r="D2755" s="708">
        <f>Prec.!C203</f>
        <v>38</v>
      </c>
      <c r="E2755" s="702">
        <f>ROUND(B2755*D2755,2)</f>
        <v>1.25</v>
      </c>
      <c r="F2755" s="703"/>
      <c r="G2755" s="1"/>
      <c r="H2755" s="11"/>
      <c r="I2755" s="2"/>
      <c r="J2755" s="37"/>
      <c r="K2755" s="25"/>
      <c r="L2755" s="26"/>
    </row>
    <row r="2756" spans="1:12" ht="12.75" customHeight="1">
      <c r="A2756" s="704" t="s">
        <v>430</v>
      </c>
      <c r="B2756" s="705">
        <v>1</v>
      </c>
      <c r="C2756" s="700" t="s">
        <v>213</v>
      </c>
      <c r="D2756" s="708">
        <f>horm.ymez.!C23</f>
        <v>18.830000000000002</v>
      </c>
      <c r="E2756" s="702">
        <f>ROUND(B2756*D2756,2)</f>
        <v>18.829999999999998</v>
      </c>
      <c r="F2756" s="703"/>
      <c r="G2756" s="12"/>
      <c r="H2756" s="128"/>
      <c r="I2756" s="24"/>
      <c r="J2756" s="35"/>
      <c r="K2756" s="127"/>
      <c r="L2756" s="26"/>
    </row>
    <row r="2757" spans="1:12" ht="12.75" customHeight="1">
      <c r="A2757" s="704" t="s">
        <v>1168</v>
      </c>
      <c r="B2757" s="705">
        <v>1</v>
      </c>
      <c r="C2757" s="700" t="s">
        <v>213</v>
      </c>
      <c r="D2757" s="708">
        <f>Prec.!C413</f>
        <v>157.1</v>
      </c>
      <c r="E2757" s="702">
        <f>ROUND(B2757*D2757,2)</f>
        <v>157.1</v>
      </c>
      <c r="F2757" s="703"/>
      <c r="G2757" s="12"/>
      <c r="H2757" s="128"/>
      <c r="I2757" s="24"/>
      <c r="J2757" s="35"/>
      <c r="K2757" s="127"/>
    </row>
    <row r="2758" spans="1:12" ht="12.75" customHeight="1">
      <c r="A2758" s="704" t="s">
        <v>208</v>
      </c>
      <c r="B2758" s="711">
        <f>SUM(E2754:E2755)</f>
        <v>161.18</v>
      </c>
      <c r="C2758" s="700" t="s">
        <v>209</v>
      </c>
      <c r="D2758" s="708">
        <v>0.02</v>
      </c>
      <c r="E2758" s="702">
        <f>ROUND(B2758*D2758,2)</f>
        <v>3.22</v>
      </c>
      <c r="F2758" s="703">
        <f>SUM(E2754:E2758)</f>
        <v>340.33000000000004</v>
      </c>
      <c r="G2758" s="9"/>
      <c r="H2758" s="8"/>
      <c r="I2758" s="6"/>
      <c r="J2758" s="35"/>
      <c r="K2758" s="25"/>
      <c r="L2758" s="26"/>
    </row>
    <row r="2759" spans="1:12" ht="10.15" customHeight="1">
      <c r="A2759" s="12"/>
      <c r="B2759" s="14"/>
      <c r="C2759" s="24"/>
      <c r="D2759" s="35"/>
      <c r="E2759" s="31"/>
      <c r="F2759" s="32"/>
      <c r="G2759" s="4"/>
      <c r="H2759" s="8"/>
      <c r="I2759" s="6"/>
      <c r="J2759" s="35"/>
      <c r="K2759" s="25"/>
      <c r="L2759" s="26"/>
    </row>
    <row r="2760" spans="1:12" ht="12.75" customHeight="1">
      <c r="A2760" s="698" t="s">
        <v>322</v>
      </c>
      <c r="B2760" s="706" t="s">
        <v>151</v>
      </c>
      <c r="C2760" s="707" t="s">
        <v>213</v>
      </c>
      <c r="D2760" s="708"/>
      <c r="E2760" s="702"/>
      <c r="F2760" s="703"/>
      <c r="G2760" s="4"/>
      <c r="H2760" s="8"/>
      <c r="I2760" s="6"/>
      <c r="J2760" s="35"/>
      <c r="K2760" s="25"/>
      <c r="L2760" s="26"/>
    </row>
    <row r="2761" spans="1:12" ht="12.75" customHeight="1">
      <c r="A2761" s="704" t="s">
        <v>1169</v>
      </c>
      <c r="B2761" s="705">
        <v>2.1999999999999999E-2</v>
      </c>
      <c r="C2761" s="700" t="s">
        <v>825</v>
      </c>
      <c r="D2761" s="708">
        <f>D2754</f>
        <v>7269.64</v>
      </c>
      <c r="E2761" s="702">
        <f>ROUND(B2761*D2761,2)</f>
        <v>159.93</v>
      </c>
      <c r="F2761" s="703"/>
      <c r="G2761" s="4"/>
      <c r="H2761" s="7"/>
      <c r="I2761" s="6"/>
      <c r="J2761" s="35"/>
      <c r="K2761" s="25"/>
      <c r="L2761" s="26"/>
    </row>
    <row r="2762" spans="1:12" ht="12.75" customHeight="1">
      <c r="A2762" s="704" t="s">
        <v>183</v>
      </c>
      <c r="B2762" s="705">
        <v>3.3000000000000002E-2</v>
      </c>
      <c r="C2762" s="700" t="s">
        <v>211</v>
      </c>
      <c r="D2762" s="708">
        <f>D2755</f>
        <v>38</v>
      </c>
      <c r="E2762" s="702">
        <f>ROUND(B2762*D2762,2)</f>
        <v>1.25</v>
      </c>
      <c r="F2762" s="703"/>
      <c r="J2762" s="20"/>
    </row>
    <row r="2763" spans="1:12" ht="12.75" customHeight="1">
      <c r="A2763" s="704" t="s">
        <v>430</v>
      </c>
      <c r="B2763" s="705">
        <v>1</v>
      </c>
      <c r="C2763" s="700" t="s">
        <v>213</v>
      </c>
      <c r="D2763" s="708">
        <f>F1040</f>
        <v>150.69</v>
      </c>
      <c r="E2763" s="702">
        <f>ROUND(B2763*D2763,2)</f>
        <v>150.69</v>
      </c>
      <c r="F2763" s="703"/>
      <c r="G2763" s="1"/>
      <c r="H2763" s="11"/>
      <c r="I2763" s="2"/>
      <c r="J2763" s="35"/>
      <c r="K2763" s="25"/>
      <c r="L2763" s="26"/>
    </row>
    <row r="2764" spans="1:12" ht="12.75" customHeight="1">
      <c r="A2764" s="704" t="s">
        <v>1168</v>
      </c>
      <c r="B2764" s="705">
        <v>1</v>
      </c>
      <c r="C2764" s="700" t="s">
        <v>213</v>
      </c>
      <c r="D2764" s="708">
        <f>Prec.!C414</f>
        <v>199.95</v>
      </c>
      <c r="E2764" s="702">
        <f>ROUND(B2764*D2764,2)</f>
        <v>199.95</v>
      </c>
      <c r="F2764" s="703"/>
      <c r="G2764" s="12"/>
      <c r="H2764" s="128"/>
      <c r="I2764" s="24"/>
      <c r="J2764" s="35"/>
      <c r="K2764" s="127"/>
      <c r="L2764" s="26"/>
    </row>
    <row r="2765" spans="1:12" ht="12.75" customHeight="1">
      <c r="A2765" s="704" t="s">
        <v>208</v>
      </c>
      <c r="B2765" s="711">
        <f>SUM(E2761:E2762)</f>
        <v>161.18</v>
      </c>
      <c r="C2765" s="700" t="s">
        <v>209</v>
      </c>
      <c r="D2765" s="708">
        <v>0.02</v>
      </c>
      <c r="E2765" s="702">
        <f>ROUND(B2765*D2765,2)</f>
        <v>3.22</v>
      </c>
      <c r="F2765" s="703">
        <f>SUM(E2761:E2765)</f>
        <v>515.04</v>
      </c>
      <c r="G2765" s="12"/>
      <c r="H2765" s="128"/>
      <c r="I2765" s="24"/>
      <c r="J2765" s="35"/>
      <c r="K2765" s="127"/>
    </row>
    <row r="2766" spans="1:12" ht="10.15" customHeight="1">
      <c r="A2766" s="12"/>
      <c r="B2766" s="14"/>
      <c r="C2766" s="24"/>
      <c r="D2766" s="35"/>
      <c r="E2766" s="31"/>
      <c r="F2766" s="32"/>
      <c r="G2766" s="9"/>
      <c r="H2766" s="8"/>
      <c r="I2766" s="6"/>
      <c r="J2766" s="35"/>
      <c r="K2766" s="25"/>
      <c r="L2766" s="26"/>
    </row>
    <row r="2767" spans="1:12" ht="12.75" customHeight="1">
      <c r="A2767" s="698" t="s">
        <v>284</v>
      </c>
      <c r="B2767" s="706" t="s">
        <v>151</v>
      </c>
      <c r="C2767" s="707" t="s">
        <v>213</v>
      </c>
      <c r="D2767" s="708"/>
      <c r="E2767" s="702"/>
      <c r="F2767" s="703"/>
      <c r="G2767" s="4"/>
      <c r="H2767" s="8"/>
      <c r="I2767" s="6"/>
      <c r="J2767" s="35"/>
      <c r="K2767" s="25"/>
      <c r="L2767" s="26"/>
    </row>
    <row r="2768" spans="1:12" ht="12.75" customHeight="1">
      <c r="A2768" s="704" t="s">
        <v>1169</v>
      </c>
      <c r="B2768" s="705">
        <v>2.1999999999999999E-2</v>
      </c>
      <c r="C2768" s="700" t="s">
        <v>825</v>
      </c>
      <c r="D2768" s="708">
        <f>D2754</f>
        <v>7269.64</v>
      </c>
      <c r="E2768" s="702">
        <f>ROUND(B2768*D2768,2)</f>
        <v>159.93</v>
      </c>
      <c r="F2768" s="703"/>
      <c r="G2768" s="4"/>
      <c r="H2768" s="8"/>
      <c r="I2768" s="6"/>
      <c r="J2768" s="37"/>
      <c r="K2768" s="25"/>
      <c r="L2768" s="26"/>
    </row>
    <row r="2769" spans="1:13" ht="12.75" customHeight="1">
      <c r="A2769" s="704" t="s">
        <v>183</v>
      </c>
      <c r="B2769" s="705">
        <v>3.3000000000000002E-2</v>
      </c>
      <c r="C2769" s="700" t="s">
        <v>211</v>
      </c>
      <c r="D2769" s="708">
        <f>D2762</f>
        <v>38</v>
      </c>
      <c r="E2769" s="702">
        <f>ROUND(B2769*D2769,2)</f>
        <v>1.25</v>
      </c>
      <c r="F2769" s="703"/>
      <c r="G2769" s="12"/>
      <c r="H2769" s="84"/>
      <c r="I2769" s="6"/>
      <c r="J2769" s="129"/>
      <c r="K2769" s="127"/>
      <c r="L2769" s="26"/>
    </row>
    <row r="2770" spans="1:13" ht="12.75" customHeight="1">
      <c r="A2770" s="704" t="s">
        <v>430</v>
      </c>
      <c r="B2770" s="705">
        <v>1</v>
      </c>
      <c r="C2770" s="700" t="s">
        <v>213</v>
      </c>
      <c r="D2770" s="708">
        <f>D2756</f>
        <v>18.830000000000002</v>
      </c>
      <c r="E2770" s="702">
        <f>ROUND(B2770*D2770,2)</f>
        <v>18.829999999999998</v>
      </c>
      <c r="F2770" s="703"/>
    </row>
    <row r="2771" spans="1:13" ht="12.75" customHeight="1">
      <c r="A2771" s="704" t="s">
        <v>1168</v>
      </c>
      <c r="B2771" s="705">
        <v>1</v>
      </c>
      <c r="C2771" s="700" t="s">
        <v>213</v>
      </c>
      <c r="D2771" s="708">
        <f>Prec.!C420</f>
        <v>203.67</v>
      </c>
      <c r="E2771" s="702">
        <f>ROUND(B2771*D2771,2)</f>
        <v>203.67</v>
      </c>
      <c r="F2771" s="703"/>
    </row>
    <row r="2772" spans="1:13" ht="12.75" customHeight="1">
      <c r="A2772" s="704" t="s">
        <v>208</v>
      </c>
      <c r="B2772" s="711">
        <f>SUM(E2768:E2769)</f>
        <v>161.18</v>
      </c>
      <c r="C2772" s="700" t="s">
        <v>209</v>
      </c>
      <c r="D2772" s="708">
        <v>0.02</v>
      </c>
      <c r="E2772" s="702">
        <f>ROUND(B2772*D2772,2)</f>
        <v>3.22</v>
      </c>
      <c r="F2772" s="703">
        <f>SUM(E2768:E2772)</f>
        <v>386.9</v>
      </c>
    </row>
    <row r="2773" spans="1:13" ht="10.15" customHeight="1">
      <c r="A2773" s="12"/>
      <c r="B2773" s="14"/>
      <c r="C2773" s="24"/>
      <c r="D2773" s="35"/>
      <c r="E2773" s="31"/>
      <c r="F2773" s="32"/>
    </row>
    <row r="2774" spans="1:13" ht="12.75" customHeight="1">
      <c r="A2774" s="513" t="s">
        <v>461</v>
      </c>
      <c r="B2774" s="505" t="s">
        <v>151</v>
      </c>
      <c r="C2774" s="506" t="s">
        <v>213</v>
      </c>
      <c r="D2774" s="507"/>
      <c r="E2774" s="508"/>
      <c r="F2774" s="509"/>
    </row>
    <row r="2775" spans="1:13" ht="12.75" customHeight="1">
      <c r="A2775" s="512" t="s">
        <v>462</v>
      </c>
      <c r="B2775" s="510">
        <v>2.1999999999999999E-2</v>
      </c>
      <c r="C2775" s="511" t="s">
        <v>825</v>
      </c>
      <c r="D2775" s="507">
        <f>horm.ymez.!C7</f>
        <v>8322.44</v>
      </c>
      <c r="E2775" s="508">
        <f>ROUND(B2775*D2775,2)</f>
        <v>183.09</v>
      </c>
      <c r="F2775" s="509"/>
    </row>
    <row r="2776" spans="1:13" ht="12.75" customHeight="1">
      <c r="A2776" s="512" t="s">
        <v>430</v>
      </c>
      <c r="B2776" s="510">
        <v>1</v>
      </c>
      <c r="C2776" s="511" t="s">
        <v>213</v>
      </c>
      <c r="D2776" s="507">
        <f>D2756</f>
        <v>18.830000000000002</v>
      </c>
      <c r="E2776" s="508">
        <f>ROUND(B2776*D2776,2)</f>
        <v>18.829999999999998</v>
      </c>
      <c r="F2776" s="509"/>
    </row>
    <row r="2777" spans="1:13" ht="12.75" customHeight="1">
      <c r="A2777" s="512" t="s">
        <v>1168</v>
      </c>
      <c r="B2777" s="510">
        <v>1</v>
      </c>
      <c r="C2777" s="511" t="s">
        <v>213</v>
      </c>
      <c r="D2777" s="507">
        <f>Prec.!C423</f>
        <v>118.96</v>
      </c>
      <c r="E2777" s="508">
        <f>ROUND(B2777*D2777,2)</f>
        <v>118.96</v>
      </c>
      <c r="F2777" s="509"/>
    </row>
    <row r="2778" spans="1:13" ht="12.75" customHeight="1">
      <c r="A2778" s="512" t="s">
        <v>208</v>
      </c>
      <c r="B2778" s="516">
        <f>SUM(E2775)</f>
        <v>183.09</v>
      </c>
      <c r="C2778" s="511" t="s">
        <v>209</v>
      </c>
      <c r="D2778" s="507">
        <v>0.02</v>
      </c>
      <c r="E2778" s="508">
        <f>ROUND(B2778*D2778,2)</f>
        <v>3.66</v>
      </c>
      <c r="F2778" s="509">
        <f>SUM(E2775:E2778)</f>
        <v>324.54000000000002</v>
      </c>
    </row>
    <row r="2779" spans="1:13" s="156" customFormat="1" ht="12.75" customHeight="1">
      <c r="A2779" s="12"/>
      <c r="B2779" s="14"/>
      <c r="C2779" s="24"/>
      <c r="D2779" s="35"/>
      <c r="E2779" s="31"/>
      <c r="F2779" s="32"/>
      <c r="G2779" s="15"/>
      <c r="H2779" s="21"/>
      <c r="I2779" s="15"/>
      <c r="J2779" s="15"/>
      <c r="K2779" s="15"/>
      <c r="L2779" s="21"/>
      <c r="M2779" s="15"/>
    </row>
    <row r="2780" spans="1:13" ht="12.75" customHeight="1">
      <c r="A2780" s="513" t="s">
        <v>204</v>
      </c>
      <c r="B2780" s="505" t="s">
        <v>151</v>
      </c>
      <c r="C2780" s="506" t="s">
        <v>213</v>
      </c>
      <c r="D2780" s="507"/>
      <c r="E2780" s="508"/>
      <c r="F2780" s="509"/>
    </row>
    <row r="2781" spans="1:13" ht="12.75" customHeight="1">
      <c r="A2781" s="512" t="s">
        <v>1</v>
      </c>
      <c r="B2781" s="510">
        <v>5.2999999999999999E-2</v>
      </c>
      <c r="C2781" s="511" t="s">
        <v>823</v>
      </c>
      <c r="D2781" s="521">
        <f>Prec.!$C$5</f>
        <v>425</v>
      </c>
      <c r="E2781" s="508">
        <f t="shared" ref="E2781:E2786" si="258">ROUND(B2781*D2781,2)</f>
        <v>22.53</v>
      </c>
      <c r="F2781" s="509"/>
    </row>
    <row r="2782" spans="1:13" ht="12.75" customHeight="1">
      <c r="A2782" s="512" t="s">
        <v>1169</v>
      </c>
      <c r="B2782" s="510">
        <v>0.02</v>
      </c>
      <c r="C2782" s="511" t="s">
        <v>825</v>
      </c>
      <c r="D2782" s="507">
        <f>D2754</f>
        <v>7269.64</v>
      </c>
      <c r="E2782" s="508">
        <f t="shared" si="258"/>
        <v>145.38999999999999</v>
      </c>
      <c r="F2782" s="509"/>
    </row>
    <row r="2783" spans="1:13" ht="12.75" customHeight="1">
      <c r="A2783" s="512" t="s">
        <v>183</v>
      </c>
      <c r="B2783" s="510">
        <v>3.3000000000000002E-2</v>
      </c>
      <c r="C2783" s="511" t="s">
        <v>211</v>
      </c>
      <c r="D2783" s="507">
        <f>D2755</f>
        <v>38</v>
      </c>
      <c r="E2783" s="508">
        <f t="shared" si="258"/>
        <v>1.25</v>
      </c>
      <c r="F2783" s="509"/>
    </row>
    <row r="2784" spans="1:13" ht="12.75" customHeight="1">
      <c r="A2784" s="512" t="s">
        <v>430</v>
      </c>
      <c r="B2784" s="510">
        <v>1</v>
      </c>
      <c r="C2784" s="511" t="s">
        <v>213</v>
      </c>
      <c r="D2784" s="507">
        <f>D2756</f>
        <v>18.830000000000002</v>
      </c>
      <c r="E2784" s="508">
        <f t="shared" si="258"/>
        <v>18.829999999999998</v>
      </c>
      <c r="F2784" s="509"/>
    </row>
    <row r="2785" spans="1:6" ht="12.75" customHeight="1">
      <c r="A2785" s="512" t="s">
        <v>1168</v>
      </c>
      <c r="B2785" s="510">
        <v>1</v>
      </c>
      <c r="C2785" s="511" t="s">
        <v>213</v>
      </c>
      <c r="D2785" s="507">
        <f>Prec.!C424</f>
        <v>171.57</v>
      </c>
      <c r="E2785" s="508">
        <f t="shared" si="258"/>
        <v>171.57</v>
      </c>
      <c r="F2785" s="509"/>
    </row>
    <row r="2786" spans="1:6" ht="12.75" customHeight="1">
      <c r="A2786" s="512" t="s">
        <v>208</v>
      </c>
      <c r="B2786" s="516">
        <f>SUM(E2781:E2783)</f>
        <v>169.17</v>
      </c>
      <c r="C2786" s="511" t="s">
        <v>209</v>
      </c>
      <c r="D2786" s="507">
        <v>0.02</v>
      </c>
      <c r="E2786" s="508">
        <f t="shared" si="258"/>
        <v>3.38</v>
      </c>
      <c r="F2786" s="509">
        <f>SUM(E2781:E2786)</f>
        <v>362.95</v>
      </c>
    </row>
    <row r="2787" spans="1:6" ht="6" customHeight="1">
      <c r="A2787" s="12"/>
      <c r="B2787" s="14"/>
      <c r="C2787" s="24"/>
      <c r="D2787" s="35"/>
      <c r="E2787" s="31"/>
      <c r="F2787" s="32"/>
    </row>
    <row r="2788" spans="1:6" ht="12.75" customHeight="1">
      <c r="A2788" s="13" t="s">
        <v>1265</v>
      </c>
      <c r="B2788" s="42" t="s">
        <v>151</v>
      </c>
      <c r="C2788" s="29" t="s">
        <v>213</v>
      </c>
      <c r="D2788" s="35"/>
      <c r="E2788" s="31"/>
      <c r="F2788" s="32"/>
    </row>
    <row r="2789" spans="1:6" ht="12.75" customHeight="1">
      <c r="A2789" s="12" t="s">
        <v>1169</v>
      </c>
      <c r="B2789" s="30">
        <v>2.1999999999999999E-2</v>
      </c>
      <c r="C2789" s="24" t="s">
        <v>825</v>
      </c>
      <c r="D2789" s="35">
        <f>D2754</f>
        <v>7269.64</v>
      </c>
      <c r="E2789" s="31">
        <f>ROUND(B2789*D2789,2)</f>
        <v>159.93</v>
      </c>
      <c r="F2789" s="32"/>
    </row>
    <row r="2790" spans="1:6" ht="12.75" customHeight="1">
      <c r="A2790" s="12" t="s">
        <v>183</v>
      </c>
      <c r="B2790" s="30">
        <v>3.3000000000000002E-2</v>
      </c>
      <c r="C2790" s="24" t="s">
        <v>211</v>
      </c>
      <c r="D2790" s="35">
        <f>D2783</f>
        <v>38</v>
      </c>
      <c r="E2790" s="31">
        <f>ROUND(B2790*D2790,2)</f>
        <v>1.25</v>
      </c>
      <c r="F2790" s="32"/>
    </row>
    <row r="2791" spans="1:6" ht="12.75" customHeight="1">
      <c r="A2791" s="12" t="s">
        <v>430</v>
      </c>
      <c r="B2791" s="30">
        <v>1</v>
      </c>
      <c r="C2791" s="24" t="s">
        <v>213</v>
      </c>
      <c r="D2791" s="35">
        <f>D2756</f>
        <v>18.830000000000002</v>
      </c>
      <c r="E2791" s="31">
        <f>ROUND(B2791*D2791,2)</f>
        <v>18.829999999999998</v>
      </c>
      <c r="F2791" s="32"/>
    </row>
    <row r="2792" spans="1:6" ht="12.75" customHeight="1">
      <c r="A2792" s="12" t="s">
        <v>1168</v>
      </c>
      <c r="B2792" s="30">
        <v>1</v>
      </c>
      <c r="C2792" s="24" t="s">
        <v>213</v>
      </c>
      <c r="D2792" s="35">
        <f>Prec.!$D$426</f>
        <v>0</v>
      </c>
      <c r="E2792" s="31">
        <f>ROUND(B2792*D2792,2)</f>
        <v>0</v>
      </c>
      <c r="F2792" s="32"/>
    </row>
    <row r="2793" spans="1:6" ht="12.75" customHeight="1">
      <c r="A2793" s="12" t="s">
        <v>208</v>
      </c>
      <c r="B2793" s="14">
        <f>SUM(E2789:E2792)</f>
        <v>180.01</v>
      </c>
      <c r="C2793" s="24" t="s">
        <v>209</v>
      </c>
      <c r="D2793" s="35">
        <f>Prec.!C302</f>
        <v>1.4999999999999999E-2</v>
      </c>
      <c r="E2793" s="31">
        <f>ROUND(B2793*D2793,2)</f>
        <v>2.7</v>
      </c>
      <c r="F2793" s="32">
        <f>SUM(E2789:E2793)</f>
        <v>182.70999999999998</v>
      </c>
    </row>
    <row r="2794" spans="1:6" ht="12.75" customHeight="1">
      <c r="A2794" s="12"/>
      <c r="B2794" s="14"/>
      <c r="C2794" s="24"/>
      <c r="D2794" s="35"/>
      <c r="E2794" s="31"/>
      <c r="F2794" s="32"/>
    </row>
    <row r="2795" spans="1:6" ht="12.75" customHeight="1">
      <c r="A2795" s="13" t="s">
        <v>1266</v>
      </c>
      <c r="B2795" s="42" t="s">
        <v>151</v>
      </c>
      <c r="C2795" s="29" t="s">
        <v>213</v>
      </c>
      <c r="D2795" s="35"/>
      <c r="E2795" s="31"/>
      <c r="F2795" s="32"/>
    </row>
    <row r="2796" spans="1:6" ht="12.75" customHeight="1">
      <c r="A2796" s="12" t="s">
        <v>1169</v>
      </c>
      <c r="B2796" s="30">
        <v>2.1999999999999999E-2</v>
      </c>
      <c r="C2796" s="24" t="s">
        <v>825</v>
      </c>
      <c r="D2796" s="35">
        <f>D2754</f>
        <v>7269.64</v>
      </c>
      <c r="E2796" s="31">
        <f>ROUND(B2796*D2796,2)</f>
        <v>159.93</v>
      </c>
      <c r="F2796" s="32"/>
    </row>
    <row r="2797" spans="1:6" ht="12.75" customHeight="1">
      <c r="A2797" s="12" t="s">
        <v>183</v>
      </c>
      <c r="B2797" s="30">
        <v>3.3000000000000002E-2</v>
      </c>
      <c r="C2797" s="24" t="s">
        <v>211</v>
      </c>
      <c r="D2797" s="35">
        <f>D2783</f>
        <v>38</v>
      </c>
      <c r="E2797" s="31">
        <f>ROUND(B2797*D2797,2)</f>
        <v>1.25</v>
      </c>
      <c r="F2797" s="32"/>
    </row>
    <row r="2798" spans="1:6" ht="12.75" customHeight="1">
      <c r="A2798" s="12" t="s">
        <v>430</v>
      </c>
      <c r="B2798" s="30">
        <v>1</v>
      </c>
      <c r="C2798" s="24" t="s">
        <v>213</v>
      </c>
      <c r="D2798" s="35">
        <f>D2756</f>
        <v>18.830000000000002</v>
      </c>
      <c r="E2798" s="31">
        <f>ROUND(B2798*D2798,2)</f>
        <v>18.829999999999998</v>
      </c>
      <c r="F2798" s="32"/>
    </row>
    <row r="2799" spans="1:6" ht="12.75" customHeight="1">
      <c r="A2799" s="12" t="s">
        <v>1168</v>
      </c>
      <c r="B2799" s="30">
        <v>1</v>
      </c>
      <c r="C2799" s="24" t="s">
        <v>213</v>
      </c>
      <c r="D2799" s="35">
        <f>Prec.!$D$427</f>
        <v>0</v>
      </c>
      <c r="E2799" s="31">
        <f>ROUND(B2799*D2799,2)</f>
        <v>0</v>
      </c>
      <c r="F2799" s="32"/>
    </row>
    <row r="2800" spans="1:6" ht="12.75" customHeight="1">
      <c r="A2800" s="12" t="s">
        <v>208</v>
      </c>
      <c r="B2800" s="14">
        <f>SUM(E2796:E2799)</f>
        <v>180.01</v>
      </c>
      <c r="C2800" s="24" t="s">
        <v>209</v>
      </c>
      <c r="D2800" s="35">
        <f>Prec.!C302</f>
        <v>1.4999999999999999E-2</v>
      </c>
      <c r="E2800" s="31">
        <f>ROUND(B2800*D2800,2)</f>
        <v>2.7</v>
      </c>
      <c r="F2800" s="32">
        <f>SUM(E2796:E2800)</f>
        <v>182.70999999999998</v>
      </c>
    </row>
    <row r="2801" spans="1:13" s="166" customFormat="1" ht="12.75" customHeight="1">
      <c r="A2801" s="12"/>
      <c r="B2801" s="14"/>
      <c r="C2801" s="24"/>
      <c r="D2801" s="35"/>
      <c r="E2801" s="31"/>
      <c r="F2801" s="32"/>
      <c r="G2801" s="15"/>
      <c r="H2801" s="21"/>
      <c r="I2801" s="15"/>
      <c r="J2801" s="15"/>
      <c r="K2801" s="15"/>
      <c r="L2801" s="21"/>
      <c r="M2801" s="15"/>
    </row>
    <row r="2802" spans="1:13" ht="12.75" customHeight="1">
      <c r="A2802" s="13" t="s">
        <v>206</v>
      </c>
      <c r="B2802" s="42" t="s">
        <v>151</v>
      </c>
      <c r="C2802" s="29" t="s">
        <v>213</v>
      </c>
      <c r="D2802" s="35"/>
      <c r="E2802" s="31"/>
      <c r="F2802" s="32"/>
    </row>
    <row r="2803" spans="1:13" ht="12.75" customHeight="1">
      <c r="A2803" s="12" t="s">
        <v>409</v>
      </c>
      <c r="B2803" s="30">
        <v>0.22</v>
      </c>
      <c r="C2803" s="24" t="s">
        <v>1229</v>
      </c>
      <c r="D2803" s="35">
        <f>Prec.!$C$12</f>
        <v>335</v>
      </c>
      <c r="E2803" s="31">
        <f t="shared" ref="E2803:E2808" si="259">ROUND(B2803*D2803,2)</f>
        <v>73.7</v>
      </c>
      <c r="F2803" s="32"/>
    </row>
    <row r="2804" spans="1:13" ht="12.75" customHeight="1">
      <c r="A2804" s="12" t="s">
        <v>827</v>
      </c>
      <c r="B2804" s="30">
        <v>1</v>
      </c>
      <c r="C2804" s="24" t="s">
        <v>1228</v>
      </c>
      <c r="D2804" s="35">
        <f>Prec.!$C$80</f>
        <v>0.68</v>
      </c>
      <c r="E2804" s="31">
        <f t="shared" si="259"/>
        <v>0.68</v>
      </c>
      <c r="F2804" s="32"/>
    </row>
    <row r="2805" spans="1:13" ht="12.75" customHeight="1">
      <c r="A2805" s="12" t="s">
        <v>183</v>
      </c>
      <c r="B2805" s="30">
        <v>3.3000000000000002E-2</v>
      </c>
      <c r="C2805" s="24" t="s">
        <v>211</v>
      </c>
      <c r="D2805" s="35">
        <f>D2797</f>
        <v>38</v>
      </c>
      <c r="E2805" s="31">
        <f t="shared" si="259"/>
        <v>1.25</v>
      </c>
      <c r="F2805" s="32"/>
    </row>
    <row r="2806" spans="1:13" ht="12.75" customHeight="1">
      <c r="A2806" s="12" t="s">
        <v>430</v>
      </c>
      <c r="B2806" s="30">
        <v>1</v>
      </c>
      <c r="C2806" s="24" t="s">
        <v>213</v>
      </c>
      <c r="D2806" s="35">
        <f>D2763</f>
        <v>150.69</v>
      </c>
      <c r="E2806" s="31">
        <f t="shared" si="259"/>
        <v>150.69</v>
      </c>
      <c r="F2806" s="32"/>
    </row>
    <row r="2807" spans="1:13" ht="12.75" customHeight="1">
      <c r="A2807" s="12" t="s">
        <v>1168</v>
      </c>
      <c r="B2807" s="30">
        <v>1</v>
      </c>
      <c r="C2807" s="24" t="s">
        <v>213</v>
      </c>
      <c r="D2807" s="35">
        <f>Prec.!$D$428</f>
        <v>90</v>
      </c>
      <c r="E2807" s="31">
        <f t="shared" si="259"/>
        <v>90</v>
      </c>
      <c r="F2807" s="32"/>
    </row>
    <row r="2808" spans="1:13" ht="12.75" customHeight="1">
      <c r="A2808" s="12" t="s">
        <v>208</v>
      </c>
      <c r="B2808" s="14">
        <f>SUM(E2803:E2807)</f>
        <v>316.32</v>
      </c>
      <c r="C2808" s="24" t="s">
        <v>209</v>
      </c>
      <c r="D2808" s="35">
        <f>Prec.!C302</f>
        <v>1.4999999999999999E-2</v>
      </c>
      <c r="E2808" s="31">
        <f t="shared" si="259"/>
        <v>4.74</v>
      </c>
      <c r="F2808" s="32">
        <f>SUM(E2803:E2808)</f>
        <v>321.06</v>
      </c>
    </row>
    <row r="2809" spans="1:13" ht="12.75" customHeight="1">
      <c r="A2809" s="12"/>
      <c r="B2809" s="14"/>
      <c r="C2809" s="24"/>
      <c r="D2809" s="35"/>
      <c r="E2809" s="31"/>
      <c r="F2809" s="32"/>
    </row>
    <row r="2810" spans="1:13" ht="12.75" customHeight="1">
      <c r="A2810" s="13" t="s">
        <v>1231</v>
      </c>
      <c r="B2810" s="42" t="s">
        <v>151</v>
      </c>
      <c r="C2810" s="29" t="s">
        <v>213</v>
      </c>
      <c r="D2810" s="35"/>
      <c r="E2810" s="31"/>
      <c r="F2810" s="32"/>
    </row>
    <row r="2811" spans="1:13" ht="12.75" customHeight="1">
      <c r="A2811" s="12" t="s">
        <v>486</v>
      </c>
      <c r="B2811" s="30">
        <v>1.0999999999999999E-2</v>
      </c>
      <c r="C2811" s="24" t="s">
        <v>825</v>
      </c>
      <c r="D2811" s="35">
        <f>Prec.!$C$19</f>
        <v>750</v>
      </c>
      <c r="E2811" s="31">
        <f t="shared" ref="E2811:E2816" si="260">ROUND(B2811*D2811,2)</f>
        <v>8.25</v>
      </c>
      <c r="F2811" s="32"/>
    </row>
    <row r="2812" spans="1:13" ht="12.75" customHeight="1">
      <c r="A2812" s="12" t="s">
        <v>1169</v>
      </c>
      <c r="B2812" s="30">
        <v>2E-3</v>
      </c>
      <c r="C2812" s="24" t="s">
        <v>825</v>
      </c>
      <c r="D2812" s="35">
        <f>D2768</f>
        <v>7269.64</v>
      </c>
      <c r="E2812" s="31">
        <f t="shared" si="260"/>
        <v>14.54</v>
      </c>
      <c r="F2812" s="32"/>
    </row>
    <row r="2813" spans="1:13" ht="12.75" customHeight="1">
      <c r="A2813" s="12" t="s">
        <v>183</v>
      </c>
      <c r="B2813" s="30">
        <v>3.3000000000000002E-2</v>
      </c>
      <c r="C2813" s="24" t="s">
        <v>211</v>
      </c>
      <c r="D2813" s="35">
        <f>D2805</f>
        <v>38</v>
      </c>
      <c r="E2813" s="31">
        <f t="shared" si="260"/>
        <v>1.25</v>
      </c>
      <c r="F2813" s="32"/>
    </row>
    <row r="2814" spans="1:13" ht="12.75" customHeight="1">
      <c r="A2814" s="12" t="s">
        <v>430</v>
      </c>
      <c r="B2814" s="30">
        <v>1</v>
      </c>
      <c r="C2814" s="24" t="s">
        <v>213</v>
      </c>
      <c r="D2814" s="35">
        <f>D2763</f>
        <v>150.69</v>
      </c>
      <c r="E2814" s="31">
        <f t="shared" si="260"/>
        <v>150.69</v>
      </c>
      <c r="F2814" s="32"/>
    </row>
    <row r="2815" spans="1:13" ht="12.75" customHeight="1">
      <c r="A2815" s="12" t="s">
        <v>1168</v>
      </c>
      <c r="B2815" s="30">
        <v>1</v>
      </c>
      <c r="C2815" s="24" t="s">
        <v>213</v>
      </c>
      <c r="D2815" s="35">
        <f>Prec.!$D$429</f>
        <v>0</v>
      </c>
      <c r="E2815" s="31">
        <f t="shared" si="260"/>
        <v>0</v>
      </c>
      <c r="F2815" s="32"/>
      <c r="I2815" s="15" t="s">
        <v>4390</v>
      </c>
    </row>
    <row r="2816" spans="1:13" ht="12.75" customHeight="1">
      <c r="A2816" s="12" t="s">
        <v>208</v>
      </c>
      <c r="B2816" s="14">
        <f>SUM(E2811:E2815)</f>
        <v>174.73</v>
      </c>
      <c r="C2816" s="24" t="s">
        <v>209</v>
      </c>
      <c r="D2816" s="35">
        <f>Prec.!C302</f>
        <v>1.4999999999999999E-2</v>
      </c>
      <c r="E2816" s="31">
        <f t="shared" si="260"/>
        <v>2.62</v>
      </c>
      <c r="F2816" s="32">
        <f>SUM(E2811:E2816)</f>
        <v>177.35</v>
      </c>
      <c r="I2816" s="15" t="s">
        <v>4391</v>
      </c>
      <c r="J2816" s="15">
        <v>1.2E-2</v>
      </c>
      <c r="K2816" s="15" t="s">
        <v>825</v>
      </c>
      <c r="L2816" s="21">
        <v>5622.8099999999995</v>
      </c>
      <c r="M2816" s="15">
        <v>67.47</v>
      </c>
    </row>
    <row r="2817" spans="1:13" ht="9" customHeight="1">
      <c r="A2817" s="12"/>
      <c r="B2817" s="14"/>
      <c r="C2817" s="24"/>
      <c r="D2817" s="35"/>
      <c r="E2817" s="31"/>
      <c r="F2817" s="32"/>
      <c r="I2817" s="15" t="s">
        <v>1168</v>
      </c>
      <c r="J2817" s="15">
        <v>1</v>
      </c>
      <c r="K2817" s="15" t="s">
        <v>1171</v>
      </c>
      <c r="L2817" s="21">
        <v>35</v>
      </c>
      <c r="M2817" s="15">
        <v>35</v>
      </c>
    </row>
    <row r="2818" spans="1:13" ht="12.75" customHeight="1">
      <c r="A2818" s="545" t="s">
        <v>1267</v>
      </c>
      <c r="B2818" s="555" t="s">
        <v>151</v>
      </c>
      <c r="C2818" s="556" t="s">
        <v>213</v>
      </c>
      <c r="D2818" s="548"/>
      <c r="E2818" s="552"/>
      <c r="F2818" s="553"/>
      <c r="I2818" s="15" t="s">
        <v>1748</v>
      </c>
      <c r="J2818" s="15">
        <v>0.03</v>
      </c>
      <c r="K2818" s="15" t="s">
        <v>1749</v>
      </c>
      <c r="L2818" s="21">
        <v>102.47</v>
      </c>
      <c r="M2818" s="15">
        <v>3.07</v>
      </c>
    </row>
    <row r="2819" spans="1:13" ht="12.75" customHeight="1">
      <c r="A2819" s="551" t="s">
        <v>1169</v>
      </c>
      <c r="B2819" s="546">
        <v>8.9999999999999993E-3</v>
      </c>
      <c r="C2819" s="547" t="s">
        <v>825</v>
      </c>
      <c r="D2819" s="548">
        <f>D2754</f>
        <v>7269.64</v>
      </c>
      <c r="E2819" s="552">
        <f>ROUND(B2819*D2819,2)</f>
        <v>65.430000000000007</v>
      </c>
      <c r="F2819" s="553"/>
      <c r="K2819" s="15" t="s">
        <v>4392</v>
      </c>
      <c r="M2819" s="15">
        <v>105.53999999999999</v>
      </c>
    </row>
    <row r="2820" spans="1:13" ht="12.75" customHeight="1">
      <c r="A2820" s="551" t="s">
        <v>1168</v>
      </c>
      <c r="B2820" s="546">
        <v>12.5</v>
      </c>
      <c r="C2820" s="547" t="s">
        <v>215</v>
      </c>
      <c r="D2820" s="548">
        <f>Prec.!C339</f>
        <v>2.59</v>
      </c>
      <c r="E2820" s="552">
        <f>ROUND(B2820*D2820,2)</f>
        <v>32.380000000000003</v>
      </c>
      <c r="F2820" s="553"/>
    </row>
    <row r="2821" spans="1:13" ht="12.75" customHeight="1">
      <c r="A2821" s="551" t="s">
        <v>208</v>
      </c>
      <c r="B2821" s="554">
        <f>SUM(E2819)</f>
        <v>65.430000000000007</v>
      </c>
      <c r="C2821" s="547" t="s">
        <v>209</v>
      </c>
      <c r="D2821" s="548">
        <v>0.02</v>
      </c>
      <c r="E2821" s="552">
        <f>ROUND(B2821*D2821,2)</f>
        <v>1.31</v>
      </c>
      <c r="F2821" s="553">
        <f>SUM(E2819:E2821)</f>
        <v>99.12</v>
      </c>
    </row>
    <row r="2822" spans="1:13" ht="7.5" customHeight="1">
      <c r="A2822" s="12"/>
      <c r="B2822" s="14"/>
      <c r="C2822" s="24"/>
      <c r="D2822" s="35"/>
      <c r="E2822" s="31"/>
      <c r="F2822" s="32"/>
    </row>
    <row r="2823" spans="1:13" ht="12.75" customHeight="1">
      <c r="A2823" s="698" t="s">
        <v>367</v>
      </c>
      <c r="B2823" s="706" t="s">
        <v>151</v>
      </c>
      <c r="C2823" s="707" t="s">
        <v>213</v>
      </c>
      <c r="D2823" s="708"/>
      <c r="E2823" s="702"/>
      <c r="F2823" s="703"/>
    </row>
    <row r="2824" spans="1:13" ht="12.75" customHeight="1">
      <c r="A2824" s="704" t="s">
        <v>663</v>
      </c>
      <c r="B2824" s="705">
        <v>8.0000000000000002E-3</v>
      </c>
      <c r="C2824" s="700" t="s">
        <v>825</v>
      </c>
      <c r="D2824" s="708">
        <f>horm.ymez.!C10</f>
        <v>5023.9699999999993</v>
      </c>
      <c r="E2824" s="702">
        <f>ROUND(B2824*D2824,2)</f>
        <v>40.19</v>
      </c>
      <c r="F2824" s="703"/>
    </row>
    <row r="2825" spans="1:13" ht="12.75" customHeight="1">
      <c r="A2825" s="704" t="s">
        <v>1167</v>
      </c>
      <c r="B2825" s="705">
        <v>1</v>
      </c>
      <c r="C2825" s="700" t="s">
        <v>213</v>
      </c>
      <c r="D2825" s="708">
        <f>Prec.!C430</f>
        <v>23.58</v>
      </c>
      <c r="E2825" s="702">
        <f>ROUND(B2825*D2825,2)</f>
        <v>23.58</v>
      </c>
      <c r="F2825" s="703"/>
    </row>
    <row r="2826" spans="1:13" ht="12.75" customHeight="1">
      <c r="A2826" s="704" t="s">
        <v>208</v>
      </c>
      <c r="B2826" s="711">
        <f>SUM(E2824)</f>
        <v>40.19</v>
      </c>
      <c r="C2826" s="700" t="s">
        <v>209</v>
      </c>
      <c r="D2826" s="708">
        <v>0.02</v>
      </c>
      <c r="E2826" s="702">
        <f>ROUND(B2826*D2826,2)</f>
        <v>0.8</v>
      </c>
      <c r="F2826" s="703">
        <f>SUM(E2824:E2826)</f>
        <v>64.569999999999993</v>
      </c>
    </row>
    <row r="2827" spans="1:13" ht="12.75" customHeight="1">
      <c r="A2827" s="12"/>
      <c r="B2827" s="14"/>
      <c r="C2827" s="24"/>
      <c r="D2827" s="35"/>
      <c r="E2827" s="31"/>
      <c r="F2827" s="32"/>
    </row>
    <row r="2828" spans="1:13" s="166" customFormat="1" ht="12.75" customHeight="1">
      <c r="A2828" s="698" t="s">
        <v>4393</v>
      </c>
      <c r="B2828" s="706" t="s">
        <v>151</v>
      </c>
      <c r="C2828" s="707" t="s">
        <v>1171</v>
      </c>
      <c r="D2828" s="708"/>
      <c r="E2828" s="702"/>
      <c r="F2828" s="703"/>
      <c r="G2828" s="15"/>
      <c r="H2828" s="21"/>
      <c r="I2828" s="15"/>
      <c r="J2828" s="15"/>
      <c r="K2828" s="15"/>
      <c r="L2828" s="21"/>
      <c r="M2828" s="15"/>
    </row>
    <row r="2829" spans="1:13" s="166" customFormat="1" ht="12.75" customHeight="1">
      <c r="A2829" s="704" t="s">
        <v>1169</v>
      </c>
      <c r="B2829" s="705">
        <v>1.2E-2</v>
      </c>
      <c r="C2829" s="700" t="s">
        <v>825</v>
      </c>
      <c r="D2829" s="708">
        <f>D2819</f>
        <v>7269.64</v>
      </c>
      <c r="E2829" s="702">
        <f>ROUND(B2829*D2829,2)</f>
        <v>87.24</v>
      </c>
      <c r="F2829" s="703"/>
      <c r="G2829" s="15"/>
      <c r="H2829" s="21"/>
      <c r="I2829" s="15"/>
      <c r="J2829" s="15"/>
      <c r="K2829" s="15"/>
      <c r="L2829" s="21"/>
      <c r="M2829" s="15"/>
    </row>
    <row r="2830" spans="1:13" s="166" customFormat="1" ht="12.75" customHeight="1">
      <c r="A2830" s="704" t="s">
        <v>1168</v>
      </c>
      <c r="B2830" s="705">
        <v>1</v>
      </c>
      <c r="C2830" s="700" t="s">
        <v>1171</v>
      </c>
      <c r="D2830" s="708">
        <f>D2836</f>
        <v>68.430000000000007</v>
      </c>
      <c r="E2830" s="702">
        <f>ROUND(B2830*D2830,2)</f>
        <v>68.430000000000007</v>
      </c>
      <c r="F2830" s="703"/>
      <c r="G2830" s="15"/>
      <c r="H2830" s="21"/>
      <c r="I2830" s="15"/>
      <c r="J2830" s="15"/>
      <c r="K2830" s="15"/>
      <c r="L2830" s="21"/>
      <c r="M2830" s="15"/>
    </row>
    <row r="2831" spans="1:13" s="166" customFormat="1" ht="12.75" customHeight="1">
      <c r="A2831" s="704" t="s">
        <v>208</v>
      </c>
      <c r="B2831" s="711">
        <f>SUM(E2829:E2829)</f>
        <v>87.24</v>
      </c>
      <c r="C2831" s="700" t="s">
        <v>209</v>
      </c>
      <c r="D2831" s="708">
        <v>0.02</v>
      </c>
      <c r="E2831" s="702">
        <f>ROUND(B2831*D2831,2)</f>
        <v>1.74</v>
      </c>
      <c r="F2831" s="703">
        <f>SUM(E2829:E2831)</f>
        <v>157.41000000000003</v>
      </c>
      <c r="G2831" s="15"/>
      <c r="H2831" s="21"/>
      <c r="I2831" s="15"/>
      <c r="J2831" s="15"/>
      <c r="K2831" s="15"/>
      <c r="L2831" s="21"/>
      <c r="M2831" s="15"/>
    </row>
    <row r="2832" spans="1:13" s="166" customFormat="1" ht="12.75" customHeight="1">
      <c r="A2832" s="12"/>
      <c r="B2832" s="14"/>
      <c r="C2832" s="24"/>
      <c r="D2832" s="35"/>
      <c r="E2832" s="31"/>
      <c r="F2832" s="32"/>
      <c r="G2832" s="15"/>
      <c r="H2832" s="21"/>
      <c r="I2832" s="15"/>
      <c r="J2832" s="15"/>
      <c r="K2832" s="15"/>
      <c r="L2832" s="21"/>
      <c r="M2832" s="15"/>
    </row>
    <row r="2833" spans="1:7" ht="12.75" customHeight="1">
      <c r="A2833" s="698" t="s">
        <v>1170</v>
      </c>
      <c r="B2833" s="706" t="s">
        <v>151</v>
      </c>
      <c r="C2833" s="707" t="s">
        <v>1171</v>
      </c>
      <c r="D2833" s="708"/>
      <c r="E2833" s="702"/>
      <c r="F2833" s="703"/>
    </row>
    <row r="2834" spans="1:7" ht="12.75" customHeight="1">
      <c r="A2834" s="704" t="s">
        <v>1169</v>
      </c>
      <c r="B2834" s="705">
        <v>4.0000000000000001E-3</v>
      </c>
      <c r="C2834" s="700" t="s">
        <v>825</v>
      </c>
      <c r="D2834" s="708">
        <f>D2782</f>
        <v>7269.64</v>
      </c>
      <c r="E2834" s="702">
        <f>ROUND(B2834*D2834,2)</f>
        <v>29.08</v>
      </c>
      <c r="F2834" s="703"/>
    </row>
    <row r="2835" spans="1:7" ht="12.75" customHeight="1">
      <c r="A2835" s="704" t="s">
        <v>183</v>
      </c>
      <c r="B2835" s="705">
        <v>0.109</v>
      </c>
      <c r="C2835" s="700" t="s">
        <v>211</v>
      </c>
      <c r="D2835" s="708">
        <f>D2813</f>
        <v>38</v>
      </c>
      <c r="E2835" s="702">
        <f>ROUND(B2835*D2835,2)</f>
        <v>4.1399999999999997</v>
      </c>
      <c r="F2835" s="703"/>
    </row>
    <row r="2836" spans="1:7" ht="12.75" customHeight="1">
      <c r="A2836" s="704" t="s">
        <v>1168</v>
      </c>
      <c r="B2836" s="705">
        <v>1</v>
      </c>
      <c r="C2836" s="700" t="s">
        <v>1171</v>
      </c>
      <c r="D2836" s="708">
        <f>Prec.!C438</f>
        <v>68.430000000000007</v>
      </c>
      <c r="E2836" s="702">
        <f>ROUND(B2836*D2836,2)</f>
        <v>68.430000000000007</v>
      </c>
      <c r="F2836" s="703"/>
    </row>
    <row r="2837" spans="1:7" ht="12.75" customHeight="1">
      <c r="A2837" s="704" t="s">
        <v>208</v>
      </c>
      <c r="B2837" s="711">
        <f>SUM(E2834:E2835)</f>
        <v>33.22</v>
      </c>
      <c r="C2837" s="700" t="s">
        <v>209</v>
      </c>
      <c r="D2837" s="708">
        <v>0.02</v>
      </c>
      <c r="E2837" s="702">
        <f>ROUND(B2837*D2837,2)</f>
        <v>0.66</v>
      </c>
      <c r="F2837" s="703">
        <f>SUM(E2834:E2837)</f>
        <v>102.31</v>
      </c>
    </row>
    <row r="2838" spans="1:7" ht="11.1" customHeight="1">
      <c r="A2838" s="12"/>
      <c r="B2838" s="14"/>
      <c r="C2838" s="24"/>
      <c r="D2838" s="35"/>
      <c r="E2838" s="31"/>
      <c r="F2838" s="32"/>
    </row>
    <row r="2839" spans="1:7" ht="12.75" hidden="1" customHeight="1">
      <c r="A2839" s="13" t="s">
        <v>634</v>
      </c>
      <c r="B2839" s="42" t="s">
        <v>151</v>
      </c>
      <c r="C2839" s="29" t="s">
        <v>213</v>
      </c>
      <c r="D2839" s="35"/>
      <c r="E2839" s="31"/>
      <c r="F2839" s="32"/>
    </row>
    <row r="2840" spans="1:7" ht="12.75" hidden="1" customHeight="1">
      <c r="A2840" s="12" t="s">
        <v>1169</v>
      </c>
      <c r="B2840" s="30">
        <v>7.0000000000000001E-3</v>
      </c>
      <c r="C2840" s="24" t="s">
        <v>825</v>
      </c>
      <c r="D2840" s="35">
        <f>D2834</f>
        <v>7269.64</v>
      </c>
      <c r="E2840" s="31">
        <f>ROUND(B2840*D2840,2)</f>
        <v>50.89</v>
      </c>
      <c r="F2840" s="32"/>
      <c r="G2840" s="21"/>
    </row>
    <row r="2841" spans="1:7" ht="12.75" hidden="1" customHeight="1">
      <c r="A2841" s="12" t="s">
        <v>183</v>
      </c>
      <c r="B2841" s="30">
        <v>3.3000000000000002E-2</v>
      </c>
      <c r="C2841" s="24" t="s">
        <v>211</v>
      </c>
      <c r="D2841" s="35">
        <f>D2835</f>
        <v>38</v>
      </c>
      <c r="E2841" s="31">
        <f>ROUND(B2841*D2841,2)</f>
        <v>1.25</v>
      </c>
      <c r="F2841" s="32"/>
    </row>
    <row r="2842" spans="1:7" ht="12.75" hidden="1" customHeight="1">
      <c r="A2842" s="12" t="s">
        <v>430</v>
      </c>
      <c r="B2842" s="30">
        <v>1</v>
      </c>
      <c r="C2842" s="24" t="s">
        <v>213</v>
      </c>
      <c r="D2842" s="35">
        <f>D2784</f>
        <v>18.830000000000002</v>
      </c>
      <c r="E2842" s="31">
        <f>ROUND(B2842*D2842,2)</f>
        <v>18.829999999999998</v>
      </c>
      <c r="F2842" s="32"/>
    </row>
    <row r="2843" spans="1:7" ht="12.75" hidden="1" customHeight="1">
      <c r="A2843" s="12" t="s">
        <v>1168</v>
      </c>
      <c r="B2843" s="30">
        <v>1</v>
      </c>
      <c r="C2843" s="24" t="s">
        <v>213</v>
      </c>
      <c r="D2843" s="35">
        <f>Prec.!$D$436</f>
        <v>0</v>
      </c>
      <c r="E2843" s="31">
        <f>ROUND(B2843*D2843,2)</f>
        <v>0</v>
      </c>
      <c r="F2843" s="32"/>
    </row>
    <row r="2844" spans="1:7" ht="12.75" hidden="1" customHeight="1">
      <c r="A2844" s="12" t="s">
        <v>208</v>
      </c>
      <c r="B2844" s="14">
        <f>SUM(E2840:E2843)</f>
        <v>70.97</v>
      </c>
      <c r="C2844" s="24" t="s">
        <v>209</v>
      </c>
      <c r="D2844" s="35">
        <f>Prec.!C302</f>
        <v>1.4999999999999999E-2</v>
      </c>
      <c r="E2844" s="31">
        <f>ROUND(B2844*D2844,2)</f>
        <v>1.06</v>
      </c>
      <c r="F2844" s="32">
        <f>SUM(E2840:E2844)</f>
        <v>72.03</v>
      </c>
    </row>
    <row r="2845" spans="1:7" ht="6" hidden="1" customHeight="1">
      <c r="A2845" s="12"/>
      <c r="B2845" s="14"/>
      <c r="C2845" s="24"/>
      <c r="D2845" s="35"/>
      <c r="E2845" s="31"/>
      <c r="F2845" s="32"/>
    </row>
    <row r="2846" spans="1:7" ht="12.75" hidden="1" customHeight="1">
      <c r="A2846" s="13" t="s">
        <v>297</v>
      </c>
      <c r="B2846" s="42" t="s">
        <v>151</v>
      </c>
      <c r="C2846" s="29" t="s">
        <v>213</v>
      </c>
      <c r="D2846" s="35"/>
      <c r="E2846" s="31"/>
      <c r="F2846" s="32"/>
    </row>
    <row r="2847" spans="1:7" ht="12.75" hidden="1" customHeight="1">
      <c r="A2847" s="12" t="s">
        <v>1169</v>
      </c>
      <c r="B2847" s="30">
        <v>7.0000000000000001E-3</v>
      </c>
      <c r="C2847" s="24" t="s">
        <v>825</v>
      </c>
      <c r="D2847" s="35">
        <f>D2789</f>
        <v>7269.64</v>
      </c>
      <c r="E2847" s="31">
        <f>ROUND(B2847*D2847,2)</f>
        <v>50.89</v>
      </c>
      <c r="F2847" s="32"/>
    </row>
    <row r="2848" spans="1:7" ht="12.75" hidden="1" customHeight="1">
      <c r="A2848" s="12" t="s">
        <v>183</v>
      </c>
      <c r="B2848" s="30">
        <v>3.3000000000000002E-2</v>
      </c>
      <c r="C2848" s="24" t="s">
        <v>211</v>
      </c>
      <c r="D2848" s="35">
        <f>D2841</f>
        <v>38</v>
      </c>
      <c r="E2848" s="31">
        <f>ROUND(B2848*D2848,2)</f>
        <v>1.25</v>
      </c>
      <c r="F2848" s="32"/>
    </row>
    <row r="2849" spans="1:6" ht="12.75" hidden="1" customHeight="1">
      <c r="A2849" s="12" t="s">
        <v>430</v>
      </c>
      <c r="B2849" s="30">
        <v>1</v>
      </c>
      <c r="C2849" s="24" t="s">
        <v>213</v>
      </c>
      <c r="D2849" s="35">
        <f>D2784</f>
        <v>18.830000000000002</v>
      </c>
      <c r="E2849" s="31">
        <f>ROUND(B2849*D2849,2)</f>
        <v>18.829999999999998</v>
      </c>
      <c r="F2849" s="32"/>
    </row>
    <row r="2850" spans="1:6" ht="12.75" hidden="1" customHeight="1">
      <c r="A2850" s="12" t="s">
        <v>1168</v>
      </c>
      <c r="B2850" s="30">
        <v>1</v>
      </c>
      <c r="C2850" s="24" t="s">
        <v>213</v>
      </c>
      <c r="D2850" s="35">
        <f>Prec.!$D$437</f>
        <v>0</v>
      </c>
      <c r="E2850" s="31">
        <f>ROUND(B2850*D2850,2)</f>
        <v>0</v>
      </c>
      <c r="F2850" s="32"/>
    </row>
    <row r="2851" spans="1:6" ht="12.75" hidden="1" customHeight="1">
      <c r="A2851" s="12" t="s">
        <v>208</v>
      </c>
      <c r="B2851" s="14">
        <f>SUM(E2847:E2850)</f>
        <v>70.97</v>
      </c>
      <c r="C2851" s="24" t="s">
        <v>209</v>
      </c>
      <c r="D2851" s="35">
        <f>Prec.!C302</f>
        <v>1.4999999999999999E-2</v>
      </c>
      <c r="E2851" s="31">
        <f>ROUND(B2851*D2851,2)</f>
        <v>1.06</v>
      </c>
      <c r="F2851" s="32">
        <f>SUM(E2847:E2851)</f>
        <v>72.03</v>
      </c>
    </row>
    <row r="2852" spans="1:6" ht="6" hidden="1" customHeight="1">
      <c r="A2852" s="12"/>
      <c r="B2852" s="14"/>
      <c r="C2852" s="24"/>
      <c r="D2852" s="35"/>
      <c r="E2852" s="31"/>
      <c r="F2852" s="32"/>
    </row>
    <row r="2853" spans="1:6" ht="12.75" hidden="1" customHeight="1">
      <c r="A2853" s="13" t="s">
        <v>632</v>
      </c>
      <c r="B2853" s="42" t="s">
        <v>151</v>
      </c>
      <c r="C2853" s="29" t="s">
        <v>213</v>
      </c>
      <c r="D2853" s="35"/>
      <c r="E2853" s="31"/>
      <c r="F2853" s="32"/>
    </row>
    <row r="2854" spans="1:6" ht="12.75" hidden="1" customHeight="1">
      <c r="A2854" s="12" t="s">
        <v>427</v>
      </c>
      <c r="B2854" s="30">
        <v>0.02</v>
      </c>
      <c r="C2854" s="24" t="s">
        <v>825</v>
      </c>
      <c r="D2854" s="35">
        <f>horm.ymez.!C8</f>
        <v>6653.49</v>
      </c>
      <c r="E2854" s="31">
        <f>ROUND(B2854*D2854,2)</f>
        <v>133.07</v>
      </c>
      <c r="F2854" s="32"/>
    </row>
    <row r="2855" spans="1:6" ht="12.75" hidden="1" customHeight="1">
      <c r="A2855" s="12" t="s">
        <v>183</v>
      </c>
      <c r="B2855" s="30">
        <v>3.3000000000000002E-2</v>
      </c>
      <c r="C2855" s="24" t="s">
        <v>211</v>
      </c>
      <c r="D2855" s="35">
        <f>D2848</f>
        <v>38</v>
      </c>
      <c r="E2855" s="31">
        <f>ROUND(B2855*D2855,2)</f>
        <v>1.25</v>
      </c>
      <c r="F2855" s="32"/>
    </row>
    <row r="2856" spans="1:6" ht="12.75" hidden="1" customHeight="1">
      <c r="A2856" s="12" t="s">
        <v>430</v>
      </c>
      <c r="B2856" s="30">
        <v>1</v>
      </c>
      <c r="C2856" s="24" t="s">
        <v>213</v>
      </c>
      <c r="D2856" s="35">
        <f>D2806</f>
        <v>150.69</v>
      </c>
      <c r="E2856" s="31">
        <f>ROUND(B2856*D2856,2)</f>
        <v>150.69</v>
      </c>
      <c r="F2856" s="32"/>
    </row>
    <row r="2857" spans="1:6" ht="12.75" hidden="1" customHeight="1">
      <c r="A2857" s="12" t="s">
        <v>1168</v>
      </c>
      <c r="B2857" s="30">
        <v>1</v>
      </c>
      <c r="C2857" s="24" t="s">
        <v>213</v>
      </c>
      <c r="D2857" s="35">
        <f>Prec.!$D$432</f>
        <v>0</v>
      </c>
      <c r="E2857" s="31">
        <f>ROUND(B2857*D2857,2)</f>
        <v>0</v>
      </c>
      <c r="F2857" s="32"/>
    </row>
    <row r="2858" spans="1:6" ht="12.75" hidden="1" customHeight="1">
      <c r="A2858" s="12" t="s">
        <v>208</v>
      </c>
      <c r="B2858" s="14">
        <f>SUM(E2854:E2857)</f>
        <v>285.01</v>
      </c>
      <c r="C2858" s="24" t="s">
        <v>209</v>
      </c>
      <c r="D2858" s="35">
        <f>Prec.!C302</f>
        <v>1.4999999999999999E-2</v>
      </c>
      <c r="E2858" s="31">
        <f>ROUND(B2858*D2858,2)</f>
        <v>4.28</v>
      </c>
      <c r="F2858" s="32">
        <f>SUM(E2854:E2858)</f>
        <v>289.28999999999996</v>
      </c>
    </row>
    <row r="2859" spans="1:6" ht="12.75" hidden="1" customHeight="1">
      <c r="A2859" s="13" t="s">
        <v>988</v>
      </c>
      <c r="B2859" s="42" t="s">
        <v>151</v>
      </c>
      <c r="C2859" s="29" t="s">
        <v>213</v>
      </c>
      <c r="D2859" s="35"/>
      <c r="E2859" s="31"/>
      <c r="F2859" s="32"/>
    </row>
    <row r="2860" spans="1:6" ht="12.75" hidden="1" customHeight="1">
      <c r="A2860" s="12" t="s">
        <v>427</v>
      </c>
      <c r="B2860" s="30">
        <v>0.02</v>
      </c>
      <c r="C2860" s="24" t="s">
        <v>825</v>
      </c>
      <c r="D2860" s="35">
        <f>horm.ymez.!C8</f>
        <v>6653.49</v>
      </c>
      <c r="E2860" s="31">
        <f>ROUND(B2860*D2860,2)</f>
        <v>133.07</v>
      </c>
      <c r="F2860" s="32"/>
    </row>
    <row r="2861" spans="1:6" ht="12.75" hidden="1" customHeight="1">
      <c r="A2861" s="12" t="s">
        <v>183</v>
      </c>
      <c r="B2861" s="30">
        <v>3.3000000000000002E-2</v>
      </c>
      <c r="C2861" s="24" t="s">
        <v>211</v>
      </c>
      <c r="D2861" s="35">
        <f>D2855</f>
        <v>38</v>
      </c>
      <c r="E2861" s="31">
        <f>ROUND(B2861*D2861,2)</f>
        <v>1.25</v>
      </c>
      <c r="F2861" s="32"/>
    </row>
    <row r="2862" spans="1:6" ht="12.75" hidden="1" customHeight="1">
      <c r="A2862" s="12" t="s">
        <v>430</v>
      </c>
      <c r="B2862" s="30">
        <v>1</v>
      </c>
      <c r="C2862" s="24" t="s">
        <v>213</v>
      </c>
      <c r="D2862" s="35">
        <f>D2814</f>
        <v>150.69</v>
      </c>
      <c r="E2862" s="31">
        <f>ROUND(B2862*D2862,2)</f>
        <v>150.69</v>
      </c>
      <c r="F2862" s="32"/>
    </row>
    <row r="2863" spans="1:6" ht="12.75" hidden="1" customHeight="1">
      <c r="A2863" s="12" t="s">
        <v>1168</v>
      </c>
      <c r="B2863" s="30">
        <v>1</v>
      </c>
      <c r="C2863" s="24" t="s">
        <v>213</v>
      </c>
      <c r="D2863" s="35">
        <f>Prec.!$D$433</f>
        <v>0</v>
      </c>
      <c r="E2863" s="31">
        <f>ROUND(B2863*D2863,2)</f>
        <v>0</v>
      </c>
      <c r="F2863" s="32"/>
    </row>
    <row r="2864" spans="1:6" ht="12.75" hidden="1" customHeight="1">
      <c r="A2864" s="12" t="s">
        <v>208</v>
      </c>
      <c r="B2864" s="14">
        <f>SUM(E2860:E2863)</f>
        <v>285.01</v>
      </c>
      <c r="C2864" s="24" t="s">
        <v>209</v>
      </c>
      <c r="D2864" s="35">
        <f>Prec.!C302</f>
        <v>1.4999999999999999E-2</v>
      </c>
      <c r="E2864" s="31">
        <f>ROUND(B2864*D2864,2)</f>
        <v>4.28</v>
      </c>
      <c r="F2864" s="32">
        <f>SUM(E2860:E2864)</f>
        <v>289.28999999999996</v>
      </c>
    </row>
    <row r="2865" spans="1:6" ht="11.1" hidden="1" customHeight="1">
      <c r="A2865" s="12"/>
      <c r="B2865" s="14"/>
      <c r="C2865" s="24"/>
      <c r="D2865" s="35"/>
      <c r="E2865" s="31"/>
      <c r="F2865" s="32"/>
    </row>
    <row r="2866" spans="1:6" ht="12.75" hidden="1" customHeight="1">
      <c r="A2866" s="13" t="s">
        <v>633</v>
      </c>
      <c r="B2866" s="42" t="s">
        <v>151</v>
      </c>
      <c r="C2866" s="29" t="s">
        <v>825</v>
      </c>
      <c r="D2866" s="35"/>
      <c r="E2866" s="31"/>
      <c r="F2866" s="32"/>
    </row>
    <row r="2867" spans="1:6" ht="12.75" hidden="1" customHeight="1">
      <c r="A2867" s="12" t="s">
        <v>427</v>
      </c>
      <c r="B2867" s="30">
        <v>1.2999999999999999E-2</v>
      </c>
      <c r="C2867" s="24" t="s">
        <v>825</v>
      </c>
      <c r="D2867" s="35">
        <f>horm.ymez.!C8</f>
        <v>6653.49</v>
      </c>
      <c r="E2867" s="31">
        <f>ROUND(B2867*D2867,2)</f>
        <v>86.5</v>
      </c>
      <c r="F2867" s="32"/>
    </row>
    <row r="2868" spans="1:6" ht="12.75" hidden="1" customHeight="1">
      <c r="A2868" s="12" t="s">
        <v>1168</v>
      </c>
      <c r="B2868" s="30">
        <v>1</v>
      </c>
      <c r="C2868" s="24" t="s">
        <v>213</v>
      </c>
      <c r="D2868" s="35">
        <f>Prec.!$D$431</f>
        <v>0</v>
      </c>
      <c r="E2868" s="31">
        <f>ROUND(B2868*D2868,2)</f>
        <v>0</v>
      </c>
      <c r="F2868" s="32"/>
    </row>
    <row r="2869" spans="1:6" ht="12.75" hidden="1" customHeight="1">
      <c r="A2869" s="12" t="s">
        <v>208</v>
      </c>
      <c r="B2869" s="14">
        <f>SUM(E2867:E2868)</f>
        <v>86.5</v>
      </c>
      <c r="C2869" s="24" t="s">
        <v>209</v>
      </c>
      <c r="D2869" s="35">
        <f>Prec.!C302</f>
        <v>1.4999999999999999E-2</v>
      </c>
      <c r="E2869" s="31">
        <f>ROUND(B2869*D2869,2)</f>
        <v>1.3</v>
      </c>
      <c r="F2869" s="32">
        <f>SUM(E2867:E2869)</f>
        <v>87.8</v>
      </c>
    </row>
    <row r="2870" spans="1:6" ht="12.75" hidden="1" customHeight="1">
      <c r="A2870" s="12"/>
      <c r="B2870" s="14"/>
      <c r="C2870" s="24"/>
      <c r="D2870" s="35"/>
      <c r="E2870" s="31"/>
      <c r="F2870" s="32"/>
    </row>
    <row r="2871" spans="1:6" ht="12.75" hidden="1" customHeight="1">
      <c r="A2871" s="13" t="s">
        <v>635</v>
      </c>
      <c r="B2871" s="42" t="s">
        <v>151</v>
      </c>
      <c r="C2871" s="29" t="s">
        <v>1171</v>
      </c>
      <c r="D2871" s="35"/>
      <c r="E2871" s="31"/>
      <c r="F2871" s="32"/>
    </row>
    <row r="2872" spans="1:6" ht="12.75" hidden="1" customHeight="1">
      <c r="A2872" s="12" t="s">
        <v>1169</v>
      </c>
      <c r="B2872" s="30">
        <v>8.0000000000000002E-3</v>
      </c>
      <c r="C2872" s="24" t="s">
        <v>825</v>
      </c>
      <c r="D2872" s="35">
        <f>D2789</f>
        <v>7269.64</v>
      </c>
      <c r="E2872" s="31">
        <f>ROUND(B2872*D2872,2)</f>
        <v>58.16</v>
      </c>
      <c r="F2872" s="32"/>
    </row>
    <row r="2873" spans="1:6" ht="12.75" hidden="1" customHeight="1">
      <c r="A2873" s="12" t="s">
        <v>183</v>
      </c>
      <c r="B2873" s="30">
        <v>0.27</v>
      </c>
      <c r="C2873" s="24" t="s">
        <v>211</v>
      </c>
      <c r="D2873" s="35">
        <f>D2861</f>
        <v>38</v>
      </c>
      <c r="E2873" s="31">
        <f>ROUND(B2873*D2873,2)</f>
        <v>10.26</v>
      </c>
      <c r="F2873" s="32"/>
    </row>
    <row r="2874" spans="1:6" ht="12.75" hidden="1" customHeight="1">
      <c r="A2874" s="12" t="s">
        <v>1168</v>
      </c>
      <c r="B2874" s="30">
        <v>1</v>
      </c>
      <c r="C2874" s="24" t="s">
        <v>1171</v>
      </c>
      <c r="D2874" s="35">
        <f>Prec.!$D$439</f>
        <v>0</v>
      </c>
      <c r="E2874" s="31">
        <f>ROUND(B2874*D2874,2)</f>
        <v>0</v>
      </c>
      <c r="F2874" s="32"/>
    </row>
    <row r="2875" spans="1:6" ht="12.75" hidden="1" customHeight="1">
      <c r="A2875" s="12" t="s">
        <v>208</v>
      </c>
      <c r="B2875" s="14">
        <f>SUM(E2872:E2874)</f>
        <v>68.42</v>
      </c>
      <c r="C2875" s="24" t="s">
        <v>209</v>
      </c>
      <c r="D2875" s="35">
        <f>Prec.!C302</f>
        <v>1.4999999999999999E-2</v>
      </c>
      <c r="E2875" s="31">
        <f>ROUND(B2875*D2875,2)</f>
        <v>1.03</v>
      </c>
      <c r="F2875" s="32">
        <f>SUM(E2872:E2875)</f>
        <v>69.45</v>
      </c>
    </row>
    <row r="2876" spans="1:6" ht="12.75" hidden="1" customHeight="1">
      <c r="A2876" s="12"/>
      <c r="B2876" s="14"/>
      <c r="C2876" s="24"/>
      <c r="D2876" s="35"/>
      <c r="E2876" s="31"/>
      <c r="F2876" s="32"/>
    </row>
    <row r="2877" spans="1:6" ht="12.75" hidden="1" customHeight="1">
      <c r="A2877" s="13" t="s">
        <v>636</v>
      </c>
      <c r="B2877" s="42" t="s">
        <v>151</v>
      </c>
      <c r="C2877" s="29" t="s">
        <v>1171</v>
      </c>
      <c r="D2877" s="35"/>
      <c r="E2877" s="31"/>
      <c r="F2877" s="32"/>
    </row>
    <row r="2878" spans="1:6" ht="12.75" hidden="1" customHeight="1">
      <c r="A2878" s="12" t="s">
        <v>1169</v>
      </c>
      <c r="B2878" s="30">
        <v>0.01</v>
      </c>
      <c r="C2878" s="24" t="s">
        <v>825</v>
      </c>
      <c r="D2878" s="35">
        <f>D2819</f>
        <v>7269.64</v>
      </c>
      <c r="E2878" s="31">
        <f>ROUND(B2878*D2878,2)</f>
        <v>72.7</v>
      </c>
      <c r="F2878" s="32"/>
    </row>
    <row r="2879" spans="1:6" ht="12.75" hidden="1" customHeight="1">
      <c r="A2879" s="12" t="s">
        <v>183</v>
      </c>
      <c r="B2879" s="30">
        <v>0.218</v>
      </c>
      <c r="C2879" s="24" t="s">
        <v>211</v>
      </c>
      <c r="D2879" s="35">
        <f>D2873</f>
        <v>38</v>
      </c>
      <c r="E2879" s="31">
        <f>ROUND(B2879*D2879,2)</f>
        <v>8.2799999999999994</v>
      </c>
      <c r="F2879" s="32"/>
    </row>
    <row r="2880" spans="1:6" ht="12.75" hidden="1" customHeight="1">
      <c r="A2880" s="12" t="s">
        <v>430</v>
      </c>
      <c r="B2880" s="30">
        <v>1</v>
      </c>
      <c r="C2880" s="24" t="s">
        <v>213</v>
      </c>
      <c r="D2880" s="35">
        <f>D2814</f>
        <v>150.69</v>
      </c>
      <c r="E2880" s="31">
        <f>ROUND(B2880*D2880,2)</f>
        <v>150.69</v>
      </c>
      <c r="F2880" s="32"/>
    </row>
    <row r="2881" spans="1:13" ht="12.75" hidden="1" customHeight="1">
      <c r="A2881" s="12" t="s">
        <v>1168</v>
      </c>
      <c r="B2881" s="30">
        <v>1</v>
      </c>
      <c r="C2881" s="24" t="s">
        <v>1171</v>
      </c>
      <c r="D2881" s="35">
        <f>Prec.!$D$440</f>
        <v>0</v>
      </c>
      <c r="E2881" s="31">
        <f>ROUND(B2881*D2881,2)</f>
        <v>0</v>
      </c>
      <c r="F2881" s="32"/>
    </row>
    <row r="2882" spans="1:13" ht="12.75" hidden="1" customHeight="1">
      <c r="A2882" s="12" t="s">
        <v>208</v>
      </c>
      <c r="B2882" s="14">
        <f>SUM(E2878:E2881)</f>
        <v>231.67000000000002</v>
      </c>
      <c r="C2882" s="24" t="s">
        <v>209</v>
      </c>
      <c r="D2882" s="35">
        <f>Prec.!C302</f>
        <v>1.4999999999999999E-2</v>
      </c>
      <c r="E2882" s="31">
        <f>ROUND(B2882*D2882,2)</f>
        <v>3.48</v>
      </c>
      <c r="F2882" s="32">
        <f>SUM(E2878:E2882)</f>
        <v>235.15</v>
      </c>
    </row>
    <row r="2883" spans="1:13" s="166" customFormat="1" ht="12.75" hidden="1" customHeight="1">
      <c r="A2883" s="12"/>
      <c r="B2883" s="14"/>
      <c r="C2883" s="24"/>
      <c r="D2883" s="35"/>
      <c r="E2883" s="31"/>
      <c r="F2883" s="32"/>
      <c r="G2883" s="15"/>
      <c r="H2883" s="21"/>
      <c r="I2883" s="15"/>
      <c r="J2883" s="15"/>
      <c r="K2883" s="15"/>
      <c r="L2883" s="21"/>
      <c r="M2883" s="15"/>
    </row>
    <row r="2884" spans="1:13" ht="12.75" hidden="1" customHeight="1">
      <c r="A2884" s="13" t="s">
        <v>1263</v>
      </c>
      <c r="B2884" s="42" t="s">
        <v>151</v>
      </c>
      <c r="C2884" s="29" t="s">
        <v>1171</v>
      </c>
      <c r="D2884" s="35"/>
      <c r="E2884" s="31"/>
      <c r="F2884" s="32"/>
    </row>
    <row r="2885" spans="1:13" ht="12.75" hidden="1" customHeight="1">
      <c r="A2885" s="12" t="s">
        <v>1169</v>
      </c>
      <c r="B2885" s="30">
        <v>2E-3</v>
      </c>
      <c r="C2885" s="24" t="s">
        <v>825</v>
      </c>
      <c r="D2885" s="35">
        <f>D2834</f>
        <v>7269.64</v>
      </c>
      <c r="E2885" s="31">
        <f>ROUND(B2885*D2885,2)</f>
        <v>14.54</v>
      </c>
      <c r="F2885" s="32"/>
    </row>
    <row r="2886" spans="1:13" ht="12.75" hidden="1" customHeight="1">
      <c r="A2886" s="12" t="s">
        <v>183</v>
      </c>
      <c r="B2886" s="30">
        <v>0.27</v>
      </c>
      <c r="C2886" s="24" t="s">
        <v>211</v>
      </c>
      <c r="D2886" s="35">
        <f>D2879</f>
        <v>38</v>
      </c>
      <c r="E2886" s="31">
        <f>ROUND(B2886*D2886,2)</f>
        <v>10.26</v>
      </c>
      <c r="F2886" s="32"/>
    </row>
    <row r="2887" spans="1:13" ht="12.75" hidden="1" customHeight="1">
      <c r="A2887" s="12" t="s">
        <v>430</v>
      </c>
      <c r="B2887" s="30">
        <v>1</v>
      </c>
      <c r="C2887" s="24" t="s">
        <v>213</v>
      </c>
      <c r="D2887" s="35">
        <f>D2814</f>
        <v>150.69</v>
      </c>
      <c r="E2887" s="31">
        <f>ROUND(B2887*D2887,2)</f>
        <v>150.69</v>
      </c>
      <c r="F2887" s="32"/>
    </row>
    <row r="2888" spans="1:13" ht="12.75" hidden="1" customHeight="1">
      <c r="A2888" s="12" t="s">
        <v>1168</v>
      </c>
      <c r="B2888" s="30">
        <v>1</v>
      </c>
      <c r="C2888" s="24" t="s">
        <v>1171</v>
      </c>
      <c r="D2888" s="35">
        <f>Prec.!$D$441</f>
        <v>0</v>
      </c>
      <c r="E2888" s="31">
        <f>ROUND(B2888*D2888,2)</f>
        <v>0</v>
      </c>
      <c r="F2888" s="32"/>
    </row>
    <row r="2889" spans="1:13" ht="12.75" hidden="1" customHeight="1">
      <c r="A2889" s="12" t="s">
        <v>208</v>
      </c>
      <c r="B2889" s="14">
        <f>SUM(E2885:E2888)</f>
        <v>175.49</v>
      </c>
      <c r="C2889" s="24" t="s">
        <v>209</v>
      </c>
      <c r="D2889" s="35">
        <f>Prec.!C302</f>
        <v>1.4999999999999999E-2</v>
      </c>
      <c r="E2889" s="31">
        <f>ROUND(B2889*D2889,2)</f>
        <v>2.63</v>
      </c>
      <c r="F2889" s="32">
        <f>SUM(E2885:E2889)</f>
        <v>178.12</v>
      </c>
    </row>
    <row r="2890" spans="1:13" ht="12.75" hidden="1" customHeight="1">
      <c r="A2890" s="12"/>
      <c r="B2890" s="14"/>
      <c r="C2890" s="24"/>
      <c r="D2890" s="35"/>
      <c r="E2890" s="31"/>
      <c r="F2890" s="32"/>
    </row>
    <row r="2891" spans="1:13" ht="12.75" hidden="1" customHeight="1">
      <c r="A2891" s="513" t="s">
        <v>1576</v>
      </c>
      <c r="B2891" s="505" t="s">
        <v>151</v>
      </c>
      <c r="C2891" s="506" t="s">
        <v>1171</v>
      </c>
      <c r="D2891" s="507"/>
      <c r="E2891" s="508"/>
      <c r="F2891" s="509"/>
    </row>
    <row r="2892" spans="1:13" ht="12.75" hidden="1" customHeight="1">
      <c r="A2892" s="512" t="s">
        <v>1169</v>
      </c>
      <c r="B2892" s="510">
        <v>0.01</v>
      </c>
      <c r="C2892" s="511" t="s">
        <v>825</v>
      </c>
      <c r="D2892" s="507">
        <f>D2812</f>
        <v>7269.64</v>
      </c>
      <c r="E2892" s="508">
        <f>ROUND(B2892*D2892,2)</f>
        <v>72.7</v>
      </c>
      <c r="F2892" s="509"/>
    </row>
    <row r="2893" spans="1:13" ht="12.75" hidden="1" customHeight="1">
      <c r="A2893" s="512" t="s">
        <v>183</v>
      </c>
      <c r="B2893" s="510">
        <v>0.218</v>
      </c>
      <c r="C2893" s="511" t="s">
        <v>211</v>
      </c>
      <c r="D2893" s="507">
        <f>D2886</f>
        <v>38</v>
      </c>
      <c r="E2893" s="508">
        <f>ROUND(B2893*D2893,2)</f>
        <v>8.2799999999999994</v>
      </c>
      <c r="F2893" s="509"/>
    </row>
    <row r="2894" spans="1:13" ht="12.75" hidden="1" customHeight="1">
      <c r="A2894" s="512" t="s">
        <v>430</v>
      </c>
      <c r="B2894" s="510">
        <v>1</v>
      </c>
      <c r="C2894" s="511" t="s">
        <v>213</v>
      </c>
      <c r="D2894" s="507">
        <f>D2814</f>
        <v>150.69</v>
      </c>
      <c r="E2894" s="508">
        <f>ROUND(B2894*D2894,2)</f>
        <v>150.69</v>
      </c>
      <c r="F2894" s="509"/>
    </row>
    <row r="2895" spans="1:13" ht="12.75" hidden="1" customHeight="1">
      <c r="A2895" s="512" t="s">
        <v>1168</v>
      </c>
      <c r="B2895" s="510">
        <v>1</v>
      </c>
      <c r="C2895" s="511" t="s">
        <v>1171</v>
      </c>
      <c r="D2895" s="507">
        <f>Prec.!C442</f>
        <v>273.76</v>
      </c>
      <c r="E2895" s="508">
        <f>ROUND(B2895*D2895,2)</f>
        <v>273.76</v>
      </c>
      <c r="F2895" s="509"/>
    </row>
    <row r="2896" spans="1:13" ht="12.75" hidden="1" customHeight="1">
      <c r="A2896" s="512" t="s">
        <v>208</v>
      </c>
      <c r="B2896" s="516">
        <f>SUM(E2892:E2895)</f>
        <v>505.43</v>
      </c>
      <c r="C2896" s="511" t="s">
        <v>209</v>
      </c>
      <c r="D2896" s="507">
        <f>D2889</f>
        <v>1.4999999999999999E-2</v>
      </c>
      <c r="E2896" s="508">
        <f>ROUND(B2896*D2896,2)</f>
        <v>7.58</v>
      </c>
      <c r="F2896" s="509">
        <f>SUM(E2892:E2896)</f>
        <v>513.01</v>
      </c>
    </row>
    <row r="2897" spans="1:13" ht="12.75" hidden="1" customHeight="1">
      <c r="A2897" s="12"/>
      <c r="B2897" s="14"/>
      <c r="C2897" s="24"/>
      <c r="D2897" s="35"/>
      <c r="E2897" s="31"/>
      <c r="F2897" s="32"/>
    </row>
    <row r="2898" spans="1:13" ht="12.75" hidden="1" customHeight="1">
      <c r="A2898" s="13" t="s">
        <v>1577</v>
      </c>
      <c r="B2898" s="42" t="s">
        <v>151</v>
      </c>
      <c r="C2898" s="29" t="s">
        <v>1171</v>
      </c>
      <c r="D2898" s="35"/>
      <c r="E2898" s="31"/>
      <c r="F2898" s="32"/>
    </row>
    <row r="2899" spans="1:13" ht="12.75" hidden="1" customHeight="1">
      <c r="A2899" s="12" t="s">
        <v>1169</v>
      </c>
      <c r="B2899" s="30">
        <v>2E-3</v>
      </c>
      <c r="C2899" s="24" t="s">
        <v>825</v>
      </c>
      <c r="D2899" s="35">
        <f>D2892</f>
        <v>7269.64</v>
      </c>
      <c r="E2899" s="31">
        <f>ROUND(B2899*D2899,2)</f>
        <v>14.54</v>
      </c>
      <c r="F2899" s="32"/>
    </row>
    <row r="2900" spans="1:13" ht="12.75" hidden="1" customHeight="1">
      <c r="A2900" s="12" t="s">
        <v>183</v>
      </c>
      <c r="B2900" s="30">
        <v>0.27</v>
      </c>
      <c r="C2900" s="24" t="s">
        <v>211</v>
      </c>
      <c r="D2900" s="35">
        <f>D2893</f>
        <v>38</v>
      </c>
      <c r="E2900" s="31">
        <f>ROUND(B2900*D2900,2)</f>
        <v>10.26</v>
      </c>
      <c r="F2900" s="32"/>
    </row>
    <row r="2901" spans="1:13" ht="12.75" hidden="1" customHeight="1">
      <c r="A2901" s="12" t="s">
        <v>430</v>
      </c>
      <c r="B2901" s="30">
        <v>1</v>
      </c>
      <c r="C2901" s="24" t="s">
        <v>213</v>
      </c>
      <c r="D2901" s="35">
        <f>D2894</f>
        <v>150.69</v>
      </c>
      <c r="E2901" s="31">
        <f>ROUND(B2901*D2901,2)</f>
        <v>150.69</v>
      </c>
      <c r="F2901" s="32"/>
    </row>
    <row r="2902" spans="1:13" ht="12.75" hidden="1" customHeight="1">
      <c r="A2902" s="12" t="s">
        <v>1168</v>
      </c>
      <c r="B2902" s="30">
        <v>1</v>
      </c>
      <c r="C2902" s="24" t="s">
        <v>1171</v>
      </c>
      <c r="D2902" s="35">
        <f>D2895</f>
        <v>273.76</v>
      </c>
      <c r="E2902" s="31">
        <f>ROUND(B2902*D2902,2)</f>
        <v>273.76</v>
      </c>
      <c r="F2902" s="32"/>
    </row>
    <row r="2903" spans="1:13" ht="12.75" hidden="1" customHeight="1">
      <c r="A2903" s="12" t="s">
        <v>208</v>
      </c>
      <c r="B2903" s="14">
        <f>SUM(E2899:E2902)</f>
        <v>449.25</v>
      </c>
      <c r="C2903" s="24" t="s">
        <v>209</v>
      </c>
      <c r="D2903" s="35">
        <f>D2896</f>
        <v>1.4999999999999999E-2</v>
      </c>
      <c r="E2903" s="31">
        <f>ROUND(B2903*D2903,2)</f>
        <v>6.74</v>
      </c>
      <c r="F2903" s="32">
        <f>SUM(E2899:E2903)</f>
        <v>455.99</v>
      </c>
    </row>
    <row r="2904" spans="1:13" ht="12.75" hidden="1" customHeight="1">
      <c r="A2904" s="12"/>
      <c r="B2904" s="14"/>
      <c r="C2904" s="24"/>
      <c r="D2904" s="35"/>
      <c r="E2904" s="31"/>
      <c r="F2904" s="32"/>
    </row>
    <row r="2905" spans="1:13" s="166" customFormat="1" ht="12.75" hidden="1" customHeight="1">
      <c r="A2905" s="12"/>
      <c r="B2905" s="14"/>
      <c r="C2905" s="24"/>
      <c r="D2905" s="35"/>
      <c r="E2905" s="31"/>
      <c r="F2905" s="32"/>
      <c r="G2905" s="15"/>
      <c r="H2905" s="21"/>
      <c r="I2905" s="15"/>
      <c r="J2905" s="15"/>
      <c r="K2905" s="15"/>
      <c r="L2905" s="21"/>
      <c r="M2905" s="15"/>
    </row>
    <row r="2906" spans="1:13" s="166" customFormat="1" ht="12.75" hidden="1" customHeight="1">
      <c r="A2906" s="12"/>
      <c r="B2906" s="14"/>
      <c r="C2906" s="24"/>
      <c r="D2906" s="35"/>
      <c r="E2906" s="31"/>
      <c r="F2906" s="32"/>
      <c r="G2906" s="15"/>
      <c r="H2906" s="21"/>
      <c r="I2906" s="15"/>
      <c r="J2906" s="15"/>
      <c r="K2906" s="15"/>
      <c r="L2906" s="21"/>
      <c r="M2906" s="15"/>
    </row>
    <row r="2907" spans="1:13" s="166" customFormat="1" ht="12.75" hidden="1" customHeight="1">
      <c r="A2907" s="12"/>
      <c r="B2907" s="14"/>
      <c r="C2907" s="24"/>
      <c r="D2907" s="35"/>
      <c r="E2907" s="31"/>
      <c r="F2907" s="32"/>
      <c r="G2907" s="15"/>
      <c r="H2907" s="21"/>
      <c r="I2907" s="15"/>
      <c r="J2907" s="15"/>
      <c r="K2907" s="15"/>
      <c r="L2907" s="21"/>
      <c r="M2907" s="15"/>
    </row>
    <row r="2908" spans="1:13" s="166" customFormat="1" ht="12.75" hidden="1" customHeight="1">
      <c r="B2908" s="7"/>
      <c r="C2908" s="165"/>
      <c r="D2908" s="37"/>
      <c r="E2908" s="25"/>
      <c r="F2908" s="26"/>
      <c r="G2908" s="15"/>
      <c r="H2908" s="21"/>
      <c r="I2908" s="15"/>
      <c r="J2908" s="15"/>
      <c r="K2908" s="15"/>
      <c r="L2908" s="21"/>
      <c r="M2908" s="15"/>
    </row>
    <row r="2909" spans="1:13" ht="12.75" customHeight="1">
      <c r="A2909" s="23" t="s">
        <v>989</v>
      </c>
      <c r="B2909" s="7"/>
    </row>
    <row r="2910" spans="1:13" ht="12.75" customHeight="1">
      <c r="A2910" s="2"/>
      <c r="B2910" s="7"/>
    </row>
    <row r="2911" spans="1:13" ht="12.75" customHeight="1">
      <c r="A2911" s="723" t="s">
        <v>692</v>
      </c>
      <c r="B2911" s="706" t="s">
        <v>151</v>
      </c>
      <c r="C2911" s="707" t="s">
        <v>213</v>
      </c>
      <c r="D2911" s="708"/>
      <c r="E2911" s="702"/>
      <c r="F2911" s="703"/>
    </row>
    <row r="2912" spans="1:13" ht="12.75" customHeight="1">
      <c r="A2912" s="704" t="s">
        <v>1169</v>
      </c>
      <c r="B2912" s="705">
        <v>2.1999999999999999E-2</v>
      </c>
      <c r="C2912" s="700" t="s">
        <v>825</v>
      </c>
      <c r="D2912" s="708">
        <f>horm.ymez.!D12</f>
        <v>7489.3199999999988</v>
      </c>
      <c r="E2912" s="702">
        <f>ROUND(B2912*D2912,2)</f>
        <v>164.77</v>
      </c>
      <c r="F2912" s="703"/>
    </row>
    <row r="2913" spans="1:6" ht="12.75" customHeight="1">
      <c r="A2913" s="704" t="s">
        <v>183</v>
      </c>
      <c r="B2913" s="705">
        <v>3.3000000000000002E-2</v>
      </c>
      <c r="C2913" s="700" t="s">
        <v>211</v>
      </c>
      <c r="D2913" s="708">
        <f>D2886</f>
        <v>38</v>
      </c>
      <c r="E2913" s="702">
        <f>ROUND(B2913*D2913,2)</f>
        <v>1.25</v>
      </c>
      <c r="F2913" s="703"/>
    </row>
    <row r="2914" spans="1:6" ht="12.75" customHeight="1">
      <c r="A2914" s="704" t="s">
        <v>430</v>
      </c>
      <c r="B2914" s="705">
        <v>1</v>
      </c>
      <c r="C2914" s="700" t="s">
        <v>213</v>
      </c>
      <c r="D2914" s="708">
        <f>horm.ymez.!D23</f>
        <v>19.21</v>
      </c>
      <c r="E2914" s="702">
        <f>ROUND(B2914*D2914,2)</f>
        <v>19.21</v>
      </c>
      <c r="F2914" s="703"/>
    </row>
    <row r="2915" spans="1:6" ht="12.75" customHeight="1">
      <c r="A2915" s="724" t="s">
        <v>1168</v>
      </c>
      <c r="B2915" s="705">
        <v>1</v>
      </c>
      <c r="C2915" s="700" t="s">
        <v>213</v>
      </c>
      <c r="D2915" s="708">
        <f>Prec.!C413</f>
        <v>157.1</v>
      </c>
      <c r="E2915" s="702">
        <f>ROUND(B2915*D2915,2)</f>
        <v>157.1</v>
      </c>
      <c r="F2915" s="703"/>
    </row>
    <row r="2916" spans="1:6" ht="12.75" customHeight="1">
      <c r="A2916" s="704" t="s">
        <v>208</v>
      </c>
      <c r="B2916" s="711">
        <f>SUM(E2912:E2913)</f>
        <v>166.02</v>
      </c>
      <c r="C2916" s="700" t="s">
        <v>209</v>
      </c>
      <c r="D2916" s="708">
        <v>0.02</v>
      </c>
      <c r="E2916" s="702">
        <f>ROUND(B2916*D2916,2)</f>
        <v>3.32</v>
      </c>
      <c r="F2916" s="703">
        <f>SUM(E2912:E2916)</f>
        <v>345.65000000000003</v>
      </c>
    </row>
    <row r="2917" spans="1:6" ht="12.75" customHeight="1">
      <c r="A2917" s="12"/>
      <c r="B2917" s="14"/>
      <c r="C2917" s="24"/>
      <c r="D2917" s="35"/>
      <c r="E2917" s="31"/>
      <c r="F2917" s="32"/>
    </row>
    <row r="2918" spans="1:6" ht="12.75" customHeight="1">
      <c r="A2918" s="698" t="s">
        <v>990</v>
      </c>
      <c r="B2918" s="706" t="s">
        <v>151</v>
      </c>
      <c r="C2918" s="707" t="s">
        <v>213</v>
      </c>
      <c r="D2918" s="708"/>
      <c r="E2918" s="702"/>
      <c r="F2918" s="703"/>
    </row>
    <row r="2919" spans="1:6" ht="12.75" customHeight="1">
      <c r="A2919" s="704" t="s">
        <v>1169</v>
      </c>
      <c r="B2919" s="705">
        <v>2.1999999999999999E-2</v>
      </c>
      <c r="C2919" s="700" t="s">
        <v>825</v>
      </c>
      <c r="D2919" s="708">
        <f>D2912</f>
        <v>7489.3199999999988</v>
      </c>
      <c r="E2919" s="702">
        <f>ROUND(B2919*D2919,2)</f>
        <v>164.77</v>
      </c>
      <c r="F2919" s="703"/>
    </row>
    <row r="2920" spans="1:6" ht="12.75" customHeight="1">
      <c r="A2920" s="704" t="s">
        <v>183</v>
      </c>
      <c r="B2920" s="705">
        <v>3.3000000000000002E-2</v>
      </c>
      <c r="C2920" s="700" t="s">
        <v>211</v>
      </c>
      <c r="D2920" s="708">
        <f>D2913</f>
        <v>38</v>
      </c>
      <c r="E2920" s="702">
        <f>ROUND(B2920*D2920,2)</f>
        <v>1.25</v>
      </c>
      <c r="F2920" s="703"/>
    </row>
    <row r="2921" spans="1:6" ht="12.75" customHeight="1">
      <c r="A2921" s="704" t="s">
        <v>430</v>
      </c>
      <c r="B2921" s="705">
        <v>1</v>
      </c>
      <c r="C2921" s="700" t="s">
        <v>213</v>
      </c>
      <c r="D2921" s="708">
        <f>F1040</f>
        <v>150.69</v>
      </c>
      <c r="E2921" s="702">
        <f>ROUND(B2921*D2921,2)</f>
        <v>150.69</v>
      </c>
      <c r="F2921" s="703"/>
    </row>
    <row r="2922" spans="1:6" ht="12.75" customHeight="1">
      <c r="A2922" s="704" t="s">
        <v>1168</v>
      </c>
      <c r="B2922" s="705">
        <v>1</v>
      </c>
      <c r="C2922" s="700" t="s">
        <v>213</v>
      </c>
      <c r="D2922" s="708">
        <f>Prec.!C415</f>
        <v>219.94499999999999</v>
      </c>
      <c r="E2922" s="702">
        <f>ROUND(B2922*D2922,2)</f>
        <v>219.95</v>
      </c>
      <c r="F2922" s="703"/>
    </row>
    <row r="2923" spans="1:6" ht="12.75" customHeight="1">
      <c r="A2923" s="704" t="s">
        <v>208</v>
      </c>
      <c r="B2923" s="711">
        <f>SUM(E2919:E2920)</f>
        <v>166.02</v>
      </c>
      <c r="C2923" s="700" t="s">
        <v>209</v>
      </c>
      <c r="D2923" s="708">
        <v>0.02</v>
      </c>
      <c r="E2923" s="702">
        <f>ROUND(B2923*D2923,2)</f>
        <v>3.32</v>
      </c>
      <c r="F2923" s="703">
        <f>SUM(E2919:E2923)</f>
        <v>539.98000000000013</v>
      </c>
    </row>
    <row r="2924" spans="1:6" ht="12.75" customHeight="1">
      <c r="A2924" s="12"/>
      <c r="B2924" s="14"/>
      <c r="C2924" s="24"/>
      <c r="D2924" s="35"/>
      <c r="E2924" s="31"/>
      <c r="F2924" s="32"/>
    </row>
    <row r="2925" spans="1:6" ht="12.75" customHeight="1">
      <c r="A2925" s="698" t="s">
        <v>829</v>
      </c>
      <c r="B2925" s="706" t="s">
        <v>151</v>
      </c>
      <c r="C2925" s="707" t="s">
        <v>213</v>
      </c>
      <c r="D2925" s="708"/>
      <c r="E2925" s="702"/>
      <c r="F2925" s="703"/>
    </row>
    <row r="2926" spans="1:6" ht="12.75" customHeight="1">
      <c r="A2926" s="704" t="s">
        <v>1169</v>
      </c>
      <c r="B2926" s="705">
        <v>2.1999999999999999E-2</v>
      </c>
      <c r="C2926" s="700" t="s">
        <v>825</v>
      </c>
      <c r="D2926" s="708">
        <f>D2912</f>
        <v>7489.3199999999988</v>
      </c>
      <c r="E2926" s="702">
        <f>ROUND(B2926*D2926,2)</f>
        <v>164.77</v>
      </c>
      <c r="F2926" s="703"/>
    </row>
    <row r="2927" spans="1:6" ht="12.75" customHeight="1">
      <c r="A2927" s="704" t="s">
        <v>183</v>
      </c>
      <c r="B2927" s="705">
        <v>3.3000000000000002E-2</v>
      </c>
      <c r="C2927" s="700" t="s">
        <v>211</v>
      </c>
      <c r="D2927" s="708">
        <f>D2920</f>
        <v>38</v>
      </c>
      <c r="E2927" s="702">
        <f>ROUND(B2927*D2927,2)</f>
        <v>1.25</v>
      </c>
      <c r="F2927" s="703"/>
    </row>
    <row r="2928" spans="1:6" ht="12.75" customHeight="1">
      <c r="A2928" s="704" t="s">
        <v>430</v>
      </c>
      <c r="B2928" s="705">
        <v>1</v>
      </c>
      <c r="C2928" s="700" t="s">
        <v>213</v>
      </c>
      <c r="D2928" s="708">
        <f>D2914</f>
        <v>19.21</v>
      </c>
      <c r="E2928" s="702">
        <f>ROUND(B2928*D2928,2)</f>
        <v>19.21</v>
      </c>
      <c r="F2928" s="703"/>
    </row>
    <row r="2929" spans="1:6" ht="12.75" customHeight="1">
      <c r="A2929" s="704" t="s">
        <v>1168</v>
      </c>
      <c r="B2929" s="705">
        <v>1</v>
      </c>
      <c r="C2929" s="700" t="s">
        <v>213</v>
      </c>
      <c r="D2929" s="708">
        <f>Prec.!C420</f>
        <v>203.67</v>
      </c>
      <c r="E2929" s="702">
        <f>ROUND(B2929*D2929,2)</f>
        <v>203.67</v>
      </c>
      <c r="F2929" s="703"/>
    </row>
    <row r="2930" spans="1:6" ht="12.75" customHeight="1">
      <c r="A2930" s="704" t="s">
        <v>208</v>
      </c>
      <c r="B2930" s="711">
        <f>SUM(E2926:E2927)</f>
        <v>166.02</v>
      </c>
      <c r="C2930" s="700" t="s">
        <v>209</v>
      </c>
      <c r="D2930" s="708">
        <v>0.02</v>
      </c>
      <c r="E2930" s="702">
        <f>ROUND(B2930*D2930,2)</f>
        <v>3.32</v>
      </c>
      <c r="F2930" s="703">
        <f>SUM(E2926:E2930)</f>
        <v>392.21999999999997</v>
      </c>
    </row>
    <row r="2931" spans="1:6" ht="12.75" customHeight="1">
      <c r="A2931" s="12"/>
      <c r="B2931" s="14"/>
      <c r="C2931" s="24"/>
      <c r="D2931" s="35"/>
      <c r="E2931" s="31"/>
      <c r="F2931" s="32"/>
    </row>
    <row r="2932" spans="1:6" ht="12.75" hidden="1" customHeight="1">
      <c r="A2932" s="13" t="s">
        <v>693</v>
      </c>
      <c r="B2932" s="42" t="s">
        <v>151</v>
      </c>
      <c r="C2932" s="29" t="s">
        <v>213</v>
      </c>
      <c r="D2932" s="35"/>
      <c r="E2932" s="31"/>
      <c r="F2932" s="32"/>
    </row>
    <row r="2933" spans="1:6" ht="12.75" hidden="1" customHeight="1">
      <c r="A2933" s="12" t="s">
        <v>462</v>
      </c>
      <c r="B2933" s="30">
        <v>2.1999999999999999E-2</v>
      </c>
      <c r="C2933" s="24" t="s">
        <v>825</v>
      </c>
      <c r="D2933" s="35">
        <f>horm.ymez.!D7</f>
        <v>8539.65</v>
      </c>
      <c r="E2933" s="31">
        <f>ROUND(B2933*D2933,2)</f>
        <v>187.87</v>
      </c>
      <c r="F2933" s="32"/>
    </row>
    <row r="2934" spans="1:6" ht="12.75" hidden="1" customHeight="1">
      <c r="A2934" s="12" t="s">
        <v>430</v>
      </c>
      <c r="B2934" s="30">
        <v>1</v>
      </c>
      <c r="C2934" s="24" t="s">
        <v>213</v>
      </c>
      <c r="D2934" s="35">
        <f>D2921</f>
        <v>150.69</v>
      </c>
      <c r="E2934" s="31">
        <f>ROUND(B2934*D2934,2)</f>
        <v>150.69</v>
      </c>
      <c r="F2934" s="32"/>
    </row>
    <row r="2935" spans="1:6" ht="12.75" hidden="1" customHeight="1">
      <c r="A2935" s="12" t="s">
        <v>1168</v>
      </c>
      <c r="B2935" s="30">
        <v>1</v>
      </c>
      <c r="C2935" s="24" t="s">
        <v>213</v>
      </c>
      <c r="D2935" s="35">
        <f>Prec.!$D$423</f>
        <v>0</v>
      </c>
      <c r="E2935" s="31">
        <f>ROUND(B2935*D2935,2)</f>
        <v>0</v>
      </c>
      <c r="F2935" s="32"/>
    </row>
    <row r="2936" spans="1:6" ht="12.75" hidden="1" customHeight="1">
      <c r="A2936" s="12" t="s">
        <v>208</v>
      </c>
      <c r="B2936" s="14">
        <f>SUM(E2933:E2935)</f>
        <v>338.56</v>
      </c>
      <c r="C2936" s="24" t="s">
        <v>209</v>
      </c>
      <c r="D2936" s="35">
        <f>Prec.!C302</f>
        <v>1.4999999999999999E-2</v>
      </c>
      <c r="E2936" s="31">
        <f>ROUND(B2936*D2936,2)</f>
        <v>5.08</v>
      </c>
      <c r="F2936" s="32">
        <f>SUM(E2933:E2936)</f>
        <v>343.64</v>
      </c>
    </row>
    <row r="2937" spans="1:6" ht="12.75" hidden="1" customHeight="1">
      <c r="A2937" s="12"/>
      <c r="B2937" s="14"/>
      <c r="C2937" s="24"/>
      <c r="D2937" s="35"/>
      <c r="E2937" s="31"/>
      <c r="F2937" s="32"/>
    </row>
    <row r="2938" spans="1:6" ht="12" hidden="1" customHeight="1">
      <c r="A2938" s="13" t="s">
        <v>694</v>
      </c>
      <c r="B2938" s="42" t="s">
        <v>151</v>
      </c>
      <c r="C2938" s="29" t="s">
        <v>213</v>
      </c>
      <c r="D2938" s="35"/>
      <c r="E2938" s="31"/>
      <c r="F2938" s="32"/>
    </row>
    <row r="2939" spans="1:6" ht="12" hidden="1" customHeight="1">
      <c r="A2939" s="12" t="s">
        <v>1</v>
      </c>
      <c r="B2939" s="30">
        <v>5.2999999999999999E-2</v>
      </c>
      <c r="C2939" s="24" t="s">
        <v>823</v>
      </c>
      <c r="D2939" s="41">
        <f>Prec.!$C$5</f>
        <v>425</v>
      </c>
      <c r="E2939" s="31">
        <f t="shared" ref="E2939:E2945" si="261">ROUND(B2939*D2939,2)</f>
        <v>22.53</v>
      </c>
      <c r="F2939" s="32"/>
    </row>
    <row r="2940" spans="1:6" ht="12" hidden="1" customHeight="1">
      <c r="A2940" s="12" t="s">
        <v>1169</v>
      </c>
      <c r="B2940" s="30">
        <v>0.02</v>
      </c>
      <c r="C2940" s="24" t="s">
        <v>825</v>
      </c>
      <c r="D2940" s="35">
        <f>D2912</f>
        <v>7489.3199999999988</v>
      </c>
      <c r="E2940" s="31">
        <f t="shared" si="261"/>
        <v>149.79</v>
      </c>
      <c r="F2940" s="32"/>
    </row>
    <row r="2941" spans="1:6" ht="12" hidden="1" customHeight="1">
      <c r="A2941" s="12" t="s">
        <v>183</v>
      </c>
      <c r="B2941" s="30">
        <v>3.3000000000000002E-2</v>
      </c>
      <c r="C2941" s="24" t="s">
        <v>211</v>
      </c>
      <c r="D2941" s="35">
        <f>D2927</f>
        <v>38</v>
      </c>
      <c r="E2941" s="31">
        <f t="shared" si="261"/>
        <v>1.25</v>
      </c>
      <c r="F2941" s="32"/>
    </row>
    <row r="2942" spans="1:6" ht="12" hidden="1" customHeight="1">
      <c r="A2942" s="12" t="s">
        <v>430</v>
      </c>
      <c r="B2942" s="30">
        <v>1</v>
      </c>
      <c r="C2942" s="24" t="s">
        <v>213</v>
      </c>
      <c r="D2942" s="35">
        <f>D2921</f>
        <v>150.69</v>
      </c>
      <c r="E2942" s="31">
        <f t="shared" si="261"/>
        <v>150.69</v>
      </c>
      <c r="F2942" s="32"/>
    </row>
    <row r="2943" spans="1:6" ht="12" hidden="1" customHeight="1">
      <c r="A2943" s="12" t="s">
        <v>205</v>
      </c>
      <c r="B2943" s="30">
        <v>5.2999999999999999E-2</v>
      </c>
      <c r="C2943" s="24" t="s">
        <v>823</v>
      </c>
      <c r="D2943" s="35">
        <f>Prec.!$D$390</f>
        <v>7.57</v>
      </c>
      <c r="E2943" s="31">
        <f t="shared" si="261"/>
        <v>0.4</v>
      </c>
      <c r="F2943" s="32"/>
    </row>
    <row r="2944" spans="1:6" ht="12" hidden="1" customHeight="1">
      <c r="A2944" s="12" t="s">
        <v>1168</v>
      </c>
      <c r="B2944" s="30">
        <v>1</v>
      </c>
      <c r="C2944" s="24" t="s">
        <v>213</v>
      </c>
      <c r="D2944" s="35">
        <f>Prec.!$D$424</f>
        <v>0</v>
      </c>
      <c r="E2944" s="31">
        <f t="shared" si="261"/>
        <v>0</v>
      </c>
      <c r="F2944" s="32"/>
    </row>
    <row r="2945" spans="1:6" ht="12" hidden="1" customHeight="1">
      <c r="A2945" s="12" t="s">
        <v>208</v>
      </c>
      <c r="B2945" s="14">
        <f>SUM(E2939:E2944)</f>
        <v>324.65999999999997</v>
      </c>
      <c r="C2945" s="24" t="s">
        <v>209</v>
      </c>
      <c r="D2945" s="35">
        <f>Prec.!C302</f>
        <v>1.4999999999999999E-2</v>
      </c>
      <c r="E2945" s="31">
        <f t="shared" si="261"/>
        <v>4.87</v>
      </c>
      <c r="F2945" s="32">
        <f>SUM(E2939:E2945)</f>
        <v>329.53</v>
      </c>
    </row>
    <row r="2946" spans="1:6" ht="12" hidden="1" customHeight="1">
      <c r="A2946" s="12"/>
      <c r="B2946" s="14"/>
      <c r="C2946" s="24"/>
      <c r="D2946" s="35"/>
      <c r="E2946" s="31"/>
      <c r="F2946" s="32"/>
    </row>
    <row r="2947" spans="1:6" ht="12" hidden="1" customHeight="1">
      <c r="A2947" s="13" t="s">
        <v>699</v>
      </c>
      <c r="B2947" s="42" t="s">
        <v>151</v>
      </c>
      <c r="C2947" s="29" t="s">
        <v>213</v>
      </c>
      <c r="D2947" s="35"/>
      <c r="E2947" s="31"/>
      <c r="F2947" s="32"/>
    </row>
    <row r="2948" spans="1:6" ht="12" hidden="1" customHeight="1">
      <c r="A2948" s="12" t="s">
        <v>1169</v>
      </c>
      <c r="B2948" s="30">
        <v>2.1999999999999999E-2</v>
      </c>
      <c r="C2948" s="24" t="s">
        <v>825</v>
      </c>
      <c r="D2948" s="35">
        <f>D2919</f>
        <v>7489.3199999999988</v>
      </c>
      <c r="E2948" s="31">
        <f>ROUND(B2948*D2948,2)</f>
        <v>164.77</v>
      </c>
      <c r="F2948" s="32"/>
    </row>
    <row r="2949" spans="1:6" ht="12" hidden="1" customHeight="1">
      <c r="A2949" s="12" t="s">
        <v>183</v>
      </c>
      <c r="B2949" s="30">
        <v>3.3000000000000002E-2</v>
      </c>
      <c r="C2949" s="24" t="s">
        <v>211</v>
      </c>
      <c r="D2949" s="35">
        <f>D2941</f>
        <v>38</v>
      </c>
      <c r="E2949" s="31">
        <f>ROUND(B2949*D2949,2)</f>
        <v>1.25</v>
      </c>
      <c r="F2949" s="32"/>
    </row>
    <row r="2950" spans="1:6" ht="12" hidden="1" customHeight="1">
      <c r="A2950" s="12" t="s">
        <v>430</v>
      </c>
      <c r="B2950" s="30">
        <v>1</v>
      </c>
      <c r="C2950" s="24" t="s">
        <v>213</v>
      </c>
      <c r="D2950" s="35">
        <f>D2914</f>
        <v>19.21</v>
      </c>
      <c r="E2950" s="31">
        <f>ROUND(B2950*D2950,2)</f>
        <v>19.21</v>
      </c>
      <c r="F2950" s="32"/>
    </row>
    <row r="2951" spans="1:6" ht="12" hidden="1" customHeight="1">
      <c r="A2951" s="12" t="s">
        <v>1168</v>
      </c>
      <c r="B2951" s="30">
        <v>1</v>
      </c>
      <c r="C2951" s="24" t="s">
        <v>213</v>
      </c>
      <c r="D2951" s="35">
        <f>Prec.!$D$426</f>
        <v>0</v>
      </c>
      <c r="E2951" s="31">
        <f>ROUND(B2951*D2951,2)</f>
        <v>0</v>
      </c>
      <c r="F2951" s="32"/>
    </row>
    <row r="2952" spans="1:6" ht="12" hidden="1" customHeight="1">
      <c r="A2952" s="12" t="s">
        <v>208</v>
      </c>
      <c r="B2952" s="14">
        <f>SUM(E2948:E2951)</f>
        <v>185.23000000000002</v>
      </c>
      <c r="C2952" s="24" t="s">
        <v>209</v>
      </c>
      <c r="D2952" s="35">
        <f>Prec.!C302</f>
        <v>1.4999999999999999E-2</v>
      </c>
      <c r="E2952" s="31">
        <f>ROUND(B2952*D2952,2)</f>
        <v>2.78</v>
      </c>
      <c r="F2952" s="32">
        <f>SUM(E2948:E2952)</f>
        <v>188.01000000000002</v>
      </c>
    </row>
    <row r="2953" spans="1:6" ht="12" hidden="1" customHeight="1">
      <c r="A2953" s="12"/>
      <c r="B2953" s="14"/>
      <c r="C2953" s="24"/>
      <c r="D2953" s="35"/>
      <c r="E2953" s="31"/>
      <c r="F2953" s="32"/>
    </row>
    <row r="2954" spans="1:6" ht="12" hidden="1" customHeight="1">
      <c r="A2954" s="13" t="s">
        <v>700</v>
      </c>
      <c r="B2954" s="42" t="s">
        <v>151</v>
      </c>
      <c r="C2954" s="29" t="s">
        <v>213</v>
      </c>
      <c r="D2954" s="35"/>
      <c r="E2954" s="31"/>
      <c r="F2954" s="32"/>
    </row>
    <row r="2955" spans="1:6" ht="12" hidden="1" customHeight="1">
      <c r="A2955" s="12" t="s">
        <v>1169</v>
      </c>
      <c r="B2955" s="30">
        <v>2.1999999999999999E-2</v>
      </c>
      <c r="C2955" s="24" t="s">
        <v>825</v>
      </c>
      <c r="D2955" s="35">
        <f>D2926</f>
        <v>7489.3199999999988</v>
      </c>
      <c r="E2955" s="31">
        <f>ROUND(B2955*D2955,2)</f>
        <v>164.77</v>
      </c>
      <c r="F2955" s="32"/>
    </row>
    <row r="2956" spans="1:6" ht="12" hidden="1" customHeight="1">
      <c r="A2956" s="12" t="s">
        <v>183</v>
      </c>
      <c r="B2956" s="30">
        <v>3.3000000000000002E-2</v>
      </c>
      <c r="C2956" s="24" t="s">
        <v>211</v>
      </c>
      <c r="D2956" s="35">
        <f>D2941</f>
        <v>38</v>
      </c>
      <c r="E2956" s="31">
        <f>ROUND(B2956*D2956,2)</f>
        <v>1.25</v>
      </c>
      <c r="F2956" s="32"/>
    </row>
    <row r="2957" spans="1:6" ht="12" hidden="1" customHeight="1">
      <c r="A2957" s="12" t="s">
        <v>430</v>
      </c>
      <c r="B2957" s="30">
        <v>1</v>
      </c>
      <c r="C2957" s="24" t="s">
        <v>213</v>
      </c>
      <c r="D2957" s="35">
        <f>D2942</f>
        <v>150.69</v>
      </c>
      <c r="E2957" s="31">
        <f>ROUND(B2957*D2957,2)</f>
        <v>150.69</v>
      </c>
      <c r="F2957" s="32"/>
    </row>
    <row r="2958" spans="1:6" ht="12" hidden="1" customHeight="1">
      <c r="A2958" s="12" t="s">
        <v>1168</v>
      </c>
      <c r="B2958" s="30">
        <v>1</v>
      </c>
      <c r="C2958" s="24" t="s">
        <v>213</v>
      </c>
      <c r="D2958" s="35">
        <f>Prec.!$D$427</f>
        <v>0</v>
      </c>
      <c r="E2958" s="31">
        <f>ROUND(B2958*D2958,2)</f>
        <v>0</v>
      </c>
      <c r="F2958" s="32"/>
    </row>
    <row r="2959" spans="1:6" ht="12" hidden="1" customHeight="1">
      <c r="A2959" s="12" t="s">
        <v>208</v>
      </c>
      <c r="B2959" s="14">
        <f>SUM(E2955:E2958)</f>
        <v>316.71000000000004</v>
      </c>
      <c r="C2959" s="24" t="s">
        <v>209</v>
      </c>
      <c r="D2959" s="35">
        <f>Prec.!C302</f>
        <v>1.4999999999999999E-2</v>
      </c>
      <c r="E2959" s="31">
        <f>ROUND(B2959*D2959,2)</f>
        <v>4.75</v>
      </c>
      <c r="F2959" s="32">
        <f>SUM(E2955:E2959)</f>
        <v>321.46000000000004</v>
      </c>
    </row>
    <row r="2960" spans="1:6" ht="12" hidden="1" customHeight="1">
      <c r="A2960" s="13" t="s">
        <v>701</v>
      </c>
      <c r="B2960" s="42" t="s">
        <v>151</v>
      </c>
      <c r="C2960" s="29" t="s">
        <v>213</v>
      </c>
      <c r="D2960" s="35"/>
      <c r="E2960" s="31"/>
      <c r="F2960" s="32"/>
    </row>
    <row r="2961" spans="1:13" ht="12" hidden="1" customHeight="1">
      <c r="A2961" s="12" t="s">
        <v>1169</v>
      </c>
      <c r="B2961" s="30">
        <v>8.9999999999999993E-3</v>
      </c>
      <c r="C2961" s="24" t="s">
        <v>825</v>
      </c>
      <c r="D2961" s="35">
        <f>D2912</f>
        <v>7489.3199999999988</v>
      </c>
      <c r="E2961" s="31">
        <f>ROUND(B2961*D2961,2)</f>
        <v>67.400000000000006</v>
      </c>
      <c r="F2961" s="32"/>
    </row>
    <row r="2962" spans="1:13" ht="12" hidden="1" customHeight="1">
      <c r="A2962" s="12" t="s">
        <v>1168</v>
      </c>
      <c r="B2962" s="30">
        <v>12.5</v>
      </c>
      <c r="C2962" s="24" t="s">
        <v>215</v>
      </c>
      <c r="D2962" s="35">
        <f>Prec.!D339</f>
        <v>0</v>
      </c>
      <c r="E2962" s="31">
        <f>ROUND(B2962*D2962,2)</f>
        <v>0</v>
      </c>
      <c r="F2962" s="32"/>
    </row>
    <row r="2963" spans="1:13" ht="12" hidden="1" customHeight="1">
      <c r="A2963" s="12" t="s">
        <v>208</v>
      </c>
      <c r="B2963" s="14">
        <f>SUM(E2961:E2962)</f>
        <v>67.400000000000006</v>
      </c>
      <c r="C2963" s="24" t="s">
        <v>209</v>
      </c>
      <c r="D2963" s="35">
        <f>Prec.!C302</f>
        <v>1.4999999999999999E-2</v>
      </c>
      <c r="E2963" s="31">
        <f>ROUND(B2963*D2963,2)</f>
        <v>1.01</v>
      </c>
      <c r="F2963" s="32">
        <f>SUM(E2961:E2963)</f>
        <v>68.410000000000011</v>
      </c>
    </row>
    <row r="2964" spans="1:13" ht="8.25" hidden="1" customHeight="1">
      <c r="A2964" s="12"/>
      <c r="B2964" s="14"/>
      <c r="C2964" s="24"/>
      <c r="D2964" s="35"/>
      <c r="E2964" s="31"/>
      <c r="F2964" s="32"/>
    </row>
    <row r="2965" spans="1:13" ht="12" customHeight="1">
      <c r="A2965" s="698" t="s">
        <v>702</v>
      </c>
      <c r="B2965" s="706" t="s">
        <v>151</v>
      </c>
      <c r="C2965" s="707" t="s">
        <v>213</v>
      </c>
      <c r="D2965" s="708"/>
      <c r="E2965" s="702"/>
      <c r="F2965" s="703"/>
    </row>
    <row r="2966" spans="1:13" ht="12" customHeight="1">
      <c r="A2966" s="704" t="s">
        <v>663</v>
      </c>
      <c r="B2966" s="705">
        <v>8.0000000000000002E-3</v>
      </c>
      <c r="C2966" s="700" t="s">
        <v>825</v>
      </c>
      <c r="D2966" s="708">
        <f>horm.ymez.!D10</f>
        <v>5201.6399999999976</v>
      </c>
      <c r="E2966" s="702">
        <f>ROUND(B2966*D2966,2)</f>
        <v>41.61</v>
      </c>
      <c r="F2966" s="703"/>
    </row>
    <row r="2967" spans="1:13" ht="12" customHeight="1">
      <c r="A2967" s="704" t="s">
        <v>1167</v>
      </c>
      <c r="B2967" s="705">
        <v>1</v>
      </c>
      <c r="C2967" s="700" t="s">
        <v>213</v>
      </c>
      <c r="D2967" s="708">
        <f>Prec.!C430</f>
        <v>23.58</v>
      </c>
      <c r="E2967" s="702">
        <f>ROUND(B2967*D2967,2)</f>
        <v>23.58</v>
      </c>
      <c r="F2967" s="703"/>
    </row>
    <row r="2968" spans="1:13" ht="12" customHeight="1">
      <c r="A2968" s="704" t="s">
        <v>208</v>
      </c>
      <c r="B2968" s="711">
        <f>SUM(E2966)</f>
        <v>41.61</v>
      </c>
      <c r="C2968" s="700" t="s">
        <v>209</v>
      </c>
      <c r="D2968" s="708">
        <v>0.02</v>
      </c>
      <c r="E2968" s="702">
        <f>ROUND(B2968*D2968,2)</f>
        <v>0.83</v>
      </c>
      <c r="F2968" s="703">
        <f>SUM(E2966:E2968)</f>
        <v>66.02</v>
      </c>
    </row>
    <row r="2969" spans="1:13" ht="13.15" customHeight="1">
      <c r="A2969" s="12"/>
      <c r="B2969" s="14"/>
      <c r="C2969" s="24"/>
      <c r="D2969" s="35"/>
      <c r="E2969" s="31"/>
      <c r="F2969" s="32"/>
    </row>
    <row r="2970" spans="1:13" s="166" customFormat="1" ht="13.15" customHeight="1">
      <c r="A2970" s="698" t="s">
        <v>4393</v>
      </c>
      <c r="B2970" s="706" t="s">
        <v>151</v>
      </c>
      <c r="C2970" s="707" t="s">
        <v>1171</v>
      </c>
      <c r="D2970" s="708"/>
      <c r="E2970" s="702"/>
      <c r="F2970" s="703"/>
      <c r="G2970" s="15"/>
      <c r="H2970" s="21"/>
      <c r="I2970" s="15"/>
      <c r="J2970" s="15"/>
      <c r="K2970" s="15"/>
      <c r="L2970" s="21"/>
      <c r="M2970" s="15"/>
    </row>
    <row r="2971" spans="1:13" s="166" customFormat="1" ht="13.15" customHeight="1">
      <c r="A2971" s="704" t="s">
        <v>1169</v>
      </c>
      <c r="B2971" s="705">
        <v>1.2E-2</v>
      </c>
      <c r="C2971" s="700" t="s">
        <v>825</v>
      </c>
      <c r="D2971" s="708">
        <f>D2926</f>
        <v>7489.3199999999988</v>
      </c>
      <c r="E2971" s="702">
        <f>ROUND(B2971*D2971,2)</f>
        <v>89.87</v>
      </c>
      <c r="F2971" s="703"/>
      <c r="G2971" s="15"/>
      <c r="H2971" s="21"/>
      <c r="I2971" s="15"/>
      <c r="J2971" s="15"/>
      <c r="K2971" s="15"/>
      <c r="L2971" s="21"/>
      <c r="M2971" s="15"/>
    </row>
    <row r="2972" spans="1:13" s="166" customFormat="1" ht="13.15" customHeight="1">
      <c r="A2972" s="704" t="s">
        <v>1168</v>
      </c>
      <c r="B2972" s="705">
        <v>1</v>
      </c>
      <c r="C2972" s="700" t="s">
        <v>1171</v>
      </c>
      <c r="D2972" s="708">
        <f>D2979</f>
        <v>68.430000000000007</v>
      </c>
      <c r="E2972" s="702">
        <f>ROUND(B2972*D2972,2)</f>
        <v>68.430000000000007</v>
      </c>
      <c r="F2972" s="703"/>
      <c r="G2972" s="15"/>
      <c r="H2972" s="21"/>
      <c r="I2972" s="15"/>
      <c r="J2972" s="15"/>
      <c r="K2972" s="15"/>
      <c r="L2972" s="21"/>
      <c r="M2972" s="15"/>
    </row>
    <row r="2973" spans="1:13" s="166" customFormat="1" ht="13.15" customHeight="1">
      <c r="A2973" s="704" t="s">
        <v>208</v>
      </c>
      <c r="B2973" s="711">
        <f>SUM(E2971:E2971)</f>
        <v>89.87</v>
      </c>
      <c r="C2973" s="700" t="s">
        <v>209</v>
      </c>
      <c r="D2973" s="708">
        <v>0.02</v>
      </c>
      <c r="E2973" s="702">
        <f>ROUND(B2973*D2973,2)</f>
        <v>1.8</v>
      </c>
      <c r="F2973" s="703">
        <f>SUM(E2971:E2973)</f>
        <v>160.10000000000002</v>
      </c>
      <c r="G2973" s="15"/>
      <c r="H2973" s="21"/>
      <c r="I2973" s="15"/>
      <c r="J2973" s="15"/>
      <c r="K2973" s="15"/>
      <c r="L2973" s="21"/>
      <c r="M2973" s="15"/>
    </row>
    <row r="2974" spans="1:13" s="166" customFormat="1" ht="13.15" customHeight="1">
      <c r="A2974" s="12"/>
      <c r="B2974" s="14"/>
      <c r="C2974" s="24"/>
      <c r="D2974" s="35"/>
      <c r="E2974" s="31"/>
      <c r="F2974" s="32"/>
      <c r="G2974" s="15"/>
      <c r="H2974" s="21"/>
      <c r="I2974" s="15"/>
      <c r="J2974" s="15"/>
      <c r="K2974" s="15"/>
      <c r="L2974" s="21"/>
      <c r="M2974" s="15"/>
    </row>
    <row r="2975" spans="1:13" s="166" customFormat="1" ht="13.15" customHeight="1">
      <c r="A2975" s="12"/>
      <c r="B2975" s="14"/>
      <c r="C2975" s="24"/>
      <c r="D2975" s="35"/>
      <c r="E2975" s="31"/>
      <c r="F2975" s="32"/>
      <c r="G2975" s="15"/>
      <c r="H2975" s="21"/>
      <c r="I2975" s="15"/>
      <c r="J2975" s="15"/>
      <c r="K2975" s="15"/>
      <c r="L2975" s="21"/>
      <c r="M2975" s="15"/>
    </row>
    <row r="2976" spans="1:13" ht="12" customHeight="1">
      <c r="A2976" s="698" t="s">
        <v>192</v>
      </c>
      <c r="B2976" s="706" t="s">
        <v>151</v>
      </c>
      <c r="C2976" s="707" t="s">
        <v>1171</v>
      </c>
      <c r="D2976" s="708"/>
      <c r="E2976" s="702"/>
      <c r="F2976" s="703"/>
    </row>
    <row r="2977" spans="1:6" ht="12" customHeight="1">
      <c r="A2977" s="704" t="s">
        <v>1169</v>
      </c>
      <c r="B2977" s="705">
        <v>4.0000000000000001E-3</v>
      </c>
      <c r="C2977" s="700" t="s">
        <v>825</v>
      </c>
      <c r="D2977" s="708">
        <f>D2926</f>
        <v>7489.3199999999988</v>
      </c>
      <c r="E2977" s="702">
        <f>ROUND(B2977*D2977,2)</f>
        <v>29.96</v>
      </c>
      <c r="F2977" s="703"/>
    </row>
    <row r="2978" spans="1:6" ht="12" customHeight="1">
      <c r="A2978" s="704" t="s">
        <v>183</v>
      </c>
      <c r="B2978" s="705">
        <v>0.109</v>
      </c>
      <c r="C2978" s="700" t="s">
        <v>211</v>
      </c>
      <c r="D2978" s="708">
        <f>D2949</f>
        <v>38</v>
      </c>
      <c r="E2978" s="702">
        <f>ROUND(B2978*D2978,2)</f>
        <v>4.1399999999999997</v>
      </c>
      <c r="F2978" s="703"/>
    </row>
    <row r="2979" spans="1:6" ht="12" customHeight="1">
      <c r="A2979" s="704" t="s">
        <v>1168</v>
      </c>
      <c r="B2979" s="705">
        <v>1</v>
      </c>
      <c r="C2979" s="700" t="s">
        <v>1171</v>
      </c>
      <c r="D2979" s="708">
        <f>Prec.!C438</f>
        <v>68.430000000000007</v>
      </c>
      <c r="E2979" s="702">
        <f>ROUND(B2979*D2979,2)</f>
        <v>68.430000000000007</v>
      </c>
      <c r="F2979" s="703"/>
    </row>
    <row r="2980" spans="1:6" ht="12" customHeight="1">
      <c r="A2980" s="704" t="s">
        <v>208</v>
      </c>
      <c r="B2980" s="711">
        <f>SUM(E2977:E2979)</f>
        <v>102.53</v>
      </c>
      <c r="C2980" s="700" t="s">
        <v>209</v>
      </c>
      <c r="D2980" s="708">
        <v>0.02</v>
      </c>
      <c r="E2980" s="702">
        <f>ROUND(B2980*D2980,2)</f>
        <v>2.0499999999999998</v>
      </c>
      <c r="F2980" s="703">
        <f>SUM(E2977:E2980)</f>
        <v>104.58</v>
      </c>
    </row>
    <row r="2981" spans="1:6" ht="12" customHeight="1">
      <c r="A2981" s="12"/>
      <c r="B2981" s="14"/>
      <c r="C2981" s="24"/>
      <c r="D2981" s="35"/>
      <c r="E2981" s="31"/>
      <c r="F2981" s="32"/>
    </row>
    <row r="2982" spans="1:6" ht="12" hidden="1" customHeight="1">
      <c r="A2982" s="13" t="s">
        <v>285</v>
      </c>
      <c r="B2982" s="42" t="s">
        <v>151</v>
      </c>
      <c r="C2982" s="29" t="s">
        <v>213</v>
      </c>
      <c r="D2982" s="35"/>
      <c r="E2982" s="31"/>
      <c r="F2982" s="32"/>
    </row>
    <row r="2983" spans="1:6" ht="12" hidden="1" customHeight="1">
      <c r="A2983" s="12" t="s">
        <v>1169</v>
      </c>
      <c r="B2983" s="30">
        <v>7.0000000000000001E-3</v>
      </c>
      <c r="C2983" s="24" t="s">
        <v>825</v>
      </c>
      <c r="D2983" s="35">
        <f>D2926</f>
        <v>7489.3199999999988</v>
      </c>
      <c r="E2983" s="31">
        <f>ROUND(B2983*D2983,2)</f>
        <v>52.43</v>
      </c>
      <c r="F2983" s="32"/>
    </row>
    <row r="2984" spans="1:6" ht="12" hidden="1" customHeight="1">
      <c r="A2984" s="12" t="s">
        <v>183</v>
      </c>
      <c r="B2984" s="30">
        <v>3.3000000000000002E-2</v>
      </c>
      <c r="C2984" s="24" t="s">
        <v>211</v>
      </c>
      <c r="D2984" s="35">
        <f>D2978</f>
        <v>38</v>
      </c>
      <c r="E2984" s="31">
        <f>ROUND(B2984*D2984,2)</f>
        <v>1.25</v>
      </c>
      <c r="F2984" s="32"/>
    </row>
    <row r="2985" spans="1:6" ht="12" hidden="1" customHeight="1">
      <c r="A2985" s="12" t="s">
        <v>430</v>
      </c>
      <c r="B2985" s="30">
        <v>1</v>
      </c>
      <c r="C2985" s="24" t="s">
        <v>213</v>
      </c>
      <c r="D2985" s="35">
        <f>D2928</f>
        <v>19.21</v>
      </c>
      <c r="E2985" s="31">
        <f>ROUND(B2985*D2985,2)</f>
        <v>19.21</v>
      </c>
      <c r="F2985" s="32"/>
    </row>
    <row r="2986" spans="1:6" ht="12" hidden="1" customHeight="1">
      <c r="A2986" s="12" t="s">
        <v>1168</v>
      </c>
      <c r="B2986" s="30">
        <v>1</v>
      </c>
      <c r="C2986" s="24" t="s">
        <v>213</v>
      </c>
      <c r="D2986" s="35">
        <f>Prec.!$D$436</f>
        <v>0</v>
      </c>
      <c r="E2986" s="31">
        <f>ROUND(B2986*D2986,2)</f>
        <v>0</v>
      </c>
      <c r="F2986" s="32"/>
    </row>
    <row r="2987" spans="1:6" ht="12" hidden="1" customHeight="1">
      <c r="A2987" s="12" t="s">
        <v>208</v>
      </c>
      <c r="B2987" s="14">
        <f>SUM(E2983:E2986)</f>
        <v>72.89</v>
      </c>
      <c r="C2987" s="24" t="s">
        <v>209</v>
      </c>
      <c r="D2987" s="35">
        <f>Prec.!C302</f>
        <v>1.4999999999999999E-2</v>
      </c>
      <c r="E2987" s="31">
        <f>ROUND(B2987*D2987,2)</f>
        <v>1.0900000000000001</v>
      </c>
      <c r="F2987" s="32">
        <f>SUM(E2983:E2987)</f>
        <v>73.98</v>
      </c>
    </row>
    <row r="2988" spans="1:6" ht="12" hidden="1" customHeight="1">
      <c r="A2988" s="12"/>
      <c r="B2988" s="14"/>
      <c r="C2988" s="24"/>
      <c r="D2988" s="35"/>
      <c r="E2988" s="31"/>
      <c r="F2988" s="32"/>
    </row>
    <row r="2989" spans="1:6" ht="12" hidden="1" customHeight="1">
      <c r="A2989" s="13" t="s">
        <v>767</v>
      </c>
      <c r="B2989" s="42" t="s">
        <v>151</v>
      </c>
      <c r="C2989" s="29" t="s">
        <v>213</v>
      </c>
      <c r="D2989" s="35"/>
      <c r="E2989" s="31"/>
      <c r="F2989" s="32"/>
    </row>
    <row r="2990" spans="1:6" ht="12" hidden="1" customHeight="1">
      <c r="A2990" s="12" t="s">
        <v>1169</v>
      </c>
      <c r="B2990" s="30">
        <v>7.0000000000000001E-3</v>
      </c>
      <c r="C2990" s="24" t="s">
        <v>825</v>
      </c>
      <c r="D2990" s="35">
        <f>D2926</f>
        <v>7489.3199999999988</v>
      </c>
      <c r="E2990" s="31">
        <f>ROUND(B2990*D2990,2)</f>
        <v>52.43</v>
      </c>
      <c r="F2990" s="32"/>
    </row>
    <row r="2991" spans="1:6" ht="12" hidden="1" customHeight="1">
      <c r="A2991" s="12" t="s">
        <v>183</v>
      </c>
      <c r="B2991" s="30">
        <v>3.3000000000000002E-2</v>
      </c>
      <c r="C2991" s="24" t="s">
        <v>211</v>
      </c>
      <c r="D2991" s="35">
        <f>D2984</f>
        <v>38</v>
      </c>
      <c r="E2991" s="31">
        <f>ROUND(B2991*D2991,2)</f>
        <v>1.25</v>
      </c>
      <c r="F2991" s="32"/>
    </row>
    <row r="2992" spans="1:6" ht="12" hidden="1" customHeight="1">
      <c r="A2992" s="12" t="s">
        <v>430</v>
      </c>
      <c r="B2992" s="30">
        <v>1</v>
      </c>
      <c r="C2992" s="24" t="s">
        <v>213</v>
      </c>
      <c r="D2992" s="35">
        <f>D2921</f>
        <v>150.69</v>
      </c>
      <c r="E2992" s="31">
        <f>ROUND(B2992*D2992,2)</f>
        <v>150.69</v>
      </c>
      <c r="F2992" s="32"/>
    </row>
    <row r="2993" spans="1:6" ht="12" hidden="1" customHeight="1">
      <c r="A2993" s="12" t="s">
        <v>1168</v>
      </c>
      <c r="B2993" s="30">
        <v>1</v>
      </c>
      <c r="C2993" s="24" t="s">
        <v>213</v>
      </c>
      <c r="D2993" s="35">
        <f>Prec.!$D$437</f>
        <v>0</v>
      </c>
      <c r="E2993" s="31">
        <f>ROUND(B2993*D2993,2)</f>
        <v>0</v>
      </c>
      <c r="F2993" s="32"/>
    </row>
    <row r="2994" spans="1:6" ht="12.75" hidden="1" customHeight="1">
      <c r="A2994" s="12" t="s">
        <v>208</v>
      </c>
      <c r="B2994" s="14">
        <f>SUM(E2990:E2993)</f>
        <v>204.37</v>
      </c>
      <c r="C2994" s="24" t="s">
        <v>209</v>
      </c>
      <c r="D2994" s="35">
        <f>Prec.!C302</f>
        <v>1.4999999999999999E-2</v>
      </c>
      <c r="E2994" s="31">
        <f>ROUND(B2994*D2994,2)</f>
        <v>3.07</v>
      </c>
      <c r="F2994" s="32">
        <f>SUM(E2990:E2994)</f>
        <v>207.44</v>
      </c>
    </row>
    <row r="2995" spans="1:6" ht="7.5" hidden="1" customHeight="1">
      <c r="A2995" s="12"/>
      <c r="B2995" s="14"/>
      <c r="C2995" s="24"/>
      <c r="D2995" s="35"/>
      <c r="E2995" s="31"/>
      <c r="F2995" s="32"/>
    </row>
    <row r="2996" spans="1:6" ht="12.75" hidden="1" customHeight="1">
      <c r="A2996" s="13" t="s">
        <v>768</v>
      </c>
      <c r="B2996" s="42" t="s">
        <v>151</v>
      </c>
      <c r="C2996" s="29" t="s">
        <v>213</v>
      </c>
      <c r="D2996" s="35"/>
      <c r="E2996" s="31"/>
      <c r="F2996" s="32"/>
    </row>
    <row r="2997" spans="1:6" ht="12.75" hidden="1" customHeight="1">
      <c r="A2997" s="12" t="s">
        <v>427</v>
      </c>
      <c r="B2997" s="30">
        <v>0.02</v>
      </c>
      <c r="C2997" s="24" t="s">
        <v>825</v>
      </c>
      <c r="D2997" s="35">
        <f>horm.ymez.!D8</f>
        <v>6851.01</v>
      </c>
      <c r="E2997" s="31">
        <f>ROUND(B2997*D2997,2)</f>
        <v>137.02000000000001</v>
      </c>
      <c r="F2997" s="32"/>
    </row>
    <row r="2998" spans="1:6" ht="12.75" hidden="1" customHeight="1">
      <c r="A2998" s="12" t="s">
        <v>183</v>
      </c>
      <c r="B2998" s="30">
        <v>3.3000000000000002E-2</v>
      </c>
      <c r="C2998" s="24" t="s">
        <v>211</v>
      </c>
      <c r="D2998" s="35">
        <f>D2991</f>
        <v>38</v>
      </c>
      <c r="E2998" s="31">
        <f>ROUND(B2998*D2998,2)</f>
        <v>1.25</v>
      </c>
      <c r="F2998" s="32"/>
    </row>
    <row r="2999" spans="1:6" ht="12.75" hidden="1" customHeight="1">
      <c r="A2999" s="12" t="s">
        <v>430</v>
      </c>
      <c r="B2999" s="30">
        <v>1</v>
      </c>
      <c r="C2999" s="24" t="s">
        <v>213</v>
      </c>
      <c r="D2999" s="35">
        <f>D2950</f>
        <v>19.21</v>
      </c>
      <c r="E2999" s="31">
        <f>ROUND(B2999*D2999,2)</f>
        <v>19.21</v>
      </c>
      <c r="F2999" s="32"/>
    </row>
    <row r="3000" spans="1:6" ht="12.75" hidden="1" customHeight="1">
      <c r="A3000" s="12" t="s">
        <v>1168</v>
      </c>
      <c r="B3000" s="30">
        <v>1</v>
      </c>
      <c r="C3000" s="24" t="s">
        <v>213</v>
      </c>
      <c r="D3000" s="35">
        <f>Prec.!$D$432</f>
        <v>0</v>
      </c>
      <c r="E3000" s="31">
        <f>ROUND(B3000*D3000,2)</f>
        <v>0</v>
      </c>
      <c r="F3000" s="32"/>
    </row>
    <row r="3001" spans="1:6" ht="12.75" hidden="1" customHeight="1">
      <c r="A3001" s="12" t="s">
        <v>208</v>
      </c>
      <c r="B3001" s="14">
        <f>SUM(E2997:E3000)</f>
        <v>157.48000000000002</v>
      </c>
      <c r="C3001" s="24" t="s">
        <v>209</v>
      </c>
      <c r="D3001" s="35">
        <f>Prec.!C302</f>
        <v>1.4999999999999999E-2</v>
      </c>
      <c r="E3001" s="31">
        <f>ROUND(B3001*D3001,2)</f>
        <v>2.36</v>
      </c>
      <c r="F3001" s="32">
        <f>SUM(E2997:E3001)</f>
        <v>159.84000000000003</v>
      </c>
    </row>
    <row r="3002" spans="1:6" ht="9" hidden="1" customHeight="1">
      <c r="A3002" s="12"/>
      <c r="B3002" s="14"/>
      <c r="C3002" s="24"/>
      <c r="D3002" s="35"/>
      <c r="E3002" s="31"/>
      <c r="F3002" s="32"/>
    </row>
    <row r="3003" spans="1:6" ht="12.75" hidden="1" customHeight="1">
      <c r="A3003" s="13" t="s">
        <v>769</v>
      </c>
      <c r="B3003" s="42" t="s">
        <v>151</v>
      </c>
      <c r="C3003" s="29" t="s">
        <v>213</v>
      </c>
      <c r="D3003" s="35"/>
      <c r="E3003" s="31"/>
      <c r="F3003" s="32"/>
    </row>
    <row r="3004" spans="1:6" ht="12.75" hidden="1" customHeight="1">
      <c r="A3004" s="12" t="s">
        <v>427</v>
      </c>
      <c r="B3004" s="30">
        <v>0.02</v>
      </c>
      <c r="C3004" s="24" t="s">
        <v>825</v>
      </c>
      <c r="D3004" s="35">
        <f>D2997</f>
        <v>6851.01</v>
      </c>
      <c r="E3004" s="31">
        <f>ROUND(B3004*D3004,2)</f>
        <v>137.02000000000001</v>
      </c>
      <c r="F3004" s="32"/>
    </row>
    <row r="3005" spans="1:6" ht="12.75" hidden="1" customHeight="1">
      <c r="A3005" s="12" t="s">
        <v>183</v>
      </c>
      <c r="B3005" s="30">
        <v>3.3000000000000002E-2</v>
      </c>
      <c r="C3005" s="24" t="s">
        <v>211</v>
      </c>
      <c r="D3005" s="35">
        <f>D2998</f>
        <v>38</v>
      </c>
      <c r="E3005" s="31">
        <f>ROUND(B3005*D3005,2)</f>
        <v>1.25</v>
      </c>
      <c r="F3005" s="32"/>
    </row>
    <row r="3006" spans="1:6" ht="12.75" hidden="1" customHeight="1">
      <c r="A3006" s="12" t="s">
        <v>430</v>
      </c>
      <c r="B3006" s="30">
        <v>1</v>
      </c>
      <c r="C3006" s="24" t="s">
        <v>213</v>
      </c>
      <c r="D3006" s="35">
        <f>D2942</f>
        <v>150.69</v>
      </c>
      <c r="E3006" s="31">
        <f>ROUND(B3006*D3006,2)</f>
        <v>150.69</v>
      </c>
      <c r="F3006" s="32"/>
    </row>
    <row r="3007" spans="1:6" ht="12.75" hidden="1" customHeight="1">
      <c r="A3007" s="12" t="s">
        <v>1168</v>
      </c>
      <c r="B3007" s="30">
        <v>1</v>
      </c>
      <c r="C3007" s="24" t="s">
        <v>213</v>
      </c>
      <c r="D3007" s="35">
        <f>Prec.!$D$433</f>
        <v>0</v>
      </c>
      <c r="E3007" s="31">
        <f>ROUND(B3007*D3007,2)</f>
        <v>0</v>
      </c>
      <c r="F3007" s="32"/>
    </row>
    <row r="3008" spans="1:6" ht="12.75" hidden="1" customHeight="1">
      <c r="A3008" s="12" t="s">
        <v>208</v>
      </c>
      <c r="B3008" s="14">
        <f>SUM(E3004:E3007)</f>
        <v>288.96000000000004</v>
      </c>
      <c r="C3008" s="24" t="s">
        <v>209</v>
      </c>
      <c r="D3008" s="35">
        <f>Prec.!C302</f>
        <v>1.4999999999999999E-2</v>
      </c>
      <c r="E3008" s="31">
        <f>ROUND(B3008*D3008,2)</f>
        <v>4.33</v>
      </c>
      <c r="F3008" s="32">
        <f>SUM(E3004:E3008)</f>
        <v>293.29000000000002</v>
      </c>
    </row>
    <row r="3009" spans="1:13" ht="6.75" hidden="1" customHeight="1">
      <c r="A3009" s="12"/>
      <c r="B3009" s="14"/>
      <c r="C3009" s="24"/>
      <c r="D3009" s="35"/>
      <c r="E3009" s="31"/>
      <c r="F3009" s="32"/>
    </row>
    <row r="3010" spans="1:13" ht="12.75" hidden="1" customHeight="1">
      <c r="A3010" s="13" t="s">
        <v>770</v>
      </c>
      <c r="B3010" s="42" t="s">
        <v>151</v>
      </c>
      <c r="C3010" s="29" t="s">
        <v>825</v>
      </c>
      <c r="D3010" s="35"/>
      <c r="E3010" s="31"/>
      <c r="F3010" s="32"/>
    </row>
    <row r="3011" spans="1:13" ht="12.75" hidden="1" customHeight="1">
      <c r="A3011" s="12" t="s">
        <v>427</v>
      </c>
      <c r="B3011" s="30">
        <v>1.2999999999999999E-2</v>
      </c>
      <c r="C3011" s="24" t="s">
        <v>825</v>
      </c>
      <c r="D3011" s="35">
        <f>D2997</f>
        <v>6851.01</v>
      </c>
      <c r="E3011" s="31">
        <f>ROUND(B3011*D3011,2)</f>
        <v>89.06</v>
      </c>
      <c r="F3011" s="32"/>
    </row>
    <row r="3012" spans="1:13" ht="12.75" hidden="1" customHeight="1">
      <c r="A3012" s="12" t="s">
        <v>1168</v>
      </c>
      <c r="B3012" s="30">
        <v>1</v>
      </c>
      <c r="C3012" s="24" t="s">
        <v>213</v>
      </c>
      <c r="D3012" s="35">
        <f>Prec.!$D$431</f>
        <v>0</v>
      </c>
      <c r="E3012" s="31">
        <f>ROUND(B3012*D3012,2)</f>
        <v>0</v>
      </c>
      <c r="F3012" s="32"/>
    </row>
    <row r="3013" spans="1:13" ht="12.75" hidden="1" customHeight="1">
      <c r="A3013" s="12" t="s">
        <v>208</v>
      </c>
      <c r="B3013" s="14">
        <f>SUM(E3011:E3012)</f>
        <v>89.06</v>
      </c>
      <c r="C3013" s="24" t="s">
        <v>209</v>
      </c>
      <c r="D3013" s="35">
        <f>Prec.!C302</f>
        <v>1.4999999999999999E-2</v>
      </c>
      <c r="E3013" s="31">
        <f>ROUND(B3013*D3013,2)</f>
        <v>1.34</v>
      </c>
      <c r="F3013" s="32">
        <f>SUM(E3011:E3013)</f>
        <v>90.4</v>
      </c>
    </row>
    <row r="3014" spans="1:13" ht="6" hidden="1" customHeight="1">
      <c r="A3014" s="12"/>
      <c r="B3014" s="14"/>
      <c r="C3014" s="24"/>
      <c r="D3014" s="35"/>
      <c r="E3014" s="31"/>
      <c r="F3014" s="32"/>
    </row>
    <row r="3015" spans="1:13" ht="12.75" hidden="1" customHeight="1">
      <c r="A3015" s="13" t="s">
        <v>771</v>
      </c>
      <c r="B3015" s="42" t="s">
        <v>151</v>
      </c>
      <c r="C3015" s="29" t="s">
        <v>1171</v>
      </c>
      <c r="D3015" s="35"/>
      <c r="E3015" s="31"/>
      <c r="F3015" s="32"/>
    </row>
    <row r="3016" spans="1:13" ht="12.75" hidden="1" customHeight="1">
      <c r="A3016" s="12" t="s">
        <v>1169</v>
      </c>
      <c r="B3016" s="30">
        <v>8.0000000000000002E-3</v>
      </c>
      <c r="C3016" s="24" t="s">
        <v>825</v>
      </c>
      <c r="D3016" s="35">
        <f>D2948</f>
        <v>7489.3199999999988</v>
      </c>
      <c r="E3016" s="31">
        <f>ROUND(B3016*D3016,2)</f>
        <v>59.91</v>
      </c>
      <c r="F3016" s="32"/>
    </row>
    <row r="3017" spans="1:13" ht="12.75" hidden="1" customHeight="1">
      <c r="A3017" s="12" t="s">
        <v>183</v>
      </c>
      <c r="B3017" s="30">
        <v>0.27</v>
      </c>
      <c r="C3017" s="24" t="s">
        <v>211</v>
      </c>
      <c r="D3017" s="35">
        <f>D3005</f>
        <v>38</v>
      </c>
      <c r="E3017" s="31">
        <f>ROUND(B3017*D3017,2)</f>
        <v>10.26</v>
      </c>
      <c r="F3017" s="32"/>
    </row>
    <row r="3018" spans="1:13" ht="12.75" hidden="1" customHeight="1">
      <c r="A3018" s="12" t="s">
        <v>1168</v>
      </c>
      <c r="B3018" s="30">
        <v>1</v>
      </c>
      <c r="C3018" s="24" t="s">
        <v>1171</v>
      </c>
      <c r="D3018" s="35">
        <f>Prec.!$D$439</f>
        <v>0</v>
      </c>
      <c r="E3018" s="31">
        <f>ROUND(B3018*D3018,2)</f>
        <v>0</v>
      </c>
      <c r="F3018" s="32"/>
    </row>
    <row r="3019" spans="1:13" ht="12.75" hidden="1" customHeight="1">
      <c r="A3019" s="12" t="s">
        <v>208</v>
      </c>
      <c r="B3019" s="14">
        <f>SUM(E3016:E3018)</f>
        <v>70.17</v>
      </c>
      <c r="C3019" s="24" t="s">
        <v>209</v>
      </c>
      <c r="D3019" s="35">
        <f>Prec.!C302</f>
        <v>1.4999999999999999E-2</v>
      </c>
      <c r="E3019" s="31">
        <f>ROUND(B3019*D3019,2)</f>
        <v>1.05</v>
      </c>
      <c r="F3019" s="32">
        <f>SUM(E3016:E3019)</f>
        <v>71.22</v>
      </c>
    </row>
    <row r="3020" spans="1:13" s="166" customFormat="1" ht="12.75" hidden="1" customHeight="1">
      <c r="A3020" s="12"/>
      <c r="B3020" s="14"/>
      <c r="C3020" s="24"/>
      <c r="D3020" s="35"/>
      <c r="E3020" s="31"/>
      <c r="F3020" s="32"/>
      <c r="G3020" s="15"/>
      <c r="H3020" s="21"/>
      <c r="I3020" s="15"/>
      <c r="J3020" s="15"/>
      <c r="K3020" s="15"/>
      <c r="L3020" s="21"/>
      <c r="M3020" s="15"/>
    </row>
    <row r="3021" spans="1:13" ht="12.75" hidden="1" customHeight="1">
      <c r="A3021" s="13" t="s">
        <v>772</v>
      </c>
      <c r="B3021" s="42" t="s">
        <v>151</v>
      </c>
      <c r="C3021" s="29" t="s">
        <v>1171</v>
      </c>
      <c r="D3021" s="35"/>
      <c r="E3021" s="31"/>
      <c r="F3021" s="32"/>
    </row>
    <row r="3022" spans="1:13" ht="12.75" hidden="1" customHeight="1">
      <c r="A3022" s="12" t="s">
        <v>1169</v>
      </c>
      <c r="B3022" s="30">
        <v>0.01</v>
      </c>
      <c r="C3022" s="24" t="s">
        <v>825</v>
      </c>
      <c r="D3022" s="35">
        <f>D2961</f>
        <v>7489.3199999999988</v>
      </c>
      <c r="E3022" s="31">
        <f>ROUND(B3022*D3022,2)</f>
        <v>74.89</v>
      </c>
      <c r="F3022" s="32"/>
    </row>
    <row r="3023" spans="1:13" ht="12.75" hidden="1" customHeight="1">
      <c r="A3023" s="12" t="s">
        <v>183</v>
      </c>
      <c r="B3023" s="30">
        <v>0.218</v>
      </c>
      <c r="C3023" s="24" t="s">
        <v>211</v>
      </c>
      <c r="D3023" s="35">
        <f>D3017</f>
        <v>38</v>
      </c>
      <c r="E3023" s="31">
        <f>ROUND(B3023*D3023,2)</f>
        <v>8.2799999999999994</v>
      </c>
      <c r="F3023" s="32"/>
    </row>
    <row r="3024" spans="1:13" ht="12.75" hidden="1" customHeight="1">
      <c r="A3024" s="12" t="s">
        <v>430</v>
      </c>
      <c r="B3024" s="30">
        <v>1</v>
      </c>
      <c r="C3024" s="24" t="s">
        <v>213</v>
      </c>
      <c r="D3024" s="35">
        <f>D2957</f>
        <v>150.69</v>
      </c>
      <c r="E3024" s="31">
        <f>ROUND(B3024*D3024,2)</f>
        <v>150.69</v>
      </c>
      <c r="F3024" s="32"/>
    </row>
    <row r="3025" spans="1:6" ht="12.75" hidden="1" customHeight="1">
      <c r="A3025" s="12" t="s">
        <v>1168</v>
      </c>
      <c r="B3025" s="30">
        <v>1</v>
      </c>
      <c r="C3025" s="24" t="s">
        <v>1171</v>
      </c>
      <c r="D3025" s="35">
        <f>Prec.!$D$440</f>
        <v>0</v>
      </c>
      <c r="E3025" s="31">
        <f>ROUND(B3025*D3025,2)</f>
        <v>0</v>
      </c>
      <c r="F3025" s="32"/>
    </row>
    <row r="3026" spans="1:6" ht="12.75" hidden="1" customHeight="1">
      <c r="A3026" s="12" t="s">
        <v>208</v>
      </c>
      <c r="B3026" s="14">
        <f>SUM(E3022:E3025)</f>
        <v>233.86</v>
      </c>
      <c r="C3026" s="24" t="s">
        <v>209</v>
      </c>
      <c r="D3026" s="35">
        <f>Prec.!C302</f>
        <v>1.4999999999999999E-2</v>
      </c>
      <c r="E3026" s="31">
        <f>ROUND(B3026*D3026,2)</f>
        <v>3.51</v>
      </c>
      <c r="F3026" s="32">
        <f>SUM(E3022:E3026)</f>
        <v>237.37</v>
      </c>
    </row>
    <row r="3027" spans="1:6" ht="12.75" hidden="1" customHeight="1">
      <c r="A3027" s="12"/>
      <c r="B3027" s="14"/>
      <c r="C3027" s="24"/>
      <c r="D3027" s="35"/>
      <c r="E3027" s="31"/>
      <c r="F3027" s="32"/>
    </row>
    <row r="3028" spans="1:6" ht="12.75" hidden="1" customHeight="1">
      <c r="A3028" s="13" t="s">
        <v>360</v>
      </c>
      <c r="B3028" s="42" t="s">
        <v>151</v>
      </c>
      <c r="C3028" s="29" t="s">
        <v>1171</v>
      </c>
      <c r="D3028" s="35"/>
      <c r="E3028" s="31"/>
      <c r="F3028" s="32"/>
    </row>
    <row r="3029" spans="1:6" ht="12.75" hidden="1" customHeight="1">
      <c r="A3029" s="12" t="s">
        <v>1169</v>
      </c>
      <c r="B3029" s="30">
        <v>2E-3</v>
      </c>
      <c r="C3029" s="24" t="s">
        <v>825</v>
      </c>
      <c r="D3029" s="35">
        <f>D2955</f>
        <v>7489.3199999999988</v>
      </c>
      <c r="E3029" s="31">
        <f>ROUND(B3029*D3029,2)</f>
        <v>14.98</v>
      </c>
      <c r="F3029" s="32"/>
    </row>
    <row r="3030" spans="1:6" ht="12.75" hidden="1" customHeight="1">
      <c r="A3030" s="12" t="s">
        <v>183</v>
      </c>
      <c r="B3030" s="30">
        <v>0.27</v>
      </c>
      <c r="C3030" s="24" t="s">
        <v>211</v>
      </c>
      <c r="D3030" s="35">
        <f>D3023</f>
        <v>38</v>
      </c>
      <c r="E3030" s="31">
        <f>ROUND(B3030*D3030,2)</f>
        <v>10.26</v>
      </c>
      <c r="F3030" s="32"/>
    </row>
    <row r="3031" spans="1:6" ht="12.75" hidden="1" customHeight="1">
      <c r="A3031" s="12" t="s">
        <v>430</v>
      </c>
      <c r="B3031" s="30">
        <v>1</v>
      </c>
      <c r="C3031" s="24" t="s">
        <v>213</v>
      </c>
      <c r="D3031" s="35">
        <f>D2957</f>
        <v>150.69</v>
      </c>
      <c r="E3031" s="31">
        <f>ROUND(B3031*D3031,2)</f>
        <v>150.69</v>
      </c>
      <c r="F3031" s="32"/>
    </row>
    <row r="3032" spans="1:6" ht="12.75" hidden="1" customHeight="1">
      <c r="A3032" s="12" t="s">
        <v>1168</v>
      </c>
      <c r="B3032" s="30">
        <v>1</v>
      </c>
      <c r="C3032" s="24" t="s">
        <v>1171</v>
      </c>
      <c r="D3032" s="35">
        <f>Prec.!$D$441</f>
        <v>0</v>
      </c>
      <c r="E3032" s="31">
        <f>ROUND(B3032*D3032,2)</f>
        <v>0</v>
      </c>
      <c r="F3032" s="32"/>
    </row>
    <row r="3033" spans="1:6" ht="12.75" hidden="1" customHeight="1">
      <c r="A3033" s="12" t="s">
        <v>208</v>
      </c>
      <c r="B3033" s="14">
        <f>SUM(E3029:E3032)</f>
        <v>175.93</v>
      </c>
      <c r="C3033" s="24" t="s">
        <v>209</v>
      </c>
      <c r="D3033" s="35">
        <f>Prec.!C302</f>
        <v>1.4999999999999999E-2</v>
      </c>
      <c r="E3033" s="31">
        <f>ROUND(B3033*D3033,2)</f>
        <v>2.64</v>
      </c>
      <c r="F3033" s="32">
        <f>SUM(E3029:E3033)</f>
        <v>178.57</v>
      </c>
    </row>
    <row r="3034" spans="1:6" ht="12.75" hidden="1" customHeight="1">
      <c r="B3034" s="7"/>
    </row>
    <row r="3035" spans="1:6" ht="12.75" customHeight="1">
      <c r="A3035" s="23" t="s">
        <v>1159</v>
      </c>
      <c r="B3035" s="7"/>
    </row>
    <row r="3036" spans="1:6" ht="12.75" customHeight="1">
      <c r="A3036" s="2"/>
      <c r="B3036" s="7"/>
    </row>
    <row r="3037" spans="1:6" ht="12.75" customHeight="1">
      <c r="A3037" s="545" t="s">
        <v>529</v>
      </c>
      <c r="B3037" s="555" t="s">
        <v>151</v>
      </c>
      <c r="C3037" s="556" t="s">
        <v>213</v>
      </c>
      <c r="D3037" s="548"/>
      <c r="E3037" s="552"/>
      <c r="F3037" s="553"/>
    </row>
    <row r="3038" spans="1:6" ht="12.75" customHeight="1">
      <c r="A3038" s="551" t="s">
        <v>1169</v>
      </c>
      <c r="B3038" s="546">
        <v>2.1999999999999999E-2</v>
      </c>
      <c r="C3038" s="547" t="s">
        <v>825</v>
      </c>
      <c r="D3038" s="548">
        <f>horm.ymez.!E12</f>
        <v>7660.1799999999994</v>
      </c>
      <c r="E3038" s="552">
        <f>ROUND(B3038*D3038,2)</f>
        <v>168.52</v>
      </c>
      <c r="F3038" s="553"/>
    </row>
    <row r="3039" spans="1:6" ht="12.75" customHeight="1">
      <c r="A3039" s="551" t="s">
        <v>183</v>
      </c>
      <c r="B3039" s="546">
        <v>3.3000000000000002E-2</v>
      </c>
      <c r="C3039" s="547" t="s">
        <v>211</v>
      </c>
      <c r="D3039" s="548">
        <f>D3030</f>
        <v>38</v>
      </c>
      <c r="E3039" s="552">
        <f>ROUND(B3039*D3039,2)</f>
        <v>1.25</v>
      </c>
      <c r="F3039" s="553"/>
    </row>
    <row r="3040" spans="1:6" ht="12.75" customHeight="1">
      <c r="A3040" s="551" t="s">
        <v>430</v>
      </c>
      <c r="B3040" s="546">
        <v>1</v>
      </c>
      <c r="C3040" s="547" t="s">
        <v>213</v>
      </c>
      <c r="D3040" s="548">
        <f>horm.ymez.!E23</f>
        <v>19.440000000000001</v>
      </c>
      <c r="E3040" s="552">
        <f>ROUND(B3040*D3040,2)</f>
        <v>19.440000000000001</v>
      </c>
      <c r="F3040" s="553"/>
    </row>
    <row r="3041" spans="1:6" ht="12.75" customHeight="1">
      <c r="A3041" s="551" t="s">
        <v>1168</v>
      </c>
      <c r="B3041" s="546">
        <v>1</v>
      </c>
      <c r="C3041" s="547" t="s">
        <v>213</v>
      </c>
      <c r="D3041" s="548">
        <f>Prec.!C413</f>
        <v>157.1</v>
      </c>
      <c r="E3041" s="552">
        <f>ROUND(B3041*D3041,2)</f>
        <v>157.1</v>
      </c>
      <c r="F3041" s="553"/>
    </row>
    <row r="3042" spans="1:6" ht="12.75" customHeight="1">
      <c r="A3042" s="551" t="s">
        <v>208</v>
      </c>
      <c r="B3042" s="554">
        <f>SUM(E3038:E3039)</f>
        <v>169.77</v>
      </c>
      <c r="C3042" s="547" t="s">
        <v>209</v>
      </c>
      <c r="D3042" s="548">
        <v>0.02</v>
      </c>
      <c r="E3042" s="552">
        <f>ROUND(B3042*D3042,2)</f>
        <v>3.4</v>
      </c>
      <c r="F3042" s="553">
        <f>SUM(E3038:E3042)</f>
        <v>349.71</v>
      </c>
    </row>
    <row r="3043" spans="1:6" ht="12.75" customHeight="1">
      <c r="A3043" s="12"/>
      <c r="B3043" s="14"/>
      <c r="C3043" s="24"/>
      <c r="D3043" s="35"/>
      <c r="E3043" s="31"/>
      <c r="F3043" s="32"/>
    </row>
    <row r="3044" spans="1:6" ht="12.75" customHeight="1">
      <c r="A3044" s="545" t="s">
        <v>991</v>
      </c>
      <c r="B3044" s="555" t="s">
        <v>151</v>
      </c>
      <c r="C3044" s="556" t="s">
        <v>213</v>
      </c>
      <c r="D3044" s="548"/>
      <c r="E3044" s="552"/>
      <c r="F3044" s="553"/>
    </row>
    <row r="3045" spans="1:6" ht="12.75" customHeight="1">
      <c r="A3045" s="551" t="s">
        <v>1169</v>
      </c>
      <c r="B3045" s="546">
        <v>2.1999999999999999E-2</v>
      </c>
      <c r="C3045" s="547" t="s">
        <v>825</v>
      </c>
      <c r="D3045" s="548">
        <f>D3038</f>
        <v>7660.1799999999994</v>
      </c>
      <c r="E3045" s="552">
        <f>ROUND(B3045*D3045,2)</f>
        <v>168.52</v>
      </c>
      <c r="F3045" s="553"/>
    </row>
    <row r="3046" spans="1:6" ht="12.75" customHeight="1">
      <c r="A3046" s="551" t="s">
        <v>183</v>
      </c>
      <c r="B3046" s="546">
        <v>3.3000000000000002E-2</v>
      </c>
      <c r="C3046" s="547" t="s">
        <v>211</v>
      </c>
      <c r="D3046" s="548">
        <f>D3039</f>
        <v>38</v>
      </c>
      <c r="E3046" s="552">
        <f>ROUND(B3046*D3046,2)</f>
        <v>1.25</v>
      </c>
      <c r="F3046" s="553"/>
    </row>
    <row r="3047" spans="1:6" ht="12.75" customHeight="1">
      <c r="A3047" s="551" t="s">
        <v>430</v>
      </c>
      <c r="B3047" s="546">
        <v>1</v>
      </c>
      <c r="C3047" s="547" t="s">
        <v>213</v>
      </c>
      <c r="D3047" s="548">
        <f>F1040</f>
        <v>150.69</v>
      </c>
      <c r="E3047" s="552">
        <f>ROUND(B3047*D3047,2)</f>
        <v>150.69</v>
      </c>
      <c r="F3047" s="553"/>
    </row>
    <row r="3048" spans="1:6" ht="12.75" customHeight="1">
      <c r="A3048" s="551" t="s">
        <v>1168</v>
      </c>
      <c r="B3048" s="546">
        <v>1</v>
      </c>
      <c r="C3048" s="547" t="s">
        <v>213</v>
      </c>
      <c r="D3048" s="548">
        <f>Prec.!C416</f>
        <v>229.94249999999997</v>
      </c>
      <c r="E3048" s="552">
        <f>ROUND(B3048*D3048,2)</f>
        <v>229.94</v>
      </c>
      <c r="F3048" s="553"/>
    </row>
    <row r="3049" spans="1:6" ht="12.75" customHeight="1">
      <c r="A3049" s="551" t="s">
        <v>208</v>
      </c>
      <c r="B3049" s="554">
        <f>SUM(E3045:E3046)</f>
        <v>169.77</v>
      </c>
      <c r="C3049" s="547" t="s">
        <v>209</v>
      </c>
      <c r="D3049" s="548">
        <v>0.02</v>
      </c>
      <c r="E3049" s="552">
        <f>ROUND(B3049*D3049,2)</f>
        <v>3.4</v>
      </c>
      <c r="F3049" s="553">
        <f>SUM(E3045:E3049)</f>
        <v>553.80000000000007</v>
      </c>
    </row>
    <row r="3050" spans="1:6" ht="12.75" customHeight="1">
      <c r="A3050" s="12"/>
      <c r="B3050" s="14"/>
      <c r="C3050" s="24"/>
      <c r="D3050" s="35"/>
      <c r="E3050" s="31"/>
      <c r="F3050" s="32"/>
    </row>
    <row r="3051" spans="1:6" ht="12.75" customHeight="1">
      <c r="A3051" s="545" t="s">
        <v>830</v>
      </c>
      <c r="B3051" s="555" t="s">
        <v>151</v>
      </c>
      <c r="C3051" s="556" t="s">
        <v>213</v>
      </c>
      <c r="D3051" s="548"/>
      <c r="E3051" s="552"/>
      <c r="F3051" s="553"/>
    </row>
    <row r="3052" spans="1:6" ht="12.75" customHeight="1">
      <c r="A3052" s="551" t="s">
        <v>1169</v>
      </c>
      <c r="B3052" s="546">
        <v>2.1999999999999999E-2</v>
      </c>
      <c r="C3052" s="547" t="s">
        <v>825</v>
      </c>
      <c r="D3052" s="548">
        <f>D3038</f>
        <v>7660.1799999999994</v>
      </c>
      <c r="E3052" s="552">
        <f>ROUND(B3052*D3052,2)</f>
        <v>168.52</v>
      </c>
      <c r="F3052" s="553"/>
    </row>
    <row r="3053" spans="1:6" ht="12.75" customHeight="1">
      <c r="A3053" s="551" t="s">
        <v>183</v>
      </c>
      <c r="B3053" s="546">
        <v>3.3000000000000002E-2</v>
      </c>
      <c r="C3053" s="547" t="s">
        <v>211</v>
      </c>
      <c r="D3053" s="548">
        <f>D3046</f>
        <v>38</v>
      </c>
      <c r="E3053" s="552">
        <f>ROUND(B3053*D3053,2)</f>
        <v>1.25</v>
      </c>
      <c r="F3053" s="553"/>
    </row>
    <row r="3054" spans="1:6" ht="12.75" customHeight="1">
      <c r="A3054" s="551" t="s">
        <v>430</v>
      </c>
      <c r="B3054" s="546">
        <v>1</v>
      </c>
      <c r="C3054" s="547" t="s">
        <v>213</v>
      </c>
      <c r="D3054" s="548">
        <f>D3040</f>
        <v>19.440000000000001</v>
      </c>
      <c r="E3054" s="552">
        <f>ROUND(B3054*D3054,2)</f>
        <v>19.440000000000001</v>
      </c>
      <c r="F3054" s="553"/>
    </row>
    <row r="3055" spans="1:6" ht="12.75" customHeight="1">
      <c r="A3055" s="551" t="s">
        <v>1168</v>
      </c>
      <c r="B3055" s="546">
        <v>1</v>
      </c>
      <c r="C3055" s="547" t="s">
        <v>213</v>
      </c>
      <c r="D3055" s="548">
        <f>Prec.!C420</f>
        <v>203.67</v>
      </c>
      <c r="E3055" s="552">
        <f>ROUND(B3055*D3055,2)</f>
        <v>203.67</v>
      </c>
      <c r="F3055" s="553"/>
    </row>
    <row r="3056" spans="1:6" ht="12.75" customHeight="1">
      <c r="A3056" s="551" t="s">
        <v>208</v>
      </c>
      <c r="B3056" s="554">
        <f>SUM(E3052:E3053)</f>
        <v>169.77</v>
      </c>
      <c r="C3056" s="547" t="s">
        <v>209</v>
      </c>
      <c r="D3056" s="548">
        <v>0.02</v>
      </c>
      <c r="E3056" s="552">
        <f>ROUND(B3056*D3056,2)</f>
        <v>3.4</v>
      </c>
      <c r="F3056" s="553">
        <f>SUM(E3052:E3056)</f>
        <v>396.28</v>
      </c>
    </row>
    <row r="3057" spans="1:6" ht="15" customHeight="1">
      <c r="A3057" s="12"/>
      <c r="B3057" s="14"/>
      <c r="C3057" s="24"/>
      <c r="D3057" s="35"/>
      <c r="E3057" s="31"/>
      <c r="F3057" s="32"/>
    </row>
    <row r="3058" spans="1:6" ht="12.75" hidden="1" customHeight="1">
      <c r="A3058" s="13" t="s">
        <v>551</v>
      </c>
      <c r="B3058" s="42" t="s">
        <v>151</v>
      </c>
      <c r="C3058" s="29" t="s">
        <v>213</v>
      </c>
      <c r="D3058" s="35"/>
      <c r="E3058" s="31"/>
      <c r="F3058" s="32"/>
    </row>
    <row r="3059" spans="1:6" ht="12.75" hidden="1" customHeight="1">
      <c r="A3059" s="12" t="s">
        <v>462</v>
      </c>
      <c r="B3059" s="30">
        <v>2.1999999999999999E-2</v>
      </c>
      <c r="C3059" s="24" t="s">
        <v>825</v>
      </c>
      <c r="D3059" s="35">
        <f>horm.ymez.!E7</f>
        <v>8708.6</v>
      </c>
      <c r="E3059" s="31">
        <f>ROUND(B3059*D3059,2)</f>
        <v>191.59</v>
      </c>
      <c r="F3059" s="32"/>
    </row>
    <row r="3060" spans="1:6" ht="12.75" hidden="1" customHeight="1">
      <c r="A3060" s="12" t="s">
        <v>430</v>
      </c>
      <c r="B3060" s="30">
        <v>1</v>
      </c>
      <c r="C3060" s="24" t="s">
        <v>213</v>
      </c>
      <c r="D3060" s="35">
        <f>D3040</f>
        <v>19.440000000000001</v>
      </c>
      <c r="E3060" s="31">
        <f>ROUND(B3060*D3060,2)</f>
        <v>19.440000000000001</v>
      </c>
      <c r="F3060" s="32"/>
    </row>
    <row r="3061" spans="1:6" ht="12.75" hidden="1" customHeight="1">
      <c r="A3061" s="12" t="s">
        <v>1168</v>
      </c>
      <c r="B3061" s="30">
        <v>1</v>
      </c>
      <c r="C3061" s="24" t="s">
        <v>213</v>
      </c>
      <c r="D3061" s="35">
        <f>Prec.!$D$423</f>
        <v>0</v>
      </c>
      <c r="E3061" s="31">
        <f>ROUND(B3061*D3061,2)</f>
        <v>0</v>
      </c>
      <c r="F3061" s="32"/>
    </row>
    <row r="3062" spans="1:6" ht="12.75" hidden="1" customHeight="1">
      <c r="A3062" s="12" t="s">
        <v>208</v>
      </c>
      <c r="B3062" s="14">
        <f>SUM(E3059:E3061)</f>
        <v>211.03</v>
      </c>
      <c r="C3062" s="24" t="s">
        <v>209</v>
      </c>
      <c r="D3062" s="35">
        <f>Prec.!C302</f>
        <v>1.4999999999999999E-2</v>
      </c>
      <c r="E3062" s="31">
        <f>ROUND(B3062*D3062,2)</f>
        <v>3.17</v>
      </c>
      <c r="F3062" s="32">
        <f>SUM(E3059:E3062)</f>
        <v>214.2</v>
      </c>
    </row>
    <row r="3063" spans="1:6" ht="6.75" hidden="1" customHeight="1">
      <c r="A3063" s="12"/>
      <c r="B3063" s="14"/>
      <c r="C3063" s="24"/>
      <c r="D3063" s="35"/>
      <c r="E3063" s="31"/>
      <c r="F3063" s="32"/>
    </row>
    <row r="3064" spans="1:6" ht="12.75" hidden="1" customHeight="1">
      <c r="A3064" s="13" t="s">
        <v>552</v>
      </c>
      <c r="B3064" s="42" t="s">
        <v>151</v>
      </c>
      <c r="C3064" s="29" t="s">
        <v>213</v>
      </c>
      <c r="D3064" s="35"/>
      <c r="E3064" s="31"/>
      <c r="F3064" s="32"/>
    </row>
    <row r="3065" spans="1:6" ht="12.75" hidden="1" customHeight="1">
      <c r="A3065" s="12" t="s">
        <v>1</v>
      </c>
      <c r="B3065" s="30">
        <v>5.2999999999999999E-2</v>
      </c>
      <c r="C3065" s="24" t="s">
        <v>823</v>
      </c>
      <c r="D3065" s="41">
        <f>Prec.!$C$5</f>
        <v>425</v>
      </c>
      <c r="E3065" s="31">
        <f t="shared" ref="E3065:E3071" si="262">ROUND(B3065*D3065,2)</f>
        <v>22.53</v>
      </c>
      <c r="F3065" s="32"/>
    </row>
    <row r="3066" spans="1:6" ht="12.75" hidden="1" customHeight="1">
      <c r="A3066" s="12" t="s">
        <v>1169</v>
      </c>
      <c r="B3066" s="30">
        <v>0.02</v>
      </c>
      <c r="C3066" s="24" t="s">
        <v>825</v>
      </c>
      <c r="D3066" s="35">
        <f>D3038</f>
        <v>7660.1799999999994</v>
      </c>
      <c r="E3066" s="31">
        <f t="shared" si="262"/>
        <v>153.19999999999999</v>
      </c>
      <c r="F3066" s="32"/>
    </row>
    <row r="3067" spans="1:6" ht="12.75" hidden="1" customHeight="1">
      <c r="A3067" s="12" t="s">
        <v>183</v>
      </c>
      <c r="B3067" s="30">
        <v>3.3000000000000002E-2</v>
      </c>
      <c r="C3067" s="24" t="s">
        <v>211</v>
      </c>
      <c r="D3067" s="35">
        <f>D3053</f>
        <v>38</v>
      </c>
      <c r="E3067" s="31">
        <f t="shared" si="262"/>
        <v>1.25</v>
      </c>
      <c r="F3067" s="32"/>
    </row>
    <row r="3068" spans="1:6" ht="12.75" hidden="1" customHeight="1">
      <c r="A3068" s="12" t="s">
        <v>430</v>
      </c>
      <c r="B3068" s="30">
        <v>1</v>
      </c>
      <c r="C3068" s="24" t="s">
        <v>213</v>
      </c>
      <c r="D3068" s="35">
        <f>D3040</f>
        <v>19.440000000000001</v>
      </c>
      <c r="E3068" s="31">
        <f t="shared" si="262"/>
        <v>19.440000000000001</v>
      </c>
      <c r="F3068" s="32"/>
    </row>
    <row r="3069" spans="1:6" ht="12.75" hidden="1" customHeight="1">
      <c r="A3069" s="12" t="s">
        <v>205</v>
      </c>
      <c r="B3069" s="30">
        <v>5.2999999999999999E-2</v>
      </c>
      <c r="C3069" s="24" t="s">
        <v>823</v>
      </c>
      <c r="D3069" s="35">
        <f>Prec.!$D$391</f>
        <v>12.04</v>
      </c>
      <c r="E3069" s="31">
        <f t="shared" si="262"/>
        <v>0.64</v>
      </c>
      <c r="F3069" s="32"/>
    </row>
    <row r="3070" spans="1:6" ht="12.75" hidden="1" customHeight="1">
      <c r="A3070" s="12" t="s">
        <v>1168</v>
      </c>
      <c r="B3070" s="30">
        <v>1</v>
      </c>
      <c r="C3070" s="24" t="s">
        <v>213</v>
      </c>
      <c r="D3070" s="35">
        <f>Prec.!$D$424</f>
        <v>0</v>
      </c>
      <c r="E3070" s="31">
        <f t="shared" si="262"/>
        <v>0</v>
      </c>
      <c r="F3070" s="32"/>
    </row>
    <row r="3071" spans="1:6" ht="12.75" hidden="1" customHeight="1">
      <c r="A3071" s="12" t="s">
        <v>208</v>
      </c>
      <c r="B3071" s="14">
        <f>SUM(E3065:E3070)</f>
        <v>197.05999999999997</v>
      </c>
      <c r="C3071" s="24" t="s">
        <v>209</v>
      </c>
      <c r="D3071" s="35">
        <f>Prec.!C302</f>
        <v>1.4999999999999999E-2</v>
      </c>
      <c r="E3071" s="31">
        <f t="shared" si="262"/>
        <v>2.96</v>
      </c>
      <c r="F3071" s="32">
        <f>SUM(E3065:E3071)</f>
        <v>200.01999999999998</v>
      </c>
    </row>
    <row r="3072" spans="1:6" ht="12.75" hidden="1" customHeight="1">
      <c r="A3072" s="13" t="s">
        <v>553</v>
      </c>
      <c r="B3072" s="42" t="s">
        <v>151</v>
      </c>
      <c r="C3072" s="29" t="s">
        <v>213</v>
      </c>
      <c r="D3072" s="35"/>
      <c r="E3072" s="31"/>
      <c r="F3072" s="32"/>
    </row>
    <row r="3073" spans="1:6" ht="12.75" hidden="1" customHeight="1">
      <c r="A3073" s="12" t="s">
        <v>1169</v>
      </c>
      <c r="B3073" s="30">
        <v>2.1999999999999999E-2</v>
      </c>
      <c r="C3073" s="24" t="s">
        <v>825</v>
      </c>
      <c r="D3073" s="35">
        <f>D3038</f>
        <v>7660.1799999999994</v>
      </c>
      <c r="E3073" s="31">
        <f>ROUND(B3073*D3073,2)</f>
        <v>168.52</v>
      </c>
      <c r="F3073" s="32"/>
    </row>
    <row r="3074" spans="1:6" ht="12.75" hidden="1" customHeight="1">
      <c r="A3074" s="12" t="s">
        <v>183</v>
      </c>
      <c r="B3074" s="30">
        <v>3.3000000000000002E-2</v>
      </c>
      <c r="C3074" s="24" t="s">
        <v>211</v>
      </c>
      <c r="D3074" s="35">
        <f>D3067</f>
        <v>38</v>
      </c>
      <c r="E3074" s="31">
        <f>ROUND(B3074*D3074,2)</f>
        <v>1.25</v>
      </c>
      <c r="F3074" s="32"/>
    </row>
    <row r="3075" spans="1:6" ht="12.75" hidden="1" customHeight="1">
      <c r="A3075" s="12" t="s">
        <v>430</v>
      </c>
      <c r="B3075" s="30">
        <v>1</v>
      </c>
      <c r="C3075" s="24" t="s">
        <v>213</v>
      </c>
      <c r="D3075" s="35">
        <f>D3054</f>
        <v>19.440000000000001</v>
      </c>
      <c r="E3075" s="31">
        <f>ROUND(B3075*D3075,2)</f>
        <v>19.440000000000001</v>
      </c>
      <c r="F3075" s="32"/>
    </row>
    <row r="3076" spans="1:6" ht="12.75" hidden="1" customHeight="1">
      <c r="A3076" s="12" t="s">
        <v>1168</v>
      </c>
      <c r="B3076" s="30">
        <v>1</v>
      </c>
      <c r="C3076" s="24" t="s">
        <v>213</v>
      </c>
      <c r="D3076" s="35">
        <f>Prec.!$D$426</f>
        <v>0</v>
      </c>
      <c r="E3076" s="31">
        <f>ROUND(B3076*D3076,2)</f>
        <v>0</v>
      </c>
      <c r="F3076" s="32"/>
    </row>
    <row r="3077" spans="1:6" ht="12.75" hidden="1" customHeight="1">
      <c r="A3077" s="12" t="s">
        <v>208</v>
      </c>
      <c r="B3077" s="14">
        <f>SUM(E3073:E3076)</f>
        <v>189.21</v>
      </c>
      <c r="C3077" s="24" t="s">
        <v>209</v>
      </c>
      <c r="D3077" s="35">
        <f>Prec.!C302</f>
        <v>1.4999999999999999E-2</v>
      </c>
      <c r="E3077" s="31">
        <f>ROUND(B3077*D3077,2)</f>
        <v>2.84</v>
      </c>
      <c r="F3077" s="32">
        <f>SUM(E3073:E3077)</f>
        <v>192.05</v>
      </c>
    </row>
    <row r="3078" spans="1:6" ht="12.75" hidden="1" customHeight="1">
      <c r="A3078" s="12"/>
      <c r="B3078" s="14"/>
      <c r="C3078" s="24"/>
      <c r="D3078" s="35"/>
      <c r="E3078" s="31"/>
      <c r="F3078" s="32"/>
    </row>
    <row r="3079" spans="1:6" ht="12.75" hidden="1" customHeight="1">
      <c r="A3079" s="13" t="s">
        <v>554</v>
      </c>
      <c r="B3079" s="42" t="s">
        <v>151</v>
      </c>
      <c r="C3079" s="29" t="s">
        <v>213</v>
      </c>
      <c r="D3079" s="35"/>
      <c r="E3079" s="31"/>
      <c r="F3079" s="32"/>
    </row>
    <row r="3080" spans="1:6" ht="12.75" hidden="1" customHeight="1">
      <c r="A3080" s="12" t="s">
        <v>1169</v>
      </c>
      <c r="B3080" s="30">
        <v>2.1999999999999999E-2</v>
      </c>
      <c r="C3080" s="24" t="s">
        <v>825</v>
      </c>
      <c r="D3080" s="35">
        <f>D3045</f>
        <v>7660.1799999999994</v>
      </c>
      <c r="E3080" s="31">
        <f>ROUND(B3080*D3080,2)</f>
        <v>168.52</v>
      </c>
      <c r="F3080" s="32"/>
    </row>
    <row r="3081" spans="1:6" ht="12.75" hidden="1" customHeight="1">
      <c r="A3081" s="12" t="s">
        <v>183</v>
      </c>
      <c r="B3081" s="30">
        <v>3.3000000000000002E-2</v>
      </c>
      <c r="C3081" s="24" t="s">
        <v>211</v>
      </c>
      <c r="D3081" s="35">
        <f>D3067</f>
        <v>38</v>
      </c>
      <c r="E3081" s="31">
        <f>ROUND(B3081*D3081,2)</f>
        <v>1.25</v>
      </c>
      <c r="F3081" s="32"/>
    </row>
    <row r="3082" spans="1:6" ht="12.75" hidden="1" customHeight="1">
      <c r="A3082" s="12" t="s">
        <v>430</v>
      </c>
      <c r="B3082" s="30">
        <v>1</v>
      </c>
      <c r="C3082" s="24" t="s">
        <v>213</v>
      </c>
      <c r="D3082" s="35">
        <f>D3040</f>
        <v>19.440000000000001</v>
      </c>
      <c r="E3082" s="31">
        <f>ROUND(B3082*D3082,2)</f>
        <v>19.440000000000001</v>
      </c>
      <c r="F3082" s="32"/>
    </row>
    <row r="3083" spans="1:6" ht="12.75" hidden="1" customHeight="1">
      <c r="A3083" s="12" t="s">
        <v>1168</v>
      </c>
      <c r="B3083" s="30">
        <v>1</v>
      </c>
      <c r="C3083" s="24" t="s">
        <v>213</v>
      </c>
      <c r="D3083" s="35">
        <f>Prec.!$D$427</f>
        <v>0</v>
      </c>
      <c r="E3083" s="31">
        <f>ROUND(B3083*D3083,2)</f>
        <v>0</v>
      </c>
      <c r="F3083" s="32"/>
    </row>
    <row r="3084" spans="1:6" ht="12.75" hidden="1" customHeight="1">
      <c r="A3084" s="12" t="s">
        <v>208</v>
      </c>
      <c r="B3084" s="14">
        <f>SUM(E3080:E3083)</f>
        <v>189.21</v>
      </c>
      <c r="C3084" s="24" t="s">
        <v>209</v>
      </c>
      <c r="D3084" s="35">
        <f>Prec.!C302</f>
        <v>1.4999999999999999E-2</v>
      </c>
      <c r="E3084" s="31">
        <f>ROUND(B3084*D3084,2)</f>
        <v>2.84</v>
      </c>
      <c r="F3084" s="32">
        <f>SUM(E3080:E3084)</f>
        <v>192.05</v>
      </c>
    </row>
    <row r="3085" spans="1:6" ht="12.75" hidden="1" customHeight="1">
      <c r="A3085" s="12"/>
      <c r="B3085" s="14"/>
      <c r="C3085" s="24"/>
      <c r="D3085" s="35"/>
      <c r="E3085" s="31"/>
      <c r="F3085" s="32"/>
    </row>
    <row r="3086" spans="1:6" ht="12.75" hidden="1" customHeight="1">
      <c r="A3086" s="13" t="s">
        <v>555</v>
      </c>
      <c r="B3086" s="42" t="s">
        <v>151</v>
      </c>
      <c r="C3086" s="29" t="s">
        <v>213</v>
      </c>
      <c r="D3086" s="35"/>
      <c r="E3086" s="31"/>
      <c r="F3086" s="32"/>
    </row>
    <row r="3087" spans="1:6" ht="12.75" hidden="1" customHeight="1">
      <c r="A3087" s="12" t="s">
        <v>1169</v>
      </c>
      <c r="B3087" s="30">
        <v>8.9999999999999993E-3</v>
      </c>
      <c r="C3087" s="24" t="s">
        <v>825</v>
      </c>
      <c r="D3087" s="35">
        <f>D3045</f>
        <v>7660.1799999999994</v>
      </c>
      <c r="E3087" s="31">
        <f>ROUND(B3087*D3087,2)</f>
        <v>68.94</v>
      </c>
      <c r="F3087" s="32"/>
    </row>
    <row r="3088" spans="1:6" ht="12.75" hidden="1" customHeight="1">
      <c r="A3088" s="12" t="s">
        <v>1168</v>
      </c>
      <c r="B3088" s="30">
        <v>12.5</v>
      </c>
      <c r="C3088" s="24" t="s">
        <v>215</v>
      </c>
      <c r="D3088" s="35">
        <f>Prec.!$D$339</f>
        <v>0</v>
      </c>
      <c r="E3088" s="31">
        <f>ROUND(B3088*D3088,2)</f>
        <v>0</v>
      </c>
      <c r="F3088" s="32"/>
    </row>
    <row r="3089" spans="1:13" ht="12.75" hidden="1" customHeight="1">
      <c r="A3089" s="12" t="s">
        <v>208</v>
      </c>
      <c r="B3089" s="14">
        <f>SUM(E3087:E3088)</f>
        <v>68.94</v>
      </c>
      <c r="C3089" s="24" t="s">
        <v>209</v>
      </c>
      <c r="D3089" s="35">
        <f>Prec.!C302</f>
        <v>1.4999999999999999E-2</v>
      </c>
      <c r="E3089" s="31">
        <f>ROUND(B3089*D3089,2)</f>
        <v>1.03</v>
      </c>
      <c r="F3089" s="32">
        <f>SUM(E3087:E3089)</f>
        <v>69.97</v>
      </c>
    </row>
    <row r="3090" spans="1:13" ht="12.75" hidden="1" customHeight="1">
      <c r="A3090" s="12"/>
      <c r="B3090" s="14"/>
      <c r="C3090" s="24"/>
      <c r="D3090" s="35"/>
      <c r="E3090" s="31"/>
      <c r="F3090" s="32"/>
    </row>
    <row r="3091" spans="1:13" ht="12.75" customHeight="1">
      <c r="A3091" s="545" t="s">
        <v>556</v>
      </c>
      <c r="B3091" s="555" t="s">
        <v>151</v>
      </c>
      <c r="C3091" s="556" t="s">
        <v>213</v>
      </c>
      <c r="D3091" s="548"/>
      <c r="E3091" s="552"/>
      <c r="F3091" s="553"/>
    </row>
    <row r="3092" spans="1:13" ht="12.75" customHeight="1">
      <c r="A3092" s="551" t="s">
        <v>663</v>
      </c>
      <c r="B3092" s="546">
        <v>8.0000000000000002E-3</v>
      </c>
      <c r="C3092" s="547" t="s">
        <v>825</v>
      </c>
      <c r="D3092" s="548">
        <f>horm.ymez.!E10</f>
        <v>5355.8599999999988</v>
      </c>
      <c r="E3092" s="552">
        <f>ROUND(B3092*D3092,2)</f>
        <v>42.85</v>
      </c>
      <c r="F3092" s="553"/>
    </row>
    <row r="3093" spans="1:13" ht="12.75" customHeight="1">
      <c r="A3093" s="551" t="s">
        <v>1167</v>
      </c>
      <c r="B3093" s="546">
        <v>1</v>
      </c>
      <c r="C3093" s="547" t="s">
        <v>213</v>
      </c>
      <c r="D3093" s="548">
        <f>Prec.!C430</f>
        <v>23.58</v>
      </c>
      <c r="E3093" s="552">
        <f>ROUND(B3093*D3093,2)</f>
        <v>23.58</v>
      </c>
      <c r="F3093" s="553"/>
    </row>
    <row r="3094" spans="1:13" ht="12.75" customHeight="1">
      <c r="A3094" s="551" t="s">
        <v>208</v>
      </c>
      <c r="B3094" s="554">
        <f>SUM(E3092)</f>
        <v>42.85</v>
      </c>
      <c r="C3094" s="547" t="s">
        <v>209</v>
      </c>
      <c r="D3094" s="548">
        <v>0.02</v>
      </c>
      <c r="E3094" s="552">
        <f>ROUND(B3094*D3094,2)</f>
        <v>0.86</v>
      </c>
      <c r="F3094" s="553">
        <f>SUM(E3092:E3094)</f>
        <v>67.290000000000006</v>
      </c>
    </row>
    <row r="3095" spans="1:13" ht="12.75" customHeight="1">
      <c r="A3095" s="12"/>
      <c r="B3095" s="14"/>
      <c r="C3095" s="24"/>
      <c r="D3095" s="35"/>
      <c r="E3095" s="31"/>
      <c r="F3095" s="32"/>
    </row>
    <row r="3096" spans="1:13" s="166" customFormat="1" ht="12.75" customHeight="1">
      <c r="A3096" s="698" t="s">
        <v>4393</v>
      </c>
      <c r="B3096" s="706" t="s">
        <v>151</v>
      </c>
      <c r="C3096" s="707" t="s">
        <v>1171</v>
      </c>
      <c r="D3096" s="708"/>
      <c r="E3096" s="702"/>
      <c r="F3096" s="703"/>
      <c r="G3096" s="15"/>
      <c r="H3096" s="21"/>
      <c r="I3096" s="15"/>
      <c r="J3096" s="15"/>
      <c r="K3096" s="15"/>
      <c r="L3096" s="21"/>
      <c r="M3096" s="15"/>
    </row>
    <row r="3097" spans="1:13" s="166" customFormat="1" ht="12.75" customHeight="1">
      <c r="A3097" s="704" t="s">
        <v>1169</v>
      </c>
      <c r="B3097" s="705">
        <v>1.2E-2</v>
      </c>
      <c r="C3097" s="700" t="s">
        <v>825</v>
      </c>
      <c r="D3097" s="708">
        <f>D3052</f>
        <v>7660.1799999999994</v>
      </c>
      <c r="E3097" s="702">
        <f>ROUND(B3097*D3097,2)</f>
        <v>91.92</v>
      </c>
      <c r="F3097" s="703"/>
      <c r="G3097" s="15"/>
      <c r="H3097" s="21"/>
      <c r="I3097" s="15"/>
      <c r="J3097" s="15"/>
      <c r="K3097" s="15"/>
      <c r="L3097" s="21"/>
      <c r="M3097" s="15"/>
    </row>
    <row r="3098" spans="1:13" s="166" customFormat="1" ht="12.75" customHeight="1">
      <c r="A3098" s="704" t="s">
        <v>1168</v>
      </c>
      <c r="B3098" s="705">
        <v>1</v>
      </c>
      <c r="C3098" s="700" t="s">
        <v>1171</v>
      </c>
      <c r="D3098" s="708">
        <f>D2979</f>
        <v>68.430000000000007</v>
      </c>
      <c r="E3098" s="702">
        <f>ROUND(B3098*D3098,2)</f>
        <v>68.430000000000007</v>
      </c>
      <c r="F3098" s="703"/>
      <c r="G3098" s="15"/>
      <c r="H3098" s="21"/>
      <c r="I3098" s="15"/>
      <c r="J3098" s="15"/>
      <c r="K3098" s="15"/>
      <c r="L3098" s="21"/>
      <c r="M3098" s="15"/>
    </row>
    <row r="3099" spans="1:13" s="166" customFormat="1" ht="12.75" customHeight="1">
      <c r="A3099" s="704" t="s">
        <v>208</v>
      </c>
      <c r="B3099" s="711">
        <f>SUM(E3097:E3097)</f>
        <v>91.92</v>
      </c>
      <c r="C3099" s="700" t="s">
        <v>209</v>
      </c>
      <c r="D3099" s="708">
        <v>0.02</v>
      </c>
      <c r="E3099" s="702">
        <f>ROUND(B3099*D3099,2)</f>
        <v>1.84</v>
      </c>
      <c r="F3099" s="703">
        <f>SUM(E3097:E3099)</f>
        <v>162.19000000000003</v>
      </c>
      <c r="G3099" s="15"/>
      <c r="H3099" s="21"/>
      <c r="I3099" s="15"/>
      <c r="J3099" s="15"/>
      <c r="K3099" s="15"/>
      <c r="L3099" s="21"/>
      <c r="M3099" s="15"/>
    </row>
    <row r="3100" spans="1:13" s="166" customFormat="1" ht="12.75" customHeight="1">
      <c r="A3100" s="12"/>
      <c r="B3100" s="14"/>
      <c r="C3100" s="24"/>
      <c r="D3100" s="35"/>
      <c r="E3100" s="31"/>
      <c r="F3100" s="32"/>
      <c r="G3100" s="15"/>
      <c r="H3100" s="21"/>
      <c r="I3100" s="15"/>
      <c r="J3100" s="15"/>
      <c r="K3100" s="15"/>
      <c r="L3100" s="21"/>
      <c r="M3100" s="15"/>
    </row>
    <row r="3101" spans="1:13" s="166" customFormat="1" ht="12.75" customHeight="1">
      <c r="A3101" s="12"/>
      <c r="B3101" s="14"/>
      <c r="C3101" s="24"/>
      <c r="D3101" s="35"/>
      <c r="E3101" s="31"/>
      <c r="F3101" s="32"/>
      <c r="G3101" s="15"/>
      <c r="H3101" s="21"/>
      <c r="I3101" s="15"/>
      <c r="J3101" s="15"/>
      <c r="K3101" s="15"/>
      <c r="L3101" s="21"/>
      <c r="M3101" s="15"/>
    </row>
    <row r="3102" spans="1:13" s="166" customFormat="1" ht="12.75" customHeight="1">
      <c r="A3102" s="12"/>
      <c r="B3102" s="14"/>
      <c r="C3102" s="24"/>
      <c r="D3102" s="35"/>
      <c r="E3102" s="31"/>
      <c r="F3102" s="32"/>
      <c r="G3102" s="15"/>
      <c r="H3102" s="21"/>
      <c r="I3102" s="15"/>
      <c r="J3102" s="15"/>
      <c r="K3102" s="15"/>
      <c r="L3102" s="21"/>
      <c r="M3102" s="15"/>
    </row>
    <row r="3103" spans="1:13" ht="12.75" customHeight="1">
      <c r="A3103" s="545" t="s">
        <v>557</v>
      </c>
      <c r="B3103" s="555" t="s">
        <v>151</v>
      </c>
      <c r="C3103" s="556" t="s">
        <v>1171</v>
      </c>
      <c r="D3103" s="548"/>
      <c r="E3103" s="552"/>
      <c r="F3103" s="553"/>
    </row>
    <row r="3104" spans="1:13" ht="12.75" customHeight="1">
      <c r="A3104" s="551" t="s">
        <v>1169</v>
      </c>
      <c r="B3104" s="546">
        <v>4.0000000000000001E-3</v>
      </c>
      <c r="C3104" s="547" t="s">
        <v>825</v>
      </c>
      <c r="D3104" s="548">
        <f>F386</f>
        <v>7660.1799999999994</v>
      </c>
      <c r="E3104" s="552">
        <f>ROUND(B3104*D3104,2)</f>
        <v>30.64</v>
      </c>
      <c r="F3104" s="553"/>
    </row>
    <row r="3105" spans="1:6" ht="12.75" customHeight="1">
      <c r="A3105" s="551" t="s">
        <v>183</v>
      </c>
      <c r="B3105" s="546">
        <v>0.109</v>
      </c>
      <c r="C3105" s="547" t="s">
        <v>211</v>
      </c>
      <c r="D3105" s="548">
        <f>D3081</f>
        <v>38</v>
      </c>
      <c r="E3105" s="552">
        <f>ROUND(B3105*D3105,2)</f>
        <v>4.1399999999999997</v>
      </c>
      <c r="F3105" s="553"/>
    </row>
    <row r="3106" spans="1:6" ht="12.75" customHeight="1">
      <c r="A3106" s="551" t="s">
        <v>1168</v>
      </c>
      <c r="B3106" s="546">
        <v>1</v>
      </c>
      <c r="C3106" s="547" t="s">
        <v>1171</v>
      </c>
      <c r="D3106" s="548">
        <f>Prec.!C438</f>
        <v>68.430000000000007</v>
      </c>
      <c r="E3106" s="552">
        <f>ROUND(B3106*D3106,2)</f>
        <v>68.430000000000007</v>
      </c>
      <c r="F3106" s="553"/>
    </row>
    <row r="3107" spans="1:6" ht="12.75" customHeight="1">
      <c r="A3107" s="551" t="s">
        <v>208</v>
      </c>
      <c r="B3107" s="554">
        <f>SUM(E3104:E3106)</f>
        <v>103.21000000000001</v>
      </c>
      <c r="C3107" s="547" t="s">
        <v>209</v>
      </c>
      <c r="D3107" s="548">
        <v>0.02</v>
      </c>
      <c r="E3107" s="552">
        <f>ROUND(B3107*D3107,2)</f>
        <v>2.06</v>
      </c>
      <c r="F3107" s="553">
        <f>SUM(E3104:E3107)</f>
        <v>105.27000000000001</v>
      </c>
    </row>
    <row r="3108" spans="1:6" ht="12.75" customHeight="1">
      <c r="A3108" s="12"/>
      <c r="B3108" s="14"/>
      <c r="C3108" s="24"/>
      <c r="D3108" s="35"/>
      <c r="E3108" s="31"/>
      <c r="F3108" s="32"/>
    </row>
    <row r="3109" spans="1:6" ht="12.75" hidden="1" customHeight="1">
      <c r="A3109" s="13" t="s">
        <v>558</v>
      </c>
      <c r="B3109" s="42" t="s">
        <v>151</v>
      </c>
      <c r="C3109" s="29" t="s">
        <v>213</v>
      </c>
      <c r="D3109" s="35"/>
      <c r="E3109" s="31"/>
      <c r="F3109" s="32"/>
    </row>
    <row r="3110" spans="1:6" ht="12.75" hidden="1" customHeight="1">
      <c r="A3110" s="12" t="s">
        <v>1169</v>
      </c>
      <c r="B3110" s="30">
        <v>7.0000000000000001E-3</v>
      </c>
      <c r="C3110" s="24" t="s">
        <v>825</v>
      </c>
      <c r="D3110" s="35">
        <f>D3066</f>
        <v>7660.1799999999994</v>
      </c>
      <c r="E3110" s="31">
        <f>ROUND(B3110*D3110,2)</f>
        <v>53.62</v>
      </c>
      <c r="F3110" s="32"/>
    </row>
    <row r="3111" spans="1:6" ht="12.75" hidden="1" customHeight="1">
      <c r="A3111" s="12" t="s">
        <v>183</v>
      </c>
      <c r="B3111" s="30">
        <v>3.3000000000000002E-2</v>
      </c>
      <c r="C3111" s="24" t="s">
        <v>211</v>
      </c>
      <c r="D3111" s="35">
        <f>D3105</f>
        <v>38</v>
      </c>
      <c r="E3111" s="31">
        <f>ROUND(B3111*D3111,2)</f>
        <v>1.25</v>
      </c>
      <c r="F3111" s="32"/>
    </row>
    <row r="3112" spans="1:6" ht="12.75" hidden="1" customHeight="1">
      <c r="A3112" s="12" t="s">
        <v>430</v>
      </c>
      <c r="B3112" s="30">
        <v>1</v>
      </c>
      <c r="C3112" s="24" t="s">
        <v>213</v>
      </c>
      <c r="D3112" s="35">
        <f>D3068</f>
        <v>19.440000000000001</v>
      </c>
      <c r="E3112" s="31">
        <f>ROUND(B3112*D3112,2)</f>
        <v>19.440000000000001</v>
      </c>
      <c r="F3112" s="32"/>
    </row>
    <row r="3113" spans="1:6" ht="12.75" hidden="1" customHeight="1">
      <c r="A3113" s="12" t="s">
        <v>1168</v>
      </c>
      <c r="B3113" s="30">
        <v>1</v>
      </c>
      <c r="C3113" s="24" t="s">
        <v>213</v>
      </c>
      <c r="D3113" s="35">
        <f>Prec.!$D$436</f>
        <v>0</v>
      </c>
      <c r="E3113" s="31">
        <f>ROUND(B3113*D3113,2)</f>
        <v>0</v>
      </c>
      <c r="F3113" s="32"/>
    </row>
    <row r="3114" spans="1:6" ht="12.75" hidden="1" customHeight="1">
      <c r="A3114" s="12" t="s">
        <v>208</v>
      </c>
      <c r="B3114" s="14">
        <f>SUM(E3110:E3113)</f>
        <v>74.31</v>
      </c>
      <c r="C3114" s="24" t="s">
        <v>209</v>
      </c>
      <c r="D3114" s="35">
        <f>Prec.!C302</f>
        <v>1.4999999999999999E-2</v>
      </c>
      <c r="E3114" s="31">
        <f>ROUND(B3114*D3114,2)</f>
        <v>1.1100000000000001</v>
      </c>
      <c r="F3114" s="32">
        <f>SUM(E3110:E3114)</f>
        <v>75.42</v>
      </c>
    </row>
    <row r="3115" spans="1:6" ht="12.75" hidden="1" customHeight="1">
      <c r="A3115" s="12"/>
      <c r="B3115" s="14"/>
      <c r="C3115" s="24"/>
      <c r="D3115" s="35"/>
      <c r="E3115" s="31"/>
      <c r="F3115" s="32"/>
    </row>
    <row r="3116" spans="1:6" ht="12.75" hidden="1" customHeight="1">
      <c r="A3116" s="13" t="s">
        <v>559</v>
      </c>
      <c r="B3116" s="42" t="s">
        <v>151</v>
      </c>
      <c r="C3116" s="29" t="s">
        <v>213</v>
      </c>
      <c r="D3116" s="35"/>
      <c r="E3116" s="31"/>
      <c r="F3116" s="32"/>
    </row>
    <row r="3117" spans="1:6" ht="12.75" hidden="1" customHeight="1">
      <c r="A3117" s="12" t="s">
        <v>1169</v>
      </c>
      <c r="B3117" s="30">
        <v>7.0000000000000001E-3</v>
      </c>
      <c r="C3117" s="24" t="s">
        <v>825</v>
      </c>
      <c r="D3117" s="35">
        <f>D3073</f>
        <v>7660.1799999999994</v>
      </c>
      <c r="E3117" s="31">
        <f>ROUND(B3117*D3117,2)</f>
        <v>53.62</v>
      </c>
      <c r="F3117" s="32"/>
    </row>
    <row r="3118" spans="1:6" ht="12.75" hidden="1" customHeight="1">
      <c r="A3118" s="12" t="s">
        <v>183</v>
      </c>
      <c r="B3118" s="30">
        <v>3.3000000000000002E-2</v>
      </c>
      <c r="C3118" s="24" t="s">
        <v>211</v>
      </c>
      <c r="D3118" s="35">
        <f>D3111</f>
        <v>38</v>
      </c>
      <c r="E3118" s="31">
        <f>ROUND(B3118*D3118,2)</f>
        <v>1.25</v>
      </c>
      <c r="F3118" s="32"/>
    </row>
    <row r="3119" spans="1:6" ht="12.75" hidden="1" customHeight="1">
      <c r="A3119" s="12" t="s">
        <v>430</v>
      </c>
      <c r="B3119" s="30">
        <v>1</v>
      </c>
      <c r="C3119" s="24" t="s">
        <v>213</v>
      </c>
      <c r="D3119" s="35">
        <f>D3068</f>
        <v>19.440000000000001</v>
      </c>
      <c r="E3119" s="31">
        <f>ROUND(B3119*D3119,2)</f>
        <v>19.440000000000001</v>
      </c>
      <c r="F3119" s="32"/>
    </row>
    <row r="3120" spans="1:6" ht="12.75" hidden="1" customHeight="1">
      <c r="A3120" s="12" t="s">
        <v>1168</v>
      </c>
      <c r="B3120" s="30">
        <v>1</v>
      </c>
      <c r="C3120" s="24" t="s">
        <v>213</v>
      </c>
      <c r="D3120" s="35">
        <f>Prec.!$D$437</f>
        <v>0</v>
      </c>
      <c r="E3120" s="31">
        <f>ROUND(B3120*D3120,2)</f>
        <v>0</v>
      </c>
      <c r="F3120" s="32"/>
    </row>
    <row r="3121" spans="1:6" ht="12.75" hidden="1" customHeight="1">
      <c r="A3121" s="12" t="s">
        <v>208</v>
      </c>
      <c r="B3121" s="14">
        <f>SUM(E3117:E3120)</f>
        <v>74.31</v>
      </c>
      <c r="C3121" s="24" t="s">
        <v>209</v>
      </c>
      <c r="D3121" s="35">
        <f>Prec.!C302</f>
        <v>1.4999999999999999E-2</v>
      </c>
      <c r="E3121" s="31">
        <f>ROUND(B3121*D3121,2)</f>
        <v>1.1100000000000001</v>
      </c>
      <c r="F3121" s="32">
        <f>SUM(E3117:E3121)</f>
        <v>75.42</v>
      </c>
    </row>
    <row r="3122" spans="1:6" ht="12.75" hidden="1" customHeight="1">
      <c r="A3122" s="12"/>
      <c r="B3122" s="14"/>
      <c r="C3122" s="24"/>
      <c r="D3122" s="35"/>
      <c r="E3122" s="31"/>
      <c r="F3122" s="32"/>
    </row>
    <row r="3123" spans="1:6" ht="12.75" hidden="1" customHeight="1">
      <c r="A3123" s="13" t="s">
        <v>610</v>
      </c>
      <c r="B3123" s="42" t="s">
        <v>151</v>
      </c>
      <c r="C3123" s="29" t="s">
        <v>213</v>
      </c>
      <c r="D3123" s="35"/>
      <c r="E3123" s="31"/>
      <c r="F3123" s="32"/>
    </row>
    <row r="3124" spans="1:6" ht="12.75" hidden="1" customHeight="1">
      <c r="A3124" s="12" t="s">
        <v>427</v>
      </c>
      <c r="B3124" s="30">
        <v>0.02</v>
      </c>
      <c r="C3124" s="24" t="s">
        <v>825</v>
      </c>
      <c r="D3124" s="35">
        <f>horm.ymez.!E8</f>
        <v>7012.85</v>
      </c>
      <c r="E3124" s="31">
        <f>ROUND(B3124*D3124,2)</f>
        <v>140.26</v>
      </c>
      <c r="F3124" s="32"/>
    </row>
    <row r="3125" spans="1:6" ht="12.75" hidden="1" customHeight="1">
      <c r="A3125" s="12" t="s">
        <v>183</v>
      </c>
      <c r="B3125" s="30">
        <v>3.3000000000000002E-2</v>
      </c>
      <c r="C3125" s="24" t="s">
        <v>211</v>
      </c>
      <c r="D3125" s="35">
        <f>D3118</f>
        <v>38</v>
      </c>
      <c r="E3125" s="31">
        <f>ROUND(B3125*D3125,2)</f>
        <v>1.25</v>
      </c>
      <c r="F3125" s="32"/>
    </row>
    <row r="3126" spans="1:6" ht="12.75" hidden="1" customHeight="1">
      <c r="A3126" s="12" t="s">
        <v>430</v>
      </c>
      <c r="B3126" s="30">
        <v>1</v>
      </c>
      <c r="C3126" s="24" t="s">
        <v>213</v>
      </c>
      <c r="D3126" s="35">
        <f>D3082</f>
        <v>19.440000000000001</v>
      </c>
      <c r="E3126" s="31">
        <f>ROUND(B3126*D3126,2)</f>
        <v>19.440000000000001</v>
      </c>
      <c r="F3126" s="32"/>
    </row>
    <row r="3127" spans="1:6" ht="12.75" hidden="1" customHeight="1">
      <c r="A3127" s="12" t="s">
        <v>1168</v>
      </c>
      <c r="B3127" s="30">
        <v>1</v>
      </c>
      <c r="C3127" s="24" t="s">
        <v>213</v>
      </c>
      <c r="D3127" s="35">
        <f>Prec.!$D$432</f>
        <v>0</v>
      </c>
      <c r="E3127" s="31">
        <f>ROUND(B3127*D3127,2)</f>
        <v>0</v>
      </c>
      <c r="F3127" s="32"/>
    </row>
    <row r="3128" spans="1:6" ht="12.75" hidden="1" customHeight="1">
      <c r="A3128" s="12" t="s">
        <v>208</v>
      </c>
      <c r="B3128" s="14">
        <f>SUM(E3124:E3127)</f>
        <v>160.94999999999999</v>
      </c>
      <c r="C3128" s="24" t="s">
        <v>209</v>
      </c>
      <c r="D3128" s="35">
        <f>Prec.!C302</f>
        <v>1.4999999999999999E-2</v>
      </c>
      <c r="E3128" s="31">
        <f>ROUND(B3128*D3128,2)</f>
        <v>2.41</v>
      </c>
      <c r="F3128" s="32">
        <f>SUM(E3124:E3128)</f>
        <v>163.35999999999999</v>
      </c>
    </row>
    <row r="3129" spans="1:6" ht="12.75" hidden="1" customHeight="1">
      <c r="A3129" s="13" t="s">
        <v>611</v>
      </c>
      <c r="B3129" s="42" t="s">
        <v>151</v>
      </c>
      <c r="C3129" s="29" t="s">
        <v>213</v>
      </c>
      <c r="D3129" s="35"/>
      <c r="E3129" s="31"/>
      <c r="F3129" s="32"/>
    </row>
    <row r="3130" spans="1:6" ht="12.75" hidden="1" customHeight="1">
      <c r="A3130" s="12" t="s">
        <v>427</v>
      </c>
      <c r="B3130" s="30">
        <v>0.02</v>
      </c>
      <c r="C3130" s="24" t="s">
        <v>825</v>
      </c>
      <c r="D3130" s="35">
        <f>D3124</f>
        <v>7012.85</v>
      </c>
      <c r="E3130" s="31">
        <f>ROUND(B3130*D3130,2)</f>
        <v>140.26</v>
      </c>
      <c r="F3130" s="32"/>
    </row>
    <row r="3131" spans="1:6" ht="12.75" hidden="1" customHeight="1">
      <c r="A3131" s="12" t="s">
        <v>183</v>
      </c>
      <c r="B3131" s="30">
        <v>3.3000000000000002E-2</v>
      </c>
      <c r="C3131" s="24" t="s">
        <v>211</v>
      </c>
      <c r="D3131" s="35">
        <f>D3125</f>
        <v>38</v>
      </c>
      <c r="E3131" s="31">
        <f>ROUND(B3131*D3131,2)</f>
        <v>1.25</v>
      </c>
      <c r="F3131" s="32"/>
    </row>
    <row r="3132" spans="1:6" ht="12.75" hidden="1" customHeight="1">
      <c r="A3132" s="12" t="s">
        <v>430</v>
      </c>
      <c r="B3132" s="30">
        <v>1</v>
      </c>
      <c r="C3132" s="24" t="s">
        <v>213</v>
      </c>
      <c r="D3132" s="35">
        <f>D3119</f>
        <v>19.440000000000001</v>
      </c>
      <c r="E3132" s="31">
        <f>ROUND(B3132*D3132,2)</f>
        <v>19.440000000000001</v>
      </c>
      <c r="F3132" s="32"/>
    </row>
    <row r="3133" spans="1:6" ht="12.75" hidden="1" customHeight="1">
      <c r="A3133" s="12" t="s">
        <v>1168</v>
      </c>
      <c r="B3133" s="30">
        <v>1</v>
      </c>
      <c r="C3133" s="24" t="s">
        <v>213</v>
      </c>
      <c r="D3133" s="35">
        <f>Prec.!$D$433</f>
        <v>0</v>
      </c>
      <c r="E3133" s="31">
        <f>ROUND(B3133*D3133,2)</f>
        <v>0</v>
      </c>
      <c r="F3133" s="32"/>
    </row>
    <row r="3134" spans="1:6" ht="12.75" hidden="1" customHeight="1">
      <c r="A3134" s="12" t="s">
        <v>208</v>
      </c>
      <c r="B3134" s="14">
        <f>SUM(E3130:E3133)</f>
        <v>160.94999999999999</v>
      </c>
      <c r="C3134" s="24" t="s">
        <v>209</v>
      </c>
      <c r="D3134" s="35">
        <f>Prec.!C302</f>
        <v>1.4999999999999999E-2</v>
      </c>
      <c r="E3134" s="31">
        <f>ROUND(B3134*D3134,2)</f>
        <v>2.41</v>
      </c>
      <c r="F3134" s="32">
        <f>SUM(E3130:E3134)</f>
        <v>163.35999999999999</v>
      </c>
    </row>
    <row r="3135" spans="1:6" ht="12.75" hidden="1" customHeight="1">
      <c r="A3135" s="12"/>
      <c r="B3135" s="14"/>
      <c r="C3135" s="24"/>
      <c r="D3135" s="35"/>
      <c r="E3135" s="31"/>
      <c r="F3135" s="32"/>
    </row>
    <row r="3136" spans="1:6" ht="12.75" hidden="1" customHeight="1">
      <c r="A3136" s="13" t="s">
        <v>1284</v>
      </c>
      <c r="B3136" s="42" t="s">
        <v>151</v>
      </c>
      <c r="C3136" s="29" t="s">
        <v>825</v>
      </c>
      <c r="D3136" s="35"/>
      <c r="E3136" s="31"/>
      <c r="F3136" s="32"/>
    </row>
    <row r="3137" spans="1:6" ht="12.75" hidden="1" customHeight="1">
      <c r="A3137" s="12" t="s">
        <v>427</v>
      </c>
      <c r="B3137" s="30">
        <v>1.2999999999999999E-2</v>
      </c>
      <c r="C3137" s="24" t="s">
        <v>825</v>
      </c>
      <c r="D3137" s="35">
        <f>D3124</f>
        <v>7012.85</v>
      </c>
      <c r="E3137" s="31">
        <f>ROUND(B3137*D3137,2)</f>
        <v>91.17</v>
      </c>
      <c r="F3137" s="32"/>
    </row>
    <row r="3138" spans="1:6" ht="12.75" hidden="1" customHeight="1">
      <c r="A3138" s="12" t="s">
        <v>1168</v>
      </c>
      <c r="B3138" s="30">
        <v>1</v>
      </c>
      <c r="C3138" s="24" t="s">
        <v>213</v>
      </c>
      <c r="D3138" s="35">
        <f>Prec.!$D$431</f>
        <v>0</v>
      </c>
      <c r="E3138" s="31">
        <f>ROUND(B3138*D3138,2)</f>
        <v>0</v>
      </c>
      <c r="F3138" s="32"/>
    </row>
    <row r="3139" spans="1:6" ht="12.75" hidden="1" customHeight="1">
      <c r="A3139" s="12" t="s">
        <v>208</v>
      </c>
      <c r="B3139" s="14">
        <f>SUM(E3137:E3138)</f>
        <v>91.17</v>
      </c>
      <c r="C3139" s="24" t="s">
        <v>209</v>
      </c>
      <c r="D3139" s="35">
        <f>Prec.!C302</f>
        <v>1.4999999999999999E-2</v>
      </c>
      <c r="E3139" s="31">
        <f>ROUND(B3139*D3139,2)</f>
        <v>1.37</v>
      </c>
      <c r="F3139" s="32">
        <f>SUM(E3137:E3139)</f>
        <v>92.54</v>
      </c>
    </row>
    <row r="3140" spans="1:6" ht="12.75" hidden="1" customHeight="1">
      <c r="A3140" s="12"/>
      <c r="B3140" s="14"/>
      <c r="C3140" s="24"/>
      <c r="D3140" s="35"/>
      <c r="E3140" s="31"/>
      <c r="F3140" s="32"/>
    </row>
    <row r="3141" spans="1:6" ht="12.75" hidden="1" customHeight="1">
      <c r="A3141" s="13" t="s">
        <v>1285</v>
      </c>
      <c r="B3141" s="42" t="s">
        <v>151</v>
      </c>
      <c r="C3141" s="29" t="s">
        <v>1171</v>
      </c>
      <c r="D3141" s="35"/>
      <c r="E3141" s="31"/>
      <c r="F3141" s="32"/>
    </row>
    <row r="3142" spans="1:6" ht="12.75" hidden="1" customHeight="1">
      <c r="A3142" s="12" t="s">
        <v>1169</v>
      </c>
      <c r="B3142" s="30">
        <v>8.0000000000000002E-3</v>
      </c>
      <c r="C3142" s="24" t="s">
        <v>825</v>
      </c>
      <c r="D3142" s="35">
        <f>D3104</f>
        <v>7660.1799999999994</v>
      </c>
      <c r="E3142" s="31">
        <f>ROUND(B3142*D3142,2)</f>
        <v>61.28</v>
      </c>
      <c r="F3142" s="32"/>
    </row>
    <row r="3143" spans="1:6" ht="12.75" hidden="1" customHeight="1">
      <c r="A3143" s="12" t="s">
        <v>183</v>
      </c>
      <c r="B3143" s="30">
        <v>0.27</v>
      </c>
      <c r="C3143" s="24" t="s">
        <v>211</v>
      </c>
      <c r="D3143" s="35">
        <f>D3131</f>
        <v>38</v>
      </c>
      <c r="E3143" s="31">
        <f>ROUND(B3143*D3143,2)</f>
        <v>10.26</v>
      </c>
      <c r="F3143" s="32"/>
    </row>
    <row r="3144" spans="1:6" ht="12.75" hidden="1" customHeight="1">
      <c r="A3144" s="12" t="s">
        <v>1168</v>
      </c>
      <c r="B3144" s="30">
        <v>1</v>
      </c>
      <c r="C3144" s="24" t="s">
        <v>1171</v>
      </c>
      <c r="D3144" s="35">
        <f>Prec.!$D$439</f>
        <v>0</v>
      </c>
      <c r="E3144" s="31">
        <f>ROUND(B3144*D3144,2)</f>
        <v>0</v>
      </c>
      <c r="F3144" s="32"/>
    </row>
    <row r="3145" spans="1:6" ht="12.75" hidden="1" customHeight="1">
      <c r="A3145" s="12" t="s">
        <v>208</v>
      </c>
      <c r="B3145" s="14">
        <f>SUM(E3142:E3144)</f>
        <v>71.540000000000006</v>
      </c>
      <c r="C3145" s="24" t="s">
        <v>209</v>
      </c>
      <c r="D3145" s="35">
        <f>Prec.!C302</f>
        <v>1.4999999999999999E-2</v>
      </c>
      <c r="E3145" s="31">
        <f>ROUND(B3145*D3145,2)</f>
        <v>1.07</v>
      </c>
      <c r="F3145" s="32">
        <f>SUM(E3142:E3145)</f>
        <v>72.61</v>
      </c>
    </row>
    <row r="3146" spans="1:6" ht="12.75" hidden="1" customHeight="1">
      <c r="A3146" s="12"/>
      <c r="B3146" s="14"/>
      <c r="C3146" s="24"/>
      <c r="D3146" s="35"/>
      <c r="E3146" s="31"/>
      <c r="F3146" s="32"/>
    </row>
    <row r="3147" spans="1:6" ht="12.75" hidden="1" customHeight="1">
      <c r="A3147" s="13" t="s">
        <v>358</v>
      </c>
      <c r="B3147" s="42" t="s">
        <v>151</v>
      </c>
      <c r="C3147" s="29" t="s">
        <v>1171</v>
      </c>
      <c r="D3147" s="35"/>
      <c r="E3147" s="31"/>
      <c r="F3147" s="32"/>
    </row>
    <row r="3148" spans="1:6" ht="12.75" hidden="1" customHeight="1">
      <c r="A3148" s="12" t="s">
        <v>1169</v>
      </c>
      <c r="B3148" s="30">
        <v>0.01</v>
      </c>
      <c r="C3148" s="24" t="s">
        <v>825</v>
      </c>
      <c r="D3148" s="35">
        <f>D3117</f>
        <v>7660.1799999999994</v>
      </c>
      <c r="E3148" s="31">
        <f>ROUND(B3148*D3148,2)</f>
        <v>76.599999999999994</v>
      </c>
      <c r="F3148" s="32"/>
    </row>
    <row r="3149" spans="1:6" ht="12.75" hidden="1" customHeight="1">
      <c r="A3149" s="12" t="s">
        <v>183</v>
      </c>
      <c r="B3149" s="30">
        <v>0.218</v>
      </c>
      <c r="C3149" s="24" t="s">
        <v>211</v>
      </c>
      <c r="D3149" s="35">
        <f>D3143</f>
        <v>38</v>
      </c>
      <c r="E3149" s="31">
        <f>ROUND(B3149*D3149,2)</f>
        <v>8.2799999999999994</v>
      </c>
      <c r="F3149" s="32"/>
    </row>
    <row r="3150" spans="1:6" ht="12.75" hidden="1" customHeight="1">
      <c r="A3150" s="12" t="s">
        <v>430</v>
      </c>
      <c r="B3150" s="30">
        <v>1</v>
      </c>
      <c r="C3150" s="24" t="s">
        <v>213</v>
      </c>
      <c r="D3150" s="35">
        <f>D3075</f>
        <v>19.440000000000001</v>
      </c>
      <c r="E3150" s="31">
        <f>ROUND(B3150*D3150,2)</f>
        <v>19.440000000000001</v>
      </c>
      <c r="F3150" s="32"/>
    </row>
    <row r="3151" spans="1:6" ht="12.75" hidden="1" customHeight="1">
      <c r="A3151" s="12" t="s">
        <v>1168</v>
      </c>
      <c r="B3151" s="30">
        <v>1</v>
      </c>
      <c r="C3151" s="24" t="s">
        <v>1171</v>
      </c>
      <c r="D3151" s="35">
        <f>Prec.!$D$440</f>
        <v>0</v>
      </c>
      <c r="E3151" s="31">
        <f>ROUND(B3151*D3151,2)</f>
        <v>0</v>
      </c>
      <c r="F3151" s="32"/>
    </row>
    <row r="3152" spans="1:6" ht="12.75" hidden="1" customHeight="1">
      <c r="A3152" s="12" t="s">
        <v>208</v>
      </c>
      <c r="B3152" s="14">
        <f>SUM(E3148:E3151)</f>
        <v>104.32</v>
      </c>
      <c r="C3152" s="24" t="s">
        <v>209</v>
      </c>
      <c r="D3152" s="35">
        <f>Prec.!C302</f>
        <v>1.4999999999999999E-2</v>
      </c>
      <c r="E3152" s="31">
        <f>ROUND(B3152*D3152,2)</f>
        <v>1.56</v>
      </c>
      <c r="F3152" s="32">
        <f>SUM(E3148:E3152)</f>
        <v>105.88</v>
      </c>
    </row>
    <row r="3153" spans="1:6" ht="10.15" hidden="1" customHeight="1">
      <c r="A3153" s="12"/>
      <c r="B3153" s="14"/>
      <c r="C3153" s="24"/>
      <c r="D3153" s="35"/>
      <c r="E3153" s="31"/>
      <c r="F3153" s="32"/>
    </row>
    <row r="3154" spans="1:6" ht="12.75" hidden="1" customHeight="1">
      <c r="A3154" s="13" t="s">
        <v>359</v>
      </c>
      <c r="B3154" s="42" t="s">
        <v>151</v>
      </c>
      <c r="C3154" s="29" t="s">
        <v>1171</v>
      </c>
      <c r="D3154" s="35"/>
      <c r="E3154" s="31"/>
      <c r="F3154" s="32"/>
    </row>
    <row r="3155" spans="1:6" ht="12.75" hidden="1" customHeight="1">
      <c r="A3155" s="12" t="s">
        <v>1169</v>
      </c>
      <c r="B3155" s="30">
        <v>2E-3</v>
      </c>
      <c r="C3155" s="24" t="s">
        <v>825</v>
      </c>
      <c r="D3155" s="35">
        <f>D3110</f>
        <v>7660.1799999999994</v>
      </c>
      <c r="E3155" s="31">
        <f>ROUND(B3155*D3155,2)</f>
        <v>15.32</v>
      </c>
      <c r="F3155" s="32"/>
    </row>
    <row r="3156" spans="1:6" ht="12.75" hidden="1" customHeight="1">
      <c r="A3156" s="12" t="s">
        <v>183</v>
      </c>
      <c r="B3156" s="30">
        <v>0.27</v>
      </c>
      <c r="C3156" s="24" t="s">
        <v>211</v>
      </c>
      <c r="D3156" s="35">
        <f>D3149</f>
        <v>38</v>
      </c>
      <c r="E3156" s="31">
        <f>ROUND(B3156*D3156,2)</f>
        <v>10.26</v>
      </c>
      <c r="F3156" s="32"/>
    </row>
    <row r="3157" spans="1:6" ht="12.75" hidden="1" customHeight="1">
      <c r="A3157" s="12" t="s">
        <v>430</v>
      </c>
      <c r="B3157" s="30">
        <v>1</v>
      </c>
      <c r="C3157" s="24" t="s">
        <v>213</v>
      </c>
      <c r="D3157" s="35">
        <f>D3132</f>
        <v>19.440000000000001</v>
      </c>
      <c r="E3157" s="31">
        <f>ROUND(B3157*D3157,2)</f>
        <v>19.440000000000001</v>
      </c>
      <c r="F3157" s="32"/>
    </row>
    <row r="3158" spans="1:6" ht="12.75" hidden="1" customHeight="1">
      <c r="A3158" s="12" t="s">
        <v>1168</v>
      </c>
      <c r="B3158" s="30">
        <v>1</v>
      </c>
      <c r="C3158" s="24" t="s">
        <v>1171</v>
      </c>
      <c r="D3158" s="35">
        <f>Prec.!$D$441</f>
        <v>0</v>
      </c>
      <c r="E3158" s="31">
        <f>ROUND(B3158*D3158,2)</f>
        <v>0</v>
      </c>
      <c r="F3158" s="32"/>
    </row>
    <row r="3159" spans="1:6" ht="12.75" hidden="1" customHeight="1">
      <c r="A3159" s="12" t="s">
        <v>208</v>
      </c>
      <c r="B3159" s="14">
        <f>SUM(E3155:E3158)</f>
        <v>45.019999999999996</v>
      </c>
      <c r="C3159" s="24" t="s">
        <v>209</v>
      </c>
      <c r="D3159" s="35">
        <f>Prec.!C302</f>
        <v>1.4999999999999999E-2</v>
      </c>
      <c r="E3159" s="31">
        <f>ROUND(B3159*D3159,2)</f>
        <v>0.68</v>
      </c>
      <c r="F3159" s="32">
        <f>SUM(E3155:E3159)</f>
        <v>45.699999999999996</v>
      </c>
    </row>
    <row r="3160" spans="1:6" ht="10.15" hidden="1" customHeight="1">
      <c r="B3160" s="7"/>
    </row>
    <row r="3161" spans="1:6" ht="12.75" customHeight="1">
      <c r="A3161" s="23" t="s">
        <v>662</v>
      </c>
      <c r="B3161" s="7"/>
    </row>
    <row r="3162" spans="1:6" ht="12.75" customHeight="1">
      <c r="A3162" s="2"/>
      <c r="B3162" s="7"/>
    </row>
    <row r="3163" spans="1:6" ht="12.75" customHeight="1">
      <c r="A3163" s="545" t="s">
        <v>895</v>
      </c>
      <c r="B3163" s="555" t="s">
        <v>151</v>
      </c>
      <c r="C3163" s="556" t="s">
        <v>213</v>
      </c>
      <c r="D3163" s="548"/>
      <c r="E3163" s="552"/>
      <c r="F3163" s="553"/>
    </row>
    <row r="3164" spans="1:6" ht="12.75" customHeight="1">
      <c r="A3164" s="551" t="s">
        <v>1169</v>
      </c>
      <c r="B3164" s="546">
        <v>2.1999999999999999E-2</v>
      </c>
      <c r="C3164" s="547" t="s">
        <v>825</v>
      </c>
      <c r="D3164" s="548">
        <f>horm.ymez.!F12</f>
        <v>7816.39</v>
      </c>
      <c r="E3164" s="552">
        <f>ROUND(B3164*D3164,2)</f>
        <v>171.96</v>
      </c>
      <c r="F3164" s="553"/>
    </row>
    <row r="3165" spans="1:6" ht="12.75" customHeight="1">
      <c r="A3165" s="551" t="s">
        <v>183</v>
      </c>
      <c r="B3165" s="546">
        <v>3.3000000000000002E-2</v>
      </c>
      <c r="C3165" s="547" t="s">
        <v>211</v>
      </c>
      <c r="D3165" s="548">
        <f>D3156</f>
        <v>38</v>
      </c>
      <c r="E3165" s="552">
        <f>ROUND(B3165*D3165,2)</f>
        <v>1.25</v>
      </c>
      <c r="F3165" s="553"/>
    </row>
    <row r="3166" spans="1:6" ht="12.75" customHeight="1">
      <c r="A3166" s="551" t="s">
        <v>430</v>
      </c>
      <c r="B3166" s="546">
        <v>1</v>
      </c>
      <c r="C3166" s="547" t="s">
        <v>213</v>
      </c>
      <c r="D3166" s="548">
        <f>horm.ymez.!F23</f>
        <v>19.66</v>
      </c>
      <c r="E3166" s="552">
        <f>ROUND(B3166*D3166,2)</f>
        <v>19.66</v>
      </c>
      <c r="F3166" s="553"/>
    </row>
    <row r="3167" spans="1:6" ht="12.75" customHeight="1">
      <c r="A3167" s="551" t="s">
        <v>1168</v>
      </c>
      <c r="B3167" s="546">
        <v>1</v>
      </c>
      <c r="C3167" s="547" t="s">
        <v>213</v>
      </c>
      <c r="D3167" s="548">
        <f>Prec.!C413</f>
        <v>157.1</v>
      </c>
      <c r="E3167" s="552">
        <f>ROUND(B3167*D3167,2)</f>
        <v>157.1</v>
      </c>
      <c r="F3167" s="553"/>
    </row>
    <row r="3168" spans="1:6" ht="12.75" customHeight="1">
      <c r="A3168" s="551" t="s">
        <v>208</v>
      </c>
      <c r="B3168" s="554">
        <f>SUM(E3164:E3165)</f>
        <v>173.21</v>
      </c>
      <c r="C3168" s="547" t="s">
        <v>209</v>
      </c>
      <c r="D3168" s="548">
        <v>0.02</v>
      </c>
      <c r="E3168" s="552">
        <f>ROUND(B3168*D3168,2)</f>
        <v>3.46</v>
      </c>
      <c r="F3168" s="553">
        <f>SUM(E3164:E3168)</f>
        <v>353.43</v>
      </c>
    </row>
    <row r="3169" spans="1:13" ht="10.15" customHeight="1">
      <c r="A3169" s="12"/>
      <c r="B3169" s="14"/>
      <c r="C3169" s="24"/>
      <c r="D3169" s="35"/>
      <c r="E3169" s="31"/>
      <c r="F3169" s="32"/>
    </row>
    <row r="3170" spans="1:13" ht="12.75" customHeight="1">
      <c r="A3170" s="545" t="s">
        <v>401</v>
      </c>
      <c r="B3170" s="555" t="s">
        <v>151</v>
      </c>
      <c r="C3170" s="556" t="s">
        <v>213</v>
      </c>
      <c r="D3170" s="548"/>
      <c r="E3170" s="552"/>
      <c r="F3170" s="553"/>
    </row>
    <row r="3171" spans="1:13" ht="12.75" customHeight="1">
      <c r="A3171" s="551" t="s">
        <v>1169</v>
      </c>
      <c r="B3171" s="546">
        <v>2.1999999999999999E-2</v>
      </c>
      <c r="C3171" s="547" t="s">
        <v>825</v>
      </c>
      <c r="D3171" s="548">
        <f>D3164</f>
        <v>7816.39</v>
      </c>
      <c r="E3171" s="552">
        <f>ROUND(B3171*D3171,2)</f>
        <v>171.96</v>
      </c>
      <c r="F3171" s="553"/>
    </row>
    <row r="3172" spans="1:13" ht="12.75" customHeight="1">
      <c r="A3172" s="551" t="s">
        <v>183</v>
      </c>
      <c r="B3172" s="546">
        <v>3.3000000000000002E-2</v>
      </c>
      <c r="C3172" s="547" t="s">
        <v>211</v>
      </c>
      <c r="D3172" s="548">
        <f>D3165</f>
        <v>38</v>
      </c>
      <c r="E3172" s="552">
        <f>ROUND(B3172*D3172,2)</f>
        <v>1.25</v>
      </c>
      <c r="F3172" s="553"/>
    </row>
    <row r="3173" spans="1:13" ht="12.75" customHeight="1">
      <c r="A3173" s="551" t="s">
        <v>430</v>
      </c>
      <c r="B3173" s="546">
        <v>1</v>
      </c>
      <c r="C3173" s="547" t="s">
        <v>213</v>
      </c>
      <c r="D3173" s="548">
        <f>F1040</f>
        <v>150.69</v>
      </c>
      <c r="E3173" s="552">
        <f>ROUND(B3173*D3173,2)</f>
        <v>150.69</v>
      </c>
      <c r="F3173" s="553"/>
    </row>
    <row r="3174" spans="1:13" ht="12.75" customHeight="1">
      <c r="A3174" s="551" t="s">
        <v>1168</v>
      </c>
      <c r="B3174" s="546">
        <v>1</v>
      </c>
      <c r="C3174" s="547" t="s">
        <v>213</v>
      </c>
      <c r="D3174" s="548">
        <f>Prec.!C417</f>
        <v>239.93999999999997</v>
      </c>
      <c r="E3174" s="552">
        <f>ROUND(B3174*D3174,2)</f>
        <v>239.94</v>
      </c>
      <c r="F3174" s="553"/>
    </row>
    <row r="3175" spans="1:13" ht="12.75" customHeight="1">
      <c r="A3175" s="551" t="s">
        <v>208</v>
      </c>
      <c r="B3175" s="554">
        <f>SUM(E3171:E3172)</f>
        <v>173.21</v>
      </c>
      <c r="C3175" s="547" t="s">
        <v>209</v>
      </c>
      <c r="D3175" s="548">
        <v>0.02</v>
      </c>
      <c r="E3175" s="552">
        <f>ROUND(B3175*D3175,2)</f>
        <v>3.46</v>
      </c>
      <c r="F3175" s="553">
        <f>SUM(E3171:E3175)</f>
        <v>567.29999999999995</v>
      </c>
    </row>
    <row r="3176" spans="1:13" ht="12.75" customHeight="1">
      <c r="A3176" s="12"/>
      <c r="B3176" s="14"/>
      <c r="C3176" s="24"/>
      <c r="D3176" s="35"/>
      <c r="E3176" s="31"/>
      <c r="F3176" s="32"/>
    </row>
    <row r="3177" spans="1:13" s="166" customFormat="1" ht="12.75" hidden="1" customHeight="1">
      <c r="A3177" s="12"/>
      <c r="B3177" s="14"/>
      <c r="C3177" s="24"/>
      <c r="D3177" s="35"/>
      <c r="E3177" s="31"/>
      <c r="F3177" s="32"/>
      <c r="G3177" s="15"/>
      <c r="H3177" s="21"/>
      <c r="I3177" s="15"/>
      <c r="J3177" s="15"/>
      <c r="K3177" s="15"/>
      <c r="L3177" s="21"/>
      <c r="M3177" s="15"/>
    </row>
    <row r="3178" spans="1:13" s="166" customFormat="1" ht="12.75" hidden="1" customHeight="1">
      <c r="A3178" s="12"/>
      <c r="B3178" s="14"/>
      <c r="C3178" s="24"/>
      <c r="D3178" s="35"/>
      <c r="E3178" s="31"/>
      <c r="F3178" s="32"/>
      <c r="G3178" s="15"/>
      <c r="H3178" s="21"/>
      <c r="I3178" s="15"/>
      <c r="J3178" s="15"/>
      <c r="K3178" s="15"/>
      <c r="L3178" s="21"/>
      <c r="M3178" s="15"/>
    </row>
    <row r="3179" spans="1:13" s="166" customFormat="1" ht="12.75" hidden="1" customHeight="1">
      <c r="A3179" s="12"/>
      <c r="B3179" s="14"/>
      <c r="C3179" s="24"/>
      <c r="D3179" s="35"/>
      <c r="E3179" s="31"/>
      <c r="F3179" s="32"/>
      <c r="G3179" s="15"/>
      <c r="H3179" s="21"/>
      <c r="I3179" s="15"/>
      <c r="J3179" s="15"/>
      <c r="K3179" s="15"/>
      <c r="L3179" s="21"/>
      <c r="M3179" s="15"/>
    </row>
    <row r="3180" spans="1:13" ht="12.75" customHeight="1">
      <c r="A3180" s="545" t="s">
        <v>896</v>
      </c>
      <c r="B3180" s="555" t="s">
        <v>151</v>
      </c>
      <c r="C3180" s="556" t="s">
        <v>213</v>
      </c>
      <c r="D3180" s="548"/>
      <c r="E3180" s="552"/>
      <c r="F3180" s="553"/>
    </row>
    <row r="3181" spans="1:13" ht="12.75" customHeight="1">
      <c r="A3181" s="551" t="s">
        <v>1169</v>
      </c>
      <c r="B3181" s="546">
        <v>2.1999999999999999E-2</v>
      </c>
      <c r="C3181" s="547" t="s">
        <v>825</v>
      </c>
      <c r="D3181" s="548">
        <f>D3171</f>
        <v>7816.39</v>
      </c>
      <c r="E3181" s="552">
        <f>ROUND(B3181*D3181,2)</f>
        <v>171.96</v>
      </c>
      <c r="F3181" s="553"/>
    </row>
    <row r="3182" spans="1:13" ht="12.75" customHeight="1">
      <c r="A3182" s="551" t="s">
        <v>183</v>
      </c>
      <c r="B3182" s="546">
        <v>3.3000000000000002E-2</v>
      </c>
      <c r="C3182" s="547" t="s">
        <v>211</v>
      </c>
      <c r="D3182" s="548">
        <f>D3172</f>
        <v>38</v>
      </c>
      <c r="E3182" s="552">
        <f>ROUND(B3182*D3182,2)</f>
        <v>1.25</v>
      </c>
      <c r="F3182" s="553"/>
    </row>
    <row r="3183" spans="1:13" ht="12.75" customHeight="1">
      <c r="A3183" s="551" t="s">
        <v>430</v>
      </c>
      <c r="B3183" s="546">
        <v>1</v>
      </c>
      <c r="C3183" s="547" t="s">
        <v>213</v>
      </c>
      <c r="D3183" s="548">
        <f>D3166</f>
        <v>19.66</v>
      </c>
      <c r="E3183" s="552">
        <f>ROUND(B3183*D3183,2)</f>
        <v>19.66</v>
      </c>
      <c r="F3183" s="553"/>
    </row>
    <row r="3184" spans="1:13" ht="12.75" customHeight="1">
      <c r="A3184" s="551" t="s">
        <v>1168</v>
      </c>
      <c r="B3184" s="546">
        <v>1</v>
      </c>
      <c r="C3184" s="547" t="s">
        <v>213</v>
      </c>
      <c r="D3184" s="548">
        <f>Prec.!C420</f>
        <v>203.67</v>
      </c>
      <c r="E3184" s="552">
        <f>ROUND(B3184*D3184,2)</f>
        <v>203.67</v>
      </c>
      <c r="F3184" s="553"/>
    </row>
    <row r="3185" spans="1:6" ht="12.75" customHeight="1">
      <c r="A3185" s="551" t="s">
        <v>208</v>
      </c>
      <c r="B3185" s="554">
        <f>SUM(E3181:E3182)</f>
        <v>173.21</v>
      </c>
      <c r="C3185" s="547" t="s">
        <v>209</v>
      </c>
      <c r="D3185" s="548">
        <v>0.02</v>
      </c>
      <c r="E3185" s="552">
        <f>ROUND(B3185*D3185,2)</f>
        <v>3.46</v>
      </c>
      <c r="F3185" s="553">
        <f>SUM(E3181:E3185)</f>
        <v>399.99999999999994</v>
      </c>
    </row>
    <row r="3186" spans="1:6" ht="12.75" customHeight="1">
      <c r="A3186" s="12"/>
      <c r="B3186" s="14"/>
      <c r="C3186" s="24"/>
      <c r="D3186" s="35"/>
      <c r="E3186" s="31"/>
      <c r="F3186" s="32"/>
    </row>
    <row r="3187" spans="1:6" ht="12.75" hidden="1" customHeight="1">
      <c r="A3187" s="13" t="s">
        <v>897</v>
      </c>
      <c r="B3187" s="42" t="s">
        <v>151</v>
      </c>
      <c r="C3187" s="29" t="s">
        <v>213</v>
      </c>
      <c r="D3187" s="35"/>
      <c r="E3187" s="31"/>
      <c r="F3187" s="32"/>
    </row>
    <row r="3188" spans="1:6" ht="12.75" hidden="1" customHeight="1">
      <c r="A3188" s="12" t="s">
        <v>462</v>
      </c>
      <c r="B3188" s="30">
        <v>2.1999999999999999E-2</v>
      </c>
      <c r="C3188" s="24" t="s">
        <v>825</v>
      </c>
      <c r="D3188" s="35">
        <f>horm.ymez.!F7</f>
        <v>8863.07</v>
      </c>
      <c r="E3188" s="31">
        <f>ROUND(B3188*D3188,2)</f>
        <v>194.99</v>
      </c>
      <c r="F3188" s="32"/>
    </row>
    <row r="3189" spans="1:6" ht="12.75" hidden="1" customHeight="1">
      <c r="A3189" s="12" t="s">
        <v>430</v>
      </c>
      <c r="B3189" s="30">
        <v>1</v>
      </c>
      <c r="C3189" s="24" t="s">
        <v>213</v>
      </c>
      <c r="D3189" s="35">
        <f>D3183</f>
        <v>19.66</v>
      </c>
      <c r="E3189" s="31">
        <f>ROUND(B3189*D3189,2)</f>
        <v>19.66</v>
      </c>
      <c r="F3189" s="32"/>
    </row>
    <row r="3190" spans="1:6" ht="12.75" hidden="1" customHeight="1">
      <c r="A3190" s="12" t="s">
        <v>1168</v>
      </c>
      <c r="B3190" s="30">
        <v>1</v>
      </c>
      <c r="C3190" s="24" t="s">
        <v>213</v>
      </c>
      <c r="D3190" s="35">
        <f>Prec.!$D$423</f>
        <v>0</v>
      </c>
      <c r="E3190" s="31">
        <f>ROUND(B3190*D3190,2)</f>
        <v>0</v>
      </c>
      <c r="F3190" s="32"/>
    </row>
    <row r="3191" spans="1:6" ht="12.75" hidden="1" customHeight="1">
      <c r="A3191" s="12" t="s">
        <v>208</v>
      </c>
      <c r="B3191" s="14">
        <f>SUM(E3188:E3190)</f>
        <v>214.65</v>
      </c>
      <c r="C3191" s="24" t="s">
        <v>209</v>
      </c>
      <c r="D3191" s="35">
        <f>Prec.!C302</f>
        <v>1.4999999999999999E-2</v>
      </c>
      <c r="E3191" s="31">
        <f>ROUND(B3191*D3191,2)</f>
        <v>3.22</v>
      </c>
      <c r="F3191" s="32">
        <f>SUM(E3188:E3191)</f>
        <v>217.87</v>
      </c>
    </row>
    <row r="3192" spans="1:6" ht="12.75" hidden="1" customHeight="1">
      <c r="A3192" s="12"/>
      <c r="B3192" s="14"/>
      <c r="C3192" s="24"/>
      <c r="D3192" s="35"/>
      <c r="E3192" s="31"/>
      <c r="F3192" s="32"/>
    </row>
    <row r="3193" spans="1:6" ht="12.75" hidden="1" customHeight="1">
      <c r="A3193" s="13" t="s">
        <v>1254</v>
      </c>
      <c r="B3193" s="42" t="s">
        <v>151</v>
      </c>
      <c r="C3193" s="29" t="s">
        <v>213</v>
      </c>
      <c r="D3193" s="35"/>
      <c r="E3193" s="31"/>
      <c r="F3193" s="32"/>
    </row>
    <row r="3194" spans="1:6" ht="12.75" hidden="1" customHeight="1">
      <c r="A3194" s="12" t="s">
        <v>1</v>
      </c>
      <c r="B3194" s="30">
        <v>5.2999999999999999E-2</v>
      </c>
      <c r="C3194" s="24" t="s">
        <v>823</v>
      </c>
      <c r="D3194" s="41">
        <f>Prec.!$C$5</f>
        <v>425</v>
      </c>
      <c r="E3194" s="31">
        <f t="shared" ref="E3194:E3200" si="263">ROUND(B3194*D3194,2)</f>
        <v>22.53</v>
      </c>
      <c r="F3194" s="32"/>
    </row>
    <row r="3195" spans="1:6" ht="12.75" hidden="1" customHeight="1">
      <c r="A3195" s="12" t="s">
        <v>1169</v>
      </c>
      <c r="B3195" s="30">
        <v>0.02</v>
      </c>
      <c r="C3195" s="24" t="s">
        <v>825</v>
      </c>
      <c r="D3195" s="35">
        <f>horm.ymez.!F12</f>
        <v>7816.39</v>
      </c>
      <c r="E3195" s="31">
        <f t="shared" si="263"/>
        <v>156.33000000000001</v>
      </c>
      <c r="F3195" s="32"/>
    </row>
    <row r="3196" spans="1:6" ht="12.75" hidden="1" customHeight="1">
      <c r="A3196" s="12" t="s">
        <v>183</v>
      </c>
      <c r="B3196" s="30">
        <v>3.3000000000000002E-2</v>
      </c>
      <c r="C3196" s="24" t="s">
        <v>211</v>
      </c>
      <c r="D3196" s="35">
        <f>D3182</f>
        <v>38</v>
      </c>
      <c r="E3196" s="31">
        <f t="shared" si="263"/>
        <v>1.25</v>
      </c>
      <c r="F3196" s="32"/>
    </row>
    <row r="3197" spans="1:6" ht="12.75" hidden="1" customHeight="1">
      <c r="A3197" s="12" t="s">
        <v>430</v>
      </c>
      <c r="B3197" s="30">
        <v>1</v>
      </c>
      <c r="C3197" s="24" t="s">
        <v>213</v>
      </c>
      <c r="D3197" s="35">
        <f>horm.ymez.!F23</f>
        <v>19.66</v>
      </c>
      <c r="E3197" s="31">
        <f t="shared" si="263"/>
        <v>19.66</v>
      </c>
      <c r="F3197" s="32"/>
    </row>
    <row r="3198" spans="1:6" ht="12.75" hidden="1" customHeight="1">
      <c r="A3198" s="12" t="s">
        <v>205</v>
      </c>
      <c r="B3198" s="30">
        <v>5.2999999999999999E-2</v>
      </c>
      <c r="C3198" s="24" t="s">
        <v>823</v>
      </c>
      <c r="D3198" s="35">
        <f>Prec.!D392</f>
        <v>15.58</v>
      </c>
      <c r="E3198" s="31">
        <f t="shared" si="263"/>
        <v>0.83</v>
      </c>
      <c r="F3198" s="32"/>
    </row>
    <row r="3199" spans="1:6" ht="12.75" hidden="1" customHeight="1">
      <c r="A3199" s="12" t="s">
        <v>1168</v>
      </c>
      <c r="B3199" s="30">
        <v>1</v>
      </c>
      <c r="C3199" s="24" t="s">
        <v>213</v>
      </c>
      <c r="D3199" s="35">
        <f>Prec.!$D$424</f>
        <v>0</v>
      </c>
      <c r="E3199" s="31">
        <f t="shared" si="263"/>
        <v>0</v>
      </c>
      <c r="F3199" s="32"/>
    </row>
    <row r="3200" spans="1:6" ht="12.75" hidden="1" customHeight="1">
      <c r="A3200" s="12" t="s">
        <v>208</v>
      </c>
      <c r="B3200" s="14">
        <f>SUM(E3194:E3199)</f>
        <v>200.60000000000002</v>
      </c>
      <c r="C3200" s="24" t="s">
        <v>209</v>
      </c>
      <c r="D3200" s="35">
        <f>Prec.!C302</f>
        <v>1.4999999999999999E-2</v>
      </c>
      <c r="E3200" s="31">
        <f t="shared" si="263"/>
        <v>3.01</v>
      </c>
      <c r="F3200" s="32">
        <f>SUM(E3194:E3200)</f>
        <v>203.61</v>
      </c>
    </row>
    <row r="3201" spans="1:13" s="166" customFormat="1" ht="12.75" hidden="1" customHeight="1">
      <c r="A3201" s="12"/>
      <c r="B3201" s="14"/>
      <c r="C3201" s="24"/>
      <c r="D3201" s="35"/>
      <c r="E3201" s="31"/>
      <c r="F3201" s="32"/>
      <c r="G3201" s="15"/>
      <c r="H3201" s="21"/>
      <c r="I3201" s="15"/>
      <c r="J3201" s="15"/>
      <c r="K3201" s="15"/>
      <c r="L3201" s="21"/>
      <c r="M3201" s="15"/>
    </row>
    <row r="3202" spans="1:13" ht="12.75" hidden="1" customHeight="1">
      <c r="A3202" s="13" t="s">
        <v>1255</v>
      </c>
      <c r="B3202" s="42" t="s">
        <v>151</v>
      </c>
      <c r="C3202" s="29" t="s">
        <v>213</v>
      </c>
      <c r="D3202" s="35"/>
      <c r="E3202" s="31"/>
      <c r="F3202" s="32"/>
    </row>
    <row r="3203" spans="1:13" ht="12.75" hidden="1" customHeight="1">
      <c r="A3203" s="12" t="s">
        <v>1169</v>
      </c>
      <c r="B3203" s="30">
        <v>2.1999999999999999E-2</v>
      </c>
      <c r="C3203" s="24" t="s">
        <v>825</v>
      </c>
      <c r="D3203" s="35">
        <f>D3195</f>
        <v>7816.39</v>
      </c>
      <c r="E3203" s="31">
        <f>ROUND(B3203*D3203,2)</f>
        <v>171.96</v>
      </c>
      <c r="F3203" s="32"/>
    </row>
    <row r="3204" spans="1:13" ht="12.75" hidden="1" customHeight="1">
      <c r="A3204" s="12" t="s">
        <v>183</v>
      </c>
      <c r="B3204" s="30">
        <v>3.3000000000000002E-2</v>
      </c>
      <c r="C3204" s="24" t="s">
        <v>211</v>
      </c>
      <c r="D3204" s="35">
        <f>D3196</f>
        <v>38</v>
      </c>
      <c r="E3204" s="31">
        <f>ROUND(B3204*D3204,2)</f>
        <v>1.25</v>
      </c>
      <c r="F3204" s="32"/>
    </row>
    <row r="3205" spans="1:13" ht="12.75" hidden="1" customHeight="1">
      <c r="A3205" s="12" t="s">
        <v>430</v>
      </c>
      <c r="B3205" s="30">
        <v>1</v>
      </c>
      <c r="C3205" s="24" t="s">
        <v>213</v>
      </c>
      <c r="D3205" s="35">
        <f>D3197</f>
        <v>19.66</v>
      </c>
      <c r="E3205" s="31">
        <f>ROUND(B3205*D3205,2)</f>
        <v>19.66</v>
      </c>
      <c r="F3205" s="32"/>
    </row>
    <row r="3206" spans="1:13" ht="12.75" hidden="1" customHeight="1">
      <c r="A3206" s="12" t="s">
        <v>1168</v>
      </c>
      <c r="B3206" s="30">
        <v>1</v>
      </c>
      <c r="C3206" s="24" t="s">
        <v>213</v>
      </c>
      <c r="D3206" s="35">
        <f>Prec.!$D$426</f>
        <v>0</v>
      </c>
      <c r="E3206" s="31">
        <f>ROUND(B3206*D3206,2)</f>
        <v>0</v>
      </c>
      <c r="F3206" s="32"/>
    </row>
    <row r="3207" spans="1:13" ht="12.75" hidden="1" customHeight="1">
      <c r="A3207" s="12" t="s">
        <v>208</v>
      </c>
      <c r="B3207" s="14">
        <f>SUM(E3203:E3206)</f>
        <v>192.87</v>
      </c>
      <c r="C3207" s="24" t="s">
        <v>209</v>
      </c>
      <c r="D3207" s="35">
        <f>Prec.!C302</f>
        <v>1.4999999999999999E-2</v>
      </c>
      <c r="E3207" s="31">
        <f>ROUND(B3207*D3207,2)</f>
        <v>2.89</v>
      </c>
      <c r="F3207" s="32">
        <f>SUM(E3203:E3207)</f>
        <v>195.76</v>
      </c>
    </row>
    <row r="3208" spans="1:13" ht="12.75" hidden="1" customHeight="1">
      <c r="A3208" s="12"/>
      <c r="B3208" s="14"/>
      <c r="C3208" s="24"/>
      <c r="D3208" s="35"/>
      <c r="E3208" s="31"/>
      <c r="F3208" s="32"/>
    </row>
    <row r="3209" spans="1:13" ht="12.75" hidden="1" customHeight="1">
      <c r="A3209" s="13" t="s">
        <v>1256</v>
      </c>
      <c r="B3209" s="42" t="s">
        <v>151</v>
      </c>
      <c r="C3209" s="29" t="s">
        <v>213</v>
      </c>
      <c r="D3209" s="35"/>
      <c r="E3209" s="31"/>
      <c r="F3209" s="32"/>
    </row>
    <row r="3210" spans="1:13" ht="12.75" hidden="1" customHeight="1">
      <c r="A3210" s="12" t="s">
        <v>1169</v>
      </c>
      <c r="B3210" s="30">
        <v>2.1999999999999999E-2</v>
      </c>
      <c r="C3210" s="24" t="s">
        <v>825</v>
      </c>
      <c r="D3210" s="35">
        <f>D3203</f>
        <v>7816.39</v>
      </c>
      <c r="E3210" s="31">
        <f>ROUND(B3210*D3210,2)</f>
        <v>171.96</v>
      </c>
      <c r="F3210" s="32"/>
    </row>
    <row r="3211" spans="1:13" ht="12.75" hidden="1" customHeight="1">
      <c r="A3211" s="12" t="s">
        <v>183</v>
      </c>
      <c r="B3211" s="30">
        <v>3.3000000000000002E-2</v>
      </c>
      <c r="C3211" s="24" t="s">
        <v>211</v>
      </c>
      <c r="D3211" s="35">
        <f>D3196</f>
        <v>38</v>
      </c>
      <c r="E3211" s="31">
        <f>ROUND(B3211*D3211,2)</f>
        <v>1.25</v>
      </c>
      <c r="F3211" s="32"/>
    </row>
    <row r="3212" spans="1:13" ht="12.75" hidden="1" customHeight="1">
      <c r="A3212" s="12" t="s">
        <v>430</v>
      </c>
      <c r="B3212" s="30">
        <v>1</v>
      </c>
      <c r="C3212" s="24" t="s">
        <v>213</v>
      </c>
      <c r="D3212" s="35">
        <f>D3205</f>
        <v>19.66</v>
      </c>
      <c r="E3212" s="31">
        <f>ROUND(B3212*D3212,2)</f>
        <v>19.66</v>
      </c>
      <c r="F3212" s="32"/>
    </row>
    <row r="3213" spans="1:13" ht="12.75" hidden="1" customHeight="1">
      <c r="A3213" s="12" t="s">
        <v>1168</v>
      </c>
      <c r="B3213" s="30">
        <v>1</v>
      </c>
      <c r="C3213" s="24" t="s">
        <v>213</v>
      </c>
      <c r="D3213" s="35">
        <f>Prec.!$D$427</f>
        <v>0</v>
      </c>
      <c r="E3213" s="31">
        <f>ROUND(B3213*D3213,2)</f>
        <v>0</v>
      </c>
      <c r="F3213" s="32"/>
    </row>
    <row r="3214" spans="1:13" ht="12.75" hidden="1" customHeight="1">
      <c r="A3214" s="12" t="s">
        <v>208</v>
      </c>
      <c r="B3214" s="14">
        <f>SUM(E3210:E3213)</f>
        <v>192.87</v>
      </c>
      <c r="C3214" s="24" t="s">
        <v>209</v>
      </c>
      <c r="D3214" s="35">
        <f>Prec.!C302</f>
        <v>1.4999999999999999E-2</v>
      </c>
      <c r="E3214" s="31">
        <f>ROUND(B3214*D3214,2)</f>
        <v>2.89</v>
      </c>
      <c r="F3214" s="32">
        <f>SUM(E3210:E3214)</f>
        <v>195.76</v>
      </c>
    </row>
    <row r="3215" spans="1:13" ht="12.75" hidden="1" customHeight="1">
      <c r="A3215" s="12"/>
      <c r="B3215" s="14"/>
      <c r="C3215" s="24"/>
      <c r="D3215" s="35"/>
      <c r="E3215" s="31"/>
      <c r="F3215" s="32"/>
    </row>
    <row r="3216" spans="1:13" ht="12.75" hidden="1" customHeight="1">
      <c r="A3216" s="13" t="s">
        <v>1257</v>
      </c>
      <c r="B3216" s="42" t="s">
        <v>151</v>
      </c>
      <c r="C3216" s="29" t="s">
        <v>213</v>
      </c>
      <c r="D3216" s="35"/>
      <c r="E3216" s="31"/>
      <c r="F3216" s="32"/>
    </row>
    <row r="3217" spans="1:13" ht="12.75" hidden="1" customHeight="1">
      <c r="A3217" s="12" t="s">
        <v>1169</v>
      </c>
      <c r="B3217" s="30">
        <v>8.9999999999999993E-3</v>
      </c>
      <c r="C3217" s="24" t="s">
        <v>825</v>
      </c>
      <c r="D3217" s="35">
        <f>D3210</f>
        <v>7816.39</v>
      </c>
      <c r="E3217" s="31">
        <f>ROUND(B3217*D3217,2)</f>
        <v>70.349999999999994</v>
      </c>
      <c r="F3217" s="32"/>
    </row>
    <row r="3218" spans="1:13" ht="12.75" hidden="1" customHeight="1">
      <c r="A3218" s="12" t="s">
        <v>1168</v>
      </c>
      <c r="B3218" s="30">
        <v>12.5</v>
      </c>
      <c r="C3218" s="24" t="s">
        <v>215</v>
      </c>
      <c r="D3218" s="35">
        <f>Prec.!$D$339</f>
        <v>0</v>
      </c>
      <c r="E3218" s="31">
        <f>ROUND(B3218*D3218,2)</f>
        <v>0</v>
      </c>
      <c r="F3218" s="32"/>
    </row>
    <row r="3219" spans="1:13" ht="12.75" hidden="1" customHeight="1">
      <c r="A3219" s="12" t="s">
        <v>208</v>
      </c>
      <c r="B3219" s="14">
        <f>SUM(E3217:E3218)</f>
        <v>70.349999999999994</v>
      </c>
      <c r="C3219" s="24" t="s">
        <v>209</v>
      </c>
      <c r="D3219" s="35">
        <f>Prec.!C302</f>
        <v>1.4999999999999999E-2</v>
      </c>
      <c r="E3219" s="31">
        <f>ROUND(B3219*D3219,2)</f>
        <v>1.06</v>
      </c>
      <c r="F3219" s="32">
        <f>SUM(E3217:E3219)</f>
        <v>71.41</v>
      </c>
    </row>
    <row r="3220" spans="1:13" ht="5.25" hidden="1" customHeight="1">
      <c r="A3220" s="12"/>
      <c r="B3220" s="14"/>
      <c r="C3220" s="24"/>
      <c r="D3220" s="35"/>
      <c r="E3220" s="31"/>
      <c r="F3220" s="32"/>
    </row>
    <row r="3221" spans="1:13" ht="12.75" customHeight="1">
      <c r="A3221" s="545" t="s">
        <v>1258</v>
      </c>
      <c r="B3221" s="555" t="s">
        <v>151</v>
      </c>
      <c r="C3221" s="556" t="s">
        <v>213</v>
      </c>
      <c r="D3221" s="548"/>
      <c r="E3221" s="552"/>
      <c r="F3221" s="553"/>
    </row>
    <row r="3222" spans="1:13" ht="12.75" customHeight="1">
      <c r="A3222" s="551" t="s">
        <v>663</v>
      </c>
      <c r="B3222" s="546">
        <v>8.0000000000000002E-3</v>
      </c>
      <c r="C3222" s="547" t="s">
        <v>825</v>
      </c>
      <c r="D3222" s="548">
        <f>horm.ymez.!F10</f>
        <v>5503.0599999999995</v>
      </c>
      <c r="E3222" s="552">
        <f>ROUND(B3222*D3222,2)</f>
        <v>44.02</v>
      </c>
      <c r="F3222" s="553"/>
    </row>
    <row r="3223" spans="1:13" ht="12.75" customHeight="1">
      <c r="A3223" s="551" t="s">
        <v>1167</v>
      </c>
      <c r="B3223" s="546">
        <v>1</v>
      </c>
      <c r="C3223" s="547" t="s">
        <v>213</v>
      </c>
      <c r="D3223" s="548">
        <f>Prec.!C430</f>
        <v>23.58</v>
      </c>
      <c r="E3223" s="552">
        <f>ROUND(B3223*D3223,2)</f>
        <v>23.58</v>
      </c>
      <c r="F3223" s="553"/>
    </row>
    <row r="3224" spans="1:13" ht="12.75" customHeight="1">
      <c r="A3224" s="551" t="s">
        <v>208</v>
      </c>
      <c r="B3224" s="554">
        <f>SUM(E3222)</f>
        <v>44.02</v>
      </c>
      <c r="C3224" s="547" t="s">
        <v>209</v>
      </c>
      <c r="D3224" s="548">
        <v>0.02</v>
      </c>
      <c r="E3224" s="552">
        <f>ROUND(B3224*D3224,2)</f>
        <v>0.88</v>
      </c>
      <c r="F3224" s="553">
        <f>SUM(E3222:E3224)</f>
        <v>68.47999999999999</v>
      </c>
    </row>
    <row r="3225" spans="1:13" ht="6.75" customHeight="1">
      <c r="A3225" s="12"/>
      <c r="B3225" s="14"/>
      <c r="C3225" s="24"/>
      <c r="D3225" s="35"/>
      <c r="E3225" s="31"/>
      <c r="F3225" s="32"/>
    </row>
    <row r="3226" spans="1:13" s="166" customFormat="1" ht="13.5" customHeight="1">
      <c r="A3226" s="698" t="s">
        <v>4393</v>
      </c>
      <c r="B3226" s="706" t="s">
        <v>151</v>
      </c>
      <c r="C3226" s="707" t="s">
        <v>1171</v>
      </c>
      <c r="D3226" s="708"/>
      <c r="E3226" s="702"/>
      <c r="F3226" s="703"/>
      <c r="G3226" s="15"/>
      <c r="H3226" s="21"/>
      <c r="I3226" s="15"/>
      <c r="J3226" s="15"/>
      <c r="K3226" s="15"/>
      <c r="L3226" s="21"/>
      <c r="M3226" s="15"/>
    </row>
    <row r="3227" spans="1:13" s="166" customFormat="1" ht="13.5" customHeight="1">
      <c r="A3227" s="704" t="s">
        <v>1169</v>
      </c>
      <c r="B3227" s="705">
        <v>1.2E-2</v>
      </c>
      <c r="C3227" s="700" t="s">
        <v>825</v>
      </c>
      <c r="D3227" s="708">
        <f>D3181</f>
        <v>7816.39</v>
      </c>
      <c r="E3227" s="702">
        <f>ROUND(B3227*D3227,2)</f>
        <v>93.8</v>
      </c>
      <c r="F3227" s="703"/>
      <c r="G3227" s="15"/>
      <c r="H3227" s="21"/>
      <c r="I3227" s="15"/>
      <c r="J3227" s="15"/>
      <c r="K3227" s="15"/>
      <c r="L3227" s="21"/>
      <c r="M3227" s="15"/>
    </row>
    <row r="3228" spans="1:13" s="166" customFormat="1" ht="13.5" customHeight="1">
      <c r="A3228" s="704" t="s">
        <v>1168</v>
      </c>
      <c r="B3228" s="705">
        <v>1</v>
      </c>
      <c r="C3228" s="700" t="s">
        <v>1171</v>
      </c>
      <c r="D3228" s="708">
        <f>D3235</f>
        <v>68.430000000000007</v>
      </c>
      <c r="E3228" s="702">
        <f>ROUND(B3228*D3228,2)</f>
        <v>68.430000000000007</v>
      </c>
      <c r="F3228" s="703"/>
      <c r="G3228" s="15"/>
      <c r="H3228" s="21"/>
      <c r="I3228" s="15"/>
      <c r="J3228" s="15"/>
      <c r="K3228" s="15"/>
      <c r="L3228" s="21"/>
      <c r="M3228" s="15"/>
    </row>
    <row r="3229" spans="1:13" s="166" customFormat="1" ht="13.5" customHeight="1">
      <c r="A3229" s="704" t="s">
        <v>208</v>
      </c>
      <c r="B3229" s="711">
        <f>SUM(E3227:E3227)</f>
        <v>93.8</v>
      </c>
      <c r="C3229" s="700" t="s">
        <v>209</v>
      </c>
      <c r="D3229" s="708">
        <v>0.02</v>
      </c>
      <c r="E3229" s="702">
        <f>ROUND(B3229*D3229,2)</f>
        <v>1.88</v>
      </c>
      <c r="F3229" s="703">
        <f>SUM(E3227:E3229)</f>
        <v>164.11</v>
      </c>
      <c r="G3229" s="15"/>
      <c r="H3229" s="21"/>
      <c r="I3229" s="15"/>
      <c r="J3229" s="15"/>
      <c r="K3229" s="15"/>
      <c r="L3229" s="21"/>
      <c r="M3229" s="15"/>
    </row>
    <row r="3230" spans="1:13" s="166" customFormat="1" ht="6.75" customHeight="1">
      <c r="A3230" s="12"/>
      <c r="B3230" s="14"/>
      <c r="C3230" s="24"/>
      <c r="D3230" s="35"/>
      <c r="E3230" s="31"/>
      <c r="F3230" s="32"/>
      <c r="G3230" s="15"/>
      <c r="H3230" s="21"/>
      <c r="I3230" s="15"/>
      <c r="J3230" s="15"/>
      <c r="K3230" s="15"/>
      <c r="L3230" s="21"/>
      <c r="M3230" s="15"/>
    </row>
    <row r="3231" spans="1:13" s="166" customFormat="1" ht="6.75" customHeight="1">
      <c r="A3231" s="12"/>
      <c r="B3231" s="14"/>
      <c r="C3231" s="24"/>
      <c r="D3231" s="35"/>
      <c r="E3231" s="31"/>
      <c r="F3231" s="32"/>
      <c r="G3231" s="15"/>
      <c r="H3231" s="21"/>
      <c r="I3231" s="15"/>
      <c r="J3231" s="15"/>
      <c r="K3231" s="15"/>
      <c r="L3231" s="21"/>
      <c r="M3231" s="15"/>
    </row>
    <row r="3232" spans="1:13" ht="12.75" customHeight="1">
      <c r="A3232" s="545" t="s">
        <v>60</v>
      </c>
      <c r="B3232" s="555" t="s">
        <v>151</v>
      </c>
      <c r="C3232" s="556" t="s">
        <v>1171</v>
      </c>
      <c r="D3232" s="548"/>
      <c r="E3232" s="552"/>
      <c r="F3232" s="553"/>
    </row>
    <row r="3233" spans="1:13" ht="12.75" customHeight="1">
      <c r="A3233" s="551" t="s">
        <v>1169</v>
      </c>
      <c r="B3233" s="546">
        <v>4.0000000000000001E-3</v>
      </c>
      <c r="C3233" s="547" t="s">
        <v>825</v>
      </c>
      <c r="D3233" s="548">
        <f>horm.ymez.!F12</f>
        <v>7816.39</v>
      </c>
      <c r="E3233" s="552">
        <f>ROUND(B3233*D3233,2)</f>
        <v>31.27</v>
      </c>
      <c r="F3233" s="553"/>
    </row>
    <row r="3234" spans="1:13" ht="12.75" customHeight="1">
      <c r="A3234" s="551" t="s">
        <v>183</v>
      </c>
      <c r="B3234" s="546">
        <v>0.109</v>
      </c>
      <c r="C3234" s="547" t="s">
        <v>211</v>
      </c>
      <c r="D3234" s="548">
        <f>D3211</f>
        <v>38</v>
      </c>
      <c r="E3234" s="552">
        <f>ROUND(B3234*D3234,2)</f>
        <v>4.1399999999999997</v>
      </c>
      <c r="F3234" s="553"/>
    </row>
    <row r="3235" spans="1:13" ht="12.75" customHeight="1">
      <c r="A3235" s="551" t="s">
        <v>1168</v>
      </c>
      <c r="B3235" s="546">
        <v>1</v>
      </c>
      <c r="C3235" s="547" t="s">
        <v>1171</v>
      </c>
      <c r="D3235" s="548">
        <f>Prec.!C438</f>
        <v>68.430000000000007</v>
      </c>
      <c r="E3235" s="552">
        <f>ROUND(B3235*D3235,2)</f>
        <v>68.430000000000007</v>
      </c>
      <c r="F3235" s="553"/>
    </row>
    <row r="3236" spans="1:13" ht="12.75" customHeight="1">
      <c r="A3236" s="551" t="s">
        <v>208</v>
      </c>
      <c r="B3236" s="554">
        <f>SUM(E3233:E3235)</f>
        <v>103.84</v>
      </c>
      <c r="C3236" s="547" t="s">
        <v>209</v>
      </c>
      <c r="D3236" s="548">
        <v>0.02</v>
      </c>
      <c r="E3236" s="552">
        <f>ROUND(B3236*D3236,2)</f>
        <v>2.08</v>
      </c>
      <c r="F3236" s="553">
        <f>SUM(E3233:E3236)</f>
        <v>105.92</v>
      </c>
    </row>
    <row r="3237" spans="1:13" s="166" customFormat="1" ht="12.75" customHeight="1">
      <c r="A3237" s="12"/>
      <c r="B3237" s="14"/>
      <c r="C3237" s="24"/>
      <c r="D3237" s="35"/>
      <c r="E3237" s="31"/>
      <c r="F3237" s="32"/>
      <c r="G3237" s="15"/>
      <c r="H3237" s="21"/>
      <c r="I3237" s="15"/>
      <c r="J3237" s="15"/>
      <c r="K3237" s="15"/>
      <c r="L3237" s="21"/>
      <c r="M3237" s="15"/>
    </row>
    <row r="3238" spans="1:13" ht="12.75" hidden="1" customHeight="1">
      <c r="A3238" s="13" t="s">
        <v>715</v>
      </c>
      <c r="B3238" s="42" t="s">
        <v>151</v>
      </c>
      <c r="C3238" s="29" t="s">
        <v>213</v>
      </c>
      <c r="D3238" s="35"/>
      <c r="E3238" s="31"/>
      <c r="F3238" s="32"/>
    </row>
    <row r="3239" spans="1:13" ht="12.75" hidden="1" customHeight="1">
      <c r="A3239" s="12" t="s">
        <v>1169</v>
      </c>
      <c r="B3239" s="30">
        <v>7.0000000000000001E-3</v>
      </c>
      <c r="C3239" s="24" t="s">
        <v>825</v>
      </c>
      <c r="D3239" s="35">
        <f>D3233</f>
        <v>7816.39</v>
      </c>
      <c r="E3239" s="31">
        <f>ROUND(B3239*D3239,2)</f>
        <v>54.71</v>
      </c>
      <c r="F3239" s="32"/>
    </row>
    <row r="3240" spans="1:13" ht="12.75" hidden="1" customHeight="1">
      <c r="A3240" s="12" t="s">
        <v>183</v>
      </c>
      <c r="B3240" s="30">
        <v>3.3000000000000002E-2</v>
      </c>
      <c r="C3240" s="24" t="s">
        <v>211</v>
      </c>
      <c r="D3240" s="35">
        <f>D3234</f>
        <v>38</v>
      </c>
      <c r="E3240" s="31">
        <f>ROUND(B3240*D3240,2)</f>
        <v>1.25</v>
      </c>
      <c r="F3240" s="32"/>
    </row>
    <row r="3241" spans="1:13" ht="12.75" hidden="1" customHeight="1">
      <c r="A3241" s="12" t="s">
        <v>430</v>
      </c>
      <c r="B3241" s="30">
        <v>1</v>
      </c>
      <c r="C3241" s="24" t="s">
        <v>213</v>
      </c>
      <c r="D3241" s="35">
        <f>horm.ymez.!F23</f>
        <v>19.66</v>
      </c>
      <c r="E3241" s="31">
        <f>ROUND(B3241*D3241,2)</f>
        <v>19.66</v>
      </c>
      <c r="F3241" s="32"/>
    </row>
    <row r="3242" spans="1:13" ht="12.75" hidden="1" customHeight="1">
      <c r="A3242" s="12" t="s">
        <v>1168</v>
      </c>
      <c r="B3242" s="30">
        <v>1</v>
      </c>
      <c r="C3242" s="24" t="s">
        <v>213</v>
      </c>
      <c r="D3242" s="35">
        <f>Prec.!$D$436</f>
        <v>0</v>
      </c>
      <c r="E3242" s="31">
        <f>ROUND(B3242*D3242,2)</f>
        <v>0</v>
      </c>
      <c r="F3242" s="32"/>
    </row>
    <row r="3243" spans="1:13" ht="12.75" hidden="1" customHeight="1">
      <c r="A3243" s="12" t="s">
        <v>208</v>
      </c>
      <c r="B3243" s="14">
        <f>SUM(E3239:E3242)</f>
        <v>75.62</v>
      </c>
      <c r="C3243" s="24" t="s">
        <v>209</v>
      </c>
      <c r="D3243" s="35">
        <f>Prec.!C302</f>
        <v>1.4999999999999999E-2</v>
      </c>
      <c r="E3243" s="31">
        <f>ROUND(B3243*D3243,2)</f>
        <v>1.1299999999999999</v>
      </c>
      <c r="F3243" s="32">
        <f>SUM(E3239:E3243)</f>
        <v>76.75</v>
      </c>
    </row>
    <row r="3244" spans="1:13" ht="5.25" hidden="1" customHeight="1">
      <c r="A3244" s="12"/>
      <c r="B3244" s="14"/>
      <c r="C3244" s="24"/>
      <c r="D3244" s="35"/>
      <c r="E3244" s="31"/>
      <c r="F3244" s="32"/>
    </row>
    <row r="3245" spans="1:13" ht="12.75" hidden="1" customHeight="1">
      <c r="A3245" s="13" t="s">
        <v>716</v>
      </c>
      <c r="B3245" s="42" t="s">
        <v>151</v>
      </c>
      <c r="C3245" s="29" t="s">
        <v>213</v>
      </c>
      <c r="D3245" s="35"/>
      <c r="E3245" s="31"/>
      <c r="F3245" s="32"/>
    </row>
    <row r="3246" spans="1:13" ht="12.75" hidden="1" customHeight="1">
      <c r="A3246" s="12" t="s">
        <v>1169</v>
      </c>
      <c r="B3246" s="30">
        <v>7.0000000000000001E-3</v>
      </c>
      <c r="C3246" s="24" t="s">
        <v>825</v>
      </c>
      <c r="D3246" s="35">
        <f>D3239</f>
        <v>7816.39</v>
      </c>
      <c r="E3246" s="31">
        <f>ROUND(B3246*D3246,2)</f>
        <v>54.71</v>
      </c>
      <c r="F3246" s="32"/>
    </row>
    <row r="3247" spans="1:13" ht="12.75" hidden="1" customHeight="1">
      <c r="A3247" s="12" t="s">
        <v>183</v>
      </c>
      <c r="B3247" s="30">
        <v>3.3000000000000002E-2</v>
      </c>
      <c r="C3247" s="24" t="s">
        <v>211</v>
      </c>
      <c r="D3247" s="35">
        <f>D3240</f>
        <v>38</v>
      </c>
      <c r="E3247" s="31">
        <f>ROUND(B3247*D3247,2)</f>
        <v>1.25</v>
      </c>
      <c r="F3247" s="32"/>
    </row>
    <row r="3248" spans="1:13" ht="12.75" hidden="1" customHeight="1">
      <c r="A3248" s="12" t="s">
        <v>430</v>
      </c>
      <c r="B3248" s="30">
        <v>1</v>
      </c>
      <c r="C3248" s="24" t="s">
        <v>213</v>
      </c>
      <c r="D3248" s="35">
        <f>D3241</f>
        <v>19.66</v>
      </c>
      <c r="E3248" s="31">
        <f>ROUND(B3248*D3248,2)</f>
        <v>19.66</v>
      </c>
      <c r="F3248" s="32"/>
    </row>
    <row r="3249" spans="1:13" ht="12.75" hidden="1" customHeight="1">
      <c r="A3249" s="12" t="s">
        <v>1168</v>
      </c>
      <c r="B3249" s="30">
        <v>1</v>
      </c>
      <c r="C3249" s="24" t="s">
        <v>213</v>
      </c>
      <c r="D3249" s="35">
        <f>Prec.!$D$437</f>
        <v>0</v>
      </c>
      <c r="E3249" s="31">
        <f>ROUND(B3249*D3249,2)</f>
        <v>0</v>
      </c>
      <c r="F3249" s="32"/>
    </row>
    <row r="3250" spans="1:13" ht="12.75" hidden="1" customHeight="1">
      <c r="A3250" s="12" t="s">
        <v>208</v>
      </c>
      <c r="B3250" s="14">
        <f>SUM(E3246:E3249)</f>
        <v>75.62</v>
      </c>
      <c r="C3250" s="24" t="s">
        <v>209</v>
      </c>
      <c r="D3250" s="35">
        <f>Prec.!C302</f>
        <v>1.4999999999999999E-2</v>
      </c>
      <c r="E3250" s="31">
        <f>ROUND(B3250*D3250,2)</f>
        <v>1.1299999999999999</v>
      </c>
      <c r="F3250" s="32">
        <f>SUM(E3246:E3250)</f>
        <v>76.75</v>
      </c>
    </row>
    <row r="3251" spans="1:13" ht="4.5" hidden="1" customHeight="1">
      <c r="A3251" s="12"/>
      <c r="B3251" s="14"/>
      <c r="C3251" s="24"/>
      <c r="D3251" s="35"/>
      <c r="E3251" s="31"/>
      <c r="F3251" s="32"/>
    </row>
    <row r="3252" spans="1:13" ht="12.75" hidden="1" customHeight="1">
      <c r="A3252" s="13" t="s">
        <v>717</v>
      </c>
      <c r="B3252" s="42" t="s">
        <v>151</v>
      </c>
      <c r="C3252" s="29" t="s">
        <v>213</v>
      </c>
      <c r="D3252" s="35"/>
      <c r="E3252" s="31"/>
      <c r="F3252" s="32"/>
    </row>
    <row r="3253" spans="1:13" ht="12.75" hidden="1" customHeight="1">
      <c r="A3253" s="12" t="s">
        <v>427</v>
      </c>
      <c r="B3253" s="30">
        <v>0.02</v>
      </c>
      <c r="C3253" s="24" t="s">
        <v>825</v>
      </c>
      <c r="D3253" s="35">
        <f>horm.ymez.!F8</f>
        <v>7163.99</v>
      </c>
      <c r="E3253" s="31">
        <f>ROUND(B3253*D3253,2)</f>
        <v>143.28</v>
      </c>
      <c r="F3253" s="32"/>
    </row>
    <row r="3254" spans="1:13" ht="12.75" hidden="1" customHeight="1">
      <c r="A3254" s="12" t="s">
        <v>183</v>
      </c>
      <c r="B3254" s="30">
        <v>3.3000000000000002E-2</v>
      </c>
      <c r="C3254" s="24" t="s">
        <v>211</v>
      </c>
      <c r="D3254" s="35">
        <f>D3247</f>
        <v>38</v>
      </c>
      <c r="E3254" s="31">
        <f>ROUND(B3254*D3254,2)</f>
        <v>1.25</v>
      </c>
      <c r="F3254" s="32"/>
    </row>
    <row r="3255" spans="1:13" ht="12.75" hidden="1" customHeight="1">
      <c r="A3255" s="12" t="s">
        <v>430</v>
      </c>
      <c r="B3255" s="30">
        <v>1</v>
      </c>
      <c r="C3255" s="24" t="s">
        <v>213</v>
      </c>
      <c r="D3255" s="35">
        <f>D3248</f>
        <v>19.66</v>
      </c>
      <c r="E3255" s="31">
        <f>ROUND(B3255*D3255,2)</f>
        <v>19.66</v>
      </c>
      <c r="F3255" s="32"/>
    </row>
    <row r="3256" spans="1:13" ht="12.75" hidden="1" customHeight="1">
      <c r="A3256" s="12" t="s">
        <v>1168</v>
      </c>
      <c r="B3256" s="30">
        <v>1</v>
      </c>
      <c r="C3256" s="24" t="s">
        <v>213</v>
      </c>
      <c r="D3256" s="35">
        <f>Prec.!$D$432</f>
        <v>0</v>
      </c>
      <c r="E3256" s="31">
        <f>ROUND(B3256*D3256,2)</f>
        <v>0</v>
      </c>
      <c r="F3256" s="32"/>
    </row>
    <row r="3257" spans="1:13" ht="12.75" hidden="1" customHeight="1">
      <c r="A3257" s="12" t="s">
        <v>208</v>
      </c>
      <c r="B3257" s="14">
        <f>SUM(E3253:E3256)</f>
        <v>164.19</v>
      </c>
      <c r="C3257" s="24" t="s">
        <v>209</v>
      </c>
      <c r="D3257" s="35">
        <f>Prec.!C302</f>
        <v>1.4999999999999999E-2</v>
      </c>
      <c r="E3257" s="31">
        <f>ROUND(B3257*D3257,2)</f>
        <v>2.46</v>
      </c>
      <c r="F3257" s="32">
        <f>SUM(E3253:E3257)</f>
        <v>166.65</v>
      </c>
    </row>
    <row r="3258" spans="1:13" s="166" customFormat="1" ht="12.75" hidden="1" customHeight="1">
      <c r="A3258" s="12"/>
      <c r="B3258" s="14"/>
      <c r="C3258" s="24"/>
      <c r="D3258" s="35"/>
      <c r="E3258" s="31"/>
      <c r="F3258" s="32"/>
      <c r="G3258" s="15"/>
      <c r="H3258" s="21"/>
      <c r="I3258" s="15"/>
      <c r="J3258" s="15"/>
      <c r="K3258" s="15"/>
      <c r="L3258" s="21"/>
      <c r="M3258" s="15"/>
    </row>
    <row r="3259" spans="1:13" ht="12.75" hidden="1" customHeight="1">
      <c r="A3259" s="13" t="s">
        <v>718</v>
      </c>
      <c r="B3259" s="42" t="s">
        <v>151</v>
      </c>
      <c r="C3259" s="29" t="s">
        <v>213</v>
      </c>
      <c r="D3259" s="35"/>
      <c r="E3259" s="31"/>
      <c r="F3259" s="32"/>
    </row>
    <row r="3260" spans="1:13" ht="12.75" hidden="1" customHeight="1">
      <c r="A3260" s="12" t="s">
        <v>427</v>
      </c>
      <c r="B3260" s="30">
        <v>0.02</v>
      </c>
      <c r="C3260" s="24" t="s">
        <v>825</v>
      </c>
      <c r="D3260" s="35">
        <f>D3253</f>
        <v>7163.99</v>
      </c>
      <c r="E3260" s="31">
        <f>ROUND(B3260*D3260,2)</f>
        <v>143.28</v>
      </c>
      <c r="F3260" s="32"/>
    </row>
    <row r="3261" spans="1:13" ht="12.75" hidden="1" customHeight="1">
      <c r="A3261" s="12" t="s">
        <v>183</v>
      </c>
      <c r="B3261" s="30">
        <v>3.3000000000000002E-2</v>
      </c>
      <c r="C3261" s="24" t="s">
        <v>211</v>
      </c>
      <c r="D3261" s="35">
        <f>D3254</f>
        <v>38</v>
      </c>
      <c r="E3261" s="31">
        <f>ROUND(B3261*D3261,2)</f>
        <v>1.25</v>
      </c>
      <c r="F3261" s="32"/>
    </row>
    <row r="3262" spans="1:13" ht="12.75" hidden="1" customHeight="1">
      <c r="A3262" s="12" t="s">
        <v>430</v>
      </c>
      <c r="B3262" s="30">
        <v>1</v>
      </c>
      <c r="C3262" s="24" t="s">
        <v>213</v>
      </c>
      <c r="D3262" s="35">
        <f>D3255</f>
        <v>19.66</v>
      </c>
      <c r="E3262" s="31">
        <f>ROUND(B3262*D3262,2)</f>
        <v>19.66</v>
      </c>
      <c r="F3262" s="32"/>
    </row>
    <row r="3263" spans="1:13" ht="12.75" hidden="1" customHeight="1">
      <c r="A3263" s="12" t="s">
        <v>1168</v>
      </c>
      <c r="B3263" s="30">
        <v>1</v>
      </c>
      <c r="C3263" s="24" t="s">
        <v>213</v>
      </c>
      <c r="D3263" s="35">
        <f>Prec.!$D$433</f>
        <v>0</v>
      </c>
      <c r="E3263" s="31">
        <f>ROUND(B3263*D3263,2)</f>
        <v>0</v>
      </c>
      <c r="F3263" s="32"/>
    </row>
    <row r="3264" spans="1:13" ht="12.75" hidden="1" customHeight="1">
      <c r="A3264" s="12" t="s">
        <v>208</v>
      </c>
      <c r="B3264" s="14">
        <f>SUM(E3260:E3263)</f>
        <v>164.19</v>
      </c>
      <c r="C3264" s="24" t="s">
        <v>209</v>
      </c>
      <c r="D3264" s="35">
        <f>Prec.!C302</f>
        <v>1.4999999999999999E-2</v>
      </c>
      <c r="E3264" s="31">
        <f>ROUND(B3264*D3264,2)</f>
        <v>2.46</v>
      </c>
      <c r="F3264" s="32">
        <f>SUM(E3260:E3264)</f>
        <v>166.65</v>
      </c>
    </row>
    <row r="3265" spans="1:6" ht="6.75" hidden="1" customHeight="1">
      <c r="A3265" s="12"/>
      <c r="B3265" s="14"/>
      <c r="C3265" s="24"/>
      <c r="D3265" s="35"/>
      <c r="E3265" s="31"/>
      <c r="F3265" s="32"/>
    </row>
    <row r="3266" spans="1:6" ht="12.75" hidden="1" customHeight="1">
      <c r="A3266" s="13" t="s">
        <v>418</v>
      </c>
      <c r="B3266" s="42" t="s">
        <v>151</v>
      </c>
      <c r="C3266" s="29" t="s">
        <v>825</v>
      </c>
      <c r="D3266" s="35"/>
      <c r="E3266" s="31"/>
      <c r="F3266" s="32"/>
    </row>
    <row r="3267" spans="1:6" ht="12.75" hidden="1" customHeight="1">
      <c r="A3267" s="12" t="s">
        <v>427</v>
      </c>
      <c r="B3267" s="30">
        <v>1.2999999999999999E-2</v>
      </c>
      <c r="C3267" s="24" t="s">
        <v>825</v>
      </c>
      <c r="D3267" s="35">
        <f>D3260</f>
        <v>7163.99</v>
      </c>
      <c r="E3267" s="31">
        <f>ROUND(B3267*D3267,2)</f>
        <v>93.13</v>
      </c>
      <c r="F3267" s="32"/>
    </row>
    <row r="3268" spans="1:6" ht="12.75" hidden="1" customHeight="1">
      <c r="A3268" s="12" t="s">
        <v>1168</v>
      </c>
      <c r="B3268" s="30">
        <v>1</v>
      </c>
      <c r="C3268" s="24" t="s">
        <v>213</v>
      </c>
      <c r="D3268" s="35">
        <f>Prec.!$D$431</f>
        <v>0</v>
      </c>
      <c r="E3268" s="31">
        <f>ROUND(B3268*D3268,2)</f>
        <v>0</v>
      </c>
      <c r="F3268" s="32"/>
    </row>
    <row r="3269" spans="1:6" ht="12.75" hidden="1" customHeight="1">
      <c r="A3269" s="12" t="s">
        <v>208</v>
      </c>
      <c r="B3269" s="14">
        <f>SUM(E3267:E3268)</f>
        <v>93.13</v>
      </c>
      <c r="C3269" s="24" t="s">
        <v>209</v>
      </c>
      <c r="D3269" s="35">
        <f>Prec.!C302</f>
        <v>1.4999999999999999E-2</v>
      </c>
      <c r="E3269" s="31">
        <f>ROUND(B3269*D3269,2)</f>
        <v>1.4</v>
      </c>
      <c r="F3269" s="32">
        <f>SUM(E3267:E3269)</f>
        <v>94.53</v>
      </c>
    </row>
    <row r="3270" spans="1:6" ht="12.75" hidden="1" customHeight="1">
      <c r="A3270" s="12"/>
      <c r="B3270" s="14"/>
      <c r="C3270" s="24"/>
      <c r="D3270" s="35"/>
      <c r="E3270" s="31"/>
      <c r="F3270" s="32"/>
    </row>
    <row r="3271" spans="1:6" ht="12.75" hidden="1" customHeight="1">
      <c r="A3271" s="13" t="s">
        <v>107</v>
      </c>
      <c r="B3271" s="42" t="s">
        <v>151</v>
      </c>
      <c r="C3271" s="29" t="s">
        <v>1171</v>
      </c>
      <c r="D3271" s="35"/>
      <c r="E3271" s="31"/>
      <c r="F3271" s="32"/>
    </row>
    <row r="3272" spans="1:6" ht="12.75" hidden="1" customHeight="1">
      <c r="A3272" s="12" t="s">
        <v>1169</v>
      </c>
      <c r="B3272" s="30">
        <v>8.0000000000000002E-3</v>
      </c>
      <c r="C3272" s="24" t="s">
        <v>825</v>
      </c>
      <c r="D3272" s="35">
        <f>horm.ymez.!F12</f>
        <v>7816.39</v>
      </c>
      <c r="E3272" s="31">
        <f>ROUND(B3272*D3272,2)</f>
        <v>62.53</v>
      </c>
      <c r="F3272" s="32"/>
    </row>
    <row r="3273" spans="1:6" ht="12.75" hidden="1" customHeight="1">
      <c r="A3273" s="12" t="s">
        <v>183</v>
      </c>
      <c r="B3273" s="30">
        <v>0.27</v>
      </c>
      <c r="C3273" s="24" t="s">
        <v>211</v>
      </c>
      <c r="D3273" s="35">
        <f>D3261</f>
        <v>38</v>
      </c>
      <c r="E3273" s="31">
        <f>ROUND(B3273*D3273,2)</f>
        <v>10.26</v>
      </c>
      <c r="F3273" s="32"/>
    </row>
    <row r="3274" spans="1:6" ht="12.75" hidden="1" customHeight="1">
      <c r="A3274" s="12" t="s">
        <v>1168</v>
      </c>
      <c r="B3274" s="30">
        <v>1</v>
      </c>
      <c r="C3274" s="24" t="s">
        <v>1171</v>
      </c>
      <c r="D3274" s="35">
        <f>Prec.!$D$439</f>
        <v>0</v>
      </c>
      <c r="E3274" s="31">
        <f>ROUND(B3274*D3274,2)</f>
        <v>0</v>
      </c>
      <c r="F3274" s="32"/>
    </row>
    <row r="3275" spans="1:6" ht="12.75" hidden="1" customHeight="1">
      <c r="A3275" s="12" t="s">
        <v>208</v>
      </c>
      <c r="B3275" s="14">
        <f>SUM(E3272:E3274)</f>
        <v>72.790000000000006</v>
      </c>
      <c r="C3275" s="24" t="s">
        <v>209</v>
      </c>
      <c r="D3275" s="35">
        <f>Prec.!C302</f>
        <v>1.4999999999999999E-2</v>
      </c>
      <c r="E3275" s="31">
        <f>ROUND(B3275*D3275,2)</f>
        <v>1.0900000000000001</v>
      </c>
      <c r="F3275" s="32">
        <f>SUM(E3272:E3275)</f>
        <v>73.88000000000001</v>
      </c>
    </row>
    <row r="3276" spans="1:6" ht="12.75" hidden="1" customHeight="1">
      <c r="A3276" s="12"/>
      <c r="B3276" s="14"/>
      <c r="C3276" s="24"/>
      <c r="D3276" s="35"/>
      <c r="E3276" s="31"/>
      <c r="F3276" s="32"/>
    </row>
    <row r="3277" spans="1:6" ht="12.75" hidden="1" customHeight="1">
      <c r="A3277" s="13" t="s">
        <v>108</v>
      </c>
      <c r="B3277" s="42" t="s">
        <v>151</v>
      </c>
      <c r="C3277" s="29" t="s">
        <v>1171</v>
      </c>
      <c r="D3277" s="35"/>
      <c r="E3277" s="31"/>
      <c r="F3277" s="32"/>
    </row>
    <row r="3278" spans="1:6" ht="12.75" hidden="1" customHeight="1">
      <c r="A3278" s="12" t="s">
        <v>1169</v>
      </c>
      <c r="B3278" s="30">
        <v>0.01</v>
      </c>
      <c r="C3278" s="24" t="s">
        <v>825</v>
      </c>
      <c r="D3278" s="35">
        <f>horm.ymez.!F12</f>
        <v>7816.39</v>
      </c>
      <c r="E3278" s="31">
        <f>ROUND(B3278*D3278,2)</f>
        <v>78.16</v>
      </c>
      <c r="F3278" s="32"/>
    </row>
    <row r="3279" spans="1:6" ht="12.75" hidden="1" customHeight="1">
      <c r="A3279" s="12" t="s">
        <v>183</v>
      </c>
      <c r="B3279" s="30">
        <v>0.218</v>
      </c>
      <c r="C3279" s="24" t="s">
        <v>211</v>
      </c>
      <c r="D3279" s="35">
        <f>D3273</f>
        <v>38</v>
      </c>
      <c r="E3279" s="31">
        <f>ROUND(B3279*D3279,2)</f>
        <v>8.2799999999999994</v>
      </c>
      <c r="F3279" s="32"/>
    </row>
    <row r="3280" spans="1:6" ht="12.75" hidden="1" customHeight="1">
      <c r="A3280" s="12" t="s">
        <v>430</v>
      </c>
      <c r="B3280" s="30">
        <v>1</v>
      </c>
      <c r="C3280" s="24" t="s">
        <v>213</v>
      </c>
      <c r="D3280" s="35">
        <f>horm.ymez.!F23</f>
        <v>19.66</v>
      </c>
      <c r="E3280" s="31">
        <f>ROUND(B3280*D3280,2)</f>
        <v>19.66</v>
      </c>
      <c r="F3280" s="32"/>
    </row>
    <row r="3281" spans="1:6" ht="12.75" hidden="1" customHeight="1">
      <c r="A3281" s="12" t="s">
        <v>1168</v>
      </c>
      <c r="B3281" s="30">
        <v>1</v>
      </c>
      <c r="C3281" s="24" t="s">
        <v>1171</v>
      </c>
      <c r="D3281" s="35">
        <f>Prec.!$D$440</f>
        <v>0</v>
      </c>
      <c r="E3281" s="31">
        <f>ROUND(B3281*D3281,2)</f>
        <v>0</v>
      </c>
      <c r="F3281" s="32"/>
    </row>
    <row r="3282" spans="1:6" ht="12.75" hidden="1" customHeight="1">
      <c r="A3282" s="12" t="s">
        <v>208</v>
      </c>
      <c r="B3282" s="14">
        <f>SUM(E3278:E3281)</f>
        <v>106.1</v>
      </c>
      <c r="C3282" s="24" t="s">
        <v>209</v>
      </c>
      <c r="D3282" s="35">
        <f>Prec.!C302</f>
        <v>1.4999999999999999E-2</v>
      </c>
      <c r="E3282" s="31">
        <f>ROUND(B3282*D3282,2)</f>
        <v>1.59</v>
      </c>
      <c r="F3282" s="32">
        <f>SUM(E3278:E3282)</f>
        <v>107.69</v>
      </c>
    </row>
    <row r="3283" spans="1:6" ht="12.75" hidden="1" customHeight="1">
      <c r="A3283" s="12"/>
      <c r="B3283" s="14"/>
      <c r="C3283" s="24"/>
      <c r="D3283" s="35"/>
      <c r="E3283" s="31"/>
      <c r="F3283" s="32"/>
    </row>
    <row r="3284" spans="1:6" ht="12.75" hidden="1" customHeight="1">
      <c r="A3284" s="13" t="s">
        <v>109</v>
      </c>
      <c r="B3284" s="42" t="s">
        <v>151</v>
      </c>
      <c r="C3284" s="29" t="s">
        <v>1171</v>
      </c>
      <c r="D3284" s="35"/>
      <c r="E3284" s="31"/>
      <c r="F3284" s="32"/>
    </row>
    <row r="3285" spans="1:6" ht="12.75" hidden="1" customHeight="1">
      <c r="A3285" s="12" t="s">
        <v>1169</v>
      </c>
      <c r="B3285" s="30">
        <v>2E-3</v>
      </c>
      <c r="C3285" s="24" t="s">
        <v>825</v>
      </c>
      <c r="D3285" s="35">
        <f>D3278</f>
        <v>7816.39</v>
      </c>
      <c r="E3285" s="31">
        <f>ROUND(B3285*D3285,2)</f>
        <v>15.63</v>
      </c>
      <c r="F3285" s="32"/>
    </row>
    <row r="3286" spans="1:6" ht="12.75" hidden="1" customHeight="1">
      <c r="A3286" s="12" t="s">
        <v>183</v>
      </c>
      <c r="B3286" s="30">
        <v>0.27</v>
      </c>
      <c r="C3286" s="24" t="s">
        <v>211</v>
      </c>
      <c r="D3286" s="35">
        <f>D3279</f>
        <v>38</v>
      </c>
      <c r="E3286" s="31">
        <f>ROUND(B3286*D3286,2)</f>
        <v>10.26</v>
      </c>
      <c r="F3286" s="32"/>
    </row>
    <row r="3287" spans="1:6" ht="12.75" hidden="1" customHeight="1">
      <c r="A3287" s="12" t="s">
        <v>430</v>
      </c>
      <c r="B3287" s="30">
        <v>1</v>
      </c>
      <c r="C3287" s="24" t="s">
        <v>213</v>
      </c>
      <c r="D3287" s="35">
        <f>D3280</f>
        <v>19.66</v>
      </c>
      <c r="E3287" s="31">
        <f>ROUND(B3287*D3287,2)</f>
        <v>19.66</v>
      </c>
      <c r="F3287" s="32"/>
    </row>
    <row r="3288" spans="1:6" ht="12.75" hidden="1" customHeight="1">
      <c r="A3288" s="12" t="s">
        <v>1168</v>
      </c>
      <c r="B3288" s="30">
        <v>1</v>
      </c>
      <c r="C3288" s="24" t="s">
        <v>1171</v>
      </c>
      <c r="D3288" s="35">
        <f>Prec.!$D$441</f>
        <v>0</v>
      </c>
      <c r="E3288" s="31">
        <f>ROUND(B3288*D3288,2)</f>
        <v>0</v>
      </c>
      <c r="F3288" s="32"/>
    </row>
    <row r="3289" spans="1:6" ht="12.75" hidden="1" customHeight="1">
      <c r="A3289" s="12" t="s">
        <v>208</v>
      </c>
      <c r="B3289" s="14">
        <f>SUM(E3285:E3288)</f>
        <v>45.55</v>
      </c>
      <c r="C3289" s="24" t="s">
        <v>209</v>
      </c>
      <c r="D3289" s="35">
        <f>Prec.!C302</f>
        <v>1.4999999999999999E-2</v>
      </c>
      <c r="E3289" s="31">
        <f>ROUND(B3289*D3289,2)</f>
        <v>0.68</v>
      </c>
      <c r="F3289" s="32">
        <f>SUM(E3285:E3289)</f>
        <v>46.23</v>
      </c>
    </row>
    <row r="3290" spans="1:6" ht="12.75" hidden="1" customHeight="1">
      <c r="A3290" s="23" t="s">
        <v>745</v>
      </c>
      <c r="B3290" s="7"/>
    </row>
    <row r="3291" spans="1:6" ht="12.75" hidden="1" customHeight="1">
      <c r="A3291" s="2"/>
      <c r="B3291" s="7"/>
    </row>
    <row r="3292" spans="1:6" ht="12.75" hidden="1" customHeight="1">
      <c r="A3292" s="13" t="s">
        <v>448</v>
      </c>
      <c r="B3292" s="42" t="s">
        <v>151</v>
      </c>
      <c r="C3292" s="29" t="s">
        <v>213</v>
      </c>
      <c r="D3292" s="35"/>
      <c r="E3292" s="31"/>
      <c r="F3292" s="32"/>
    </row>
    <row r="3293" spans="1:6" ht="12.75" hidden="1" customHeight="1">
      <c r="A3293" s="12" t="s">
        <v>1169</v>
      </c>
      <c r="B3293" s="30">
        <v>2.1999999999999999E-2</v>
      </c>
      <c r="C3293" s="24" t="s">
        <v>825</v>
      </c>
      <c r="D3293" s="35">
        <f>horm.ymez.!G12</f>
        <v>8006.89</v>
      </c>
      <c r="E3293" s="31">
        <f>ROUND(B3293*D3293,2)</f>
        <v>176.15</v>
      </c>
      <c r="F3293" s="32"/>
    </row>
    <row r="3294" spans="1:6" ht="12.75" hidden="1" customHeight="1">
      <c r="A3294" s="12" t="s">
        <v>183</v>
      </c>
      <c r="B3294" s="30">
        <v>3.3000000000000002E-2</v>
      </c>
      <c r="C3294" s="24" t="s">
        <v>211</v>
      </c>
      <c r="D3294" s="35">
        <f>D3286</f>
        <v>38</v>
      </c>
      <c r="E3294" s="31">
        <f>ROUND(B3294*D3294,2)</f>
        <v>1.25</v>
      </c>
      <c r="F3294" s="32"/>
    </row>
    <row r="3295" spans="1:6" ht="12.75" hidden="1" customHeight="1">
      <c r="A3295" s="12" t="s">
        <v>430</v>
      </c>
      <c r="B3295" s="30">
        <v>1</v>
      </c>
      <c r="C3295" s="24" t="s">
        <v>213</v>
      </c>
      <c r="D3295" s="35">
        <f>horm.ymez.!G23</f>
        <v>20.03</v>
      </c>
      <c r="E3295" s="31">
        <f>ROUND(B3295*D3295,2)</f>
        <v>20.03</v>
      </c>
      <c r="F3295" s="32"/>
    </row>
    <row r="3296" spans="1:6" ht="12.75" hidden="1" customHeight="1">
      <c r="A3296" s="12" t="s">
        <v>1168</v>
      </c>
      <c r="B3296" s="30">
        <v>1</v>
      </c>
      <c r="C3296" s="24" t="s">
        <v>213</v>
      </c>
      <c r="D3296" s="35">
        <f>Prec.!$D$413</f>
        <v>0</v>
      </c>
      <c r="E3296" s="31">
        <f>ROUND(B3296*D3296,2)</f>
        <v>0</v>
      </c>
      <c r="F3296" s="32"/>
    </row>
    <row r="3297" spans="1:6" ht="12.75" hidden="1" customHeight="1">
      <c r="A3297" s="12" t="s">
        <v>208</v>
      </c>
      <c r="B3297" s="14">
        <f>SUM(E3293:E3296)</f>
        <v>197.43</v>
      </c>
      <c r="C3297" s="24" t="s">
        <v>209</v>
      </c>
      <c r="D3297" s="35">
        <v>0.02</v>
      </c>
      <c r="E3297" s="31">
        <f>ROUND(B3297*D3297,2)</f>
        <v>3.95</v>
      </c>
      <c r="F3297" s="32">
        <f>SUM(E3293:E3297)</f>
        <v>201.38</v>
      </c>
    </row>
    <row r="3298" spans="1:6" ht="12.75" hidden="1" customHeight="1">
      <c r="A3298" s="12"/>
      <c r="B3298" s="14"/>
      <c r="C3298" s="24"/>
      <c r="D3298" s="35"/>
      <c r="E3298" s="31"/>
      <c r="F3298" s="32"/>
    </row>
    <row r="3299" spans="1:6" ht="12.75" hidden="1" customHeight="1">
      <c r="A3299" s="13" t="s">
        <v>449</v>
      </c>
      <c r="B3299" s="42" t="s">
        <v>151</v>
      </c>
      <c r="C3299" s="29" t="s">
        <v>213</v>
      </c>
      <c r="D3299" s="35"/>
      <c r="E3299" s="31"/>
      <c r="F3299" s="32"/>
    </row>
    <row r="3300" spans="1:6" ht="12.75" hidden="1" customHeight="1">
      <c r="A3300" s="12" t="s">
        <v>1169</v>
      </c>
      <c r="B3300" s="30">
        <v>2.1999999999999999E-2</v>
      </c>
      <c r="C3300" s="24" t="s">
        <v>825</v>
      </c>
      <c r="D3300" s="35">
        <f>D3293</f>
        <v>8006.89</v>
      </c>
      <c r="E3300" s="31">
        <f>ROUND(B3300*D3300,2)</f>
        <v>176.15</v>
      </c>
      <c r="F3300" s="32"/>
    </row>
    <row r="3301" spans="1:6" ht="12.75" hidden="1" customHeight="1">
      <c r="A3301" s="12" t="s">
        <v>183</v>
      </c>
      <c r="B3301" s="30">
        <v>3.3000000000000002E-2</v>
      </c>
      <c r="C3301" s="24" t="s">
        <v>211</v>
      </c>
      <c r="D3301" s="35">
        <f>D3294</f>
        <v>38</v>
      </c>
      <c r="E3301" s="31">
        <f>ROUND(B3301*D3301,2)</f>
        <v>1.25</v>
      </c>
      <c r="F3301" s="32"/>
    </row>
    <row r="3302" spans="1:6" ht="12.75" hidden="1" customHeight="1">
      <c r="A3302" s="12" t="s">
        <v>430</v>
      </c>
      <c r="B3302" s="30">
        <v>1</v>
      </c>
      <c r="C3302" s="24" t="s">
        <v>213</v>
      </c>
      <c r="D3302" s="35">
        <f>horm.ymez.!G23</f>
        <v>20.03</v>
      </c>
      <c r="E3302" s="31">
        <f>ROUND(B3302*D3302,2)</f>
        <v>20.03</v>
      </c>
      <c r="F3302" s="32"/>
    </row>
    <row r="3303" spans="1:6" ht="12.75" hidden="1" customHeight="1">
      <c r="A3303" s="12" t="s">
        <v>1168</v>
      </c>
      <c r="B3303" s="30">
        <v>1</v>
      </c>
      <c r="C3303" s="24" t="s">
        <v>213</v>
      </c>
      <c r="D3303" s="35">
        <f>Prec.!D418</f>
        <v>0</v>
      </c>
      <c r="E3303" s="31">
        <f>ROUND(B3303*D3303,2)</f>
        <v>0</v>
      </c>
      <c r="F3303" s="32"/>
    </row>
    <row r="3304" spans="1:6" ht="12.75" hidden="1" customHeight="1">
      <c r="A3304" s="12" t="s">
        <v>208</v>
      </c>
      <c r="B3304" s="14">
        <f>SUM(E3300:E3303)</f>
        <v>197.43</v>
      </c>
      <c r="C3304" s="24" t="s">
        <v>209</v>
      </c>
      <c r="D3304" s="35">
        <v>0.02</v>
      </c>
      <c r="E3304" s="31">
        <f>ROUND(B3304*D3304,2)</f>
        <v>3.95</v>
      </c>
      <c r="F3304" s="32">
        <f>SUM(E3300:E3304)</f>
        <v>201.38</v>
      </c>
    </row>
    <row r="3305" spans="1:6" ht="12.75" hidden="1" customHeight="1">
      <c r="A3305" s="12"/>
      <c r="B3305" s="14"/>
      <c r="C3305" s="24"/>
      <c r="D3305" s="35"/>
      <c r="E3305" s="31"/>
      <c r="F3305" s="32"/>
    </row>
    <row r="3306" spans="1:6" ht="12.75" hidden="1" customHeight="1">
      <c r="A3306" s="13" t="s">
        <v>831</v>
      </c>
      <c r="B3306" s="42" t="s">
        <v>151</v>
      </c>
      <c r="C3306" s="29" t="s">
        <v>213</v>
      </c>
      <c r="D3306" s="35"/>
      <c r="E3306" s="31"/>
      <c r="F3306" s="32"/>
    </row>
    <row r="3307" spans="1:6" ht="12.75" hidden="1" customHeight="1">
      <c r="A3307" s="12" t="s">
        <v>1169</v>
      </c>
      <c r="B3307" s="30">
        <v>2.1999999999999999E-2</v>
      </c>
      <c r="C3307" s="24" t="s">
        <v>825</v>
      </c>
      <c r="D3307" s="35">
        <f>D3300</f>
        <v>8006.89</v>
      </c>
      <c r="E3307" s="31">
        <f>ROUND(B3307*D3307,2)</f>
        <v>176.15</v>
      </c>
      <c r="F3307" s="32"/>
    </row>
    <row r="3308" spans="1:6" ht="12.75" hidden="1" customHeight="1">
      <c r="A3308" s="12" t="s">
        <v>183</v>
      </c>
      <c r="B3308" s="30">
        <v>3.3000000000000002E-2</v>
      </c>
      <c r="C3308" s="24" t="s">
        <v>211</v>
      </c>
      <c r="D3308" s="35">
        <f>D3301</f>
        <v>38</v>
      </c>
      <c r="E3308" s="31">
        <f>ROUND(B3308*D3308,2)</f>
        <v>1.25</v>
      </c>
      <c r="F3308" s="32"/>
    </row>
    <row r="3309" spans="1:6" ht="12.75" hidden="1" customHeight="1">
      <c r="A3309" s="12" t="s">
        <v>430</v>
      </c>
      <c r="B3309" s="30">
        <v>1</v>
      </c>
      <c r="C3309" s="24" t="s">
        <v>213</v>
      </c>
      <c r="D3309" s="35">
        <f>D3295</f>
        <v>20.03</v>
      </c>
      <c r="E3309" s="31">
        <f>ROUND(B3309*D3309,2)</f>
        <v>20.03</v>
      </c>
      <c r="F3309" s="32"/>
    </row>
    <row r="3310" spans="1:6" ht="12.75" hidden="1" customHeight="1">
      <c r="A3310" s="12" t="s">
        <v>1168</v>
      </c>
      <c r="B3310" s="30">
        <v>1</v>
      </c>
      <c r="C3310" s="24" t="s">
        <v>213</v>
      </c>
      <c r="D3310" s="35">
        <f>Prec.!$D$420</f>
        <v>0</v>
      </c>
      <c r="E3310" s="31">
        <f>ROUND(B3310*D3310,2)</f>
        <v>0</v>
      </c>
      <c r="F3310" s="32"/>
    </row>
    <row r="3311" spans="1:6" ht="12.75" hidden="1" customHeight="1">
      <c r="A3311" s="12" t="s">
        <v>208</v>
      </c>
      <c r="B3311" s="14">
        <f>SUM(E3307:E3310)</f>
        <v>197.43</v>
      </c>
      <c r="C3311" s="24" t="s">
        <v>209</v>
      </c>
      <c r="D3311" s="35">
        <v>0.02</v>
      </c>
      <c r="E3311" s="31">
        <f>ROUND(B3311*D3311,2)</f>
        <v>3.95</v>
      </c>
      <c r="F3311" s="32">
        <f>SUM(E3307:E3311)</f>
        <v>201.38</v>
      </c>
    </row>
    <row r="3312" spans="1:6" ht="12.75" hidden="1" customHeight="1">
      <c r="A3312" s="12"/>
      <c r="B3312" s="14"/>
      <c r="C3312" s="24"/>
      <c r="D3312" s="35"/>
      <c r="E3312" s="31"/>
      <c r="F3312" s="32"/>
    </row>
    <row r="3313" spans="1:6" ht="12.75" hidden="1" customHeight="1">
      <c r="A3313" s="13" t="s">
        <v>450</v>
      </c>
      <c r="B3313" s="42" t="s">
        <v>151</v>
      </c>
      <c r="C3313" s="29" t="s">
        <v>213</v>
      </c>
      <c r="D3313" s="35"/>
      <c r="E3313" s="31"/>
      <c r="F3313" s="32"/>
    </row>
    <row r="3314" spans="1:6" ht="12.75" hidden="1" customHeight="1">
      <c r="A3314" s="12" t="s">
        <v>462</v>
      </c>
      <c r="B3314" s="30">
        <v>2.1999999999999999E-2</v>
      </c>
      <c r="C3314" s="24" t="s">
        <v>825</v>
      </c>
      <c r="D3314" s="35">
        <f>horm.ymez.!G7</f>
        <v>9010.5</v>
      </c>
      <c r="E3314" s="31">
        <f>ROUND(B3314*D3314,2)</f>
        <v>198.23</v>
      </c>
      <c r="F3314" s="32"/>
    </row>
    <row r="3315" spans="1:6" ht="12.75" hidden="1" customHeight="1">
      <c r="A3315" s="12" t="s">
        <v>430</v>
      </c>
      <c r="B3315" s="30">
        <v>1</v>
      </c>
      <c r="C3315" s="24" t="s">
        <v>213</v>
      </c>
      <c r="D3315" s="35">
        <f>D3309</f>
        <v>20.03</v>
      </c>
      <c r="E3315" s="31">
        <f>ROUND(B3315*D3315,2)</f>
        <v>20.03</v>
      </c>
      <c r="F3315" s="32"/>
    </row>
    <row r="3316" spans="1:6" ht="12.75" hidden="1" customHeight="1">
      <c r="A3316" s="12" t="s">
        <v>1168</v>
      </c>
      <c r="B3316" s="30">
        <v>1</v>
      </c>
      <c r="C3316" s="24" t="s">
        <v>213</v>
      </c>
      <c r="D3316" s="35">
        <f>Prec.!$D$423</f>
        <v>0</v>
      </c>
      <c r="E3316" s="31">
        <f>ROUND(B3316*D3316,2)</f>
        <v>0</v>
      </c>
      <c r="F3316" s="32"/>
    </row>
    <row r="3317" spans="1:6" ht="12.75" hidden="1" customHeight="1">
      <c r="A3317" s="12" t="s">
        <v>208</v>
      </c>
      <c r="B3317" s="14">
        <f>SUM(E3314:E3316)</f>
        <v>218.26</v>
      </c>
      <c r="C3317" s="24" t="s">
        <v>209</v>
      </c>
      <c r="D3317" s="35">
        <f>Prec.!C302</f>
        <v>1.4999999999999999E-2</v>
      </c>
      <c r="E3317" s="31">
        <f>ROUND(B3317*D3317,2)</f>
        <v>3.27</v>
      </c>
      <c r="F3317" s="32">
        <f>SUM(E3314:E3317)</f>
        <v>221.53</v>
      </c>
    </row>
    <row r="3318" spans="1:6" ht="10.15" hidden="1" customHeight="1">
      <c r="A3318" s="12"/>
      <c r="B3318" s="14"/>
      <c r="C3318" s="24"/>
      <c r="D3318" s="35"/>
      <c r="E3318" s="31"/>
      <c r="F3318" s="32"/>
    </row>
    <row r="3319" spans="1:6" ht="12.75" hidden="1" customHeight="1">
      <c r="A3319" s="13" t="s">
        <v>451</v>
      </c>
      <c r="B3319" s="42" t="s">
        <v>151</v>
      </c>
      <c r="C3319" s="29" t="s">
        <v>213</v>
      </c>
      <c r="D3319" s="35"/>
      <c r="E3319" s="31"/>
      <c r="F3319" s="32"/>
    </row>
    <row r="3320" spans="1:6" ht="12.75" hidden="1" customHeight="1">
      <c r="A3320" s="12" t="s">
        <v>1</v>
      </c>
      <c r="B3320" s="30">
        <v>5.2999999999999999E-2</v>
      </c>
      <c r="C3320" s="24" t="s">
        <v>823</v>
      </c>
      <c r="D3320" s="41">
        <f>Prec.!$C$5</f>
        <v>425</v>
      </c>
      <c r="E3320" s="31">
        <f t="shared" ref="E3320:E3326" si="264">ROUND(B3320*D3320,2)</f>
        <v>22.53</v>
      </c>
      <c r="F3320" s="32"/>
    </row>
    <row r="3321" spans="1:6" ht="12.75" hidden="1" customHeight="1">
      <c r="A3321" s="12" t="s">
        <v>1169</v>
      </c>
      <c r="B3321" s="30">
        <v>0.02</v>
      </c>
      <c r="C3321" s="24" t="s">
        <v>825</v>
      </c>
      <c r="D3321" s="35">
        <f>horm.ymez.!G12</f>
        <v>8006.89</v>
      </c>
      <c r="E3321" s="31">
        <f t="shared" si="264"/>
        <v>160.13999999999999</v>
      </c>
      <c r="F3321" s="32"/>
    </row>
    <row r="3322" spans="1:6" ht="12.75" hidden="1" customHeight="1">
      <c r="A3322" s="12" t="s">
        <v>183</v>
      </c>
      <c r="B3322" s="30">
        <v>3.3000000000000002E-2</v>
      </c>
      <c r="C3322" s="24" t="s">
        <v>211</v>
      </c>
      <c r="D3322" s="35">
        <f>D3308</f>
        <v>38</v>
      </c>
      <c r="E3322" s="31">
        <f t="shared" si="264"/>
        <v>1.25</v>
      </c>
      <c r="F3322" s="32"/>
    </row>
    <row r="3323" spans="1:6" ht="12.75" hidden="1" customHeight="1">
      <c r="A3323" s="12" t="s">
        <v>430</v>
      </c>
      <c r="B3323" s="30">
        <v>1</v>
      </c>
      <c r="C3323" s="24" t="s">
        <v>213</v>
      </c>
      <c r="D3323" s="35">
        <f>horm.ymez.!G23</f>
        <v>20.03</v>
      </c>
      <c r="E3323" s="31">
        <f t="shared" si="264"/>
        <v>20.03</v>
      </c>
      <c r="F3323" s="32"/>
    </row>
    <row r="3324" spans="1:6" ht="12.75" hidden="1" customHeight="1">
      <c r="A3324" s="12" t="s">
        <v>205</v>
      </c>
      <c r="B3324" s="30">
        <v>5.2999999999999999E-2</v>
      </c>
      <c r="C3324" s="24" t="s">
        <v>823</v>
      </c>
      <c r="D3324" s="35">
        <f>Prec.!D393</f>
        <v>20.38</v>
      </c>
      <c r="E3324" s="31">
        <f t="shared" si="264"/>
        <v>1.08</v>
      </c>
      <c r="F3324" s="32"/>
    </row>
    <row r="3325" spans="1:6" ht="12.75" hidden="1" customHeight="1">
      <c r="A3325" s="12" t="s">
        <v>1168</v>
      </c>
      <c r="B3325" s="30">
        <v>1</v>
      </c>
      <c r="C3325" s="24" t="s">
        <v>213</v>
      </c>
      <c r="D3325" s="35">
        <f>Prec.!$D$424</f>
        <v>0</v>
      </c>
      <c r="E3325" s="31">
        <f t="shared" si="264"/>
        <v>0</v>
      </c>
      <c r="F3325" s="32"/>
    </row>
    <row r="3326" spans="1:6" ht="12.75" hidden="1" customHeight="1">
      <c r="A3326" s="12" t="s">
        <v>208</v>
      </c>
      <c r="B3326" s="14">
        <f>SUM(E3320:E3325)</f>
        <v>205.03</v>
      </c>
      <c r="C3326" s="24" t="s">
        <v>209</v>
      </c>
      <c r="D3326" s="35">
        <f>Prec.!C302</f>
        <v>1.4999999999999999E-2</v>
      </c>
      <c r="E3326" s="31">
        <f t="shared" si="264"/>
        <v>3.08</v>
      </c>
      <c r="F3326" s="32">
        <f>SUM(E3320:E3326)</f>
        <v>208.11</v>
      </c>
    </row>
    <row r="3327" spans="1:6" ht="10.15" hidden="1" customHeight="1">
      <c r="A3327" s="12"/>
      <c r="B3327" s="14"/>
      <c r="C3327" s="24"/>
      <c r="D3327" s="35"/>
      <c r="E3327" s="31"/>
      <c r="F3327" s="32"/>
    </row>
    <row r="3328" spans="1:6" ht="12.75" hidden="1" customHeight="1">
      <c r="A3328" s="13" t="s">
        <v>453</v>
      </c>
      <c r="B3328" s="42" t="s">
        <v>151</v>
      </c>
      <c r="C3328" s="29" t="s">
        <v>213</v>
      </c>
      <c r="D3328" s="35"/>
      <c r="E3328" s="31"/>
      <c r="F3328" s="32"/>
    </row>
    <row r="3329" spans="1:13" ht="12.75" hidden="1" customHeight="1">
      <c r="A3329" s="12" t="s">
        <v>1169</v>
      </c>
      <c r="B3329" s="30">
        <v>2.1999999999999999E-2</v>
      </c>
      <c r="C3329" s="24" t="s">
        <v>825</v>
      </c>
      <c r="D3329" s="35">
        <f>D3321</f>
        <v>8006.89</v>
      </c>
      <c r="E3329" s="31">
        <f>ROUND(B3329*D3329,2)</f>
        <v>176.15</v>
      </c>
      <c r="F3329" s="32"/>
    </row>
    <row r="3330" spans="1:13" ht="12.75" hidden="1" customHeight="1">
      <c r="A3330" s="12" t="s">
        <v>183</v>
      </c>
      <c r="B3330" s="30">
        <v>3.3000000000000002E-2</v>
      </c>
      <c r="C3330" s="24" t="s">
        <v>211</v>
      </c>
      <c r="D3330" s="35">
        <f>D3308</f>
        <v>38</v>
      </c>
      <c r="E3330" s="31">
        <f>ROUND(B3330*D3330,2)</f>
        <v>1.25</v>
      </c>
      <c r="F3330" s="32"/>
    </row>
    <row r="3331" spans="1:13" ht="12.75" hidden="1" customHeight="1">
      <c r="A3331" s="12" t="s">
        <v>430</v>
      </c>
      <c r="B3331" s="30">
        <v>1</v>
      </c>
      <c r="C3331" s="24" t="s">
        <v>213</v>
      </c>
      <c r="D3331" s="35">
        <f>D3323</f>
        <v>20.03</v>
      </c>
      <c r="E3331" s="31">
        <f>ROUND(B3331*D3331,2)</f>
        <v>20.03</v>
      </c>
      <c r="F3331" s="32"/>
    </row>
    <row r="3332" spans="1:13" ht="12.75" hidden="1" customHeight="1">
      <c r="A3332" s="12" t="s">
        <v>1168</v>
      </c>
      <c r="B3332" s="30">
        <v>1</v>
      </c>
      <c r="C3332" s="24" t="s">
        <v>213</v>
      </c>
      <c r="D3332" s="35">
        <f>Prec.!$D$426</f>
        <v>0</v>
      </c>
      <c r="E3332" s="31">
        <f>ROUND(B3332*D3332,2)</f>
        <v>0</v>
      </c>
      <c r="F3332" s="32"/>
    </row>
    <row r="3333" spans="1:13" ht="12.75" hidden="1" customHeight="1">
      <c r="A3333" s="12" t="s">
        <v>208</v>
      </c>
      <c r="B3333" s="14">
        <f>SUM(E3329:E3332)</f>
        <v>197.43</v>
      </c>
      <c r="C3333" s="24" t="s">
        <v>209</v>
      </c>
      <c r="D3333" s="35">
        <f>Prec.!C302</f>
        <v>1.4999999999999999E-2</v>
      </c>
      <c r="E3333" s="31">
        <f>ROUND(B3333*D3333,2)</f>
        <v>2.96</v>
      </c>
      <c r="F3333" s="32">
        <f>SUM(E3329:E3333)</f>
        <v>200.39000000000001</v>
      </c>
    </row>
    <row r="3334" spans="1:13" ht="10.15" hidden="1" customHeight="1">
      <c r="A3334" s="12"/>
      <c r="B3334" s="14"/>
      <c r="C3334" s="24"/>
      <c r="D3334" s="35"/>
      <c r="E3334" s="31"/>
      <c r="F3334" s="32"/>
    </row>
    <row r="3335" spans="1:13" ht="12.75" hidden="1" customHeight="1">
      <c r="A3335" s="13" t="s">
        <v>454</v>
      </c>
      <c r="B3335" s="42" t="s">
        <v>151</v>
      </c>
      <c r="C3335" s="29" t="s">
        <v>213</v>
      </c>
      <c r="D3335" s="35"/>
      <c r="E3335" s="31"/>
      <c r="F3335" s="32"/>
    </row>
    <row r="3336" spans="1:13" ht="12.75" hidden="1" customHeight="1">
      <c r="A3336" s="12" t="s">
        <v>1169</v>
      </c>
      <c r="B3336" s="30">
        <v>2.1999999999999999E-2</v>
      </c>
      <c r="C3336" s="24" t="s">
        <v>825</v>
      </c>
      <c r="D3336" s="35">
        <f>D3329</f>
        <v>8006.89</v>
      </c>
      <c r="E3336" s="31">
        <f>ROUND(B3336*D3336,2)</f>
        <v>176.15</v>
      </c>
      <c r="F3336" s="32"/>
    </row>
    <row r="3337" spans="1:13" ht="12.75" hidden="1" customHeight="1">
      <c r="A3337" s="12" t="s">
        <v>183</v>
      </c>
      <c r="B3337" s="30">
        <v>3.3000000000000002E-2</v>
      </c>
      <c r="C3337" s="24" t="s">
        <v>211</v>
      </c>
      <c r="D3337" s="35">
        <f>D3330</f>
        <v>38</v>
      </c>
      <c r="E3337" s="31">
        <f>ROUND(B3337*D3337,2)</f>
        <v>1.25</v>
      </c>
      <c r="F3337" s="32"/>
    </row>
    <row r="3338" spans="1:13" ht="12.75" hidden="1" customHeight="1">
      <c r="A3338" s="12" t="s">
        <v>430</v>
      </c>
      <c r="B3338" s="30">
        <v>1</v>
      </c>
      <c r="C3338" s="24" t="s">
        <v>213</v>
      </c>
      <c r="D3338" s="35">
        <f>D3331</f>
        <v>20.03</v>
      </c>
      <c r="E3338" s="31">
        <f>ROUND(B3338*D3338,2)</f>
        <v>20.03</v>
      </c>
      <c r="F3338" s="32"/>
    </row>
    <row r="3339" spans="1:13" ht="12.75" hidden="1" customHeight="1">
      <c r="A3339" s="12" t="s">
        <v>1168</v>
      </c>
      <c r="B3339" s="30">
        <v>1</v>
      </c>
      <c r="C3339" s="24" t="s">
        <v>213</v>
      </c>
      <c r="D3339" s="35">
        <f>Prec.!$D$427</f>
        <v>0</v>
      </c>
      <c r="E3339" s="31">
        <f>ROUND(B3339*D3339,2)</f>
        <v>0</v>
      </c>
      <c r="F3339" s="32"/>
    </row>
    <row r="3340" spans="1:13" ht="12.75" hidden="1" customHeight="1">
      <c r="A3340" s="12" t="s">
        <v>208</v>
      </c>
      <c r="B3340" s="14">
        <f>SUM(E3336:E3339)</f>
        <v>197.43</v>
      </c>
      <c r="C3340" s="24" t="s">
        <v>209</v>
      </c>
      <c r="D3340" s="35">
        <f>Prec.!C302</f>
        <v>1.4999999999999999E-2</v>
      </c>
      <c r="E3340" s="31">
        <f>ROUND(B3340*D3340,2)</f>
        <v>2.96</v>
      </c>
      <c r="F3340" s="32">
        <f>SUM(E3336:E3340)</f>
        <v>200.39000000000001</v>
      </c>
    </row>
    <row r="3341" spans="1:13" s="166" customFormat="1" ht="12.75" hidden="1" customHeight="1">
      <c r="A3341" s="12"/>
      <c r="B3341" s="14"/>
      <c r="C3341" s="24"/>
      <c r="D3341" s="35"/>
      <c r="E3341" s="31"/>
      <c r="F3341" s="32"/>
      <c r="G3341" s="15"/>
      <c r="H3341" s="21"/>
      <c r="I3341" s="15"/>
      <c r="J3341" s="15"/>
      <c r="K3341" s="15"/>
      <c r="L3341" s="21"/>
      <c r="M3341" s="15"/>
    </row>
    <row r="3342" spans="1:13" ht="12.75" hidden="1" customHeight="1">
      <c r="A3342" s="13" t="s">
        <v>456</v>
      </c>
      <c r="B3342" s="42" t="s">
        <v>151</v>
      </c>
      <c r="C3342" s="29" t="s">
        <v>213</v>
      </c>
      <c r="D3342" s="35"/>
      <c r="E3342" s="31"/>
      <c r="F3342" s="32"/>
    </row>
    <row r="3343" spans="1:13" ht="12.75" hidden="1" customHeight="1">
      <c r="A3343" s="12" t="s">
        <v>1169</v>
      </c>
      <c r="B3343" s="30">
        <v>8.9999999999999993E-3</v>
      </c>
      <c r="C3343" s="24" t="s">
        <v>825</v>
      </c>
      <c r="D3343" s="35">
        <f>D3336</f>
        <v>8006.89</v>
      </c>
      <c r="E3343" s="31">
        <f>ROUND(B3343*D3343,2)</f>
        <v>72.06</v>
      </c>
      <c r="F3343" s="32"/>
    </row>
    <row r="3344" spans="1:13" ht="12.75" hidden="1" customHeight="1">
      <c r="A3344" s="12" t="s">
        <v>1168</v>
      </c>
      <c r="B3344" s="30">
        <v>12.5</v>
      </c>
      <c r="C3344" s="24" t="s">
        <v>215</v>
      </c>
      <c r="D3344" s="35">
        <f>Prec.!$D$339</f>
        <v>0</v>
      </c>
      <c r="E3344" s="31">
        <f>ROUND(B3344*D3344,2)</f>
        <v>0</v>
      </c>
      <c r="F3344" s="32"/>
    </row>
    <row r="3345" spans="1:13" ht="12.75" hidden="1" customHeight="1">
      <c r="A3345" s="12" t="s">
        <v>208</v>
      </c>
      <c r="B3345" s="14">
        <f>SUM(E3343:E3344)</f>
        <v>72.06</v>
      </c>
      <c r="C3345" s="24" t="s">
        <v>209</v>
      </c>
      <c r="D3345" s="35">
        <f>Prec.!C302</f>
        <v>1.4999999999999999E-2</v>
      </c>
      <c r="E3345" s="31">
        <f>ROUND(B3345*D3345,2)</f>
        <v>1.08</v>
      </c>
      <c r="F3345" s="32">
        <f>SUM(E3343:E3345)</f>
        <v>73.14</v>
      </c>
    </row>
    <row r="3346" spans="1:13" ht="12.75" hidden="1" customHeight="1">
      <c r="A3346" s="12"/>
      <c r="B3346" s="14"/>
      <c r="C3346" s="24"/>
      <c r="D3346" s="35"/>
      <c r="E3346" s="31"/>
      <c r="F3346" s="32"/>
    </row>
    <row r="3347" spans="1:13" ht="12.75" hidden="1" customHeight="1">
      <c r="A3347" s="13" t="s">
        <v>455</v>
      </c>
      <c r="B3347" s="42" t="s">
        <v>151</v>
      </c>
      <c r="C3347" s="29" t="s">
        <v>213</v>
      </c>
      <c r="D3347" s="35"/>
      <c r="E3347" s="31"/>
      <c r="F3347" s="32"/>
    </row>
    <row r="3348" spans="1:13" ht="12.75" hidden="1" customHeight="1">
      <c r="A3348" s="12" t="s">
        <v>663</v>
      </c>
      <c r="B3348" s="30">
        <v>8.0000000000000002E-3</v>
      </c>
      <c r="C3348" s="24" t="s">
        <v>825</v>
      </c>
      <c r="D3348" s="35">
        <f>horm.ymez.!G10</f>
        <v>5672.4999999999991</v>
      </c>
      <c r="E3348" s="31">
        <f>ROUND(B3348*D3348,2)</f>
        <v>45.38</v>
      </c>
      <c r="F3348" s="32"/>
    </row>
    <row r="3349" spans="1:13" ht="12.75" hidden="1" customHeight="1">
      <c r="A3349" s="12" t="s">
        <v>1167</v>
      </c>
      <c r="B3349" s="30">
        <v>1</v>
      </c>
      <c r="C3349" s="24" t="s">
        <v>213</v>
      </c>
      <c r="D3349" s="35">
        <f>Prec.!$D$430</f>
        <v>0</v>
      </c>
      <c r="E3349" s="31">
        <f>ROUND(B3349*D3349,2)</f>
        <v>0</v>
      </c>
      <c r="F3349" s="32"/>
    </row>
    <row r="3350" spans="1:13" ht="12.75" hidden="1" customHeight="1">
      <c r="A3350" s="12" t="s">
        <v>208</v>
      </c>
      <c r="B3350" s="14">
        <f>SUM(E3348:E3349)</f>
        <v>45.38</v>
      </c>
      <c r="C3350" s="24" t="s">
        <v>209</v>
      </c>
      <c r="D3350" s="35">
        <v>0.02</v>
      </c>
      <c r="E3350" s="31">
        <f>ROUND(B3350*D3350,2)</f>
        <v>0.91</v>
      </c>
      <c r="F3350" s="32">
        <f>SUM(E3348:E3350)</f>
        <v>46.29</v>
      </c>
    </row>
    <row r="3351" spans="1:13" ht="5.25" hidden="1" customHeight="1">
      <c r="A3351" s="12"/>
      <c r="B3351" s="14"/>
      <c r="C3351" s="24"/>
      <c r="D3351" s="35"/>
      <c r="E3351" s="31"/>
      <c r="F3351" s="32"/>
    </row>
    <row r="3352" spans="1:13" s="166" customFormat="1" ht="5.25" hidden="1" customHeight="1">
      <c r="A3352" s="12"/>
      <c r="B3352" s="14"/>
      <c r="C3352" s="24"/>
      <c r="D3352" s="35"/>
      <c r="E3352" s="31"/>
      <c r="F3352" s="32"/>
      <c r="G3352" s="15"/>
      <c r="H3352" s="21"/>
      <c r="I3352" s="15"/>
      <c r="J3352" s="15"/>
      <c r="K3352" s="15"/>
      <c r="L3352" s="21"/>
      <c r="M3352" s="15"/>
    </row>
    <row r="3353" spans="1:13" ht="12.75" hidden="1" customHeight="1">
      <c r="A3353" s="13" t="s">
        <v>91</v>
      </c>
      <c r="B3353" s="42" t="s">
        <v>151</v>
      </c>
      <c r="C3353" s="29" t="s">
        <v>1171</v>
      </c>
      <c r="D3353" s="35"/>
      <c r="E3353" s="31"/>
      <c r="F3353" s="32"/>
    </row>
    <row r="3354" spans="1:13" ht="12.75" hidden="1" customHeight="1">
      <c r="A3354" s="12" t="s">
        <v>1169</v>
      </c>
      <c r="B3354" s="30">
        <v>4.0000000000000001E-3</v>
      </c>
      <c r="C3354" s="24" t="s">
        <v>825</v>
      </c>
      <c r="D3354" s="35">
        <f>D3343</f>
        <v>8006.89</v>
      </c>
      <c r="E3354" s="31">
        <f>ROUND(B3354*D3354,2)</f>
        <v>32.03</v>
      </c>
      <c r="F3354" s="32"/>
    </row>
    <row r="3355" spans="1:13" ht="12.75" hidden="1" customHeight="1">
      <c r="A3355" s="12" t="s">
        <v>183</v>
      </c>
      <c r="B3355" s="30">
        <v>0.109</v>
      </c>
      <c r="C3355" s="24" t="s">
        <v>211</v>
      </c>
      <c r="D3355" s="35">
        <f>D3330</f>
        <v>38</v>
      </c>
      <c r="E3355" s="31">
        <f>ROUND(B3355*D3355,2)</f>
        <v>4.1399999999999997</v>
      </c>
      <c r="F3355" s="32"/>
    </row>
    <row r="3356" spans="1:13" ht="12.75" hidden="1" customHeight="1">
      <c r="A3356" s="12" t="s">
        <v>1168</v>
      </c>
      <c r="B3356" s="30">
        <v>1</v>
      </c>
      <c r="C3356" s="24" t="s">
        <v>1171</v>
      </c>
      <c r="D3356" s="35">
        <f>Prec.!$D$438</f>
        <v>0</v>
      </c>
      <c r="E3356" s="31">
        <f>ROUND(B3356*D3356,2)</f>
        <v>0</v>
      </c>
      <c r="F3356" s="32"/>
    </row>
    <row r="3357" spans="1:13" ht="12.75" hidden="1" customHeight="1">
      <c r="A3357" s="12" t="s">
        <v>208</v>
      </c>
      <c r="B3357" s="14">
        <f>SUM(E3354:E3356)</f>
        <v>36.17</v>
      </c>
      <c r="C3357" s="24" t="s">
        <v>209</v>
      </c>
      <c r="D3357" s="35">
        <v>0.02</v>
      </c>
      <c r="E3357" s="31">
        <f>ROUND(B3357*D3357,2)</f>
        <v>0.72</v>
      </c>
      <c r="F3357" s="32">
        <f>SUM(E3354:E3357)</f>
        <v>36.89</v>
      </c>
    </row>
    <row r="3358" spans="1:13" s="166" customFormat="1" ht="8.25" hidden="1" customHeight="1">
      <c r="A3358" s="12"/>
      <c r="B3358" s="14"/>
      <c r="C3358" s="24"/>
      <c r="D3358" s="35"/>
      <c r="E3358" s="31"/>
      <c r="F3358" s="32"/>
      <c r="G3358" s="15"/>
      <c r="H3358" s="21"/>
      <c r="I3358" s="15"/>
      <c r="J3358" s="15"/>
      <c r="K3358" s="15"/>
      <c r="L3358" s="21"/>
      <c r="M3358" s="15"/>
    </row>
    <row r="3359" spans="1:13" ht="12" hidden="1" customHeight="1">
      <c r="A3359" s="13" t="s">
        <v>969</v>
      </c>
      <c r="B3359" s="42" t="s">
        <v>151</v>
      </c>
      <c r="C3359" s="29" t="s">
        <v>213</v>
      </c>
      <c r="D3359" s="35"/>
      <c r="E3359" s="31"/>
      <c r="F3359" s="32"/>
    </row>
    <row r="3360" spans="1:13" ht="12" hidden="1" customHeight="1">
      <c r="A3360" s="12" t="s">
        <v>1169</v>
      </c>
      <c r="B3360" s="30">
        <v>7.0000000000000001E-3</v>
      </c>
      <c r="C3360" s="24" t="s">
        <v>825</v>
      </c>
      <c r="D3360" s="35">
        <f>D3343</f>
        <v>8006.89</v>
      </c>
      <c r="E3360" s="31">
        <f>ROUND(B3360*D3360,2)</f>
        <v>56.05</v>
      </c>
      <c r="F3360" s="32"/>
    </row>
    <row r="3361" spans="1:6" ht="12" hidden="1" customHeight="1">
      <c r="A3361" s="12" t="s">
        <v>183</v>
      </c>
      <c r="B3361" s="30">
        <v>3.3000000000000002E-2</v>
      </c>
      <c r="C3361" s="24" t="s">
        <v>211</v>
      </c>
      <c r="D3361" s="35">
        <f>D3355</f>
        <v>38</v>
      </c>
      <c r="E3361" s="31">
        <f>ROUND(B3361*D3361,2)</f>
        <v>1.25</v>
      </c>
      <c r="F3361" s="32"/>
    </row>
    <row r="3362" spans="1:6" ht="12" hidden="1" customHeight="1">
      <c r="A3362" s="12" t="s">
        <v>430</v>
      </c>
      <c r="B3362" s="30">
        <v>1</v>
      </c>
      <c r="C3362" s="24" t="s">
        <v>213</v>
      </c>
      <c r="D3362" s="35">
        <f>horm.ymez.!G23</f>
        <v>20.03</v>
      </c>
      <c r="E3362" s="31">
        <f>ROUND(B3362*D3362,2)</f>
        <v>20.03</v>
      </c>
      <c r="F3362" s="32"/>
    </row>
    <row r="3363" spans="1:6" ht="12" hidden="1" customHeight="1">
      <c r="A3363" s="12" t="s">
        <v>1168</v>
      </c>
      <c r="B3363" s="30">
        <v>1</v>
      </c>
      <c r="C3363" s="24" t="s">
        <v>213</v>
      </c>
      <c r="D3363" s="35">
        <f>Prec.!$D$436</f>
        <v>0</v>
      </c>
      <c r="E3363" s="31">
        <f>ROUND(B3363*D3363,2)</f>
        <v>0</v>
      </c>
      <c r="F3363" s="32"/>
    </row>
    <row r="3364" spans="1:6" ht="12" hidden="1" customHeight="1">
      <c r="A3364" s="12" t="s">
        <v>208</v>
      </c>
      <c r="B3364" s="14">
        <f>SUM(E3360:E3363)</f>
        <v>77.33</v>
      </c>
      <c r="C3364" s="24" t="s">
        <v>209</v>
      </c>
      <c r="D3364" s="35">
        <f>Prec.!C302</f>
        <v>1.4999999999999999E-2</v>
      </c>
      <c r="E3364" s="31">
        <f>ROUND(B3364*D3364,2)</f>
        <v>1.1599999999999999</v>
      </c>
      <c r="F3364" s="32">
        <f>SUM(E3360:E3364)</f>
        <v>78.489999999999995</v>
      </c>
    </row>
    <row r="3365" spans="1:6" ht="12" hidden="1" customHeight="1">
      <c r="A3365" s="12"/>
      <c r="B3365" s="14"/>
      <c r="C3365" s="24"/>
      <c r="D3365" s="35"/>
      <c r="E3365" s="31"/>
      <c r="F3365" s="32"/>
    </row>
    <row r="3366" spans="1:6" ht="12" hidden="1" customHeight="1">
      <c r="A3366" s="13" t="s">
        <v>970</v>
      </c>
      <c r="B3366" s="42" t="s">
        <v>151</v>
      </c>
      <c r="C3366" s="29" t="s">
        <v>213</v>
      </c>
      <c r="D3366" s="35"/>
      <c r="E3366" s="31"/>
      <c r="F3366" s="32"/>
    </row>
    <row r="3367" spans="1:6" ht="12" hidden="1" customHeight="1">
      <c r="A3367" s="12" t="s">
        <v>1169</v>
      </c>
      <c r="B3367" s="30">
        <v>7.0000000000000001E-3</v>
      </c>
      <c r="C3367" s="24" t="s">
        <v>825</v>
      </c>
      <c r="D3367" s="35">
        <f>D3360</f>
        <v>8006.89</v>
      </c>
      <c r="E3367" s="31">
        <f>ROUND(B3367*D3367,2)</f>
        <v>56.05</v>
      </c>
      <c r="F3367" s="32"/>
    </row>
    <row r="3368" spans="1:6" ht="12" hidden="1" customHeight="1">
      <c r="A3368" s="12" t="s">
        <v>183</v>
      </c>
      <c r="B3368" s="30">
        <v>3.3000000000000002E-2</v>
      </c>
      <c r="C3368" s="24" t="s">
        <v>211</v>
      </c>
      <c r="D3368" s="35">
        <f>D3361</f>
        <v>38</v>
      </c>
      <c r="E3368" s="31">
        <f>ROUND(B3368*D3368,2)</f>
        <v>1.25</v>
      </c>
      <c r="F3368" s="32"/>
    </row>
    <row r="3369" spans="1:6" ht="12" hidden="1" customHeight="1">
      <c r="A3369" s="12" t="s">
        <v>430</v>
      </c>
      <c r="B3369" s="30">
        <v>1</v>
      </c>
      <c r="C3369" s="24" t="s">
        <v>213</v>
      </c>
      <c r="D3369" s="35">
        <f>D3362</f>
        <v>20.03</v>
      </c>
      <c r="E3369" s="31">
        <f>ROUND(B3369*D3369,2)</f>
        <v>20.03</v>
      </c>
      <c r="F3369" s="32"/>
    </row>
    <row r="3370" spans="1:6" ht="12" hidden="1" customHeight="1">
      <c r="A3370" s="12" t="s">
        <v>1168</v>
      </c>
      <c r="B3370" s="30">
        <v>1</v>
      </c>
      <c r="C3370" s="24" t="s">
        <v>213</v>
      </c>
      <c r="D3370" s="35">
        <f>Prec.!$D$437</f>
        <v>0</v>
      </c>
      <c r="E3370" s="31">
        <f>ROUND(B3370*D3370,2)</f>
        <v>0</v>
      </c>
      <c r="F3370" s="32"/>
    </row>
    <row r="3371" spans="1:6" ht="12" hidden="1" customHeight="1">
      <c r="A3371" s="12" t="s">
        <v>208</v>
      </c>
      <c r="B3371" s="14">
        <f>SUM(E3367:E3370)</f>
        <v>77.33</v>
      </c>
      <c r="C3371" s="24" t="s">
        <v>209</v>
      </c>
      <c r="D3371" s="35">
        <f>Prec.!C302</f>
        <v>1.4999999999999999E-2</v>
      </c>
      <c r="E3371" s="31">
        <f>ROUND(B3371*D3371,2)</f>
        <v>1.1599999999999999</v>
      </c>
      <c r="F3371" s="32">
        <f>SUM(E3367:E3371)</f>
        <v>78.489999999999995</v>
      </c>
    </row>
    <row r="3372" spans="1:6" ht="12" hidden="1" customHeight="1">
      <c r="A3372" s="12"/>
      <c r="B3372" s="14"/>
      <c r="C3372" s="24"/>
      <c r="D3372" s="35"/>
      <c r="E3372" s="31"/>
      <c r="F3372" s="32"/>
    </row>
    <row r="3373" spans="1:6" ht="12" hidden="1" customHeight="1">
      <c r="A3373" s="13" t="s">
        <v>971</v>
      </c>
      <c r="B3373" s="42" t="s">
        <v>151</v>
      </c>
      <c r="C3373" s="29" t="s">
        <v>213</v>
      </c>
      <c r="D3373" s="35"/>
      <c r="E3373" s="31"/>
      <c r="F3373" s="32"/>
    </row>
    <row r="3374" spans="1:6" ht="12" hidden="1" customHeight="1">
      <c r="A3374" s="12" t="s">
        <v>427</v>
      </c>
      <c r="B3374" s="30">
        <v>0.02</v>
      </c>
      <c r="C3374" s="24" t="s">
        <v>825</v>
      </c>
      <c r="D3374" s="35">
        <f>horm.ymez.!G8</f>
        <v>7343.1500000000005</v>
      </c>
      <c r="E3374" s="31">
        <f>ROUND(B3374*D3374,2)</f>
        <v>146.86000000000001</v>
      </c>
      <c r="F3374" s="32"/>
    </row>
    <row r="3375" spans="1:6" ht="12" hidden="1" customHeight="1">
      <c r="A3375" s="12" t="s">
        <v>183</v>
      </c>
      <c r="B3375" s="30">
        <v>3.3000000000000002E-2</v>
      </c>
      <c r="C3375" s="24" t="s">
        <v>211</v>
      </c>
      <c r="D3375" s="35">
        <f>D3368</f>
        <v>38</v>
      </c>
      <c r="E3375" s="31">
        <f>ROUND(B3375*D3375,2)</f>
        <v>1.25</v>
      </c>
      <c r="F3375" s="32"/>
    </row>
    <row r="3376" spans="1:6" ht="12" hidden="1" customHeight="1">
      <c r="A3376" s="12" t="s">
        <v>430</v>
      </c>
      <c r="B3376" s="30">
        <v>1</v>
      </c>
      <c r="C3376" s="24" t="s">
        <v>213</v>
      </c>
      <c r="D3376" s="35">
        <f>D3369</f>
        <v>20.03</v>
      </c>
      <c r="E3376" s="31">
        <f>ROUND(B3376*D3376,2)</f>
        <v>20.03</v>
      </c>
      <c r="F3376" s="32"/>
    </row>
    <row r="3377" spans="1:6" ht="12" hidden="1" customHeight="1">
      <c r="A3377" s="12" t="s">
        <v>1168</v>
      </c>
      <c r="B3377" s="30">
        <v>1</v>
      </c>
      <c r="C3377" s="24" t="s">
        <v>213</v>
      </c>
      <c r="D3377" s="35">
        <f>Prec.!$D$432</f>
        <v>0</v>
      </c>
      <c r="E3377" s="31">
        <f>ROUND(B3377*D3377,2)</f>
        <v>0</v>
      </c>
      <c r="F3377" s="32"/>
    </row>
    <row r="3378" spans="1:6" ht="12" hidden="1" customHeight="1">
      <c r="A3378" s="12" t="s">
        <v>208</v>
      </c>
      <c r="B3378" s="14">
        <f>SUM(E3374:E3377)</f>
        <v>168.14000000000001</v>
      </c>
      <c r="C3378" s="24" t="s">
        <v>209</v>
      </c>
      <c r="D3378" s="35">
        <f>Prec.!C302</f>
        <v>1.4999999999999999E-2</v>
      </c>
      <c r="E3378" s="31">
        <f>ROUND(B3378*D3378,2)</f>
        <v>2.52</v>
      </c>
      <c r="F3378" s="32">
        <f>SUM(E3374:E3378)</f>
        <v>170.66000000000003</v>
      </c>
    </row>
    <row r="3379" spans="1:6" ht="6.75" hidden="1" customHeight="1">
      <c r="A3379" s="12"/>
      <c r="B3379" s="14"/>
      <c r="C3379" s="24"/>
      <c r="D3379" s="35"/>
      <c r="E3379" s="31"/>
      <c r="F3379" s="32"/>
    </row>
    <row r="3380" spans="1:6" ht="12" hidden="1" customHeight="1">
      <c r="A3380" s="13" t="s">
        <v>972</v>
      </c>
      <c r="B3380" s="42" t="s">
        <v>151</v>
      </c>
      <c r="C3380" s="29" t="s">
        <v>213</v>
      </c>
      <c r="D3380" s="35"/>
      <c r="E3380" s="31"/>
      <c r="F3380" s="32"/>
    </row>
    <row r="3381" spans="1:6" ht="12" hidden="1" customHeight="1">
      <c r="A3381" s="12" t="s">
        <v>427</v>
      </c>
      <c r="B3381" s="30">
        <v>0.02</v>
      </c>
      <c r="C3381" s="24" t="s">
        <v>825</v>
      </c>
      <c r="D3381" s="35">
        <f>D3374</f>
        <v>7343.1500000000005</v>
      </c>
      <c r="E3381" s="31">
        <f>ROUND(B3381*D3381,2)</f>
        <v>146.86000000000001</v>
      </c>
      <c r="F3381" s="32"/>
    </row>
    <row r="3382" spans="1:6" ht="12" hidden="1" customHeight="1">
      <c r="A3382" s="12" t="s">
        <v>183</v>
      </c>
      <c r="B3382" s="30">
        <v>3.3000000000000002E-2</v>
      </c>
      <c r="C3382" s="24" t="s">
        <v>211</v>
      </c>
      <c r="D3382" s="35">
        <f>D3368</f>
        <v>38</v>
      </c>
      <c r="E3382" s="31">
        <f>ROUND(B3382*D3382,2)</f>
        <v>1.25</v>
      </c>
      <c r="F3382" s="32"/>
    </row>
    <row r="3383" spans="1:6" ht="12" hidden="1" customHeight="1">
      <c r="A3383" s="12" t="s">
        <v>430</v>
      </c>
      <c r="B3383" s="30">
        <v>1</v>
      </c>
      <c r="C3383" s="24" t="s">
        <v>213</v>
      </c>
      <c r="D3383" s="35">
        <f>D3376</f>
        <v>20.03</v>
      </c>
      <c r="E3383" s="31">
        <f>ROUND(B3383*D3383,2)</f>
        <v>20.03</v>
      </c>
      <c r="F3383" s="32"/>
    </row>
    <row r="3384" spans="1:6" ht="12" hidden="1" customHeight="1">
      <c r="A3384" s="12" t="s">
        <v>1168</v>
      </c>
      <c r="B3384" s="30">
        <v>1</v>
      </c>
      <c r="C3384" s="24" t="s">
        <v>213</v>
      </c>
      <c r="D3384" s="35">
        <f>Prec.!$D$433</f>
        <v>0</v>
      </c>
      <c r="E3384" s="31">
        <f>ROUND(B3384*D3384,2)</f>
        <v>0</v>
      </c>
      <c r="F3384" s="32"/>
    </row>
    <row r="3385" spans="1:6" ht="12" hidden="1" customHeight="1">
      <c r="A3385" s="12" t="s">
        <v>208</v>
      </c>
      <c r="B3385" s="14">
        <f>SUM(E3381:E3384)</f>
        <v>168.14000000000001</v>
      </c>
      <c r="C3385" s="24" t="s">
        <v>209</v>
      </c>
      <c r="D3385" s="35">
        <f>Prec.!C302</f>
        <v>1.4999999999999999E-2</v>
      </c>
      <c r="E3385" s="31">
        <f>ROUND(B3385*D3385,2)</f>
        <v>2.52</v>
      </c>
      <c r="F3385" s="32">
        <f>SUM(E3381:E3385)</f>
        <v>170.66000000000003</v>
      </c>
    </row>
    <row r="3386" spans="1:6" ht="6" hidden="1" customHeight="1">
      <c r="A3386" s="12"/>
      <c r="B3386" s="14"/>
      <c r="C3386" s="24"/>
      <c r="D3386" s="35"/>
      <c r="E3386" s="31"/>
      <c r="F3386" s="32"/>
    </row>
    <row r="3387" spans="1:6" ht="12" hidden="1" customHeight="1">
      <c r="A3387" s="13" t="s">
        <v>973</v>
      </c>
      <c r="B3387" s="42" t="s">
        <v>151</v>
      </c>
      <c r="C3387" s="29" t="s">
        <v>825</v>
      </c>
      <c r="D3387" s="35"/>
      <c r="E3387" s="31"/>
      <c r="F3387" s="32"/>
    </row>
    <row r="3388" spans="1:6" ht="12" hidden="1" customHeight="1">
      <c r="A3388" s="12" t="s">
        <v>427</v>
      </c>
      <c r="B3388" s="30">
        <v>1.2999999999999999E-2</v>
      </c>
      <c r="C3388" s="24" t="s">
        <v>825</v>
      </c>
      <c r="D3388" s="35">
        <f>D3381</f>
        <v>7343.1500000000005</v>
      </c>
      <c r="E3388" s="31">
        <f>ROUND(B3388*D3388,2)</f>
        <v>95.46</v>
      </c>
      <c r="F3388" s="32"/>
    </row>
    <row r="3389" spans="1:6" ht="12" hidden="1" customHeight="1">
      <c r="A3389" s="12" t="s">
        <v>1168</v>
      </c>
      <c r="B3389" s="30">
        <v>1</v>
      </c>
      <c r="C3389" s="24" t="s">
        <v>213</v>
      </c>
      <c r="D3389" s="35">
        <f>Prec.!$D$431</f>
        <v>0</v>
      </c>
      <c r="E3389" s="31">
        <f>ROUND(B3389*D3389,2)</f>
        <v>0</v>
      </c>
      <c r="F3389" s="32"/>
    </row>
    <row r="3390" spans="1:6" ht="12" hidden="1" customHeight="1">
      <c r="A3390" s="12" t="s">
        <v>208</v>
      </c>
      <c r="B3390" s="14">
        <f>SUM(E3388:E3389)</f>
        <v>95.46</v>
      </c>
      <c r="C3390" s="24" t="s">
        <v>209</v>
      </c>
      <c r="D3390" s="35">
        <f>Prec.!C302</f>
        <v>1.4999999999999999E-2</v>
      </c>
      <c r="E3390" s="31">
        <f>ROUND(B3390*D3390,2)</f>
        <v>1.43</v>
      </c>
      <c r="F3390" s="32">
        <f>SUM(E3388:E3390)</f>
        <v>96.89</v>
      </c>
    </row>
    <row r="3391" spans="1:6" ht="12" hidden="1" customHeight="1">
      <c r="A3391" s="12"/>
      <c r="B3391" s="14"/>
      <c r="C3391" s="24"/>
      <c r="D3391" s="35"/>
      <c r="E3391" s="31"/>
      <c r="F3391" s="32"/>
    </row>
    <row r="3392" spans="1:6" ht="12" hidden="1" customHeight="1">
      <c r="A3392" s="13" t="s">
        <v>974</v>
      </c>
      <c r="B3392" s="42" t="s">
        <v>151</v>
      </c>
      <c r="C3392" s="29" t="s">
        <v>1171</v>
      </c>
      <c r="D3392" s="35"/>
      <c r="E3392" s="31"/>
      <c r="F3392" s="32"/>
    </row>
    <row r="3393" spans="1:6" ht="12" hidden="1" customHeight="1">
      <c r="A3393" s="12" t="s">
        <v>1169</v>
      </c>
      <c r="B3393" s="30">
        <v>8.0000000000000002E-3</v>
      </c>
      <c r="C3393" s="24" t="s">
        <v>825</v>
      </c>
      <c r="D3393" s="35">
        <f>D3367</f>
        <v>8006.89</v>
      </c>
      <c r="E3393" s="31">
        <f>ROUND(B3393*D3393,2)</f>
        <v>64.06</v>
      </c>
      <c r="F3393" s="32"/>
    </row>
    <row r="3394" spans="1:6" ht="12" hidden="1" customHeight="1">
      <c r="A3394" s="12" t="s">
        <v>183</v>
      </c>
      <c r="B3394" s="30">
        <v>0.27</v>
      </c>
      <c r="C3394" s="24" t="s">
        <v>211</v>
      </c>
      <c r="D3394" s="35">
        <f>D3382</f>
        <v>38</v>
      </c>
      <c r="E3394" s="31">
        <f>ROUND(B3394*D3394,2)</f>
        <v>10.26</v>
      </c>
      <c r="F3394" s="32"/>
    </row>
    <row r="3395" spans="1:6" ht="12" hidden="1" customHeight="1">
      <c r="A3395" s="12" t="s">
        <v>1168</v>
      </c>
      <c r="B3395" s="30">
        <v>1</v>
      </c>
      <c r="C3395" s="24" t="s">
        <v>1171</v>
      </c>
      <c r="D3395" s="35">
        <f>Prec.!$D$439</f>
        <v>0</v>
      </c>
      <c r="E3395" s="31">
        <f>ROUND(B3395*D3395,2)</f>
        <v>0</v>
      </c>
      <c r="F3395" s="32"/>
    </row>
    <row r="3396" spans="1:6" ht="12" hidden="1" customHeight="1">
      <c r="A3396" s="12" t="s">
        <v>208</v>
      </c>
      <c r="B3396" s="14">
        <f>SUM(E3393:E3395)</f>
        <v>74.320000000000007</v>
      </c>
      <c r="C3396" s="24" t="s">
        <v>209</v>
      </c>
      <c r="D3396" s="35">
        <f>Prec.!C302</f>
        <v>1.4999999999999999E-2</v>
      </c>
      <c r="E3396" s="31">
        <f>ROUND(B3396*D3396,2)</f>
        <v>1.1100000000000001</v>
      </c>
      <c r="F3396" s="32">
        <f>SUM(E3393:E3396)</f>
        <v>75.430000000000007</v>
      </c>
    </row>
    <row r="3397" spans="1:6" ht="12" hidden="1" customHeight="1">
      <c r="A3397" s="13" t="s">
        <v>1187</v>
      </c>
      <c r="B3397" s="42" t="s">
        <v>151</v>
      </c>
      <c r="C3397" s="29" t="s">
        <v>1171</v>
      </c>
      <c r="D3397" s="35"/>
      <c r="E3397" s="31"/>
      <c r="F3397" s="32"/>
    </row>
    <row r="3398" spans="1:6" ht="12" hidden="1" customHeight="1">
      <c r="A3398" s="12" t="s">
        <v>1169</v>
      </c>
      <c r="B3398" s="30">
        <v>0.01</v>
      </c>
      <c r="C3398" s="24" t="s">
        <v>825</v>
      </c>
      <c r="D3398" s="35">
        <f>D3393</f>
        <v>8006.89</v>
      </c>
      <c r="E3398" s="31">
        <f>ROUND(B3398*D3398,2)</f>
        <v>80.069999999999993</v>
      </c>
      <c r="F3398" s="32"/>
    </row>
    <row r="3399" spans="1:6" ht="12" hidden="1" customHeight="1">
      <c r="A3399" s="12" t="s">
        <v>183</v>
      </c>
      <c r="B3399" s="30">
        <v>0.218</v>
      </c>
      <c r="C3399" s="24" t="s">
        <v>211</v>
      </c>
      <c r="D3399" s="35">
        <f>D3394</f>
        <v>38</v>
      </c>
      <c r="E3399" s="31">
        <f>ROUND(B3399*D3399,2)</f>
        <v>8.2799999999999994</v>
      </c>
      <c r="F3399" s="32"/>
    </row>
    <row r="3400" spans="1:6" ht="12" hidden="1" customHeight="1">
      <c r="A3400" s="12" t="s">
        <v>430</v>
      </c>
      <c r="B3400" s="30">
        <v>1</v>
      </c>
      <c r="C3400" s="24" t="s">
        <v>213</v>
      </c>
      <c r="D3400" s="35">
        <f>horm.ymez.!G23</f>
        <v>20.03</v>
      </c>
      <c r="E3400" s="31">
        <f>ROUND(B3400*D3400,2)</f>
        <v>20.03</v>
      </c>
      <c r="F3400" s="32"/>
    </row>
    <row r="3401" spans="1:6" ht="12" hidden="1" customHeight="1">
      <c r="A3401" s="12" t="s">
        <v>1168</v>
      </c>
      <c r="B3401" s="30">
        <v>1</v>
      </c>
      <c r="C3401" s="24" t="s">
        <v>1171</v>
      </c>
      <c r="D3401" s="35">
        <f>Prec.!$D$440</f>
        <v>0</v>
      </c>
      <c r="E3401" s="31">
        <f>ROUND(B3401*D3401,2)</f>
        <v>0</v>
      </c>
      <c r="F3401" s="32"/>
    </row>
    <row r="3402" spans="1:6" ht="12" hidden="1" customHeight="1">
      <c r="A3402" s="12" t="s">
        <v>208</v>
      </c>
      <c r="B3402" s="14">
        <f>SUM(E3398:E3401)</f>
        <v>108.38</v>
      </c>
      <c r="C3402" s="24" t="s">
        <v>209</v>
      </c>
      <c r="D3402" s="35">
        <f>Prec.!C302</f>
        <v>1.4999999999999999E-2</v>
      </c>
      <c r="E3402" s="31">
        <f>ROUND(B3402*D3402,2)</f>
        <v>1.63</v>
      </c>
      <c r="F3402" s="32">
        <f>SUM(E3398:E3402)</f>
        <v>110.00999999999999</v>
      </c>
    </row>
    <row r="3403" spans="1:6" ht="12" hidden="1" customHeight="1">
      <c r="A3403" s="12"/>
      <c r="B3403" s="14"/>
      <c r="C3403" s="24"/>
      <c r="D3403" s="35"/>
      <c r="E3403" s="31"/>
      <c r="F3403" s="32"/>
    </row>
    <row r="3404" spans="1:6" ht="12" hidden="1" customHeight="1">
      <c r="A3404" s="13" t="s">
        <v>1188</v>
      </c>
      <c r="B3404" s="42" t="s">
        <v>151</v>
      </c>
      <c r="C3404" s="29" t="s">
        <v>1171</v>
      </c>
      <c r="D3404" s="35"/>
      <c r="E3404" s="31"/>
      <c r="F3404" s="32"/>
    </row>
    <row r="3405" spans="1:6" ht="12" hidden="1" customHeight="1">
      <c r="A3405" s="12" t="s">
        <v>1169</v>
      </c>
      <c r="B3405" s="30">
        <v>2E-3</v>
      </c>
      <c r="C3405" s="24" t="s">
        <v>825</v>
      </c>
      <c r="D3405" s="35">
        <f>D3398</f>
        <v>8006.89</v>
      </c>
      <c r="E3405" s="31">
        <f>ROUND(B3405*D3405,2)</f>
        <v>16.010000000000002</v>
      </c>
      <c r="F3405" s="32"/>
    </row>
    <row r="3406" spans="1:6" ht="12" hidden="1" customHeight="1">
      <c r="A3406" s="12" t="s">
        <v>183</v>
      </c>
      <c r="B3406" s="30">
        <v>0.27</v>
      </c>
      <c r="C3406" s="24" t="s">
        <v>211</v>
      </c>
      <c r="D3406" s="35">
        <f>D3399</f>
        <v>38</v>
      </c>
      <c r="E3406" s="31">
        <f>ROUND(B3406*D3406,2)</f>
        <v>10.26</v>
      </c>
      <c r="F3406" s="32"/>
    </row>
    <row r="3407" spans="1:6" ht="12" hidden="1" customHeight="1">
      <c r="A3407" s="12" t="s">
        <v>430</v>
      </c>
      <c r="B3407" s="30">
        <v>1</v>
      </c>
      <c r="C3407" s="24" t="s">
        <v>213</v>
      </c>
      <c r="D3407" s="35">
        <f>D3400</f>
        <v>20.03</v>
      </c>
      <c r="E3407" s="31">
        <f>ROUND(B3407*D3407,2)</f>
        <v>20.03</v>
      </c>
      <c r="F3407" s="32"/>
    </row>
    <row r="3408" spans="1:6" ht="12" hidden="1" customHeight="1">
      <c r="A3408" s="12" t="s">
        <v>1168</v>
      </c>
      <c r="B3408" s="30">
        <v>1</v>
      </c>
      <c r="C3408" s="24" t="s">
        <v>1171</v>
      </c>
      <c r="D3408" s="35">
        <f>Prec.!$D$441</f>
        <v>0</v>
      </c>
      <c r="E3408" s="31">
        <f>ROUND(B3408*D3408,2)</f>
        <v>0</v>
      </c>
      <c r="F3408" s="32"/>
    </row>
    <row r="3409" spans="1:6" ht="12.75" hidden="1" customHeight="1">
      <c r="A3409" s="12" t="s">
        <v>208</v>
      </c>
      <c r="B3409" s="14">
        <f>SUM(E3405:E3408)</f>
        <v>46.300000000000004</v>
      </c>
      <c r="C3409" s="24" t="s">
        <v>209</v>
      </c>
      <c r="D3409" s="35">
        <f>Prec.!C302</f>
        <v>1.4999999999999999E-2</v>
      </c>
      <c r="E3409" s="31">
        <f>ROUND(B3409*D3409,2)</f>
        <v>0.69</v>
      </c>
      <c r="F3409" s="32">
        <f>SUM(E3405:E3409)</f>
        <v>46.99</v>
      </c>
    </row>
    <row r="3410" spans="1:6" ht="12.75" hidden="1" customHeight="1">
      <c r="A3410" s="2"/>
      <c r="B3410" s="7"/>
    </row>
    <row r="3411" spans="1:6" ht="12.75" hidden="1" customHeight="1">
      <c r="A3411" s="23" t="s">
        <v>1189</v>
      </c>
      <c r="B3411" s="7"/>
    </row>
    <row r="3412" spans="1:6" ht="12.75" hidden="1" customHeight="1">
      <c r="A3412" s="2"/>
      <c r="B3412" s="7"/>
    </row>
    <row r="3413" spans="1:6" ht="12.75" hidden="1" customHeight="1">
      <c r="A3413" s="1" t="s">
        <v>995</v>
      </c>
      <c r="B3413" s="11" t="s">
        <v>151</v>
      </c>
      <c r="C3413" s="2" t="s">
        <v>213</v>
      </c>
    </row>
    <row r="3414" spans="1:6" ht="12.75" hidden="1" customHeight="1">
      <c r="A3414" s="4" t="s">
        <v>1169</v>
      </c>
      <c r="B3414" s="8">
        <v>2.1999999999999999E-2</v>
      </c>
      <c r="C3414" s="6" t="s">
        <v>825</v>
      </c>
      <c r="D3414" s="37">
        <f>horm.ymez.!H12</f>
        <v>7472.68</v>
      </c>
      <c r="E3414" s="25">
        <f>ROUND(B3414*D3414,2)</f>
        <v>164.4</v>
      </c>
    </row>
    <row r="3415" spans="1:6" ht="12.75" hidden="1" customHeight="1">
      <c r="A3415" s="4" t="s">
        <v>183</v>
      </c>
      <c r="B3415" s="8">
        <v>3.3000000000000002E-2</v>
      </c>
      <c r="C3415" s="6" t="s">
        <v>211</v>
      </c>
      <c r="D3415" s="37">
        <f>D3406</f>
        <v>38</v>
      </c>
      <c r="E3415" s="25">
        <f>ROUND(B3415*D3415,2)</f>
        <v>1.25</v>
      </c>
    </row>
    <row r="3416" spans="1:6" ht="12.75" hidden="1" customHeight="1">
      <c r="A3416" s="4" t="s">
        <v>430</v>
      </c>
      <c r="B3416" s="8">
        <v>1</v>
      </c>
      <c r="C3416" s="6" t="s">
        <v>213</v>
      </c>
      <c r="D3416" s="37">
        <f>horm.ymez.!H23</f>
        <v>20.250000000000004</v>
      </c>
      <c r="E3416" s="25">
        <f>ROUND(B3416*D3416,2)</f>
        <v>20.25</v>
      </c>
    </row>
    <row r="3417" spans="1:6" ht="12.75" hidden="1" customHeight="1">
      <c r="A3417" s="4" t="s">
        <v>1168</v>
      </c>
      <c r="B3417" s="8">
        <v>1</v>
      </c>
      <c r="C3417" s="6" t="s">
        <v>213</v>
      </c>
      <c r="D3417" s="37">
        <f>Prec.!$D$413</f>
        <v>0</v>
      </c>
      <c r="E3417" s="25">
        <f>ROUND(B3417*D3417,2)</f>
        <v>0</v>
      </c>
    </row>
    <row r="3418" spans="1:6" ht="12.75" hidden="1" customHeight="1">
      <c r="A3418" s="4" t="s">
        <v>208</v>
      </c>
      <c r="B3418" s="7">
        <f>SUM(E3414:E3417)</f>
        <v>185.9</v>
      </c>
      <c r="C3418" s="6" t="s">
        <v>209</v>
      </c>
      <c r="D3418" s="37">
        <f>Prec.!C302</f>
        <v>1.4999999999999999E-2</v>
      </c>
      <c r="E3418" s="25">
        <f>ROUND(B3418*D3418,2)</f>
        <v>2.79</v>
      </c>
      <c r="F3418" s="26">
        <f>SUM(E3414:E3418)</f>
        <v>188.69</v>
      </c>
    </row>
    <row r="3419" spans="1:6" ht="10.15" hidden="1" customHeight="1">
      <c r="B3419" s="7"/>
    </row>
    <row r="3420" spans="1:6" ht="12.75" hidden="1" customHeight="1">
      <c r="A3420" s="1" t="s">
        <v>996</v>
      </c>
      <c r="B3420" s="11" t="s">
        <v>151</v>
      </c>
      <c r="C3420" s="2" t="s">
        <v>213</v>
      </c>
    </row>
    <row r="3421" spans="1:6" ht="12.75" hidden="1" customHeight="1">
      <c r="A3421" s="4" t="s">
        <v>1169</v>
      </c>
      <c r="B3421" s="8">
        <v>2.1999999999999999E-2</v>
      </c>
      <c r="C3421" s="6" t="s">
        <v>825</v>
      </c>
      <c r="D3421" s="37">
        <f>D3414</f>
        <v>7472.68</v>
      </c>
      <c r="E3421" s="25">
        <f>ROUND(B3421*D3421,2)</f>
        <v>164.4</v>
      </c>
    </row>
    <row r="3422" spans="1:6" ht="12.75" hidden="1" customHeight="1">
      <c r="A3422" s="4" t="s">
        <v>183</v>
      </c>
      <c r="B3422" s="8">
        <v>3.3000000000000002E-2</v>
      </c>
      <c r="C3422" s="6" t="s">
        <v>211</v>
      </c>
      <c r="D3422" s="37">
        <f>D3415</f>
        <v>38</v>
      </c>
      <c r="E3422" s="25">
        <f>ROUND(B3422*D3422,2)</f>
        <v>1.25</v>
      </c>
    </row>
    <row r="3423" spans="1:6" ht="12.75" hidden="1" customHeight="1">
      <c r="A3423" s="4" t="s">
        <v>430</v>
      </c>
      <c r="B3423" s="8">
        <v>1</v>
      </c>
      <c r="C3423" s="6" t="s">
        <v>213</v>
      </c>
      <c r="D3423" s="35">
        <f>D3416</f>
        <v>20.250000000000004</v>
      </c>
      <c r="E3423" s="25">
        <f>ROUND(B3423*D3423,2)</f>
        <v>20.25</v>
      </c>
    </row>
    <row r="3424" spans="1:6" ht="12.75" hidden="1" customHeight="1">
      <c r="A3424" s="4" t="s">
        <v>1168</v>
      </c>
      <c r="B3424" s="8">
        <v>1</v>
      </c>
      <c r="C3424" s="6" t="s">
        <v>213</v>
      </c>
      <c r="D3424" s="37">
        <f>Prec.!D419</f>
        <v>0</v>
      </c>
      <c r="E3424" s="25">
        <f>ROUND(B3424*D3424,2)</f>
        <v>0</v>
      </c>
    </row>
    <row r="3425" spans="1:6" ht="12.75" hidden="1" customHeight="1">
      <c r="A3425" s="4" t="s">
        <v>208</v>
      </c>
      <c r="B3425" s="7">
        <f>SUM(E3421:E3424)</f>
        <v>185.9</v>
      </c>
      <c r="C3425" s="6" t="s">
        <v>209</v>
      </c>
      <c r="D3425" s="37">
        <f>Prec.!C302</f>
        <v>1.4999999999999999E-2</v>
      </c>
      <c r="E3425" s="25">
        <f>ROUND(B3425*D3425,2)</f>
        <v>2.79</v>
      </c>
      <c r="F3425" s="26">
        <f>SUM(E3421:E3425)</f>
        <v>188.69</v>
      </c>
    </row>
    <row r="3426" spans="1:6" ht="10.15" hidden="1" customHeight="1">
      <c r="B3426" s="7"/>
    </row>
    <row r="3427" spans="1:6" ht="12.75" hidden="1" customHeight="1">
      <c r="A3427" s="1" t="s">
        <v>832</v>
      </c>
      <c r="B3427" s="11" t="s">
        <v>151</v>
      </c>
      <c r="C3427" s="2" t="s">
        <v>213</v>
      </c>
    </row>
    <row r="3428" spans="1:6" ht="12.75" hidden="1" customHeight="1">
      <c r="A3428" s="4" t="s">
        <v>1169</v>
      </c>
      <c r="B3428" s="8">
        <v>2.1999999999999999E-2</v>
      </c>
      <c r="C3428" s="6" t="s">
        <v>825</v>
      </c>
      <c r="D3428" s="37">
        <f>D3421</f>
        <v>7472.68</v>
      </c>
      <c r="E3428" s="25">
        <f>ROUND(B3428*D3428,2)</f>
        <v>164.4</v>
      </c>
    </row>
    <row r="3429" spans="1:6" ht="12.75" hidden="1" customHeight="1">
      <c r="A3429" s="4" t="s">
        <v>183</v>
      </c>
      <c r="B3429" s="8">
        <v>3.3000000000000002E-2</v>
      </c>
      <c r="C3429" s="6" t="s">
        <v>211</v>
      </c>
      <c r="D3429" s="37">
        <f>D3415</f>
        <v>38</v>
      </c>
      <c r="E3429" s="25">
        <f>ROUND(B3429*D3429,2)</f>
        <v>1.25</v>
      </c>
    </row>
    <row r="3430" spans="1:6" ht="12.75" hidden="1" customHeight="1">
      <c r="A3430" s="4" t="s">
        <v>430</v>
      </c>
      <c r="B3430" s="8">
        <v>1</v>
      </c>
      <c r="C3430" s="6" t="s">
        <v>213</v>
      </c>
      <c r="D3430" s="37">
        <f>D3416</f>
        <v>20.250000000000004</v>
      </c>
      <c r="E3430" s="25">
        <f>ROUND(B3430*D3430,2)</f>
        <v>20.25</v>
      </c>
    </row>
    <row r="3431" spans="1:6" ht="12.75" hidden="1" customHeight="1">
      <c r="A3431" s="4" t="s">
        <v>1168</v>
      </c>
      <c r="B3431" s="8">
        <v>1</v>
      </c>
      <c r="C3431" s="6" t="s">
        <v>213</v>
      </c>
      <c r="D3431" s="37">
        <f>Prec.!$D$420</f>
        <v>0</v>
      </c>
      <c r="E3431" s="25">
        <f>ROUND(B3431*D3431,2)</f>
        <v>0</v>
      </c>
    </row>
    <row r="3432" spans="1:6" ht="12.75" hidden="1" customHeight="1">
      <c r="A3432" s="4" t="s">
        <v>208</v>
      </c>
      <c r="B3432" s="7">
        <f>SUM(E3428:E3431)</f>
        <v>185.9</v>
      </c>
      <c r="C3432" s="6" t="s">
        <v>209</v>
      </c>
      <c r="D3432" s="37">
        <f>Prec.!C302</f>
        <v>1.4999999999999999E-2</v>
      </c>
      <c r="E3432" s="25">
        <f>ROUND(B3432*D3432,2)</f>
        <v>2.79</v>
      </c>
      <c r="F3432" s="26">
        <f>SUM(E3428:E3432)</f>
        <v>188.69</v>
      </c>
    </row>
    <row r="3433" spans="1:6" ht="12.75" hidden="1" customHeight="1">
      <c r="B3433" s="7"/>
    </row>
    <row r="3434" spans="1:6" ht="12.75" hidden="1" customHeight="1">
      <c r="A3434" s="1" t="s">
        <v>1302</v>
      </c>
      <c r="B3434" s="11" t="s">
        <v>151</v>
      </c>
      <c r="C3434" s="2" t="s">
        <v>213</v>
      </c>
    </row>
    <row r="3435" spans="1:6" ht="12.75" hidden="1" customHeight="1">
      <c r="A3435" s="4" t="s">
        <v>462</v>
      </c>
      <c r="B3435" s="8">
        <v>2.1999999999999999E-2</v>
      </c>
      <c r="C3435" s="6" t="s">
        <v>825</v>
      </c>
      <c r="D3435" s="37">
        <f>horm.ymez.!H7</f>
        <v>8509.89</v>
      </c>
      <c r="E3435" s="25">
        <f>ROUND(B3435*D3435,2)</f>
        <v>187.22</v>
      </c>
    </row>
    <row r="3436" spans="1:6" ht="12.75" hidden="1" customHeight="1">
      <c r="A3436" s="4" t="s">
        <v>430</v>
      </c>
      <c r="B3436" s="8">
        <v>1</v>
      </c>
      <c r="C3436" s="6" t="s">
        <v>213</v>
      </c>
      <c r="D3436" s="37">
        <f>D3430</f>
        <v>20.250000000000004</v>
      </c>
      <c r="E3436" s="25">
        <f>ROUND(B3436*D3436,2)</f>
        <v>20.25</v>
      </c>
    </row>
    <row r="3437" spans="1:6" ht="12.75" hidden="1" customHeight="1">
      <c r="A3437" s="4" t="s">
        <v>1168</v>
      </c>
      <c r="B3437" s="8">
        <v>1</v>
      </c>
      <c r="C3437" s="6" t="s">
        <v>213</v>
      </c>
      <c r="D3437" s="37">
        <f>Prec.!$D$423</f>
        <v>0</v>
      </c>
      <c r="E3437" s="25">
        <f>ROUND(B3437*D3437,2)</f>
        <v>0</v>
      </c>
    </row>
    <row r="3438" spans="1:6" ht="12.75" hidden="1" customHeight="1">
      <c r="A3438" s="4" t="s">
        <v>208</v>
      </c>
      <c r="B3438" s="7">
        <f>SUM(E3435:E3437)</f>
        <v>207.47</v>
      </c>
      <c r="C3438" s="6" t="s">
        <v>209</v>
      </c>
      <c r="D3438" s="37">
        <f>Prec.!C302</f>
        <v>1.4999999999999999E-2</v>
      </c>
      <c r="E3438" s="25">
        <f>ROUND(B3438*D3438,2)</f>
        <v>3.11</v>
      </c>
      <c r="F3438" s="26">
        <f>SUM(E3435:E3438)</f>
        <v>210.58</v>
      </c>
    </row>
    <row r="3439" spans="1:6" ht="10.15" hidden="1" customHeight="1">
      <c r="B3439" s="7"/>
    </row>
    <row r="3440" spans="1:6" ht="12.75" hidden="1" customHeight="1">
      <c r="A3440" s="1" t="s">
        <v>1303</v>
      </c>
      <c r="B3440" s="11" t="s">
        <v>151</v>
      </c>
      <c r="C3440" s="2" t="s">
        <v>213</v>
      </c>
    </row>
    <row r="3441" spans="1:6" ht="12.75" hidden="1" customHeight="1">
      <c r="A3441" s="4" t="s">
        <v>1</v>
      </c>
      <c r="B3441" s="8">
        <v>5.2999999999999999E-2</v>
      </c>
      <c r="C3441" s="6" t="s">
        <v>823</v>
      </c>
      <c r="D3441" s="36">
        <f>Prec.!$C$5</f>
        <v>425</v>
      </c>
      <c r="E3441" s="25">
        <f t="shared" ref="E3441:E3447" si="265">ROUND(B3441*D3441,2)</f>
        <v>22.53</v>
      </c>
    </row>
    <row r="3442" spans="1:6" ht="12.75" hidden="1" customHeight="1">
      <c r="A3442" s="4" t="s">
        <v>1169</v>
      </c>
      <c r="B3442" s="8">
        <v>0.02</v>
      </c>
      <c r="C3442" s="6" t="s">
        <v>825</v>
      </c>
      <c r="D3442" s="37">
        <f>horm.ymez.!H12</f>
        <v>7472.68</v>
      </c>
      <c r="E3442" s="25">
        <f t="shared" si="265"/>
        <v>149.44999999999999</v>
      </c>
    </row>
    <row r="3443" spans="1:6" ht="12.75" hidden="1" customHeight="1">
      <c r="A3443" s="4" t="s">
        <v>183</v>
      </c>
      <c r="B3443" s="8">
        <v>3.3000000000000002E-2</v>
      </c>
      <c r="C3443" s="6" t="s">
        <v>211</v>
      </c>
      <c r="D3443" s="37">
        <f>D3429</f>
        <v>38</v>
      </c>
      <c r="E3443" s="25">
        <f t="shared" si="265"/>
        <v>1.25</v>
      </c>
    </row>
    <row r="3444" spans="1:6" ht="12.75" hidden="1" customHeight="1">
      <c r="A3444" s="4" t="s">
        <v>430</v>
      </c>
      <c r="B3444" s="8">
        <v>1</v>
      </c>
      <c r="C3444" s="6" t="s">
        <v>213</v>
      </c>
      <c r="D3444" s="37">
        <f>D3436</f>
        <v>20.250000000000004</v>
      </c>
      <c r="E3444" s="25">
        <f t="shared" si="265"/>
        <v>20.25</v>
      </c>
    </row>
    <row r="3445" spans="1:6" ht="12.75" hidden="1" customHeight="1">
      <c r="A3445" s="4" t="s">
        <v>205</v>
      </c>
      <c r="B3445" s="8">
        <v>5.2999999999999999E-2</v>
      </c>
      <c r="C3445" s="6" t="s">
        <v>823</v>
      </c>
      <c r="D3445" s="37">
        <f>Prec.!D394</f>
        <v>26.49</v>
      </c>
      <c r="E3445" s="25">
        <f t="shared" si="265"/>
        <v>1.4</v>
      </c>
    </row>
    <row r="3446" spans="1:6" ht="12.75" hidden="1" customHeight="1">
      <c r="A3446" s="4" t="s">
        <v>1168</v>
      </c>
      <c r="B3446" s="8">
        <v>1</v>
      </c>
      <c r="C3446" s="6" t="s">
        <v>213</v>
      </c>
      <c r="D3446" s="37">
        <f>Prec.!$D$424</f>
        <v>0</v>
      </c>
      <c r="E3446" s="25">
        <f t="shared" si="265"/>
        <v>0</v>
      </c>
    </row>
    <row r="3447" spans="1:6" ht="12.75" hidden="1" customHeight="1">
      <c r="A3447" s="4" t="s">
        <v>208</v>
      </c>
      <c r="B3447" s="7">
        <f>SUM(E3441:E3446)</f>
        <v>194.88</v>
      </c>
      <c r="C3447" s="6" t="s">
        <v>209</v>
      </c>
      <c r="D3447" s="37">
        <f>Prec.!C302</f>
        <v>1.4999999999999999E-2</v>
      </c>
      <c r="E3447" s="25">
        <f t="shared" si="265"/>
        <v>2.92</v>
      </c>
      <c r="F3447" s="26">
        <f>SUM(E3441:E3447)</f>
        <v>197.79999999999998</v>
      </c>
    </row>
    <row r="3448" spans="1:6" ht="12.75" hidden="1" customHeight="1">
      <c r="A3448" s="1" t="s">
        <v>835</v>
      </c>
      <c r="B3448" s="11" t="s">
        <v>151</v>
      </c>
      <c r="C3448" s="2" t="s">
        <v>213</v>
      </c>
    </row>
    <row r="3449" spans="1:6" ht="12.75" hidden="1" customHeight="1">
      <c r="A3449" s="4" t="s">
        <v>1169</v>
      </c>
      <c r="B3449" s="8">
        <v>2.1999999999999999E-2</v>
      </c>
      <c r="C3449" s="6" t="s">
        <v>825</v>
      </c>
      <c r="D3449" s="37">
        <f>D3442</f>
        <v>7472.68</v>
      </c>
      <c r="E3449" s="25">
        <f>ROUND(B3449*D3449,2)</f>
        <v>164.4</v>
      </c>
    </row>
    <row r="3450" spans="1:6" ht="12.75" hidden="1" customHeight="1">
      <c r="A3450" s="4" t="s">
        <v>183</v>
      </c>
      <c r="B3450" s="8">
        <v>3.3000000000000002E-2</v>
      </c>
      <c r="C3450" s="6" t="s">
        <v>211</v>
      </c>
      <c r="D3450" s="37">
        <f>D3443</f>
        <v>38</v>
      </c>
      <c r="E3450" s="25">
        <f>ROUND(B3450*D3450,2)</f>
        <v>1.25</v>
      </c>
    </row>
    <row r="3451" spans="1:6" ht="12.75" hidden="1" customHeight="1">
      <c r="A3451" s="4" t="s">
        <v>430</v>
      </c>
      <c r="B3451" s="8">
        <v>1</v>
      </c>
      <c r="C3451" s="6" t="s">
        <v>213</v>
      </c>
      <c r="D3451" s="37">
        <f>D3444</f>
        <v>20.250000000000004</v>
      </c>
      <c r="E3451" s="25">
        <f>ROUND(B3451*D3451,2)</f>
        <v>20.25</v>
      </c>
    </row>
    <row r="3452" spans="1:6" ht="12.75" hidden="1" customHeight="1">
      <c r="A3452" s="4" t="s">
        <v>1168</v>
      </c>
      <c r="B3452" s="8">
        <v>1</v>
      </c>
      <c r="C3452" s="6" t="s">
        <v>213</v>
      </c>
      <c r="D3452" s="35">
        <f>Prec.!$D$426</f>
        <v>0</v>
      </c>
      <c r="E3452" s="25">
        <f>ROUND(B3452*D3452,2)</f>
        <v>0</v>
      </c>
    </row>
    <row r="3453" spans="1:6" ht="12.75" hidden="1" customHeight="1">
      <c r="A3453" s="4" t="s">
        <v>208</v>
      </c>
      <c r="B3453" s="7">
        <f>SUM(E3449:E3452)</f>
        <v>185.9</v>
      </c>
      <c r="C3453" s="6" t="s">
        <v>209</v>
      </c>
      <c r="D3453" s="37">
        <f>Prec.!C302</f>
        <v>1.4999999999999999E-2</v>
      </c>
      <c r="E3453" s="25">
        <f>ROUND(B3453*D3453,2)</f>
        <v>2.79</v>
      </c>
      <c r="F3453" s="26">
        <f>SUM(E3449:E3453)</f>
        <v>188.69</v>
      </c>
    </row>
    <row r="3454" spans="1:6" ht="12.75" hidden="1" customHeight="1">
      <c r="B3454" s="7"/>
    </row>
    <row r="3455" spans="1:6" ht="12.75" hidden="1" customHeight="1">
      <c r="A3455" s="1" t="s">
        <v>836</v>
      </c>
      <c r="B3455" s="11" t="s">
        <v>151</v>
      </c>
      <c r="C3455" s="2" t="s">
        <v>213</v>
      </c>
    </row>
    <row r="3456" spans="1:6" ht="12.75" hidden="1" customHeight="1">
      <c r="A3456" s="4" t="s">
        <v>1169</v>
      </c>
      <c r="B3456" s="8">
        <v>2.1999999999999999E-2</v>
      </c>
      <c r="C3456" s="6" t="s">
        <v>825</v>
      </c>
      <c r="D3456" s="37">
        <f>D3449</f>
        <v>7472.68</v>
      </c>
      <c r="E3456" s="25">
        <f>ROUND(B3456*D3456,2)</f>
        <v>164.4</v>
      </c>
    </row>
    <row r="3457" spans="1:13" ht="12.75" hidden="1" customHeight="1">
      <c r="A3457" s="4" t="s">
        <v>183</v>
      </c>
      <c r="B3457" s="8">
        <v>3.3000000000000002E-2</v>
      </c>
      <c r="C3457" s="6" t="s">
        <v>211</v>
      </c>
      <c r="D3457" s="37">
        <f>D3450</f>
        <v>38</v>
      </c>
      <c r="E3457" s="25">
        <f>ROUND(B3457*D3457,2)</f>
        <v>1.25</v>
      </c>
    </row>
    <row r="3458" spans="1:13" ht="12.75" hidden="1" customHeight="1">
      <c r="A3458" s="4" t="s">
        <v>430</v>
      </c>
      <c r="B3458" s="8">
        <v>1</v>
      </c>
      <c r="C3458" s="6" t="s">
        <v>213</v>
      </c>
      <c r="D3458" s="37">
        <f>D3451</f>
        <v>20.250000000000004</v>
      </c>
      <c r="E3458" s="25">
        <f>ROUND(B3458*D3458,2)</f>
        <v>20.25</v>
      </c>
    </row>
    <row r="3459" spans="1:13" ht="12.75" hidden="1" customHeight="1">
      <c r="A3459" s="4" t="s">
        <v>1168</v>
      </c>
      <c r="B3459" s="8">
        <v>1</v>
      </c>
      <c r="C3459" s="6" t="s">
        <v>213</v>
      </c>
      <c r="D3459" s="35">
        <f>Prec.!$D$427</f>
        <v>0</v>
      </c>
      <c r="E3459" s="25">
        <f>ROUND(B3459*D3459,2)</f>
        <v>0</v>
      </c>
    </row>
    <row r="3460" spans="1:13" ht="12.75" hidden="1" customHeight="1">
      <c r="A3460" s="4" t="s">
        <v>208</v>
      </c>
      <c r="B3460" s="7">
        <f>SUM(E3456:E3459)</f>
        <v>185.9</v>
      </c>
      <c r="C3460" s="6" t="s">
        <v>209</v>
      </c>
      <c r="D3460" s="37">
        <f>Prec.!C302</f>
        <v>1.4999999999999999E-2</v>
      </c>
      <c r="E3460" s="25">
        <f>ROUND(B3460*D3460,2)</f>
        <v>2.79</v>
      </c>
      <c r="F3460" s="26">
        <f>SUM(E3456:E3460)</f>
        <v>188.69</v>
      </c>
    </row>
    <row r="3461" spans="1:13" s="166" customFormat="1" ht="12.75" hidden="1" customHeight="1">
      <c r="B3461" s="7"/>
      <c r="C3461" s="165"/>
      <c r="D3461" s="37"/>
      <c r="E3461" s="25"/>
      <c r="F3461" s="26"/>
      <c r="G3461" s="15"/>
      <c r="H3461" s="21"/>
      <c r="I3461" s="15"/>
      <c r="J3461" s="15"/>
      <c r="K3461" s="15"/>
      <c r="L3461" s="21"/>
      <c r="M3461" s="15"/>
    </row>
    <row r="3462" spans="1:13" ht="12.75" hidden="1" customHeight="1">
      <c r="A3462" s="1" t="s">
        <v>837</v>
      </c>
      <c r="B3462" s="11" t="s">
        <v>151</v>
      </c>
      <c r="C3462" s="2" t="s">
        <v>213</v>
      </c>
    </row>
    <row r="3463" spans="1:13" ht="12.75" hidden="1" customHeight="1">
      <c r="A3463" s="4" t="s">
        <v>1169</v>
      </c>
      <c r="B3463" s="8">
        <v>8.9999999999999993E-3</v>
      </c>
      <c r="C3463" s="6" t="s">
        <v>825</v>
      </c>
      <c r="D3463" s="37">
        <f>D3456</f>
        <v>7472.68</v>
      </c>
      <c r="E3463" s="25">
        <f>ROUND(B3463*D3463,2)</f>
        <v>67.25</v>
      </c>
    </row>
    <row r="3464" spans="1:13" ht="12.75" hidden="1" customHeight="1">
      <c r="A3464" s="4" t="s">
        <v>1168</v>
      </c>
      <c r="B3464" s="8">
        <v>12.5</v>
      </c>
      <c r="C3464" s="6" t="s">
        <v>215</v>
      </c>
      <c r="D3464" s="35">
        <f>Prec.!$D$339</f>
        <v>0</v>
      </c>
      <c r="E3464" s="25">
        <f>ROUND(B3464*D3464,2)</f>
        <v>0</v>
      </c>
    </row>
    <row r="3465" spans="1:13" ht="12.75" hidden="1" customHeight="1">
      <c r="A3465" s="4" t="s">
        <v>208</v>
      </c>
      <c r="B3465" s="7">
        <f>SUM(E3463:E3464)</f>
        <v>67.25</v>
      </c>
      <c r="C3465" s="6" t="s">
        <v>209</v>
      </c>
      <c r="D3465" s="37">
        <f>Prec.!C302</f>
        <v>1.4999999999999999E-2</v>
      </c>
      <c r="E3465" s="25">
        <f>ROUND(B3465*D3465,2)</f>
        <v>1.01</v>
      </c>
      <c r="F3465" s="26">
        <f>SUM(E3463:E3465)</f>
        <v>68.260000000000005</v>
      </c>
    </row>
    <row r="3466" spans="1:13" ht="12.75" hidden="1" customHeight="1">
      <c r="B3466" s="7"/>
    </row>
    <row r="3467" spans="1:13" ht="12.75" hidden="1" customHeight="1">
      <c r="A3467" s="1" t="s">
        <v>1008</v>
      </c>
      <c r="B3467" s="11" t="s">
        <v>151</v>
      </c>
      <c r="C3467" s="2" t="s">
        <v>213</v>
      </c>
    </row>
    <row r="3468" spans="1:13" ht="12.75" hidden="1" customHeight="1">
      <c r="A3468" s="4" t="s">
        <v>663</v>
      </c>
      <c r="B3468" s="8">
        <v>8.0000000000000002E-3</v>
      </c>
      <c r="C3468" s="6" t="s">
        <v>825</v>
      </c>
      <c r="D3468" s="37">
        <f>horm.ymez.!H10</f>
        <v>5119.2199999999993</v>
      </c>
      <c r="E3468" s="25">
        <f>ROUND(B3468*D3468,2)</f>
        <v>40.950000000000003</v>
      </c>
    </row>
    <row r="3469" spans="1:13" ht="12.75" hidden="1" customHeight="1">
      <c r="A3469" s="4" t="s">
        <v>1167</v>
      </c>
      <c r="B3469" s="8">
        <v>1</v>
      </c>
      <c r="C3469" s="6" t="s">
        <v>213</v>
      </c>
      <c r="D3469" s="37">
        <f>Prec.!$D$430</f>
        <v>0</v>
      </c>
      <c r="E3469" s="25">
        <f>ROUND(B3469*D3469,2)</f>
        <v>0</v>
      </c>
    </row>
    <row r="3470" spans="1:13" ht="12.75" hidden="1" customHeight="1">
      <c r="A3470" s="4" t="s">
        <v>208</v>
      </c>
      <c r="B3470" s="7">
        <f>SUM(E3468:E3469)</f>
        <v>40.950000000000003</v>
      </c>
      <c r="C3470" s="6" t="s">
        <v>209</v>
      </c>
      <c r="D3470" s="37">
        <f>Prec.!C302</f>
        <v>1.4999999999999999E-2</v>
      </c>
      <c r="E3470" s="25">
        <f>ROUND(B3470*D3470,2)</f>
        <v>0.61</v>
      </c>
      <c r="F3470" s="26">
        <f>SUM(E3468:E3470)</f>
        <v>41.56</v>
      </c>
    </row>
    <row r="3471" spans="1:13" ht="12.75" hidden="1" customHeight="1">
      <c r="B3471" s="7"/>
    </row>
    <row r="3472" spans="1:13" ht="12.75" hidden="1" customHeight="1">
      <c r="A3472" s="1" t="s">
        <v>1009</v>
      </c>
      <c r="B3472" s="11" t="s">
        <v>151</v>
      </c>
      <c r="C3472" s="2" t="s">
        <v>1171</v>
      </c>
    </row>
    <row r="3473" spans="1:6" ht="12.75" hidden="1" customHeight="1">
      <c r="A3473" s="4" t="s">
        <v>1169</v>
      </c>
      <c r="B3473" s="8">
        <v>4.0000000000000001E-3</v>
      </c>
      <c r="C3473" s="6" t="s">
        <v>825</v>
      </c>
      <c r="D3473" s="37">
        <f>horm.ymez.!H12</f>
        <v>7472.68</v>
      </c>
      <c r="E3473" s="25">
        <f>ROUND(B3473*D3473,2)</f>
        <v>29.89</v>
      </c>
    </row>
    <row r="3474" spans="1:6" ht="12.75" hidden="1" customHeight="1">
      <c r="A3474" s="4" t="s">
        <v>183</v>
      </c>
      <c r="B3474" s="8">
        <v>0.109</v>
      </c>
      <c r="C3474" s="6" t="s">
        <v>211</v>
      </c>
      <c r="D3474" s="37">
        <f>D3457</f>
        <v>38</v>
      </c>
      <c r="E3474" s="25">
        <f>ROUND(B3474*D3474,2)</f>
        <v>4.1399999999999997</v>
      </c>
    </row>
    <row r="3475" spans="1:6" ht="12.75" hidden="1" customHeight="1">
      <c r="A3475" s="4" t="s">
        <v>1168</v>
      </c>
      <c r="B3475" s="8">
        <v>1</v>
      </c>
      <c r="C3475" s="6" t="s">
        <v>1171</v>
      </c>
      <c r="D3475" s="37">
        <f>Prec.!$D$438</f>
        <v>0</v>
      </c>
      <c r="E3475" s="25">
        <f>ROUND(B3475*D3475,2)</f>
        <v>0</v>
      </c>
    </row>
    <row r="3476" spans="1:6" ht="12.75" hidden="1" customHeight="1">
      <c r="A3476" s="4" t="s">
        <v>208</v>
      </c>
      <c r="B3476" s="7">
        <f>SUM(E3473:E3475)</f>
        <v>34.03</v>
      </c>
      <c r="C3476" s="6" t="s">
        <v>209</v>
      </c>
      <c r="D3476" s="37">
        <f>Prec.!C302</f>
        <v>1.4999999999999999E-2</v>
      </c>
      <c r="E3476" s="25">
        <f>ROUND(B3476*D3476,2)</f>
        <v>0.51</v>
      </c>
      <c r="F3476" s="26">
        <f>SUM(E3473:E3476)</f>
        <v>34.54</v>
      </c>
    </row>
    <row r="3477" spans="1:6" ht="12.75" hidden="1" customHeight="1">
      <c r="B3477" s="7"/>
    </row>
    <row r="3478" spans="1:6" ht="12.75" hidden="1" customHeight="1">
      <c r="A3478" s="1" t="s">
        <v>1063</v>
      </c>
      <c r="B3478" s="11" t="s">
        <v>151</v>
      </c>
      <c r="C3478" s="2" t="s">
        <v>213</v>
      </c>
    </row>
    <row r="3479" spans="1:6" ht="12.75" hidden="1" customHeight="1">
      <c r="A3479" s="4" t="s">
        <v>1169</v>
      </c>
      <c r="B3479" s="8">
        <v>7.0000000000000001E-3</v>
      </c>
      <c r="C3479" s="6" t="s">
        <v>825</v>
      </c>
      <c r="D3479" s="37">
        <f>D3473</f>
        <v>7472.68</v>
      </c>
      <c r="E3479" s="25">
        <f>ROUND(B3479*D3479,2)</f>
        <v>52.31</v>
      </c>
    </row>
    <row r="3480" spans="1:6" ht="12.75" hidden="1" customHeight="1">
      <c r="A3480" s="4" t="s">
        <v>183</v>
      </c>
      <c r="B3480" s="8">
        <v>3.3000000000000002E-2</v>
      </c>
      <c r="C3480" s="6" t="s">
        <v>211</v>
      </c>
      <c r="D3480" s="37">
        <f>D3474</f>
        <v>38</v>
      </c>
      <c r="E3480" s="25">
        <f>ROUND(B3480*D3480,2)</f>
        <v>1.25</v>
      </c>
    </row>
    <row r="3481" spans="1:6" ht="12.75" hidden="1" customHeight="1">
      <c r="A3481" s="4" t="s">
        <v>430</v>
      </c>
      <c r="B3481" s="8">
        <v>1</v>
      </c>
      <c r="C3481" s="6" t="s">
        <v>213</v>
      </c>
      <c r="D3481" s="37">
        <f>horm.ymez.!H23</f>
        <v>20.250000000000004</v>
      </c>
      <c r="E3481" s="25">
        <f>ROUND(B3481*D3481,2)</f>
        <v>20.25</v>
      </c>
    </row>
    <row r="3482" spans="1:6" ht="12.75" hidden="1" customHeight="1">
      <c r="A3482" s="4" t="s">
        <v>1168</v>
      </c>
      <c r="B3482" s="8">
        <v>1</v>
      </c>
      <c r="C3482" s="6" t="s">
        <v>213</v>
      </c>
      <c r="D3482" s="37">
        <f>Prec.!$D$436</f>
        <v>0</v>
      </c>
      <c r="E3482" s="25">
        <f>ROUND(B3482*D3482,2)</f>
        <v>0</v>
      </c>
    </row>
    <row r="3483" spans="1:6" ht="12.75" hidden="1" customHeight="1">
      <c r="A3483" s="4" t="s">
        <v>208</v>
      </c>
      <c r="B3483" s="7">
        <f>SUM(E3479:E3482)</f>
        <v>73.81</v>
      </c>
      <c r="C3483" s="6" t="s">
        <v>209</v>
      </c>
      <c r="D3483" s="37">
        <f>Prec.!C302</f>
        <v>1.4999999999999999E-2</v>
      </c>
      <c r="E3483" s="25">
        <f>ROUND(B3483*D3483,2)</f>
        <v>1.1100000000000001</v>
      </c>
      <c r="F3483" s="26">
        <f>SUM(E3479:E3483)</f>
        <v>74.92</v>
      </c>
    </row>
    <row r="3484" spans="1:6" ht="12.75" hidden="1" customHeight="1">
      <c r="B3484" s="7"/>
    </row>
    <row r="3485" spans="1:6" ht="12.75" hidden="1" customHeight="1">
      <c r="A3485" s="1" t="s">
        <v>1064</v>
      </c>
      <c r="B3485" s="11" t="s">
        <v>151</v>
      </c>
      <c r="C3485" s="2" t="s">
        <v>213</v>
      </c>
    </row>
    <row r="3486" spans="1:6" ht="12.75" hidden="1" customHeight="1">
      <c r="A3486" s="4" t="s">
        <v>1169</v>
      </c>
      <c r="B3486" s="8">
        <v>7.0000000000000001E-3</v>
      </c>
      <c r="C3486" s="6" t="s">
        <v>825</v>
      </c>
      <c r="D3486" s="37">
        <f>D3473</f>
        <v>7472.68</v>
      </c>
      <c r="E3486" s="25">
        <f>ROUND(B3486*D3486,2)</f>
        <v>52.31</v>
      </c>
    </row>
    <row r="3487" spans="1:6" ht="12.75" hidden="1" customHeight="1">
      <c r="A3487" s="4" t="s">
        <v>183</v>
      </c>
      <c r="B3487" s="8">
        <v>3.3000000000000002E-2</v>
      </c>
      <c r="C3487" s="6" t="s">
        <v>211</v>
      </c>
      <c r="D3487" s="37">
        <f>D3480</f>
        <v>38</v>
      </c>
      <c r="E3487" s="25">
        <f>ROUND(B3487*D3487,2)</f>
        <v>1.25</v>
      </c>
    </row>
    <row r="3488" spans="1:6" ht="12.75" hidden="1" customHeight="1">
      <c r="A3488" s="4" t="s">
        <v>430</v>
      </c>
      <c r="B3488" s="8">
        <v>1</v>
      </c>
      <c r="C3488" s="6" t="s">
        <v>213</v>
      </c>
      <c r="D3488" s="37">
        <f>D3481</f>
        <v>20.250000000000004</v>
      </c>
      <c r="E3488" s="25">
        <f>ROUND(B3488*D3488,2)</f>
        <v>20.25</v>
      </c>
    </row>
    <row r="3489" spans="1:6" ht="12.75" hidden="1" customHeight="1">
      <c r="A3489" s="4" t="s">
        <v>1168</v>
      </c>
      <c r="B3489" s="8">
        <v>1</v>
      </c>
      <c r="C3489" s="6" t="s">
        <v>213</v>
      </c>
      <c r="D3489" s="37">
        <f>Prec.!$D$437</f>
        <v>0</v>
      </c>
      <c r="E3489" s="25">
        <f>ROUND(B3489*D3489,2)</f>
        <v>0</v>
      </c>
    </row>
    <row r="3490" spans="1:6" ht="12.75" hidden="1" customHeight="1">
      <c r="A3490" s="4" t="s">
        <v>208</v>
      </c>
      <c r="B3490" s="7">
        <f>SUM(E3486:E3489)</f>
        <v>73.81</v>
      </c>
      <c r="C3490" s="6" t="s">
        <v>209</v>
      </c>
      <c r="D3490" s="37">
        <f>Prec.!C302</f>
        <v>1.4999999999999999E-2</v>
      </c>
      <c r="E3490" s="25">
        <f>ROUND(B3490*D3490,2)</f>
        <v>1.1100000000000001</v>
      </c>
      <c r="F3490" s="26">
        <f>SUM(E3486:E3490)</f>
        <v>74.92</v>
      </c>
    </row>
    <row r="3491" spans="1:6" ht="12.75" hidden="1" customHeight="1">
      <c r="B3491" s="7"/>
    </row>
    <row r="3492" spans="1:6" ht="12.75" hidden="1" customHeight="1">
      <c r="A3492" s="1" t="s">
        <v>1065</v>
      </c>
      <c r="B3492" s="11" t="s">
        <v>151</v>
      </c>
      <c r="C3492" s="2" t="s">
        <v>213</v>
      </c>
    </row>
    <row r="3493" spans="1:6" ht="12.75" hidden="1" customHeight="1">
      <c r="A3493" s="4" t="s">
        <v>427</v>
      </c>
      <c r="B3493" s="8">
        <v>0.02</v>
      </c>
      <c r="C3493" s="6" t="s">
        <v>825</v>
      </c>
      <c r="D3493" s="37">
        <f>horm.ymez.!H8</f>
        <v>6795.98</v>
      </c>
      <c r="E3493" s="25">
        <f>ROUND(B3493*D3493,2)</f>
        <v>135.91999999999999</v>
      </c>
    </row>
    <row r="3494" spans="1:6" ht="12.75" hidden="1" customHeight="1">
      <c r="A3494" s="4" t="s">
        <v>183</v>
      </c>
      <c r="B3494" s="8">
        <v>3.3000000000000002E-2</v>
      </c>
      <c r="C3494" s="6" t="s">
        <v>211</v>
      </c>
      <c r="D3494" s="37">
        <f>D3487</f>
        <v>38</v>
      </c>
      <c r="E3494" s="25">
        <f>ROUND(B3494*D3494,2)</f>
        <v>1.25</v>
      </c>
    </row>
    <row r="3495" spans="1:6" ht="12.75" hidden="1" customHeight="1">
      <c r="A3495" s="4" t="s">
        <v>430</v>
      </c>
      <c r="B3495" s="8">
        <v>1</v>
      </c>
      <c r="C3495" s="6" t="s">
        <v>213</v>
      </c>
      <c r="D3495" s="37">
        <f>D3488</f>
        <v>20.250000000000004</v>
      </c>
      <c r="E3495" s="25">
        <f>ROUND(B3495*D3495,2)</f>
        <v>20.25</v>
      </c>
    </row>
    <row r="3496" spans="1:6" ht="12.75" hidden="1" customHeight="1">
      <c r="A3496" s="4" t="s">
        <v>1168</v>
      </c>
      <c r="B3496" s="8">
        <v>1</v>
      </c>
      <c r="C3496" s="6" t="s">
        <v>213</v>
      </c>
      <c r="D3496" s="37">
        <f>Prec.!$D$432</f>
        <v>0</v>
      </c>
      <c r="E3496" s="25">
        <f>ROUND(B3496*D3496,2)</f>
        <v>0</v>
      </c>
    </row>
    <row r="3497" spans="1:6" ht="12.75" hidden="1" customHeight="1">
      <c r="A3497" s="4" t="s">
        <v>208</v>
      </c>
      <c r="B3497" s="7">
        <f>SUM(E3493:E3496)</f>
        <v>157.41999999999999</v>
      </c>
      <c r="C3497" s="6" t="s">
        <v>209</v>
      </c>
      <c r="D3497" s="37">
        <f>Prec.!C302</f>
        <v>1.4999999999999999E-2</v>
      </c>
      <c r="E3497" s="25">
        <f>ROUND(B3497*D3497,2)</f>
        <v>2.36</v>
      </c>
      <c r="F3497" s="26">
        <f>SUM(E3493:E3497)</f>
        <v>159.78</v>
      </c>
    </row>
    <row r="3498" spans="1:6" ht="12.75" hidden="1" customHeight="1">
      <c r="A3498" s="1" t="s">
        <v>1066</v>
      </c>
      <c r="B3498" s="11" t="s">
        <v>151</v>
      </c>
      <c r="C3498" s="2" t="s">
        <v>213</v>
      </c>
    </row>
    <row r="3499" spans="1:6" ht="12.75" hidden="1" customHeight="1">
      <c r="A3499" s="4" t="s">
        <v>427</v>
      </c>
      <c r="B3499" s="8">
        <v>0.02</v>
      </c>
      <c r="C3499" s="6" t="s">
        <v>825</v>
      </c>
      <c r="D3499" s="37">
        <f>D3493</f>
        <v>6795.98</v>
      </c>
      <c r="E3499" s="25">
        <f>ROUND(B3499*D3499,2)</f>
        <v>135.91999999999999</v>
      </c>
    </row>
    <row r="3500" spans="1:6" ht="12.75" hidden="1" customHeight="1">
      <c r="A3500" s="4" t="s">
        <v>183</v>
      </c>
      <c r="B3500" s="8">
        <v>3.3000000000000002E-2</v>
      </c>
      <c r="C3500" s="6" t="s">
        <v>211</v>
      </c>
      <c r="D3500" s="37">
        <f>D3494</f>
        <v>38</v>
      </c>
      <c r="E3500" s="25">
        <f>ROUND(B3500*D3500,2)</f>
        <v>1.25</v>
      </c>
    </row>
    <row r="3501" spans="1:6" ht="12.75" hidden="1" customHeight="1">
      <c r="A3501" s="4" t="s">
        <v>430</v>
      </c>
      <c r="B3501" s="8">
        <v>1</v>
      </c>
      <c r="C3501" s="6" t="s">
        <v>213</v>
      </c>
      <c r="D3501" s="37">
        <f>D3495</f>
        <v>20.250000000000004</v>
      </c>
      <c r="E3501" s="25">
        <f>ROUND(B3501*D3501,2)</f>
        <v>20.25</v>
      </c>
    </row>
    <row r="3502" spans="1:6" ht="12.75" hidden="1" customHeight="1">
      <c r="A3502" s="4" t="s">
        <v>1168</v>
      </c>
      <c r="B3502" s="8">
        <v>1</v>
      </c>
      <c r="C3502" s="6" t="s">
        <v>213</v>
      </c>
      <c r="D3502" s="37">
        <f>Prec.!$D$433</f>
        <v>0</v>
      </c>
      <c r="E3502" s="25">
        <f>ROUND(B3502*D3502,2)</f>
        <v>0</v>
      </c>
    </row>
    <row r="3503" spans="1:6" ht="12.75" hidden="1" customHeight="1">
      <c r="A3503" s="4" t="s">
        <v>208</v>
      </c>
      <c r="B3503" s="7">
        <f>SUM(E3499:E3502)</f>
        <v>157.41999999999999</v>
      </c>
      <c r="C3503" s="6" t="s">
        <v>209</v>
      </c>
      <c r="D3503" s="37">
        <f>Prec.!C302</f>
        <v>1.4999999999999999E-2</v>
      </c>
      <c r="E3503" s="25">
        <f>ROUND(B3503*D3503,2)</f>
        <v>2.36</v>
      </c>
      <c r="F3503" s="26">
        <f>SUM(E3499:E3503)</f>
        <v>159.78</v>
      </c>
    </row>
    <row r="3504" spans="1:6" ht="12.75" hidden="1" customHeight="1">
      <c r="B3504" s="7"/>
    </row>
    <row r="3505" spans="1:6" ht="12.75" hidden="1" customHeight="1">
      <c r="A3505" s="1" t="s">
        <v>1067</v>
      </c>
      <c r="B3505" s="11" t="s">
        <v>151</v>
      </c>
      <c r="C3505" s="2" t="s">
        <v>825</v>
      </c>
    </row>
    <row r="3506" spans="1:6" ht="12.75" hidden="1" customHeight="1">
      <c r="A3506" s="4" t="s">
        <v>427</v>
      </c>
      <c r="B3506" s="8">
        <v>1.2999999999999999E-2</v>
      </c>
      <c r="C3506" s="6" t="s">
        <v>825</v>
      </c>
      <c r="D3506" s="37">
        <f>D3499</f>
        <v>6795.98</v>
      </c>
      <c r="E3506" s="25">
        <f>ROUND(B3506*D3506,2)</f>
        <v>88.35</v>
      </c>
    </row>
    <row r="3507" spans="1:6" ht="12.75" hidden="1" customHeight="1">
      <c r="A3507" s="4" t="s">
        <v>1168</v>
      </c>
      <c r="B3507" s="8">
        <v>1</v>
      </c>
      <c r="C3507" s="6" t="s">
        <v>213</v>
      </c>
      <c r="D3507" s="37">
        <f>Prec.!$D$431</f>
        <v>0</v>
      </c>
      <c r="E3507" s="25">
        <f>ROUND(B3507*D3507,2)</f>
        <v>0</v>
      </c>
    </row>
    <row r="3508" spans="1:6" ht="12.75" hidden="1" customHeight="1">
      <c r="A3508" s="4" t="s">
        <v>208</v>
      </c>
      <c r="B3508" s="7">
        <f>SUM(E3506:E3507)</f>
        <v>88.35</v>
      </c>
      <c r="C3508" s="6" t="s">
        <v>209</v>
      </c>
      <c r="D3508" s="37">
        <f>Prec.!C302</f>
        <v>1.4999999999999999E-2</v>
      </c>
      <c r="E3508" s="25">
        <f>ROUND(B3508*D3508,2)</f>
        <v>1.33</v>
      </c>
      <c r="F3508" s="26">
        <f>SUM(E3506:E3508)</f>
        <v>89.679999999999993</v>
      </c>
    </row>
    <row r="3509" spans="1:6" ht="12.75" hidden="1" customHeight="1">
      <c r="B3509" s="7"/>
    </row>
    <row r="3510" spans="1:6" ht="12.75" hidden="1" customHeight="1">
      <c r="A3510" s="1" t="s">
        <v>1068</v>
      </c>
      <c r="B3510" s="11" t="s">
        <v>151</v>
      </c>
      <c r="C3510" s="2" t="s">
        <v>1171</v>
      </c>
    </row>
    <row r="3511" spans="1:6" ht="12.75" hidden="1" customHeight="1">
      <c r="A3511" s="4" t="s">
        <v>1169</v>
      </c>
      <c r="B3511" s="8">
        <v>8.0000000000000002E-3</v>
      </c>
      <c r="C3511" s="6" t="s">
        <v>825</v>
      </c>
      <c r="D3511" s="37">
        <f>D3486</f>
        <v>7472.68</v>
      </c>
      <c r="E3511" s="25">
        <f>ROUND(B3511*D3511,2)</f>
        <v>59.78</v>
      </c>
    </row>
    <row r="3512" spans="1:6" ht="12.75" hidden="1" customHeight="1">
      <c r="A3512" s="4" t="s">
        <v>183</v>
      </c>
      <c r="B3512" s="8">
        <v>0.27</v>
      </c>
      <c r="C3512" s="6" t="s">
        <v>211</v>
      </c>
      <c r="D3512" s="37">
        <f>D3500</f>
        <v>38</v>
      </c>
      <c r="E3512" s="25">
        <f>ROUND(B3512*D3512,2)</f>
        <v>10.26</v>
      </c>
    </row>
    <row r="3513" spans="1:6" ht="12.75" hidden="1" customHeight="1">
      <c r="A3513" s="4" t="s">
        <v>1168</v>
      </c>
      <c r="B3513" s="8">
        <v>1</v>
      </c>
      <c r="C3513" s="6" t="s">
        <v>1171</v>
      </c>
      <c r="D3513" s="37">
        <f>Prec.!$D$439</f>
        <v>0</v>
      </c>
      <c r="E3513" s="25">
        <f>ROUND(B3513*D3513,2)</f>
        <v>0</v>
      </c>
    </row>
    <row r="3514" spans="1:6" ht="12.75" hidden="1" customHeight="1">
      <c r="A3514" s="4" t="s">
        <v>208</v>
      </c>
      <c r="B3514" s="7">
        <f>SUM(E3511:E3513)</f>
        <v>70.040000000000006</v>
      </c>
      <c r="C3514" s="6" t="s">
        <v>209</v>
      </c>
      <c r="D3514" s="37">
        <f>Prec.!C302</f>
        <v>1.4999999999999999E-2</v>
      </c>
      <c r="E3514" s="25">
        <f>ROUND(B3514*D3514,2)</f>
        <v>1.05</v>
      </c>
      <c r="F3514" s="26">
        <f>SUM(E3511:E3514)</f>
        <v>71.09</v>
      </c>
    </row>
    <row r="3515" spans="1:6" ht="12.75" hidden="1" customHeight="1">
      <c r="B3515" s="7"/>
    </row>
    <row r="3516" spans="1:6" ht="12.75" hidden="1" customHeight="1">
      <c r="A3516" s="1" t="s">
        <v>1069</v>
      </c>
      <c r="B3516" s="11" t="s">
        <v>151</v>
      </c>
      <c r="C3516" s="2" t="s">
        <v>1171</v>
      </c>
    </row>
    <row r="3517" spans="1:6" ht="12.75" hidden="1" customHeight="1">
      <c r="A3517" s="4" t="s">
        <v>1169</v>
      </c>
      <c r="B3517" s="8">
        <v>0.01</v>
      </c>
      <c r="C3517" s="6" t="s">
        <v>825</v>
      </c>
      <c r="D3517" s="37">
        <f>horm.ymez.!H12</f>
        <v>7472.68</v>
      </c>
      <c r="E3517" s="25">
        <f>ROUND(B3517*D3517,2)</f>
        <v>74.73</v>
      </c>
    </row>
    <row r="3518" spans="1:6" ht="12.75" hidden="1" customHeight="1">
      <c r="A3518" s="4" t="s">
        <v>183</v>
      </c>
      <c r="B3518" s="8">
        <v>0.218</v>
      </c>
      <c r="C3518" s="6" t="s">
        <v>211</v>
      </c>
      <c r="D3518" s="37">
        <f>D3512</f>
        <v>38</v>
      </c>
      <c r="E3518" s="25">
        <f>ROUND(B3518*D3518,2)</f>
        <v>8.2799999999999994</v>
      </c>
    </row>
    <row r="3519" spans="1:6" ht="12.75" hidden="1" customHeight="1">
      <c r="A3519" s="4" t="s">
        <v>430</v>
      </c>
      <c r="B3519" s="8">
        <v>1</v>
      </c>
      <c r="C3519" s="6" t="s">
        <v>213</v>
      </c>
      <c r="D3519" s="37">
        <f>D3501</f>
        <v>20.250000000000004</v>
      </c>
      <c r="E3519" s="25">
        <f>ROUND(B3519*D3519,2)</f>
        <v>20.25</v>
      </c>
    </row>
    <row r="3520" spans="1:6" ht="12.75" hidden="1" customHeight="1">
      <c r="A3520" s="4" t="s">
        <v>1168</v>
      </c>
      <c r="B3520" s="8">
        <v>1</v>
      </c>
      <c r="C3520" s="6" t="s">
        <v>1171</v>
      </c>
      <c r="D3520" s="37">
        <f>Prec.!$D$440</f>
        <v>0</v>
      </c>
      <c r="E3520" s="25">
        <f>ROUND(B3520*D3520,2)</f>
        <v>0</v>
      </c>
    </row>
    <row r="3521" spans="1:6" ht="12.75" hidden="1" customHeight="1">
      <c r="A3521" s="4" t="s">
        <v>208</v>
      </c>
      <c r="B3521" s="7">
        <f>SUM(E3517:E3520)</f>
        <v>103.26</v>
      </c>
      <c r="C3521" s="6" t="s">
        <v>209</v>
      </c>
      <c r="D3521" s="37">
        <f>Prec.!C302</f>
        <v>1.4999999999999999E-2</v>
      </c>
      <c r="E3521" s="25">
        <f>ROUND(B3521*D3521,2)</f>
        <v>1.55</v>
      </c>
      <c r="F3521" s="26">
        <f>SUM(E3517:E3521)</f>
        <v>104.81</v>
      </c>
    </row>
    <row r="3522" spans="1:6" ht="12.75" hidden="1" customHeight="1">
      <c r="B3522" s="7"/>
    </row>
    <row r="3523" spans="1:6" ht="12.75" hidden="1" customHeight="1">
      <c r="A3523" s="1" t="s">
        <v>1070</v>
      </c>
      <c r="B3523" s="11" t="s">
        <v>151</v>
      </c>
      <c r="C3523" s="2" t="s">
        <v>1171</v>
      </c>
    </row>
    <row r="3524" spans="1:6" ht="12.75" hidden="1" customHeight="1">
      <c r="A3524" s="4" t="s">
        <v>1169</v>
      </c>
      <c r="B3524" s="8">
        <v>2E-3</v>
      </c>
      <c r="C3524" s="6" t="s">
        <v>825</v>
      </c>
      <c r="D3524" s="37">
        <f>D3517</f>
        <v>7472.68</v>
      </c>
      <c r="E3524" s="25">
        <f>ROUND(B3524*D3524,2)</f>
        <v>14.95</v>
      </c>
    </row>
    <row r="3525" spans="1:6" ht="12.75" hidden="1" customHeight="1">
      <c r="A3525" s="4" t="s">
        <v>183</v>
      </c>
      <c r="B3525" s="8">
        <v>0.27</v>
      </c>
      <c r="C3525" s="6" t="s">
        <v>211</v>
      </c>
      <c r="D3525" s="37">
        <f>D3518</f>
        <v>38</v>
      </c>
      <c r="E3525" s="25">
        <f>ROUND(B3525*D3525,2)</f>
        <v>10.26</v>
      </c>
    </row>
    <row r="3526" spans="1:6" ht="12.75" hidden="1" customHeight="1">
      <c r="A3526" s="4" t="s">
        <v>430</v>
      </c>
      <c r="B3526" s="8">
        <v>1</v>
      </c>
      <c r="C3526" s="6" t="s">
        <v>213</v>
      </c>
      <c r="D3526" s="37">
        <f>horm.ymez.!H23</f>
        <v>20.250000000000004</v>
      </c>
      <c r="E3526" s="25">
        <f>ROUND(B3526*D3526,2)</f>
        <v>20.25</v>
      </c>
    </row>
    <row r="3527" spans="1:6" ht="12.75" hidden="1" customHeight="1">
      <c r="A3527" s="4" t="s">
        <v>1168</v>
      </c>
      <c r="B3527" s="8">
        <v>1</v>
      </c>
      <c r="C3527" s="6" t="s">
        <v>1171</v>
      </c>
      <c r="D3527" s="37">
        <f>Prec.!$D$441</f>
        <v>0</v>
      </c>
      <c r="E3527" s="25">
        <f>ROUND(B3527*D3527,2)</f>
        <v>0</v>
      </c>
    </row>
    <row r="3528" spans="1:6" ht="12.75" hidden="1" customHeight="1">
      <c r="A3528" s="4" t="s">
        <v>208</v>
      </c>
      <c r="B3528" s="7">
        <f>SUM(E3524:E3527)</f>
        <v>45.46</v>
      </c>
      <c r="C3528" s="6" t="s">
        <v>209</v>
      </c>
      <c r="D3528" s="37">
        <f>Prec.!C302</f>
        <v>1.4999999999999999E-2</v>
      </c>
      <c r="E3528" s="25">
        <f>ROUND(B3528*D3528,2)</f>
        <v>0.68</v>
      </c>
      <c r="F3528" s="26">
        <f>SUM(E3524:E3528)</f>
        <v>46.14</v>
      </c>
    </row>
    <row r="3529" spans="1:6" ht="12.75" hidden="1" customHeight="1">
      <c r="A3529" s="2"/>
      <c r="B3529" s="7"/>
    </row>
    <row r="3530" spans="1:6" ht="12.75" customHeight="1">
      <c r="A3530" s="39" t="s">
        <v>229</v>
      </c>
      <c r="B3530" s="14"/>
    </row>
    <row r="3531" spans="1:6" ht="12.75" customHeight="1">
      <c r="B3531" s="7"/>
    </row>
    <row r="3532" spans="1:6" ht="12.75" customHeight="1">
      <c r="A3532" s="23" t="s">
        <v>321</v>
      </c>
      <c r="B3532" s="7"/>
    </row>
    <row r="3533" spans="1:6" ht="12.75" customHeight="1">
      <c r="A3533" s="2"/>
      <c r="B3533" s="7"/>
    </row>
    <row r="3534" spans="1:6" ht="12.75" hidden="1" customHeight="1">
      <c r="A3534" s="1" t="s">
        <v>893</v>
      </c>
      <c r="B3534" s="11"/>
      <c r="C3534" s="2"/>
      <c r="E3534" s="27" t="s">
        <v>151</v>
      </c>
      <c r="F3534" s="28" t="s">
        <v>213</v>
      </c>
    </row>
    <row r="3535" spans="1:6" ht="12.75" hidden="1" customHeight="1">
      <c r="A3535" s="4" t="s">
        <v>421</v>
      </c>
      <c r="B3535" s="8">
        <v>8.4000000000000005E-2</v>
      </c>
      <c r="C3535" s="6" t="s">
        <v>825</v>
      </c>
      <c r="D3535" s="37">
        <f>horm.ymez.!C14</f>
        <v>5147.68</v>
      </c>
      <c r="E3535" s="25">
        <f>ROUND(B3535*D3535,2)</f>
        <v>432.41</v>
      </c>
    </row>
    <row r="3536" spans="1:6" ht="12.75" hidden="1" customHeight="1">
      <c r="A3536" s="4" t="s">
        <v>1168</v>
      </c>
      <c r="B3536" s="8">
        <v>1</v>
      </c>
      <c r="C3536" s="6" t="s">
        <v>213</v>
      </c>
      <c r="D3536" s="37">
        <f>Prec.!D450</f>
        <v>0</v>
      </c>
      <c r="E3536" s="25">
        <f>ROUND(B3536*D3536,2)</f>
        <v>0</v>
      </c>
    </row>
    <row r="3537" spans="1:13" ht="12.75" hidden="1" customHeight="1">
      <c r="A3537" s="4" t="s">
        <v>208</v>
      </c>
      <c r="B3537" s="7">
        <f>SUM(E3535:E3536)</f>
        <v>432.41</v>
      </c>
      <c r="C3537" s="6" t="s">
        <v>209</v>
      </c>
      <c r="D3537" s="37">
        <f>Prec.!C302</f>
        <v>1.4999999999999999E-2</v>
      </c>
      <c r="E3537" s="25">
        <f>ROUND(B3537*D3537,2)</f>
        <v>6.49</v>
      </c>
      <c r="F3537" s="26">
        <f>SUM(E3535:E3537)</f>
        <v>438.90000000000003</v>
      </c>
    </row>
    <row r="3538" spans="1:13" ht="12.75" hidden="1" customHeight="1">
      <c r="B3538" s="7"/>
    </row>
    <row r="3539" spans="1:13" ht="12.75" hidden="1" customHeight="1">
      <c r="A3539" s="148" t="s">
        <v>1127</v>
      </c>
      <c r="B3539" s="166"/>
      <c r="C3539" s="166"/>
      <c r="D3539" s="166"/>
      <c r="E3539" s="166" t="s">
        <v>151</v>
      </c>
      <c r="F3539" s="166" t="s">
        <v>213</v>
      </c>
    </row>
    <row r="3540" spans="1:13" ht="12.75" hidden="1" customHeight="1">
      <c r="A3540" s="166" t="s">
        <v>421</v>
      </c>
      <c r="B3540" s="166">
        <v>8.4000000000000005E-2</v>
      </c>
      <c r="C3540" s="166" t="s">
        <v>825</v>
      </c>
      <c r="D3540" s="166">
        <f>D3535</f>
        <v>5147.68</v>
      </c>
      <c r="E3540" s="166">
        <f t="shared" ref="E3540:E3545" si="266">ROUND(B3540*D3540,2)</f>
        <v>432.41</v>
      </c>
      <c r="F3540" s="166"/>
    </row>
    <row r="3541" spans="1:13" ht="12.75" hidden="1" customHeight="1">
      <c r="A3541" s="166" t="s">
        <v>427</v>
      </c>
      <c r="B3541" s="166">
        <v>2.1999999999999999E-2</v>
      </c>
      <c r="C3541" s="166" t="s">
        <v>825</v>
      </c>
      <c r="D3541" s="166">
        <f>horm.ymez.!C8</f>
        <v>6653.49</v>
      </c>
      <c r="E3541" s="166">
        <f t="shared" si="266"/>
        <v>146.38</v>
      </c>
      <c r="F3541" s="166"/>
    </row>
    <row r="3542" spans="1:13" ht="12.75" hidden="1" customHeight="1">
      <c r="A3542" s="166" t="s">
        <v>183</v>
      </c>
      <c r="B3542" s="166">
        <v>8.7999999999999995E-2</v>
      </c>
      <c r="C3542" s="166" t="s">
        <v>211</v>
      </c>
      <c r="D3542" s="166">
        <f>Prec.!C203</f>
        <v>38</v>
      </c>
      <c r="E3542" s="166">
        <f t="shared" si="266"/>
        <v>3.34</v>
      </c>
      <c r="F3542" s="166"/>
    </row>
    <row r="3543" spans="1:13" ht="12.75" hidden="1" customHeight="1">
      <c r="A3543" s="166" t="s">
        <v>1170</v>
      </c>
      <c r="B3543" s="166">
        <v>0.8</v>
      </c>
      <c r="C3543" s="166" t="s">
        <v>1171</v>
      </c>
      <c r="D3543" s="166">
        <f>Prec.!$D$438</f>
        <v>0</v>
      </c>
      <c r="E3543" s="166">
        <f t="shared" si="266"/>
        <v>0</v>
      </c>
      <c r="F3543" s="166"/>
    </row>
    <row r="3544" spans="1:13" ht="12.75" hidden="1" customHeight="1">
      <c r="A3544" s="166" t="s">
        <v>1168</v>
      </c>
      <c r="B3544" s="166">
        <v>1</v>
      </c>
      <c r="C3544" s="166" t="s">
        <v>213</v>
      </c>
      <c r="D3544" s="166">
        <f>Prec.!$D$450</f>
        <v>0</v>
      </c>
      <c r="E3544" s="166">
        <f t="shared" si="266"/>
        <v>0</v>
      </c>
      <c r="F3544" s="166"/>
    </row>
    <row r="3545" spans="1:13" ht="12.75" hidden="1" customHeight="1">
      <c r="A3545" s="166" t="s">
        <v>208</v>
      </c>
      <c r="B3545" s="166">
        <f>SUM(E3540:E3544)</f>
        <v>582.13</v>
      </c>
      <c r="C3545" s="166" t="s">
        <v>209</v>
      </c>
      <c r="D3545" s="166">
        <f>Prec.!C302</f>
        <v>1.4999999999999999E-2</v>
      </c>
      <c r="E3545" s="166">
        <f t="shared" si="266"/>
        <v>8.73</v>
      </c>
      <c r="F3545" s="166">
        <f>SUM(E3540:E3545)</f>
        <v>590.86</v>
      </c>
    </row>
    <row r="3546" spans="1:13" ht="12.75" hidden="1" customHeight="1">
      <c r="B3546" s="7"/>
    </row>
    <row r="3547" spans="1:13" s="166" customFormat="1" ht="12.75" customHeight="1">
      <c r="A3547" s="545" t="s">
        <v>1127</v>
      </c>
      <c r="B3547" s="551"/>
      <c r="C3547" s="551"/>
      <c r="D3547" s="551"/>
      <c r="E3547" s="545" t="s">
        <v>151</v>
      </c>
      <c r="F3547" s="545" t="s">
        <v>213</v>
      </c>
      <c r="G3547" s="15"/>
      <c r="H3547" s="21"/>
      <c r="I3547" s="15"/>
      <c r="J3547" s="15"/>
      <c r="K3547" s="15"/>
      <c r="L3547" s="21"/>
      <c r="M3547" s="15"/>
    </row>
    <row r="3548" spans="1:13" s="166" customFormat="1" ht="12.75" customHeight="1">
      <c r="A3548" s="551" t="s">
        <v>421</v>
      </c>
      <c r="B3548" s="551">
        <v>8.4000000000000005E-2</v>
      </c>
      <c r="C3548" s="551" t="s">
        <v>825</v>
      </c>
      <c r="D3548" s="551">
        <f>D3540</f>
        <v>5147.68</v>
      </c>
      <c r="E3548" s="551">
        <f t="shared" ref="E3548:E3555" si="267">ROUND(B3548*D3548,2)</f>
        <v>432.41</v>
      </c>
      <c r="F3548" s="551"/>
      <c r="G3548" s="15"/>
      <c r="H3548" s="21"/>
      <c r="I3548" s="15"/>
      <c r="J3548" s="15"/>
      <c r="K3548" s="15"/>
      <c r="L3548" s="21"/>
      <c r="M3548" s="15"/>
    </row>
    <row r="3549" spans="1:13" s="166" customFormat="1" ht="12.75" customHeight="1">
      <c r="A3549" s="551" t="s">
        <v>427</v>
      </c>
      <c r="B3549" s="551">
        <v>2.1999999999999999E-2</v>
      </c>
      <c r="C3549" s="551" t="s">
        <v>825</v>
      </c>
      <c r="D3549" s="551">
        <f t="shared" ref="D3549:D3550" si="268">D3541</f>
        <v>6653.49</v>
      </c>
      <c r="E3549" s="551">
        <f t="shared" si="267"/>
        <v>146.38</v>
      </c>
      <c r="F3549" s="551"/>
      <c r="G3549" s="15"/>
      <c r="H3549" s="21"/>
      <c r="I3549" s="15"/>
      <c r="J3549" s="15"/>
      <c r="K3549" s="15"/>
      <c r="L3549" s="21"/>
      <c r="M3549" s="15"/>
    </row>
    <row r="3550" spans="1:13" s="166" customFormat="1" ht="12.75" customHeight="1">
      <c r="A3550" s="551" t="s">
        <v>183</v>
      </c>
      <c r="B3550" s="551">
        <v>8.7999999999999995E-2</v>
      </c>
      <c r="C3550" s="551" t="s">
        <v>211</v>
      </c>
      <c r="D3550" s="551">
        <f t="shared" si="268"/>
        <v>38</v>
      </c>
      <c r="E3550" s="551">
        <f t="shared" si="267"/>
        <v>3.34</v>
      </c>
      <c r="F3550" s="551"/>
      <c r="G3550" s="15"/>
      <c r="H3550" s="21"/>
      <c r="I3550" s="15"/>
      <c r="J3550" s="15"/>
      <c r="K3550" s="15"/>
      <c r="L3550" s="21"/>
      <c r="M3550" s="15"/>
    </row>
    <row r="3551" spans="1:13" s="166" customFormat="1" ht="12.75" customHeight="1">
      <c r="A3551" s="559" t="s">
        <v>4165</v>
      </c>
      <c r="B3551" s="560">
        <f>0.0104</f>
        <v>1.04E-2</v>
      </c>
      <c r="C3551" s="551" t="s">
        <v>1110</v>
      </c>
      <c r="D3551" s="561">
        <v>17000</v>
      </c>
      <c r="E3551" s="551">
        <f t="shared" si="267"/>
        <v>176.8</v>
      </c>
      <c r="F3551" s="551"/>
      <c r="G3551" s="15"/>
      <c r="H3551" s="21"/>
      <c r="I3551" s="15"/>
      <c r="J3551" s="15"/>
      <c r="K3551" s="15"/>
      <c r="L3551" s="21"/>
      <c r="M3551" s="15"/>
    </row>
    <row r="3552" spans="1:13" s="166" customFormat="1" ht="12.75" customHeight="1">
      <c r="A3552" s="559" t="s">
        <v>1737</v>
      </c>
      <c r="B3552" s="551">
        <v>0.11</v>
      </c>
      <c r="C3552" s="551" t="s">
        <v>4</v>
      </c>
      <c r="D3552" s="562">
        <f>Prec.!C342</f>
        <v>486.5</v>
      </c>
      <c r="E3552" s="551">
        <f t="shared" si="267"/>
        <v>53.52</v>
      </c>
      <c r="F3552" s="551"/>
      <c r="G3552" s="15"/>
      <c r="H3552" s="21"/>
      <c r="I3552" s="15"/>
      <c r="J3552" s="15"/>
      <c r="K3552" s="15"/>
      <c r="L3552" s="21"/>
      <c r="M3552" s="15"/>
    </row>
    <row r="3553" spans="1:13" s="166" customFormat="1" ht="12.75" customHeight="1">
      <c r="A3553" s="551" t="s">
        <v>1170</v>
      </c>
      <c r="B3553" s="551">
        <v>0.8</v>
      </c>
      <c r="C3553" s="551" t="s">
        <v>1171</v>
      </c>
      <c r="D3553" s="562">
        <f>Ana.term!F2837</f>
        <v>102.31</v>
      </c>
      <c r="E3553" s="551">
        <f t="shared" si="267"/>
        <v>81.849999999999994</v>
      </c>
      <c r="F3553" s="551"/>
      <c r="G3553" s="15"/>
      <c r="H3553" s="21"/>
      <c r="I3553" s="15"/>
      <c r="J3553" s="15"/>
      <c r="K3553" s="15"/>
      <c r="L3553" s="21"/>
      <c r="M3553" s="15"/>
    </row>
    <row r="3554" spans="1:13" s="166" customFormat="1" ht="12.75" customHeight="1">
      <c r="A3554" s="551" t="s">
        <v>1168</v>
      </c>
      <c r="B3554" s="551">
        <v>1</v>
      </c>
      <c r="C3554" s="551" t="s">
        <v>213</v>
      </c>
      <c r="D3554" s="562">
        <f>Prec.!C450</f>
        <v>150.75</v>
      </c>
      <c r="E3554" s="551">
        <f t="shared" si="267"/>
        <v>150.75</v>
      </c>
      <c r="F3554" s="551"/>
      <c r="G3554" s="15"/>
      <c r="H3554" s="21"/>
      <c r="I3554" s="15"/>
      <c r="J3554" s="15"/>
      <c r="K3554" s="15"/>
      <c r="L3554" s="21"/>
      <c r="M3554" s="15"/>
    </row>
    <row r="3555" spans="1:13" s="166" customFormat="1" ht="12.75" customHeight="1">
      <c r="A3555" s="551" t="s">
        <v>208</v>
      </c>
      <c r="B3555" s="551">
        <f>SUM(E3548:E3551)</f>
        <v>758.93000000000006</v>
      </c>
      <c r="C3555" s="551" t="s">
        <v>209</v>
      </c>
      <c r="D3555" s="551">
        <v>0.02</v>
      </c>
      <c r="E3555" s="551">
        <f t="shared" si="267"/>
        <v>15.18</v>
      </c>
      <c r="F3555" s="545">
        <f>SUM(E3548:E3555)</f>
        <v>1060.2300000000002</v>
      </c>
      <c r="G3555" s="15"/>
      <c r="H3555" s="21"/>
      <c r="I3555" s="15"/>
      <c r="J3555" s="15"/>
      <c r="K3555" s="15"/>
      <c r="L3555" s="21"/>
      <c r="M3555" s="15"/>
    </row>
    <row r="3556" spans="1:13" s="166" customFormat="1" ht="12.75" customHeight="1">
      <c r="A3556" s="12"/>
      <c r="B3556" s="14"/>
      <c r="C3556" s="24"/>
      <c r="D3556" s="35"/>
      <c r="E3556" s="31"/>
      <c r="F3556" s="32"/>
      <c r="G3556" s="15"/>
      <c r="H3556" s="21"/>
      <c r="I3556" s="15"/>
      <c r="J3556" s="15"/>
      <c r="K3556" s="15"/>
      <c r="L3556" s="21"/>
      <c r="M3556" s="15"/>
    </row>
    <row r="3557" spans="1:13" s="166" customFormat="1" ht="12.75" customHeight="1">
      <c r="A3557" s="12"/>
      <c r="B3557" s="14"/>
      <c r="C3557" s="24"/>
      <c r="D3557" s="35"/>
      <c r="E3557" s="31"/>
      <c r="F3557" s="32"/>
      <c r="G3557" s="15"/>
      <c r="H3557" s="21"/>
      <c r="I3557" s="15"/>
      <c r="J3557" s="15"/>
      <c r="K3557" s="15"/>
      <c r="L3557" s="21"/>
      <c r="M3557" s="15"/>
    </row>
    <row r="3558" spans="1:13" s="166" customFormat="1" ht="12.75" customHeight="1">
      <c r="A3558" s="12"/>
      <c r="B3558" s="14"/>
      <c r="C3558" s="24"/>
      <c r="D3558" s="35"/>
      <c r="E3558" s="31"/>
      <c r="F3558" s="32"/>
      <c r="G3558" s="15"/>
      <c r="H3558" s="21"/>
      <c r="I3558" s="15"/>
      <c r="J3558" s="15"/>
      <c r="K3558" s="15"/>
      <c r="L3558" s="21"/>
      <c r="M3558" s="15"/>
    </row>
    <row r="3559" spans="1:13" ht="12.75" customHeight="1">
      <c r="A3559" s="513" t="s">
        <v>572</v>
      </c>
      <c r="B3559" s="505"/>
      <c r="C3559" s="506"/>
      <c r="D3559" s="507"/>
      <c r="E3559" s="514" t="s">
        <v>151</v>
      </c>
      <c r="F3559" s="515" t="s">
        <v>213</v>
      </c>
    </row>
    <row r="3560" spans="1:13" ht="12.75" customHeight="1">
      <c r="A3560" s="512" t="s">
        <v>1</v>
      </c>
      <c r="B3560" s="510">
        <v>4.4999999999999998E-2</v>
      </c>
      <c r="C3560" s="511" t="s">
        <v>823</v>
      </c>
      <c r="D3560" s="521">
        <f>Prec.!$C$5</f>
        <v>425</v>
      </c>
      <c r="E3560" s="508">
        <f t="shared" ref="E3560:E3567" si="269">ROUND(B3560*D3560,2)</f>
        <v>19.13</v>
      </c>
      <c r="F3560" s="509"/>
    </row>
    <row r="3561" spans="1:13" ht="12.75" customHeight="1">
      <c r="A3561" s="512" t="s">
        <v>421</v>
      </c>
      <c r="B3561" s="510">
        <v>8.4000000000000005E-2</v>
      </c>
      <c r="C3561" s="511" t="s">
        <v>825</v>
      </c>
      <c r="D3561" s="507">
        <f>D3540</f>
        <v>5147.68</v>
      </c>
      <c r="E3561" s="508">
        <f t="shared" si="269"/>
        <v>432.41</v>
      </c>
      <c r="F3561" s="509"/>
    </row>
    <row r="3562" spans="1:13" ht="12.75" customHeight="1">
      <c r="A3562" s="512" t="s">
        <v>427</v>
      </c>
      <c r="B3562" s="510">
        <v>2.1999999999999999E-2</v>
      </c>
      <c r="C3562" s="511" t="s">
        <v>825</v>
      </c>
      <c r="D3562" s="507">
        <f>D3541</f>
        <v>6653.49</v>
      </c>
      <c r="E3562" s="508">
        <f t="shared" si="269"/>
        <v>146.38</v>
      </c>
      <c r="F3562" s="509"/>
    </row>
    <row r="3563" spans="1:13" ht="12.75" customHeight="1">
      <c r="A3563" s="512" t="s">
        <v>183</v>
      </c>
      <c r="B3563" s="510">
        <v>8.7999999999999995E-2</v>
      </c>
      <c r="C3563" s="511" t="s">
        <v>211</v>
      </c>
      <c r="D3563" s="507">
        <f>D3542</f>
        <v>38</v>
      </c>
      <c r="E3563" s="508">
        <f t="shared" si="269"/>
        <v>3.34</v>
      </c>
      <c r="F3563" s="509"/>
    </row>
    <row r="3564" spans="1:13" s="166" customFormat="1" ht="12.75" customHeight="1">
      <c r="A3564" s="517" t="s">
        <v>4165</v>
      </c>
      <c r="B3564" s="518">
        <f>0.0104</f>
        <v>1.04E-2</v>
      </c>
      <c r="C3564" s="512" t="s">
        <v>1110</v>
      </c>
      <c r="D3564" s="519">
        <v>17000</v>
      </c>
      <c r="E3564" s="512">
        <f t="shared" si="269"/>
        <v>176.8</v>
      </c>
      <c r="F3564" s="509"/>
      <c r="G3564" s="15"/>
      <c r="H3564" s="21"/>
      <c r="I3564" s="15"/>
      <c r="J3564" s="15"/>
      <c r="K3564" s="15"/>
      <c r="L3564" s="21"/>
      <c r="M3564" s="15"/>
    </row>
    <row r="3565" spans="1:13" ht="12.75" customHeight="1">
      <c r="A3565" s="512" t="s">
        <v>1170</v>
      </c>
      <c r="B3565" s="510">
        <v>0.8</v>
      </c>
      <c r="C3565" s="511" t="s">
        <v>1171</v>
      </c>
      <c r="D3565" s="507">
        <f>D3553</f>
        <v>102.31</v>
      </c>
      <c r="E3565" s="508">
        <f t="shared" si="269"/>
        <v>81.849999999999994</v>
      </c>
      <c r="F3565" s="509"/>
    </row>
    <row r="3566" spans="1:13" ht="12.75" customHeight="1">
      <c r="A3566" s="512" t="s">
        <v>1168</v>
      </c>
      <c r="B3566" s="510">
        <v>1</v>
      </c>
      <c r="C3566" s="511" t="s">
        <v>213</v>
      </c>
      <c r="D3566" s="507">
        <f>Prec.!C452</f>
        <v>212.8</v>
      </c>
      <c r="E3566" s="508">
        <f t="shared" si="269"/>
        <v>212.8</v>
      </c>
      <c r="F3566" s="509"/>
    </row>
    <row r="3567" spans="1:13" ht="12.75" customHeight="1">
      <c r="A3567" s="512" t="s">
        <v>208</v>
      </c>
      <c r="B3567" s="516">
        <f>SUM(E3560:E3564)</f>
        <v>778.06000000000017</v>
      </c>
      <c r="C3567" s="511" t="s">
        <v>209</v>
      </c>
      <c r="D3567" s="507">
        <v>0.02</v>
      </c>
      <c r="E3567" s="508">
        <f t="shared" si="269"/>
        <v>15.56</v>
      </c>
      <c r="F3567" s="509">
        <f>SUM(E3560:E3567)</f>
        <v>1088.2700000000002</v>
      </c>
    </row>
    <row r="3568" spans="1:13" ht="12.75" customHeight="1">
      <c r="A3568" s="12"/>
      <c r="B3568" s="14"/>
      <c r="C3568" s="24"/>
      <c r="D3568" s="35"/>
      <c r="E3568" s="31"/>
      <c r="F3568" s="32"/>
    </row>
    <row r="3569" spans="1:6" ht="12.75" customHeight="1">
      <c r="A3569" s="13" t="s">
        <v>671</v>
      </c>
      <c r="B3569" s="42"/>
      <c r="C3569" s="29"/>
      <c r="D3569" s="35"/>
      <c r="E3569" s="43" t="s">
        <v>151</v>
      </c>
      <c r="F3569" s="44" t="s">
        <v>213</v>
      </c>
    </row>
    <row r="3570" spans="1:6" ht="12.75" customHeight="1">
      <c r="A3570" s="12" t="s">
        <v>672</v>
      </c>
      <c r="B3570" s="30">
        <v>11.67</v>
      </c>
      <c r="C3570" s="24" t="s">
        <v>1017</v>
      </c>
      <c r="D3570" s="35">
        <f>Prec.!$C$102</f>
        <v>34.76</v>
      </c>
      <c r="E3570" s="31">
        <f t="shared" ref="E3570:E3577" si="270">ROUND(B3570*D3570,2)</f>
        <v>405.65</v>
      </c>
      <c r="F3570" s="32"/>
    </row>
    <row r="3571" spans="1:6" ht="12.75" customHeight="1">
      <c r="A3571" s="12" t="s">
        <v>673</v>
      </c>
      <c r="B3571" s="30">
        <v>7.0000000000000007E-2</v>
      </c>
      <c r="C3571" s="24" t="s">
        <v>1172</v>
      </c>
      <c r="D3571" s="35">
        <f>Prec.!$C$8</f>
        <v>250</v>
      </c>
      <c r="E3571" s="31">
        <f t="shared" si="270"/>
        <v>17.5</v>
      </c>
      <c r="F3571" s="32"/>
    </row>
    <row r="3572" spans="1:6" ht="12.75" customHeight="1">
      <c r="A3572" s="12" t="s">
        <v>1174</v>
      </c>
      <c r="B3572" s="30">
        <v>3.2000000000000001E-2</v>
      </c>
      <c r="C3572" s="24" t="s">
        <v>825</v>
      </c>
      <c r="D3572" s="35">
        <f>horm.ymez.!C9</f>
        <v>5667.56</v>
      </c>
      <c r="E3572" s="31">
        <f t="shared" si="270"/>
        <v>181.36</v>
      </c>
      <c r="F3572" s="32"/>
    </row>
    <row r="3573" spans="1:6" ht="12.75" customHeight="1">
      <c r="A3573" s="12" t="s">
        <v>1173</v>
      </c>
      <c r="B3573" s="30">
        <v>0.05</v>
      </c>
      <c r="C3573" s="24" t="s">
        <v>1018</v>
      </c>
      <c r="D3573" s="35">
        <f>Prec.!$C$82</f>
        <v>75</v>
      </c>
      <c r="E3573" s="31">
        <f t="shared" si="270"/>
        <v>3.75</v>
      </c>
      <c r="F3573" s="32"/>
    </row>
    <row r="3574" spans="1:6" ht="12.75" customHeight="1">
      <c r="A3574" s="12" t="s">
        <v>1015</v>
      </c>
      <c r="B3574" s="30">
        <v>3</v>
      </c>
      <c r="C3574" s="24" t="s">
        <v>1017</v>
      </c>
      <c r="D3574" s="35">
        <f>Prec.!D490</f>
        <v>11.93</v>
      </c>
      <c r="E3574" s="31">
        <f t="shared" si="270"/>
        <v>35.79</v>
      </c>
      <c r="F3574" s="32"/>
    </row>
    <row r="3575" spans="1:6" ht="12.75" customHeight="1">
      <c r="A3575" s="12" t="s">
        <v>674</v>
      </c>
      <c r="B3575" s="30">
        <v>1</v>
      </c>
      <c r="C3575" s="24" t="s">
        <v>213</v>
      </c>
      <c r="D3575" s="35">
        <f>Prec.!$D$458</f>
        <v>0</v>
      </c>
      <c r="E3575" s="31">
        <f t="shared" si="270"/>
        <v>0</v>
      </c>
      <c r="F3575" s="32"/>
    </row>
    <row r="3576" spans="1:6" ht="12.75" customHeight="1">
      <c r="A3576" s="12" t="s">
        <v>1016</v>
      </c>
      <c r="B3576" s="30">
        <v>1</v>
      </c>
      <c r="C3576" s="24" t="s">
        <v>213</v>
      </c>
      <c r="D3576" s="35">
        <f>Prec.!$D$444</f>
        <v>160.08000000000001</v>
      </c>
      <c r="E3576" s="31">
        <f t="shared" si="270"/>
        <v>160.08000000000001</v>
      </c>
      <c r="F3576" s="32"/>
    </row>
    <row r="3577" spans="1:6" ht="12.75" customHeight="1">
      <c r="A3577" s="12" t="s">
        <v>208</v>
      </c>
      <c r="B3577" s="14">
        <f>SUM(E3570:E3576)</f>
        <v>804.13</v>
      </c>
      <c r="C3577" s="24" t="s">
        <v>209</v>
      </c>
      <c r="D3577" s="35">
        <f>Prec.!C302</f>
        <v>1.4999999999999999E-2</v>
      </c>
      <c r="E3577" s="31">
        <f t="shared" si="270"/>
        <v>12.06</v>
      </c>
      <c r="F3577" s="32">
        <f>SUM(E3570:E3577)</f>
        <v>816.18999999999994</v>
      </c>
    </row>
    <row r="3578" spans="1:6" ht="12.75" customHeight="1">
      <c r="A3578" s="12"/>
      <c r="B3578" s="14"/>
      <c r="C3578" s="24"/>
      <c r="D3578" s="35"/>
      <c r="E3578" s="31"/>
      <c r="F3578" s="32"/>
    </row>
    <row r="3579" spans="1:6" ht="12.75" customHeight="1">
      <c r="A3579" s="13" t="s">
        <v>747</v>
      </c>
      <c r="B3579" s="42"/>
      <c r="C3579" s="29"/>
      <c r="D3579" s="35"/>
      <c r="E3579" s="43" t="s">
        <v>151</v>
      </c>
      <c r="F3579" s="44" t="s">
        <v>213</v>
      </c>
    </row>
    <row r="3580" spans="1:6" ht="12.75" customHeight="1">
      <c r="A3580" s="12" t="s">
        <v>672</v>
      </c>
      <c r="B3580" s="30">
        <v>11.67</v>
      </c>
      <c r="C3580" s="24" t="s">
        <v>1017</v>
      </c>
      <c r="D3580" s="35">
        <f>Prec.!$C$103</f>
        <v>59.27</v>
      </c>
      <c r="E3580" s="31">
        <f t="shared" ref="E3580:E3587" si="271">ROUND(B3580*D3580,2)</f>
        <v>691.68</v>
      </c>
      <c r="F3580" s="32"/>
    </row>
    <row r="3581" spans="1:6" ht="12.75" customHeight="1">
      <c r="A3581" s="12" t="s">
        <v>622</v>
      </c>
      <c r="B3581" s="30">
        <v>7.0000000000000007E-2</v>
      </c>
      <c r="C3581" s="24" t="s">
        <v>1172</v>
      </c>
      <c r="D3581" s="35">
        <f>Prec.!$C$7</f>
        <v>250</v>
      </c>
      <c r="E3581" s="31">
        <f t="shared" si="271"/>
        <v>17.5</v>
      </c>
      <c r="F3581" s="32"/>
    </row>
    <row r="3582" spans="1:6" ht="12.75" customHeight="1">
      <c r="A3582" s="12" t="s">
        <v>1174</v>
      </c>
      <c r="B3582" s="30">
        <v>3.2000000000000001E-2</v>
      </c>
      <c r="C3582" s="24" t="s">
        <v>825</v>
      </c>
      <c r="D3582" s="35">
        <f>D3572</f>
        <v>5667.56</v>
      </c>
      <c r="E3582" s="31">
        <f t="shared" si="271"/>
        <v>181.36</v>
      </c>
      <c r="F3582" s="32"/>
    </row>
    <row r="3583" spans="1:6" ht="12.75" customHeight="1">
      <c r="A3583" s="12" t="s">
        <v>1173</v>
      </c>
      <c r="B3583" s="30">
        <v>0.05</v>
      </c>
      <c r="C3583" s="24" t="s">
        <v>1018</v>
      </c>
      <c r="D3583" s="35">
        <f>Prec.!$C$82</f>
        <v>75</v>
      </c>
      <c r="E3583" s="31">
        <f t="shared" si="271"/>
        <v>3.75</v>
      </c>
      <c r="F3583" s="32"/>
    </row>
    <row r="3584" spans="1:6" ht="12.75" customHeight="1">
      <c r="A3584" s="12" t="s">
        <v>1015</v>
      </c>
      <c r="B3584" s="30">
        <v>3</v>
      </c>
      <c r="C3584" s="24" t="s">
        <v>1017</v>
      </c>
      <c r="D3584" s="35">
        <f>D3574</f>
        <v>11.93</v>
      </c>
      <c r="E3584" s="31">
        <f t="shared" si="271"/>
        <v>35.79</v>
      </c>
      <c r="F3584" s="32"/>
    </row>
    <row r="3585" spans="1:6" ht="12.75" customHeight="1">
      <c r="A3585" s="12" t="s">
        <v>674</v>
      </c>
      <c r="B3585" s="30">
        <v>1</v>
      </c>
      <c r="C3585" s="24" t="s">
        <v>213</v>
      </c>
      <c r="D3585" s="35">
        <f>Prec.!$D$458</f>
        <v>0</v>
      </c>
      <c r="E3585" s="31">
        <f t="shared" si="271"/>
        <v>0</v>
      </c>
      <c r="F3585" s="32"/>
    </row>
    <row r="3586" spans="1:6" ht="12.75" customHeight="1">
      <c r="A3586" s="12" t="s">
        <v>1016</v>
      </c>
      <c r="B3586" s="30">
        <v>1</v>
      </c>
      <c r="C3586" s="24" t="s">
        <v>213</v>
      </c>
      <c r="D3586" s="35">
        <f>Prec.!$D$444</f>
        <v>160.08000000000001</v>
      </c>
      <c r="E3586" s="31">
        <f t="shared" si="271"/>
        <v>160.08000000000001</v>
      </c>
      <c r="F3586" s="32"/>
    </row>
    <row r="3587" spans="1:6" ht="12.75" customHeight="1">
      <c r="A3587" s="12" t="s">
        <v>208</v>
      </c>
      <c r="B3587" s="14">
        <f>SUM(E3580:E3586)</f>
        <v>1090.1599999999999</v>
      </c>
      <c r="C3587" s="24" t="s">
        <v>209</v>
      </c>
      <c r="D3587" s="35">
        <v>0.02</v>
      </c>
      <c r="E3587" s="31">
        <f t="shared" si="271"/>
        <v>21.8</v>
      </c>
      <c r="F3587" s="32">
        <f>SUM(E3580:E3587)</f>
        <v>1111.9599999999998</v>
      </c>
    </row>
    <row r="3588" spans="1:6" ht="12.75" customHeight="1">
      <c r="A3588" s="12"/>
      <c r="B3588" s="14"/>
      <c r="C3588" s="24"/>
      <c r="D3588" s="35"/>
      <c r="E3588" s="31"/>
      <c r="F3588" s="32"/>
    </row>
    <row r="3589" spans="1:6" ht="12.75" customHeight="1">
      <c r="A3589" s="698" t="s">
        <v>1032</v>
      </c>
      <c r="B3589" s="706"/>
      <c r="C3589" s="707"/>
      <c r="D3589" s="708"/>
      <c r="E3589" s="709" t="s">
        <v>151</v>
      </c>
      <c r="F3589" s="710" t="s">
        <v>213</v>
      </c>
    </row>
    <row r="3590" spans="1:6" ht="12.75" customHeight="1">
      <c r="A3590" s="704" t="s">
        <v>672</v>
      </c>
      <c r="B3590" s="705">
        <v>6.56</v>
      </c>
      <c r="C3590" s="700" t="s">
        <v>1017</v>
      </c>
      <c r="D3590" s="708">
        <f>Prec.!C104</f>
        <v>107.65</v>
      </c>
      <c r="E3590" s="702">
        <f t="shared" ref="E3590:E3597" si="272">ROUND(B3590*D3590,2)</f>
        <v>706.18</v>
      </c>
      <c r="F3590" s="703"/>
    </row>
    <row r="3591" spans="1:6" ht="12.75" customHeight="1">
      <c r="A3591" s="704" t="s">
        <v>673</v>
      </c>
      <c r="B3591" s="705">
        <v>7.0000000000000007E-2</v>
      </c>
      <c r="C3591" s="700" t="s">
        <v>1172</v>
      </c>
      <c r="D3591" s="708">
        <f>Prec.!$C$8</f>
        <v>250</v>
      </c>
      <c r="E3591" s="702">
        <f t="shared" si="272"/>
        <v>17.5</v>
      </c>
      <c r="F3591" s="703"/>
    </row>
    <row r="3592" spans="1:6" ht="12.75" customHeight="1">
      <c r="A3592" s="704" t="s">
        <v>1174</v>
      </c>
      <c r="B3592" s="705">
        <v>3.2000000000000001E-2</v>
      </c>
      <c r="C3592" s="700" t="s">
        <v>825</v>
      </c>
      <c r="D3592" s="708">
        <f>D3582</f>
        <v>5667.56</v>
      </c>
      <c r="E3592" s="702">
        <f t="shared" si="272"/>
        <v>181.36</v>
      </c>
      <c r="F3592" s="703"/>
    </row>
    <row r="3593" spans="1:6" ht="12.75" customHeight="1">
      <c r="A3593" s="704" t="s">
        <v>1173</v>
      </c>
      <c r="B3593" s="705">
        <v>0.05</v>
      </c>
      <c r="C3593" s="700" t="s">
        <v>1018</v>
      </c>
      <c r="D3593" s="708">
        <f>Prec.!$C$82</f>
        <v>75</v>
      </c>
      <c r="E3593" s="702">
        <f t="shared" si="272"/>
        <v>3.75</v>
      </c>
      <c r="F3593" s="703"/>
    </row>
    <row r="3594" spans="1:6" ht="12.75" customHeight="1">
      <c r="A3594" s="704" t="s">
        <v>1015</v>
      </c>
      <c r="B3594" s="705">
        <v>3</v>
      </c>
      <c r="C3594" s="700" t="s">
        <v>1017</v>
      </c>
      <c r="D3594" s="708">
        <f>Prec.!D491</f>
        <v>11.93</v>
      </c>
      <c r="E3594" s="702">
        <f t="shared" si="272"/>
        <v>35.79</v>
      </c>
      <c r="F3594" s="703"/>
    </row>
    <row r="3595" spans="1:6" ht="12.75" customHeight="1">
      <c r="A3595" s="704" t="s">
        <v>674</v>
      </c>
      <c r="B3595" s="705">
        <v>1</v>
      </c>
      <c r="C3595" s="700" t="s">
        <v>213</v>
      </c>
      <c r="D3595" s="708">
        <f>Prec.!C457</f>
        <v>296.23</v>
      </c>
      <c r="E3595" s="702">
        <f t="shared" si="272"/>
        <v>296.23</v>
      </c>
      <c r="F3595" s="703"/>
    </row>
    <row r="3596" spans="1:6" ht="12.75" customHeight="1">
      <c r="A3596" s="704" t="s">
        <v>1016</v>
      </c>
      <c r="B3596" s="705">
        <v>1</v>
      </c>
      <c r="C3596" s="700" t="s">
        <v>213</v>
      </c>
      <c r="D3596" s="708">
        <f>Prec.!C444</f>
        <v>184.09200000000001</v>
      </c>
      <c r="E3596" s="702">
        <f t="shared" si="272"/>
        <v>184.09</v>
      </c>
      <c r="F3596" s="703"/>
    </row>
    <row r="3597" spans="1:6" ht="12.75" customHeight="1">
      <c r="A3597" s="704" t="s">
        <v>208</v>
      </c>
      <c r="B3597" s="711">
        <f>SUM(E3590:E3593)</f>
        <v>908.79</v>
      </c>
      <c r="C3597" s="700" t="s">
        <v>209</v>
      </c>
      <c r="D3597" s="708">
        <f>D3587</f>
        <v>0.02</v>
      </c>
      <c r="E3597" s="702">
        <f t="shared" si="272"/>
        <v>18.18</v>
      </c>
      <c r="F3597" s="703">
        <f>SUM(E3590:E3597)</f>
        <v>1443.08</v>
      </c>
    </row>
    <row r="3598" spans="1:6" ht="12.75" customHeight="1">
      <c r="A3598" s="12"/>
      <c r="B3598" s="14"/>
      <c r="C3598" s="24"/>
      <c r="D3598" s="35"/>
      <c r="E3598" s="31"/>
      <c r="F3598" s="32"/>
    </row>
    <row r="3599" spans="1:6" ht="12.75" customHeight="1">
      <c r="A3599" s="13" t="s">
        <v>1033</v>
      </c>
      <c r="B3599" s="42"/>
      <c r="C3599" s="29"/>
      <c r="D3599" s="35"/>
      <c r="E3599" s="43" t="s">
        <v>151</v>
      </c>
      <c r="F3599" s="44" t="s">
        <v>213</v>
      </c>
    </row>
    <row r="3600" spans="1:6" ht="12.75" customHeight="1">
      <c r="A3600" s="12" t="s">
        <v>672</v>
      </c>
      <c r="B3600" s="30">
        <v>6.56</v>
      </c>
      <c r="C3600" s="24" t="s">
        <v>1017</v>
      </c>
      <c r="D3600" s="35">
        <f>Prec.!C105</f>
        <v>62.63</v>
      </c>
      <c r="E3600" s="31">
        <f t="shared" ref="E3600:E3607" si="273">ROUND(B3600*D3600,2)</f>
        <v>410.85</v>
      </c>
      <c r="F3600" s="32"/>
    </row>
    <row r="3601" spans="1:13" ht="12.75" customHeight="1">
      <c r="A3601" s="12" t="s">
        <v>622</v>
      </c>
      <c r="B3601" s="30">
        <v>7.0000000000000007E-2</v>
      </c>
      <c r="C3601" s="24" t="s">
        <v>1172</v>
      </c>
      <c r="D3601" s="35">
        <f>Prec.!$C$7</f>
        <v>250</v>
      </c>
      <c r="E3601" s="31">
        <f t="shared" si="273"/>
        <v>17.5</v>
      </c>
      <c r="F3601" s="32"/>
    </row>
    <row r="3602" spans="1:13" ht="12.75" customHeight="1">
      <c r="A3602" s="12" t="s">
        <v>1174</v>
      </c>
      <c r="B3602" s="30">
        <v>3.2000000000000001E-2</v>
      </c>
      <c r="C3602" s="24" t="s">
        <v>825</v>
      </c>
      <c r="D3602" s="35">
        <f>D3592</f>
        <v>5667.56</v>
      </c>
      <c r="E3602" s="31">
        <f t="shared" si="273"/>
        <v>181.36</v>
      </c>
      <c r="F3602" s="32"/>
    </row>
    <row r="3603" spans="1:13" ht="12.75" customHeight="1">
      <c r="A3603" s="12" t="s">
        <v>1173</v>
      </c>
      <c r="B3603" s="30">
        <v>0.05</v>
      </c>
      <c r="C3603" s="24" t="s">
        <v>1018</v>
      </c>
      <c r="D3603" s="35">
        <f>Prec.!$C$82</f>
        <v>75</v>
      </c>
      <c r="E3603" s="31">
        <f t="shared" si="273"/>
        <v>3.75</v>
      </c>
      <c r="F3603" s="32"/>
    </row>
    <row r="3604" spans="1:13" ht="12.75" customHeight="1">
      <c r="A3604" s="12" t="s">
        <v>1015</v>
      </c>
      <c r="B3604" s="30">
        <v>3</v>
      </c>
      <c r="C3604" s="24" t="s">
        <v>1017</v>
      </c>
      <c r="D3604" s="35">
        <f>D3594</f>
        <v>11.93</v>
      </c>
      <c r="E3604" s="31">
        <f t="shared" si="273"/>
        <v>35.79</v>
      </c>
      <c r="F3604" s="32"/>
    </row>
    <row r="3605" spans="1:13" ht="12.75" customHeight="1">
      <c r="A3605" s="12" t="s">
        <v>674</v>
      </c>
      <c r="B3605" s="30">
        <v>1</v>
      </c>
      <c r="C3605" s="24" t="s">
        <v>213</v>
      </c>
      <c r="D3605" s="35">
        <f>Prec.!D457</f>
        <v>0</v>
      </c>
      <c r="E3605" s="31">
        <f t="shared" si="273"/>
        <v>0</v>
      </c>
      <c r="F3605" s="32"/>
    </row>
    <row r="3606" spans="1:13" ht="12.75" customHeight="1">
      <c r="A3606" s="12" t="s">
        <v>1016</v>
      </c>
      <c r="B3606" s="30">
        <v>1</v>
      </c>
      <c r="C3606" s="24" t="s">
        <v>213</v>
      </c>
      <c r="D3606" s="35">
        <f>Prec.!$D$444</f>
        <v>160.08000000000001</v>
      </c>
      <c r="E3606" s="31">
        <f t="shared" si="273"/>
        <v>160.08000000000001</v>
      </c>
      <c r="F3606" s="32"/>
    </row>
    <row r="3607" spans="1:13" ht="12.75" customHeight="1">
      <c r="A3607" s="12" t="s">
        <v>208</v>
      </c>
      <c r="B3607" s="14">
        <f>SUM(E3600:E3606)</f>
        <v>809.33</v>
      </c>
      <c r="C3607" s="24" t="s">
        <v>209</v>
      </c>
      <c r="D3607" s="35">
        <f>D3597</f>
        <v>0.02</v>
      </c>
      <c r="E3607" s="31">
        <f t="shared" si="273"/>
        <v>16.190000000000001</v>
      </c>
      <c r="F3607" s="32">
        <f>SUM(E3600:E3607)</f>
        <v>825.5200000000001</v>
      </c>
    </row>
    <row r="3608" spans="1:13" ht="12.75" customHeight="1">
      <c r="A3608" s="12"/>
      <c r="B3608" s="14"/>
      <c r="C3608" s="24"/>
      <c r="D3608" s="35"/>
      <c r="E3608" s="31"/>
      <c r="F3608" s="32"/>
    </row>
    <row r="3609" spans="1:13" s="166" customFormat="1" ht="12.75" customHeight="1">
      <c r="A3609" s="12"/>
      <c r="B3609" s="14"/>
      <c r="C3609" s="24"/>
      <c r="D3609" s="35"/>
      <c r="E3609" s="31"/>
      <c r="F3609" s="32"/>
      <c r="G3609" s="15"/>
      <c r="H3609" s="21"/>
      <c r="I3609" s="15"/>
      <c r="J3609" s="15"/>
      <c r="K3609" s="15"/>
      <c r="L3609" s="21"/>
      <c r="M3609" s="15"/>
    </row>
    <row r="3610" spans="1:13" ht="12.75" customHeight="1">
      <c r="A3610" s="698" t="s">
        <v>891</v>
      </c>
      <c r="B3610" s="706"/>
      <c r="C3610" s="707"/>
      <c r="D3610" s="708"/>
      <c r="E3610" s="709" t="s">
        <v>151</v>
      </c>
      <c r="F3610" s="710" t="s">
        <v>213</v>
      </c>
    </row>
    <row r="3611" spans="1:13" ht="12.75" customHeight="1">
      <c r="A3611" s="704" t="s">
        <v>892</v>
      </c>
      <c r="B3611" s="705">
        <v>1.05</v>
      </c>
      <c r="C3611" s="700" t="s">
        <v>213</v>
      </c>
      <c r="D3611" s="708">
        <v>600</v>
      </c>
      <c r="E3611" s="702">
        <f t="shared" ref="E3611:E3618" si="274">ROUND(B3611*D3611,2)</f>
        <v>630</v>
      </c>
      <c r="F3611" s="703"/>
    </row>
    <row r="3612" spans="1:13" ht="12.75" customHeight="1">
      <c r="A3612" s="704" t="s">
        <v>673</v>
      </c>
      <c r="B3612" s="705">
        <v>7.0000000000000007E-2</v>
      </c>
      <c r="C3612" s="700" t="s">
        <v>1172</v>
      </c>
      <c r="D3612" s="708">
        <f>Prec.!$C$8</f>
        <v>250</v>
      </c>
      <c r="E3612" s="702">
        <f t="shared" si="274"/>
        <v>17.5</v>
      </c>
      <c r="F3612" s="703"/>
    </row>
    <row r="3613" spans="1:13" ht="12.75" customHeight="1">
      <c r="A3613" s="704" t="s">
        <v>1117</v>
      </c>
      <c r="B3613" s="705">
        <v>0.1</v>
      </c>
      <c r="C3613" s="700" t="s">
        <v>1172</v>
      </c>
      <c r="D3613" s="708">
        <f>Prec.!C10</f>
        <v>250</v>
      </c>
      <c r="E3613" s="702">
        <f t="shared" si="274"/>
        <v>25</v>
      </c>
      <c r="F3613" s="703"/>
    </row>
    <row r="3614" spans="1:13" ht="12.75" customHeight="1">
      <c r="A3614" s="704" t="s">
        <v>1174</v>
      </c>
      <c r="B3614" s="705">
        <v>3.3000000000000002E-2</v>
      </c>
      <c r="C3614" s="700" t="s">
        <v>825</v>
      </c>
      <c r="D3614" s="708">
        <f>D3592</f>
        <v>5667.56</v>
      </c>
      <c r="E3614" s="702">
        <f t="shared" si="274"/>
        <v>187.03</v>
      </c>
      <c r="F3614" s="703"/>
    </row>
    <row r="3615" spans="1:13" ht="12.75" customHeight="1">
      <c r="A3615" s="704" t="s">
        <v>1173</v>
      </c>
      <c r="B3615" s="705">
        <v>0.05</v>
      </c>
      <c r="C3615" s="700" t="s">
        <v>1018</v>
      </c>
      <c r="D3615" s="708">
        <f>Prec.!$C$82</f>
        <v>75</v>
      </c>
      <c r="E3615" s="702">
        <f t="shared" si="274"/>
        <v>3.75</v>
      </c>
      <c r="F3615" s="703"/>
    </row>
    <row r="3616" spans="1:13" ht="12.75" customHeight="1">
      <c r="A3616" s="704" t="s">
        <v>623</v>
      </c>
      <c r="B3616" s="705">
        <v>3</v>
      </c>
      <c r="C3616" s="700" t="s">
        <v>1017</v>
      </c>
      <c r="D3616" s="708">
        <f>Prec.!D490</f>
        <v>11.93</v>
      </c>
      <c r="E3616" s="702">
        <f t="shared" si="274"/>
        <v>35.79</v>
      </c>
      <c r="F3616" s="703"/>
    </row>
    <row r="3617" spans="1:13" ht="12.75" customHeight="1">
      <c r="A3617" s="704" t="s">
        <v>674</v>
      </c>
      <c r="B3617" s="705">
        <v>1</v>
      </c>
      <c r="C3617" s="700" t="s">
        <v>213</v>
      </c>
      <c r="D3617" s="708">
        <f>D3627</f>
        <v>500.84</v>
      </c>
      <c r="E3617" s="702">
        <f t="shared" si="274"/>
        <v>500.84</v>
      </c>
      <c r="F3617" s="703"/>
    </row>
    <row r="3618" spans="1:13" ht="12.75" customHeight="1">
      <c r="A3618" s="704" t="s">
        <v>208</v>
      </c>
      <c r="B3618" s="711">
        <f>SUM(E3611:E3615)</f>
        <v>863.28</v>
      </c>
      <c r="C3618" s="700" t="s">
        <v>209</v>
      </c>
      <c r="D3618" s="708">
        <v>0.02</v>
      </c>
      <c r="E3618" s="702">
        <f t="shared" si="274"/>
        <v>17.27</v>
      </c>
      <c r="F3618" s="703">
        <f>SUM(E3611:E3618)</f>
        <v>1417.1799999999998</v>
      </c>
      <c r="G3618" s="16"/>
      <c r="H3618" s="83"/>
    </row>
    <row r="3619" spans="1:13" ht="12.75" customHeight="1">
      <c r="A3619" s="12"/>
      <c r="B3619" s="14"/>
      <c r="C3619" s="24"/>
      <c r="D3619" s="35"/>
      <c r="E3619" s="31"/>
      <c r="F3619" s="32"/>
    </row>
    <row r="3620" spans="1:13" s="166" customFormat="1" ht="12.75" customHeight="1">
      <c r="A3620" s="513" t="s">
        <v>4166</v>
      </c>
      <c r="B3620" s="505"/>
      <c r="C3620" s="506"/>
      <c r="D3620" s="507"/>
      <c r="E3620" s="514" t="s">
        <v>151</v>
      </c>
      <c r="F3620" s="515" t="s">
        <v>213</v>
      </c>
      <c r="G3620" s="15"/>
      <c r="H3620" s="21"/>
      <c r="I3620" s="15"/>
      <c r="J3620" s="15"/>
      <c r="K3620" s="15"/>
      <c r="L3620" s="21"/>
      <c r="M3620" s="15"/>
    </row>
    <row r="3621" spans="1:13" s="166" customFormat="1" ht="12.75" customHeight="1">
      <c r="A3621" s="512" t="s">
        <v>4167</v>
      </c>
      <c r="B3621" s="510">
        <v>1.05</v>
      </c>
      <c r="C3621" s="511" t="s">
        <v>213</v>
      </c>
      <c r="D3621" s="507">
        <v>1000</v>
      </c>
      <c r="E3621" s="508">
        <f t="shared" ref="E3621:E3628" si="275">ROUND(B3621*D3621,2)</f>
        <v>1050</v>
      </c>
      <c r="F3621" s="509"/>
      <c r="G3621" s="15"/>
      <c r="H3621" s="21"/>
      <c r="I3621" s="15"/>
      <c r="J3621" s="15"/>
      <c r="K3621" s="15"/>
      <c r="L3621" s="21"/>
      <c r="M3621" s="15"/>
    </row>
    <row r="3622" spans="1:13" s="166" customFormat="1" ht="12.75" customHeight="1">
      <c r="A3622" s="512" t="s">
        <v>673</v>
      </c>
      <c r="B3622" s="510">
        <v>7.0000000000000007E-2</v>
      </c>
      <c r="C3622" s="511" t="s">
        <v>1172</v>
      </c>
      <c r="D3622" s="507">
        <f>Prec.!$C$8</f>
        <v>250</v>
      </c>
      <c r="E3622" s="508">
        <f t="shared" si="275"/>
        <v>17.5</v>
      </c>
      <c r="F3622" s="509"/>
      <c r="G3622" s="15"/>
      <c r="H3622" s="21"/>
      <c r="I3622" s="15"/>
      <c r="J3622" s="15"/>
      <c r="K3622" s="15"/>
      <c r="L3622" s="21"/>
      <c r="M3622" s="15"/>
    </row>
    <row r="3623" spans="1:13" s="166" customFormat="1" ht="12.75" customHeight="1">
      <c r="A3623" s="512" t="s">
        <v>1117</v>
      </c>
      <c r="B3623" s="510">
        <v>0.1</v>
      </c>
      <c r="C3623" s="511" t="s">
        <v>1172</v>
      </c>
      <c r="D3623" s="507">
        <f>Prec.!C20</f>
        <v>603.04999999999995</v>
      </c>
      <c r="E3623" s="508">
        <f t="shared" si="275"/>
        <v>60.31</v>
      </c>
      <c r="F3623" s="509"/>
      <c r="G3623" s="15"/>
      <c r="H3623" s="21"/>
      <c r="I3623" s="15"/>
      <c r="J3623" s="15"/>
      <c r="K3623" s="15"/>
      <c r="L3623" s="21"/>
      <c r="M3623" s="15"/>
    </row>
    <row r="3624" spans="1:13" s="166" customFormat="1" ht="12.75" customHeight="1">
      <c r="A3624" s="512" t="s">
        <v>1174</v>
      </c>
      <c r="B3624" s="510">
        <v>3.3000000000000002E-2</v>
      </c>
      <c r="C3624" s="511" t="s">
        <v>825</v>
      </c>
      <c r="D3624" s="507">
        <f>D3602</f>
        <v>5667.56</v>
      </c>
      <c r="E3624" s="508">
        <f t="shared" si="275"/>
        <v>187.03</v>
      </c>
      <c r="F3624" s="509"/>
      <c r="G3624" s="15"/>
      <c r="H3624" s="21"/>
      <c r="I3624" s="15"/>
      <c r="J3624" s="15"/>
      <c r="K3624" s="15"/>
      <c r="L3624" s="21"/>
      <c r="M3624" s="15"/>
    </row>
    <row r="3625" spans="1:13" s="166" customFormat="1" ht="12.75" customHeight="1">
      <c r="A3625" s="512" t="s">
        <v>1173</v>
      </c>
      <c r="B3625" s="510">
        <v>0.05</v>
      </c>
      <c r="C3625" s="511" t="s">
        <v>1018</v>
      </c>
      <c r="D3625" s="507">
        <f>Prec.!$C$82</f>
        <v>75</v>
      </c>
      <c r="E3625" s="508">
        <f t="shared" si="275"/>
        <v>3.75</v>
      </c>
      <c r="F3625" s="509"/>
      <c r="G3625" s="15"/>
      <c r="H3625" s="21"/>
      <c r="I3625" s="15"/>
      <c r="J3625" s="15"/>
      <c r="K3625" s="15"/>
      <c r="L3625" s="21"/>
      <c r="M3625" s="15"/>
    </row>
    <row r="3626" spans="1:13" s="166" customFormat="1" ht="12.75" customHeight="1">
      <c r="A3626" s="512" t="s">
        <v>623</v>
      </c>
      <c r="B3626" s="510">
        <v>3</v>
      </c>
      <c r="C3626" s="511" t="s">
        <v>1017</v>
      </c>
      <c r="D3626" s="507">
        <f>Prec.!D500</f>
        <v>58.61</v>
      </c>
      <c r="E3626" s="508">
        <f t="shared" si="275"/>
        <v>175.83</v>
      </c>
      <c r="F3626" s="509"/>
      <c r="G3626" s="15"/>
      <c r="H3626" s="21"/>
      <c r="I3626" s="15"/>
      <c r="J3626" s="15"/>
      <c r="K3626" s="15"/>
      <c r="L3626" s="21"/>
      <c r="M3626" s="15"/>
    </row>
    <row r="3627" spans="1:13" s="166" customFormat="1" ht="12.75" customHeight="1">
      <c r="A3627" s="512" t="s">
        <v>674</v>
      </c>
      <c r="B3627" s="510">
        <v>1</v>
      </c>
      <c r="C3627" s="511" t="s">
        <v>213</v>
      </c>
      <c r="D3627" s="507">
        <f>Prec.!C463</f>
        <v>500.84</v>
      </c>
      <c r="E3627" s="508">
        <f t="shared" si="275"/>
        <v>500.84</v>
      </c>
      <c r="F3627" s="509"/>
      <c r="G3627" s="15"/>
      <c r="H3627" s="21"/>
      <c r="I3627" s="15"/>
      <c r="J3627" s="15"/>
      <c r="K3627" s="15"/>
      <c r="L3627" s="21"/>
      <c r="M3627" s="15"/>
    </row>
    <row r="3628" spans="1:13" s="166" customFormat="1" ht="12.75" customHeight="1">
      <c r="A3628" s="512" t="s">
        <v>208</v>
      </c>
      <c r="B3628" s="516">
        <f>SUM(E3621:E3625)</f>
        <v>1318.59</v>
      </c>
      <c r="C3628" s="511" t="s">
        <v>209</v>
      </c>
      <c r="D3628" s="507">
        <v>0.02</v>
      </c>
      <c r="E3628" s="508">
        <f t="shared" si="275"/>
        <v>26.37</v>
      </c>
      <c r="F3628" s="509">
        <f>SUM(E3621:E3628)</f>
        <v>2021.6299999999997</v>
      </c>
      <c r="G3628" s="15"/>
      <c r="H3628" s="21"/>
      <c r="I3628" s="15"/>
      <c r="J3628" s="15"/>
      <c r="K3628" s="15"/>
      <c r="L3628" s="21"/>
      <c r="M3628" s="15"/>
    </row>
    <row r="3629" spans="1:13" s="166" customFormat="1" ht="12.75" customHeight="1">
      <c r="A3629" s="12"/>
      <c r="B3629" s="14"/>
      <c r="C3629" s="24"/>
      <c r="D3629" s="35"/>
      <c r="E3629" s="31"/>
      <c r="F3629" s="32"/>
      <c r="G3629" s="15"/>
      <c r="H3629" s="21"/>
      <c r="I3629" s="15"/>
      <c r="J3629" s="15"/>
      <c r="K3629" s="15"/>
      <c r="L3629" s="21"/>
      <c r="M3629" s="15"/>
    </row>
    <row r="3630" spans="1:13" ht="12.75" customHeight="1">
      <c r="A3630" s="13" t="s">
        <v>1291</v>
      </c>
      <c r="B3630" s="42"/>
      <c r="C3630" s="29"/>
      <c r="D3630" s="35"/>
      <c r="E3630" s="43" t="s">
        <v>151</v>
      </c>
      <c r="F3630" s="44" t="s">
        <v>213</v>
      </c>
    </row>
    <row r="3631" spans="1:13" ht="12.75" customHeight="1">
      <c r="A3631" s="12" t="s">
        <v>892</v>
      </c>
      <c r="B3631" s="30">
        <v>1.05</v>
      </c>
      <c r="C3631" s="24" t="s">
        <v>213</v>
      </c>
      <c r="D3631" s="35">
        <f>D3611</f>
        <v>600</v>
      </c>
      <c r="E3631" s="31">
        <f t="shared" ref="E3631:E3638" si="276">ROUND(B3631*D3631,2)</f>
        <v>630</v>
      </c>
      <c r="F3631" s="32"/>
    </row>
    <row r="3632" spans="1:13" ht="12.75" customHeight="1">
      <c r="A3632" s="12" t="s">
        <v>673</v>
      </c>
      <c r="B3632" s="30">
        <v>7.0000000000000007E-2</v>
      </c>
      <c r="C3632" s="24" t="s">
        <v>1172</v>
      </c>
      <c r="D3632" s="35">
        <f>Prec.!$C$8</f>
        <v>250</v>
      </c>
      <c r="E3632" s="31">
        <f t="shared" si="276"/>
        <v>17.5</v>
      </c>
      <c r="F3632" s="32"/>
    </row>
    <row r="3633" spans="1:6" ht="12.75" customHeight="1">
      <c r="A3633" s="12" t="s">
        <v>1117</v>
      </c>
      <c r="B3633" s="30">
        <v>0.1</v>
      </c>
      <c r="C3633" s="24" t="s">
        <v>1172</v>
      </c>
      <c r="D3633" s="35">
        <f>Prec.!$C$10</f>
        <v>250</v>
      </c>
      <c r="E3633" s="31">
        <f t="shared" si="276"/>
        <v>25</v>
      </c>
      <c r="F3633" s="32"/>
    </row>
    <row r="3634" spans="1:6" ht="12.75" customHeight="1">
      <c r="A3634" s="12" t="s">
        <v>1174</v>
      </c>
      <c r="B3634" s="30">
        <v>3.3000000000000002E-2</v>
      </c>
      <c r="C3634" s="24" t="s">
        <v>825</v>
      </c>
      <c r="D3634" s="35">
        <f>horm.ymez.!$C$9</f>
        <v>5667.56</v>
      </c>
      <c r="E3634" s="31">
        <f t="shared" si="276"/>
        <v>187.03</v>
      </c>
      <c r="F3634" s="32"/>
    </row>
    <row r="3635" spans="1:6" ht="12.75" customHeight="1">
      <c r="A3635" s="12" t="s">
        <v>1173</v>
      </c>
      <c r="B3635" s="30">
        <v>0.05</v>
      </c>
      <c r="C3635" s="24" t="s">
        <v>1018</v>
      </c>
      <c r="D3635" s="35">
        <f>Prec.!$C$82</f>
        <v>75</v>
      </c>
      <c r="E3635" s="31">
        <f t="shared" si="276"/>
        <v>3.75</v>
      </c>
      <c r="F3635" s="32"/>
    </row>
    <row r="3636" spans="1:6" ht="12.75" customHeight="1">
      <c r="A3636" s="12" t="s">
        <v>623</v>
      </c>
      <c r="B3636" s="30">
        <v>3</v>
      </c>
      <c r="C3636" s="24" t="s">
        <v>1017</v>
      </c>
      <c r="D3636" s="35">
        <f>D3616</f>
        <v>11.93</v>
      </c>
      <c r="E3636" s="31">
        <f t="shared" si="276"/>
        <v>35.79</v>
      </c>
      <c r="F3636" s="32"/>
    </row>
    <row r="3637" spans="1:6" ht="12.75" customHeight="1">
      <c r="A3637" s="12" t="s">
        <v>706</v>
      </c>
      <c r="B3637" s="30">
        <v>1</v>
      </c>
      <c r="C3637" s="24" t="s">
        <v>213</v>
      </c>
      <c r="D3637" s="35">
        <f>Prec.!D461</f>
        <v>669.5</v>
      </c>
      <c r="E3637" s="31">
        <f t="shared" si="276"/>
        <v>669.5</v>
      </c>
      <c r="F3637" s="32"/>
    </row>
    <row r="3638" spans="1:6" ht="12.75" customHeight="1">
      <c r="A3638" s="12" t="s">
        <v>208</v>
      </c>
      <c r="B3638" s="14">
        <f>SUM(E3631:E3637)</f>
        <v>1568.57</v>
      </c>
      <c r="C3638" s="24" t="s">
        <v>209</v>
      </c>
      <c r="D3638" s="35">
        <f>D3618</f>
        <v>0.02</v>
      </c>
      <c r="E3638" s="31">
        <f t="shared" si="276"/>
        <v>31.37</v>
      </c>
      <c r="F3638" s="32">
        <f>SUM(E3631:E3638)</f>
        <v>1599.9399999999998</v>
      </c>
    </row>
    <row r="3639" spans="1:6" ht="12.75" customHeight="1">
      <c r="A3639" s="12"/>
      <c r="B3639" s="14"/>
      <c r="C3639" s="24"/>
      <c r="D3639" s="35"/>
      <c r="E3639" s="31"/>
      <c r="F3639" s="32"/>
    </row>
    <row r="3640" spans="1:6" ht="12.75" customHeight="1">
      <c r="A3640" s="13" t="s">
        <v>1234</v>
      </c>
      <c r="B3640" s="42"/>
      <c r="C3640" s="29"/>
      <c r="D3640" s="35"/>
      <c r="E3640" s="43" t="s">
        <v>151</v>
      </c>
      <c r="F3640" s="44" t="s">
        <v>213</v>
      </c>
    </row>
    <row r="3641" spans="1:6" ht="12.75" customHeight="1">
      <c r="A3641" s="12" t="s">
        <v>1146</v>
      </c>
      <c r="B3641" s="30">
        <v>1.05</v>
      </c>
      <c r="C3641" s="24" t="s">
        <v>213</v>
      </c>
      <c r="D3641" s="35">
        <f>Prec.!$C$112</f>
        <v>295</v>
      </c>
      <c r="E3641" s="31">
        <f t="shared" ref="E3641:E3648" si="277">ROUND(B3641*D3641,2)</f>
        <v>309.75</v>
      </c>
      <c r="F3641" s="32"/>
    </row>
    <row r="3642" spans="1:6" ht="12.75" customHeight="1">
      <c r="A3642" s="12" t="s">
        <v>673</v>
      </c>
      <c r="B3642" s="30">
        <v>7.0000000000000007E-2</v>
      </c>
      <c r="C3642" s="24" t="s">
        <v>1172</v>
      </c>
      <c r="D3642" s="35">
        <f>Prec.!$C$8</f>
        <v>250</v>
      </c>
      <c r="E3642" s="31">
        <f t="shared" si="277"/>
        <v>17.5</v>
      </c>
      <c r="F3642" s="32"/>
    </row>
    <row r="3643" spans="1:6" ht="12.75" customHeight="1">
      <c r="A3643" s="12" t="s">
        <v>1117</v>
      </c>
      <c r="B3643" s="30">
        <v>0.1</v>
      </c>
      <c r="C3643" s="24" t="s">
        <v>1172</v>
      </c>
      <c r="D3643" s="35">
        <f>Prec.!C10</f>
        <v>250</v>
      </c>
      <c r="E3643" s="31">
        <f t="shared" si="277"/>
        <v>25</v>
      </c>
      <c r="F3643" s="32"/>
    </row>
    <row r="3644" spans="1:6" ht="12.75" customHeight="1">
      <c r="A3644" s="12" t="s">
        <v>1174</v>
      </c>
      <c r="B3644" s="30">
        <v>3.3000000000000002E-2</v>
      </c>
      <c r="C3644" s="24" t="s">
        <v>825</v>
      </c>
      <c r="D3644" s="35">
        <f>D3602</f>
        <v>5667.56</v>
      </c>
      <c r="E3644" s="31">
        <f t="shared" si="277"/>
        <v>187.03</v>
      </c>
      <c r="F3644" s="32"/>
    </row>
    <row r="3645" spans="1:6" ht="12.75" customHeight="1">
      <c r="A3645" s="12" t="s">
        <v>1173</v>
      </c>
      <c r="B3645" s="30">
        <v>0.05</v>
      </c>
      <c r="C3645" s="24" t="s">
        <v>1018</v>
      </c>
      <c r="D3645" s="35">
        <f>Prec.!$C$82</f>
        <v>75</v>
      </c>
      <c r="E3645" s="31">
        <f t="shared" si="277"/>
        <v>3.75</v>
      </c>
      <c r="F3645" s="32"/>
    </row>
    <row r="3646" spans="1:6" ht="12.75" customHeight="1">
      <c r="A3646" s="12" t="s">
        <v>623</v>
      </c>
      <c r="B3646" s="30">
        <v>3</v>
      </c>
      <c r="C3646" s="24" t="s">
        <v>1017</v>
      </c>
      <c r="D3646" s="35">
        <f>D3616</f>
        <v>11.93</v>
      </c>
      <c r="E3646" s="31">
        <f t="shared" si="277"/>
        <v>35.79</v>
      </c>
      <c r="F3646" s="32"/>
    </row>
    <row r="3647" spans="1:6" ht="12.75" customHeight="1">
      <c r="A3647" s="12" t="s">
        <v>674</v>
      </c>
      <c r="B3647" s="30">
        <v>1</v>
      </c>
      <c r="C3647" s="24" t="s">
        <v>213</v>
      </c>
      <c r="D3647" s="35">
        <f>Prec.!$D$459</f>
        <v>0</v>
      </c>
      <c r="E3647" s="31">
        <f t="shared" si="277"/>
        <v>0</v>
      </c>
      <c r="F3647" s="32"/>
    </row>
    <row r="3648" spans="1:6" ht="12.75" customHeight="1">
      <c r="A3648" s="12" t="s">
        <v>208</v>
      </c>
      <c r="B3648" s="14">
        <f>SUM(E3641:E3647)</f>
        <v>578.81999999999994</v>
      </c>
      <c r="C3648" s="24" t="s">
        <v>209</v>
      </c>
      <c r="D3648" s="35">
        <f>Prec.!C302</f>
        <v>1.4999999999999999E-2</v>
      </c>
      <c r="E3648" s="31">
        <f t="shared" si="277"/>
        <v>8.68</v>
      </c>
      <c r="F3648" s="32">
        <f>SUM(E3641:E3648)</f>
        <v>587.49999999999989</v>
      </c>
    </row>
    <row r="3649" spans="1:6" ht="12.75" customHeight="1">
      <c r="A3649" s="12"/>
      <c r="B3649" s="14"/>
      <c r="C3649" s="24"/>
      <c r="D3649" s="35"/>
      <c r="E3649" s="31"/>
      <c r="F3649" s="32"/>
    </row>
    <row r="3650" spans="1:6" ht="12.75" customHeight="1">
      <c r="A3650" s="13" t="s">
        <v>1145</v>
      </c>
      <c r="B3650" s="42"/>
      <c r="C3650" s="29"/>
      <c r="D3650" s="35"/>
      <c r="E3650" s="43" t="s">
        <v>151</v>
      </c>
      <c r="F3650" s="44" t="s">
        <v>213</v>
      </c>
    </row>
    <row r="3651" spans="1:6" ht="12.75" customHeight="1">
      <c r="A3651" s="12" t="s">
        <v>1147</v>
      </c>
      <c r="B3651" s="30">
        <v>1.05</v>
      </c>
      <c r="C3651" s="24" t="s">
        <v>213</v>
      </c>
      <c r="D3651" s="35">
        <f>Prec.!$C$114</f>
        <v>285</v>
      </c>
      <c r="E3651" s="31">
        <f t="shared" ref="E3651:E3658" si="278">ROUND(B3651*D3651,2)</f>
        <v>299.25</v>
      </c>
      <c r="F3651" s="32"/>
    </row>
    <row r="3652" spans="1:6" ht="12.75" customHeight="1">
      <c r="A3652" s="12" t="s">
        <v>673</v>
      </c>
      <c r="B3652" s="30">
        <v>7.0000000000000007E-2</v>
      </c>
      <c r="C3652" s="24" t="s">
        <v>1172</v>
      </c>
      <c r="D3652" s="35">
        <f>Prec.!$C$8</f>
        <v>250</v>
      </c>
      <c r="E3652" s="31">
        <f t="shared" si="278"/>
        <v>17.5</v>
      </c>
      <c r="F3652" s="32"/>
    </row>
    <row r="3653" spans="1:6" ht="12.75" customHeight="1">
      <c r="A3653" s="12" t="s">
        <v>1117</v>
      </c>
      <c r="B3653" s="30">
        <v>0.1</v>
      </c>
      <c r="C3653" s="24" t="s">
        <v>1172</v>
      </c>
      <c r="D3653" s="35">
        <f>Prec.!C10</f>
        <v>250</v>
      </c>
      <c r="E3653" s="31">
        <f t="shared" si="278"/>
        <v>25</v>
      </c>
      <c r="F3653" s="32"/>
    </row>
    <row r="3654" spans="1:6" ht="12.75" customHeight="1">
      <c r="A3654" s="12" t="s">
        <v>1174</v>
      </c>
      <c r="B3654" s="30">
        <v>3.3000000000000002E-2</v>
      </c>
      <c r="C3654" s="24" t="s">
        <v>825</v>
      </c>
      <c r="D3654" s="35">
        <f>D3582</f>
        <v>5667.56</v>
      </c>
      <c r="E3654" s="31">
        <f t="shared" si="278"/>
        <v>187.03</v>
      </c>
      <c r="F3654" s="32"/>
    </row>
    <row r="3655" spans="1:6" ht="12.75" customHeight="1">
      <c r="A3655" s="12" t="s">
        <v>1173</v>
      </c>
      <c r="B3655" s="30">
        <v>0.05</v>
      </c>
      <c r="C3655" s="24" t="s">
        <v>1018</v>
      </c>
      <c r="D3655" s="35">
        <f>Prec.!$C$82</f>
        <v>75</v>
      </c>
      <c r="E3655" s="31">
        <f t="shared" si="278"/>
        <v>3.75</v>
      </c>
      <c r="F3655" s="32"/>
    </row>
    <row r="3656" spans="1:6" ht="12.75" customHeight="1">
      <c r="A3656" s="12" t="s">
        <v>623</v>
      </c>
      <c r="B3656" s="30">
        <v>3</v>
      </c>
      <c r="C3656" s="24" t="s">
        <v>1017</v>
      </c>
      <c r="D3656" s="35">
        <f>Prec.!D488</f>
        <v>5.97</v>
      </c>
      <c r="E3656" s="31">
        <f t="shared" si="278"/>
        <v>17.91</v>
      </c>
      <c r="F3656" s="32"/>
    </row>
    <row r="3657" spans="1:6" ht="12.75" customHeight="1">
      <c r="A3657" s="12" t="s">
        <v>674</v>
      </c>
      <c r="B3657" s="30">
        <v>1</v>
      </c>
      <c r="C3657" s="24" t="s">
        <v>213</v>
      </c>
      <c r="D3657" s="35">
        <f>Prec.!$D$462</f>
        <v>311.49</v>
      </c>
      <c r="E3657" s="31">
        <f t="shared" si="278"/>
        <v>311.49</v>
      </c>
      <c r="F3657" s="32"/>
    </row>
    <row r="3658" spans="1:6" ht="12.75" customHeight="1">
      <c r="A3658" s="12" t="s">
        <v>208</v>
      </c>
      <c r="B3658" s="14">
        <f>SUM(E3651:E3657)</f>
        <v>861.93</v>
      </c>
      <c r="C3658" s="24" t="s">
        <v>209</v>
      </c>
      <c r="D3658" s="35">
        <f>Prec.!C302</f>
        <v>1.4999999999999999E-2</v>
      </c>
      <c r="E3658" s="31">
        <f t="shared" si="278"/>
        <v>12.93</v>
      </c>
      <c r="F3658" s="32">
        <f>SUM(E3651:E3658)</f>
        <v>874.8599999999999</v>
      </c>
    </row>
    <row r="3659" spans="1:6" ht="12.75" customHeight="1">
      <c r="A3659" s="12"/>
      <c r="B3659" s="14"/>
      <c r="C3659" s="24"/>
      <c r="D3659" s="35"/>
      <c r="E3659" s="31"/>
      <c r="F3659" s="32"/>
    </row>
    <row r="3660" spans="1:6" ht="12.75" customHeight="1">
      <c r="A3660" s="13" t="s">
        <v>258</v>
      </c>
      <c r="B3660" s="42"/>
      <c r="C3660" s="29"/>
      <c r="D3660" s="35"/>
      <c r="E3660" s="43" t="s">
        <v>151</v>
      </c>
      <c r="F3660" s="44" t="s">
        <v>213</v>
      </c>
    </row>
    <row r="3661" spans="1:6" ht="12.75" customHeight="1">
      <c r="A3661" s="12" t="s">
        <v>1312</v>
      </c>
      <c r="B3661" s="30">
        <v>1.05</v>
      </c>
      <c r="C3661" s="24" t="s">
        <v>213</v>
      </c>
      <c r="D3661" s="35">
        <f>Prec.!$C$107</f>
        <v>1986</v>
      </c>
      <c r="E3661" s="31">
        <f t="shared" ref="E3661:E3667" si="279">ROUND(B3661*D3661,2)</f>
        <v>2085.3000000000002</v>
      </c>
      <c r="F3661" s="32"/>
    </row>
    <row r="3662" spans="1:6" ht="12.75" customHeight="1">
      <c r="A3662" s="12" t="s">
        <v>673</v>
      </c>
      <c r="B3662" s="30">
        <v>7.0000000000000007E-2</v>
      </c>
      <c r="C3662" s="24" t="s">
        <v>1172</v>
      </c>
      <c r="D3662" s="35">
        <f>Prec.!$C$8</f>
        <v>250</v>
      </c>
      <c r="E3662" s="31">
        <f t="shared" si="279"/>
        <v>17.5</v>
      </c>
      <c r="F3662" s="32"/>
    </row>
    <row r="3663" spans="1:6" ht="12.75" customHeight="1">
      <c r="A3663" s="12" t="s">
        <v>1174</v>
      </c>
      <c r="B3663" s="30">
        <v>3.2000000000000001E-2</v>
      </c>
      <c r="C3663" s="24" t="s">
        <v>825</v>
      </c>
      <c r="D3663" s="35">
        <f>D3602</f>
        <v>5667.56</v>
      </c>
      <c r="E3663" s="31">
        <f t="shared" si="279"/>
        <v>181.36</v>
      </c>
      <c r="F3663" s="32"/>
    </row>
    <row r="3664" spans="1:6" ht="12.75" customHeight="1">
      <c r="A3664" s="12" t="s">
        <v>1173</v>
      </c>
      <c r="B3664" s="30">
        <v>0.05</v>
      </c>
      <c r="C3664" s="24" t="s">
        <v>1018</v>
      </c>
      <c r="D3664" s="35">
        <f>Prec.!$C$82</f>
        <v>75</v>
      </c>
      <c r="E3664" s="31">
        <f t="shared" si="279"/>
        <v>3.75</v>
      </c>
      <c r="F3664" s="32"/>
    </row>
    <row r="3665" spans="1:6" ht="12.75" customHeight="1">
      <c r="A3665" s="12" t="s">
        <v>688</v>
      </c>
      <c r="B3665" s="30">
        <v>3</v>
      </c>
      <c r="C3665" s="24" t="s">
        <v>1017</v>
      </c>
      <c r="D3665" s="35">
        <f>Prec.!D491</f>
        <v>11.93</v>
      </c>
      <c r="E3665" s="31">
        <f t="shared" si="279"/>
        <v>35.79</v>
      </c>
      <c r="F3665" s="32"/>
    </row>
    <row r="3666" spans="1:6" ht="12.75" customHeight="1">
      <c r="A3666" s="12" t="s">
        <v>674</v>
      </c>
      <c r="B3666" s="30">
        <v>1</v>
      </c>
      <c r="C3666" s="24" t="s">
        <v>213</v>
      </c>
      <c r="D3666" s="35">
        <f>Prec.!$D$464</f>
        <v>0</v>
      </c>
      <c r="E3666" s="31">
        <f t="shared" si="279"/>
        <v>0</v>
      </c>
      <c r="F3666" s="32"/>
    </row>
    <row r="3667" spans="1:6" ht="12.75" customHeight="1">
      <c r="A3667" s="12" t="s">
        <v>685</v>
      </c>
      <c r="B3667" s="30">
        <v>1</v>
      </c>
      <c r="C3667" s="24" t="s">
        <v>213</v>
      </c>
      <c r="D3667" s="35">
        <f>Prec.!$D$446</f>
        <v>261</v>
      </c>
      <c r="E3667" s="31">
        <f t="shared" si="279"/>
        <v>261</v>
      </c>
      <c r="F3667" s="32"/>
    </row>
    <row r="3668" spans="1:6" ht="12.75" customHeight="1">
      <c r="A3668" s="12" t="s">
        <v>208</v>
      </c>
      <c r="B3668" s="14">
        <f>SUM(E3661:E3667)</f>
        <v>2584.7000000000003</v>
      </c>
      <c r="C3668" s="24" t="s">
        <v>209</v>
      </c>
      <c r="D3668" s="35">
        <f>Prec.!C302</f>
        <v>1.4999999999999999E-2</v>
      </c>
      <c r="E3668" s="31">
        <f>ROUND(B3668*D3668,2)</f>
        <v>38.770000000000003</v>
      </c>
      <c r="F3668" s="32">
        <f>SUM(E3661:E3668)</f>
        <v>2623.4700000000003</v>
      </c>
    </row>
    <row r="3669" spans="1:6" ht="12.75" customHeight="1">
      <c r="A3669" s="12"/>
      <c r="B3669" s="14"/>
      <c r="C3669" s="24"/>
      <c r="D3669" s="35"/>
      <c r="E3669" s="31"/>
      <c r="F3669" s="32"/>
    </row>
    <row r="3670" spans="1:6" ht="12.75" customHeight="1">
      <c r="A3670" s="13" t="s">
        <v>779</v>
      </c>
      <c r="B3670" s="42"/>
      <c r="C3670" s="29"/>
      <c r="D3670" s="35"/>
      <c r="E3670" s="43" t="s">
        <v>151</v>
      </c>
      <c r="F3670" s="44" t="s">
        <v>213</v>
      </c>
    </row>
    <row r="3671" spans="1:6" ht="12.75" customHeight="1">
      <c r="A3671" s="12" t="s">
        <v>427</v>
      </c>
      <c r="B3671" s="30">
        <v>8.0000000000000002E-3</v>
      </c>
      <c r="C3671" s="24" t="s">
        <v>825</v>
      </c>
      <c r="D3671" s="41">
        <f>horm.ymez.!C8</f>
        <v>6653.49</v>
      </c>
      <c r="E3671" s="31">
        <f t="shared" ref="E3671:E3676" si="280">ROUND(B3671*D3671,2)</f>
        <v>53.23</v>
      </c>
      <c r="F3671" s="44"/>
    </row>
    <row r="3672" spans="1:6" ht="12.75" customHeight="1">
      <c r="A3672" s="12" t="s">
        <v>207</v>
      </c>
      <c r="B3672" s="30">
        <v>25</v>
      </c>
      <c r="C3672" s="24" t="s">
        <v>1017</v>
      </c>
      <c r="D3672" s="35">
        <f>Prec.!$C$127</f>
        <v>42.26</v>
      </c>
      <c r="E3672" s="31">
        <f t="shared" si="280"/>
        <v>1056.5</v>
      </c>
      <c r="F3672" s="32"/>
    </row>
    <row r="3673" spans="1:6" ht="12.75" customHeight="1">
      <c r="A3673" s="12" t="s">
        <v>824</v>
      </c>
      <c r="B3673" s="30">
        <v>7.6999999999999999E-2</v>
      </c>
      <c r="C3673" s="24" t="s">
        <v>825</v>
      </c>
      <c r="D3673" s="35">
        <f>Prec.!$C$13</f>
        <v>900</v>
      </c>
      <c r="E3673" s="31">
        <f t="shared" si="280"/>
        <v>69.3</v>
      </c>
      <c r="F3673" s="32"/>
    </row>
    <row r="3674" spans="1:6" ht="12.75" customHeight="1">
      <c r="A3674" s="12" t="s">
        <v>326</v>
      </c>
      <c r="B3674" s="30">
        <v>1</v>
      </c>
      <c r="C3674" s="24" t="s">
        <v>213</v>
      </c>
      <c r="D3674" s="35">
        <f>Prec.!$D$471</f>
        <v>12.99</v>
      </c>
      <c r="E3674" s="31">
        <f t="shared" si="280"/>
        <v>12.99</v>
      </c>
      <c r="F3674" s="32"/>
    </row>
    <row r="3675" spans="1:6" ht="12.75" customHeight="1">
      <c r="A3675" s="12" t="s">
        <v>674</v>
      </c>
      <c r="B3675" s="30">
        <v>1</v>
      </c>
      <c r="C3675" s="24" t="s">
        <v>213</v>
      </c>
      <c r="D3675" s="35">
        <f>Prec.!$D$472</f>
        <v>87.11</v>
      </c>
      <c r="E3675" s="31">
        <f t="shared" si="280"/>
        <v>87.11</v>
      </c>
      <c r="F3675" s="32"/>
    </row>
    <row r="3676" spans="1:6" ht="12.75" customHeight="1">
      <c r="A3676" s="12" t="s">
        <v>208</v>
      </c>
      <c r="B3676" s="14">
        <f>SUM(E3671:E3675)</f>
        <v>1279.1299999999999</v>
      </c>
      <c r="C3676" s="24" t="s">
        <v>209</v>
      </c>
      <c r="D3676" s="35">
        <f>Prec.!C302</f>
        <v>1.4999999999999999E-2</v>
      </c>
      <c r="E3676" s="31">
        <f t="shared" si="280"/>
        <v>19.190000000000001</v>
      </c>
      <c r="F3676" s="32">
        <f>SUM(E3671:E3676)</f>
        <v>1298.32</v>
      </c>
    </row>
    <row r="3677" spans="1:6" ht="12.75" customHeight="1">
      <c r="A3677" s="12"/>
      <c r="B3677" s="14"/>
      <c r="C3677" s="24"/>
      <c r="D3677" s="35"/>
      <c r="E3677" s="31"/>
      <c r="F3677" s="32"/>
    </row>
    <row r="3678" spans="1:6" ht="12.75" customHeight="1">
      <c r="A3678" s="13" t="s">
        <v>327</v>
      </c>
      <c r="B3678" s="42"/>
      <c r="C3678" s="29"/>
      <c r="D3678" s="35"/>
      <c r="E3678" s="43" t="s">
        <v>151</v>
      </c>
      <c r="F3678" s="44" t="s">
        <v>213</v>
      </c>
    </row>
    <row r="3679" spans="1:6" ht="12.75" customHeight="1">
      <c r="A3679" s="12" t="s">
        <v>427</v>
      </c>
      <c r="B3679" s="30">
        <v>8.0000000000000002E-3</v>
      </c>
      <c r="C3679" s="24" t="s">
        <v>825</v>
      </c>
      <c r="D3679" s="41">
        <f>D3671</f>
        <v>6653.49</v>
      </c>
      <c r="E3679" s="31">
        <f t="shared" ref="E3679:E3684" si="281">ROUND(B3679*D3679,2)</f>
        <v>53.23</v>
      </c>
      <c r="F3679" s="44"/>
    </row>
    <row r="3680" spans="1:6" ht="12.75" customHeight="1">
      <c r="A3680" s="12" t="s">
        <v>207</v>
      </c>
      <c r="B3680" s="30">
        <v>25</v>
      </c>
      <c r="C3680" s="24" t="s">
        <v>1017</v>
      </c>
      <c r="D3680" s="35">
        <f>Prec.!$C$128</f>
        <v>67.930000000000007</v>
      </c>
      <c r="E3680" s="31">
        <f t="shared" si="281"/>
        <v>1698.25</v>
      </c>
      <c r="F3680" s="32"/>
    </row>
    <row r="3681" spans="1:6" ht="12.75" customHeight="1">
      <c r="A3681" s="12" t="s">
        <v>824</v>
      </c>
      <c r="B3681" s="30">
        <v>7.6999999999999999E-2</v>
      </c>
      <c r="C3681" s="24" t="s">
        <v>825</v>
      </c>
      <c r="D3681" s="35">
        <f>Prec.!$C$13</f>
        <v>900</v>
      </c>
      <c r="E3681" s="31">
        <f t="shared" si="281"/>
        <v>69.3</v>
      </c>
      <c r="F3681" s="32"/>
    </row>
    <row r="3682" spans="1:6" ht="12.75" customHeight="1">
      <c r="A3682" s="12" t="s">
        <v>326</v>
      </c>
      <c r="B3682" s="30">
        <v>1</v>
      </c>
      <c r="C3682" s="24" t="s">
        <v>213</v>
      </c>
      <c r="D3682" s="35">
        <f>Prec.!$D$471</f>
        <v>12.99</v>
      </c>
      <c r="E3682" s="31">
        <f t="shared" si="281"/>
        <v>12.99</v>
      </c>
      <c r="F3682" s="32"/>
    </row>
    <row r="3683" spans="1:6" ht="12.75" customHeight="1">
      <c r="A3683" s="12" t="s">
        <v>674</v>
      </c>
      <c r="B3683" s="30">
        <v>1</v>
      </c>
      <c r="C3683" s="24" t="s">
        <v>213</v>
      </c>
      <c r="D3683" s="35">
        <f>Prec.!$D$472</f>
        <v>87.11</v>
      </c>
      <c r="E3683" s="31">
        <f t="shared" si="281"/>
        <v>87.11</v>
      </c>
      <c r="F3683" s="32"/>
    </row>
    <row r="3684" spans="1:6" ht="12.75" customHeight="1">
      <c r="A3684" s="12" t="s">
        <v>208</v>
      </c>
      <c r="B3684" s="14">
        <f>SUM(E3679:E3683)</f>
        <v>1920.8799999999999</v>
      </c>
      <c r="C3684" s="24" t="s">
        <v>209</v>
      </c>
      <c r="D3684" s="35">
        <f>Prec.!C302</f>
        <v>1.4999999999999999E-2</v>
      </c>
      <c r="E3684" s="31">
        <f t="shared" si="281"/>
        <v>28.81</v>
      </c>
      <c r="F3684" s="32">
        <f>SUM(E3679:E3684)</f>
        <v>1949.6899999999998</v>
      </c>
    </row>
    <row r="3685" spans="1:6" ht="11.1" customHeight="1">
      <c r="A3685" s="12"/>
      <c r="B3685" s="14"/>
      <c r="C3685" s="24"/>
      <c r="D3685" s="35"/>
      <c r="E3685" s="31"/>
      <c r="F3685" s="32"/>
    </row>
    <row r="3686" spans="1:6" ht="12.75" customHeight="1">
      <c r="A3686" s="13" t="s">
        <v>299</v>
      </c>
      <c r="B3686" s="42"/>
      <c r="C3686" s="29"/>
      <c r="D3686" s="35"/>
      <c r="E3686" s="43" t="s">
        <v>151</v>
      </c>
      <c r="F3686" s="44" t="s">
        <v>213</v>
      </c>
    </row>
    <row r="3687" spans="1:6" ht="12.75" customHeight="1">
      <c r="A3687" s="12" t="s">
        <v>427</v>
      </c>
      <c r="B3687" s="30">
        <v>8.0000000000000002E-3</v>
      </c>
      <c r="C3687" s="24" t="s">
        <v>825</v>
      </c>
      <c r="D3687" s="41">
        <f>D3679</f>
        <v>6653.49</v>
      </c>
      <c r="E3687" s="31">
        <f t="shared" ref="E3687:E3692" si="282">ROUND(B3687*D3687,2)</f>
        <v>53.23</v>
      </c>
      <c r="F3687" s="44"/>
    </row>
    <row r="3688" spans="1:6" ht="12.75" customHeight="1">
      <c r="A3688" s="12" t="s">
        <v>817</v>
      </c>
      <c r="B3688" s="30">
        <v>51.5</v>
      </c>
      <c r="C3688" s="24" t="s">
        <v>1017</v>
      </c>
      <c r="D3688" s="35">
        <f>Prec.!$C$129</f>
        <v>12.01</v>
      </c>
      <c r="E3688" s="31">
        <f t="shared" si="282"/>
        <v>618.52</v>
      </c>
      <c r="F3688" s="32"/>
    </row>
    <row r="3689" spans="1:6" ht="12.75" customHeight="1">
      <c r="A3689" s="12" t="s">
        <v>824</v>
      </c>
      <c r="B3689" s="30">
        <v>7.6999999999999999E-2</v>
      </c>
      <c r="C3689" s="24" t="s">
        <v>825</v>
      </c>
      <c r="D3689" s="35">
        <f>Prec.!$C$13</f>
        <v>900</v>
      </c>
      <c r="E3689" s="31">
        <f t="shared" si="282"/>
        <v>69.3</v>
      </c>
      <c r="F3689" s="32"/>
    </row>
    <row r="3690" spans="1:6" ht="12.75" customHeight="1">
      <c r="A3690" s="12" t="s">
        <v>326</v>
      </c>
      <c r="B3690" s="30">
        <v>1</v>
      </c>
      <c r="C3690" s="24" t="s">
        <v>213</v>
      </c>
      <c r="D3690" s="35">
        <f>Prec.!$D$471</f>
        <v>12.99</v>
      </c>
      <c r="E3690" s="31">
        <f t="shared" si="282"/>
        <v>12.99</v>
      </c>
      <c r="F3690" s="32"/>
    </row>
    <row r="3691" spans="1:6" ht="12.75" customHeight="1">
      <c r="A3691" s="12" t="s">
        <v>674</v>
      </c>
      <c r="B3691" s="30">
        <v>1</v>
      </c>
      <c r="C3691" s="24" t="s">
        <v>213</v>
      </c>
      <c r="D3691" s="35">
        <f>Prec.!$D$472</f>
        <v>87.11</v>
      </c>
      <c r="E3691" s="31">
        <f t="shared" si="282"/>
        <v>87.11</v>
      </c>
      <c r="F3691" s="32"/>
    </row>
    <row r="3692" spans="1:6" ht="12.75" customHeight="1">
      <c r="A3692" s="12" t="s">
        <v>208</v>
      </c>
      <c r="B3692" s="14">
        <f>SUM(E3687:E3691)</f>
        <v>841.15</v>
      </c>
      <c r="C3692" s="24" t="s">
        <v>209</v>
      </c>
      <c r="D3692" s="35">
        <f>Prec.!C302</f>
        <v>1.4999999999999999E-2</v>
      </c>
      <c r="E3692" s="31">
        <f t="shared" si="282"/>
        <v>12.62</v>
      </c>
      <c r="F3692" s="32">
        <f>SUM(E3687:E3692)</f>
        <v>853.77</v>
      </c>
    </row>
    <row r="3693" spans="1:6" ht="11.1" customHeight="1">
      <c r="A3693" s="12"/>
      <c r="B3693" s="14"/>
      <c r="C3693" s="24"/>
      <c r="D3693" s="35"/>
      <c r="E3693" s="31"/>
      <c r="F3693" s="32"/>
    </row>
    <row r="3694" spans="1:6" ht="12.75" customHeight="1">
      <c r="A3694" s="13" t="s">
        <v>816</v>
      </c>
      <c r="B3694" s="42"/>
      <c r="C3694" s="29"/>
      <c r="D3694" s="35"/>
      <c r="E3694" s="43" t="s">
        <v>151</v>
      </c>
      <c r="F3694" s="44" t="s">
        <v>213</v>
      </c>
    </row>
    <row r="3695" spans="1:6" ht="12.75" customHeight="1">
      <c r="A3695" s="12" t="s">
        <v>427</v>
      </c>
      <c r="B3695" s="30">
        <v>8.0000000000000002E-3</v>
      </c>
      <c r="C3695" s="24" t="s">
        <v>825</v>
      </c>
      <c r="D3695" s="41">
        <f>D3687</f>
        <v>6653.49</v>
      </c>
      <c r="E3695" s="31">
        <f t="shared" ref="E3695:E3700" si="283">ROUND(B3695*D3695,2)</f>
        <v>53.23</v>
      </c>
      <c r="F3695" s="44"/>
    </row>
    <row r="3696" spans="1:6" ht="12.75" customHeight="1">
      <c r="A3696" s="12" t="s">
        <v>817</v>
      </c>
      <c r="B3696" s="30">
        <v>51.5</v>
      </c>
      <c r="C3696" s="24" t="s">
        <v>1017</v>
      </c>
      <c r="D3696" s="35">
        <f>Prec.!$C$130</f>
        <v>14.33</v>
      </c>
      <c r="E3696" s="31">
        <f t="shared" si="283"/>
        <v>738</v>
      </c>
      <c r="F3696" s="32"/>
    </row>
    <row r="3697" spans="1:6" ht="12.75" customHeight="1">
      <c r="A3697" s="12" t="s">
        <v>824</v>
      </c>
      <c r="B3697" s="30">
        <v>7.6999999999999999E-2</v>
      </c>
      <c r="C3697" s="24" t="s">
        <v>825</v>
      </c>
      <c r="D3697" s="35">
        <f>Prec.!$C$13</f>
        <v>900</v>
      </c>
      <c r="E3697" s="31">
        <f t="shared" si="283"/>
        <v>69.3</v>
      </c>
      <c r="F3697" s="32"/>
    </row>
    <row r="3698" spans="1:6" ht="12.75" customHeight="1">
      <c r="A3698" s="12" t="s">
        <v>326</v>
      </c>
      <c r="B3698" s="30">
        <v>1</v>
      </c>
      <c r="C3698" s="24" t="s">
        <v>213</v>
      </c>
      <c r="D3698" s="35">
        <f>Prec.!$D$471</f>
        <v>12.99</v>
      </c>
      <c r="E3698" s="31">
        <f t="shared" si="283"/>
        <v>12.99</v>
      </c>
      <c r="F3698" s="32"/>
    </row>
    <row r="3699" spans="1:6" ht="12.75" customHeight="1">
      <c r="A3699" s="12" t="s">
        <v>674</v>
      </c>
      <c r="B3699" s="30">
        <v>1</v>
      </c>
      <c r="C3699" s="24" t="s">
        <v>213</v>
      </c>
      <c r="D3699" s="35">
        <f>Prec.!$D$472</f>
        <v>87.11</v>
      </c>
      <c r="E3699" s="31">
        <f t="shared" si="283"/>
        <v>87.11</v>
      </c>
      <c r="F3699" s="32"/>
    </row>
    <row r="3700" spans="1:6" ht="12.75" customHeight="1">
      <c r="A3700" s="12" t="s">
        <v>208</v>
      </c>
      <c r="B3700" s="14">
        <f>SUM(E3695:E3699)</f>
        <v>960.63</v>
      </c>
      <c r="C3700" s="24" t="s">
        <v>209</v>
      </c>
      <c r="D3700" s="35">
        <f>Prec.!C302</f>
        <v>1.4999999999999999E-2</v>
      </c>
      <c r="E3700" s="31">
        <f t="shared" si="283"/>
        <v>14.41</v>
      </c>
      <c r="F3700" s="32">
        <f>SUM(E3695:E3700)</f>
        <v>975.04</v>
      </c>
    </row>
    <row r="3701" spans="1:6" ht="11.1" customHeight="1">
      <c r="A3701" s="12"/>
      <c r="B3701" s="14"/>
      <c r="C3701" s="24"/>
      <c r="D3701" s="35"/>
      <c r="E3701" s="31"/>
      <c r="F3701" s="32"/>
    </row>
    <row r="3702" spans="1:6" ht="12.75" customHeight="1">
      <c r="A3702" s="13" t="s">
        <v>354</v>
      </c>
      <c r="B3702" s="14"/>
      <c r="C3702" s="24"/>
      <c r="D3702" s="35"/>
      <c r="E3702" s="31"/>
      <c r="F3702" s="32"/>
    </row>
    <row r="3703" spans="1:6" ht="12.75" customHeight="1">
      <c r="A3703" s="12" t="s">
        <v>191</v>
      </c>
      <c r="B3703" s="57">
        <v>5.0000000000000001E-3</v>
      </c>
      <c r="C3703" s="24" t="s">
        <v>797</v>
      </c>
      <c r="D3703" s="35">
        <f>Prec.!C28</f>
        <v>200</v>
      </c>
      <c r="E3703" s="31">
        <f t="shared" ref="E3703:E3710" si="284">ROUND(B3703*D3703,2)</f>
        <v>1</v>
      </c>
      <c r="F3703" s="32"/>
    </row>
    <row r="3704" spans="1:6" ht="12.75" customHeight="1">
      <c r="A3704" s="12" t="s">
        <v>792</v>
      </c>
      <c r="B3704" s="57">
        <v>50</v>
      </c>
      <c r="C3704" s="24" t="s">
        <v>1017</v>
      </c>
      <c r="D3704" s="35">
        <f>Prec.!C131</f>
        <v>10.82</v>
      </c>
      <c r="E3704" s="31">
        <f t="shared" si="284"/>
        <v>541</v>
      </c>
      <c r="F3704" s="32"/>
    </row>
    <row r="3705" spans="1:6" ht="12.75" customHeight="1">
      <c r="A3705" s="12" t="s">
        <v>796</v>
      </c>
      <c r="B3705" s="57">
        <v>4.4999999999999998E-2</v>
      </c>
      <c r="C3705" s="24" t="s">
        <v>798</v>
      </c>
      <c r="D3705" s="35">
        <f>Prec.!C7</f>
        <v>250</v>
      </c>
      <c r="E3705" s="31">
        <f t="shared" si="284"/>
        <v>11.25</v>
      </c>
      <c r="F3705" s="32"/>
    </row>
    <row r="3706" spans="1:6" ht="12.75" customHeight="1">
      <c r="A3706" s="12" t="s">
        <v>1173</v>
      </c>
      <c r="B3706" s="57">
        <v>0.05</v>
      </c>
      <c r="C3706" s="24" t="s">
        <v>1204</v>
      </c>
      <c r="D3706" s="35">
        <f>Prec.!C82</f>
        <v>75</v>
      </c>
      <c r="E3706" s="31">
        <f t="shared" si="284"/>
        <v>3.75</v>
      </c>
      <c r="F3706" s="32"/>
    </row>
    <row r="3707" spans="1:6" ht="12.75" customHeight="1">
      <c r="A3707" s="12" t="s">
        <v>793</v>
      </c>
      <c r="B3707" s="57">
        <v>7.0000000000000001E-3</v>
      </c>
      <c r="C3707" s="24" t="s">
        <v>825</v>
      </c>
      <c r="D3707" s="35">
        <f>horm.ymez.!C14</f>
        <v>5147.68</v>
      </c>
      <c r="E3707" s="31">
        <f t="shared" si="284"/>
        <v>36.03</v>
      </c>
      <c r="F3707" s="32"/>
    </row>
    <row r="3708" spans="1:6" ht="12.75" customHeight="1">
      <c r="A3708" s="12" t="s">
        <v>794</v>
      </c>
      <c r="B3708" s="57">
        <v>1</v>
      </c>
      <c r="C3708" s="24" t="s">
        <v>213</v>
      </c>
      <c r="D3708" s="35">
        <f>Prec.!D468</f>
        <v>0</v>
      </c>
      <c r="E3708" s="31">
        <f t="shared" si="284"/>
        <v>0</v>
      </c>
      <c r="F3708" s="32"/>
    </row>
    <row r="3709" spans="1:6" ht="12.75" customHeight="1">
      <c r="A3709" s="12" t="s">
        <v>795</v>
      </c>
      <c r="B3709" s="57">
        <v>3</v>
      </c>
      <c r="C3709" s="24" t="s">
        <v>1017</v>
      </c>
      <c r="D3709" s="35">
        <f>Prec.!D494</f>
        <v>11.93</v>
      </c>
      <c r="E3709" s="31">
        <f t="shared" si="284"/>
        <v>35.79</v>
      </c>
      <c r="F3709" s="32"/>
    </row>
    <row r="3710" spans="1:6" ht="12.75" customHeight="1">
      <c r="A3710" s="12" t="s">
        <v>208</v>
      </c>
      <c r="B3710" s="14">
        <f>SUM(E3703:E3709)</f>
        <v>628.81999999999994</v>
      </c>
      <c r="C3710" s="24" t="s">
        <v>209</v>
      </c>
      <c r="D3710" s="35">
        <f>D3700</f>
        <v>1.4999999999999999E-2</v>
      </c>
      <c r="E3710" s="31">
        <f t="shared" si="284"/>
        <v>9.43</v>
      </c>
      <c r="F3710" s="32">
        <f>SUM(E3703:E3710)</f>
        <v>638.24999999999989</v>
      </c>
    </row>
    <row r="3711" spans="1:6" ht="11.1" customHeight="1">
      <c r="A3711" s="12"/>
      <c r="B3711" s="14"/>
      <c r="C3711" s="24"/>
      <c r="D3711" s="35"/>
      <c r="E3711" s="31"/>
      <c r="F3711" s="32"/>
    </row>
    <row r="3712" spans="1:6" ht="12.75" customHeight="1">
      <c r="A3712" s="13" t="s">
        <v>752</v>
      </c>
      <c r="B3712" s="14"/>
      <c r="C3712" s="24"/>
      <c r="D3712" s="35"/>
      <c r="E3712" s="31"/>
      <c r="F3712" s="32"/>
    </row>
    <row r="3713" spans="1:6" ht="12.75" customHeight="1">
      <c r="A3713" s="12" t="s">
        <v>191</v>
      </c>
      <c r="B3713" s="57">
        <v>5.0000000000000001E-3</v>
      </c>
      <c r="C3713" s="24" t="s">
        <v>261</v>
      </c>
      <c r="D3713" s="35">
        <f>D3703</f>
        <v>200</v>
      </c>
      <c r="E3713" s="31">
        <f t="shared" ref="E3713:E3719" si="285">ROUND(B3713*D3713,2)</f>
        <v>1</v>
      </c>
      <c r="F3713" s="32"/>
    </row>
    <row r="3714" spans="1:6" ht="12.75" customHeight="1">
      <c r="A3714" s="12" t="s">
        <v>1243</v>
      </c>
      <c r="B3714" s="57">
        <v>1</v>
      </c>
      <c r="C3714" s="24" t="s">
        <v>213</v>
      </c>
      <c r="D3714" s="35">
        <f>Prec.!C133</f>
        <v>275</v>
      </c>
      <c r="E3714" s="31">
        <f t="shared" si="285"/>
        <v>275</v>
      </c>
      <c r="F3714" s="32"/>
    </row>
    <row r="3715" spans="1:6" ht="12.75" customHeight="1">
      <c r="A3715" s="12" t="s">
        <v>796</v>
      </c>
      <c r="B3715" s="57">
        <v>1.2E-2</v>
      </c>
      <c r="C3715" s="24" t="s">
        <v>755</v>
      </c>
      <c r="D3715" s="35">
        <f>D3705</f>
        <v>250</v>
      </c>
      <c r="E3715" s="31">
        <f t="shared" si="285"/>
        <v>3</v>
      </c>
      <c r="F3715" s="32"/>
    </row>
    <row r="3716" spans="1:6" ht="12.75" customHeight="1">
      <c r="A3716" s="12" t="s">
        <v>427</v>
      </c>
      <c r="B3716" s="57">
        <v>3.2000000000000001E-2</v>
      </c>
      <c r="C3716" s="24" t="s">
        <v>825</v>
      </c>
      <c r="D3716" s="35">
        <f>horm.ymez.!C8</f>
        <v>6653.49</v>
      </c>
      <c r="E3716" s="31">
        <f t="shared" si="285"/>
        <v>212.91</v>
      </c>
      <c r="F3716" s="32"/>
    </row>
    <row r="3717" spans="1:6" ht="12.75" customHeight="1">
      <c r="A3717" s="12" t="s">
        <v>753</v>
      </c>
      <c r="B3717" s="57">
        <v>1</v>
      </c>
      <c r="C3717" s="24" t="s">
        <v>213</v>
      </c>
      <c r="D3717" s="35">
        <f>Prec.!D468</f>
        <v>0</v>
      </c>
      <c r="E3717" s="31">
        <f t="shared" si="285"/>
        <v>0</v>
      </c>
      <c r="F3717" s="32"/>
    </row>
    <row r="3718" spans="1:6" ht="12.75" customHeight="1">
      <c r="A3718" s="12" t="s">
        <v>754</v>
      </c>
      <c r="B3718" s="57">
        <v>3</v>
      </c>
      <c r="C3718" s="24" t="s">
        <v>1017</v>
      </c>
      <c r="D3718" s="35">
        <f>Prec.!D488:D488</f>
        <v>5.97</v>
      </c>
      <c r="E3718" s="31">
        <f t="shared" si="285"/>
        <v>17.91</v>
      </c>
      <c r="F3718" s="32"/>
    </row>
    <row r="3719" spans="1:6" ht="12.75" customHeight="1">
      <c r="A3719" s="12" t="s">
        <v>208</v>
      </c>
      <c r="B3719" s="57">
        <f>SUM(E3713:E3718)</f>
        <v>509.82</v>
      </c>
      <c r="C3719" s="24" t="s">
        <v>209</v>
      </c>
      <c r="D3719" s="35">
        <f>D3710</f>
        <v>1.4999999999999999E-2</v>
      </c>
      <c r="E3719" s="31">
        <f t="shared" si="285"/>
        <v>7.65</v>
      </c>
      <c r="F3719" s="32">
        <f>SUM(E3713:E3719)</f>
        <v>517.47</v>
      </c>
    </row>
    <row r="3720" spans="1:6" ht="11.1" customHeight="1">
      <c r="A3720" s="12"/>
      <c r="B3720" s="57"/>
      <c r="C3720" s="24"/>
      <c r="D3720" s="35"/>
      <c r="E3720" s="31"/>
      <c r="F3720" s="32"/>
    </row>
    <row r="3721" spans="1:6" ht="12.75" customHeight="1">
      <c r="A3721" s="13" t="s">
        <v>1244</v>
      </c>
      <c r="B3721" s="14"/>
      <c r="C3721" s="24"/>
      <c r="D3721" s="35"/>
      <c r="E3721" s="31"/>
      <c r="F3721" s="32"/>
    </row>
    <row r="3722" spans="1:6" ht="12.75" customHeight="1">
      <c r="A3722" s="12" t="s">
        <v>191</v>
      </c>
      <c r="B3722" s="57">
        <v>5.0000000000000001E-3</v>
      </c>
      <c r="C3722" s="24" t="s">
        <v>261</v>
      </c>
      <c r="D3722" s="35">
        <f>D3713</f>
        <v>200</v>
      </c>
      <c r="E3722" s="31">
        <f t="shared" ref="E3722:E3728" si="286">ROUND(B3722*D3722,2)</f>
        <v>1</v>
      </c>
      <c r="F3722" s="32"/>
    </row>
    <row r="3723" spans="1:6" ht="12.75" customHeight="1">
      <c r="A3723" s="12" t="s">
        <v>1245</v>
      </c>
      <c r="B3723" s="57">
        <v>1</v>
      </c>
      <c r="C3723" s="24" t="s">
        <v>213</v>
      </c>
      <c r="D3723" s="35">
        <f>Prec.!C134</f>
        <v>260</v>
      </c>
      <c r="E3723" s="31">
        <f t="shared" si="286"/>
        <v>260</v>
      </c>
      <c r="F3723" s="32"/>
    </row>
    <row r="3724" spans="1:6" ht="12.75" customHeight="1">
      <c r="A3724" s="12" t="s">
        <v>796</v>
      </c>
      <c r="B3724" s="57">
        <v>4.9000000000000002E-2</v>
      </c>
      <c r="C3724" s="24" t="s">
        <v>755</v>
      </c>
      <c r="D3724" s="35">
        <f>D3715</f>
        <v>250</v>
      </c>
      <c r="E3724" s="31">
        <f t="shared" si="286"/>
        <v>12.25</v>
      </c>
      <c r="F3724" s="32"/>
    </row>
    <row r="3725" spans="1:6" ht="12.75" customHeight="1">
      <c r="A3725" s="12" t="s">
        <v>427</v>
      </c>
      <c r="B3725" s="57">
        <v>3.2000000000000001E-2</v>
      </c>
      <c r="C3725" s="24" t="s">
        <v>825</v>
      </c>
      <c r="D3725" s="35">
        <f>D3716</f>
        <v>6653.49</v>
      </c>
      <c r="E3725" s="31">
        <f t="shared" si="286"/>
        <v>212.91</v>
      </c>
      <c r="F3725" s="32"/>
    </row>
    <row r="3726" spans="1:6" ht="12.75" customHeight="1">
      <c r="A3726" s="12" t="s">
        <v>753</v>
      </c>
      <c r="B3726" s="57">
        <v>1</v>
      </c>
      <c r="C3726" s="24" t="s">
        <v>213</v>
      </c>
      <c r="D3726" s="35">
        <f>Prec.!D469</f>
        <v>229.04</v>
      </c>
      <c r="E3726" s="31">
        <f t="shared" si="286"/>
        <v>229.04</v>
      </c>
      <c r="F3726" s="32"/>
    </row>
    <row r="3727" spans="1:6" ht="12.75" customHeight="1">
      <c r="A3727" s="12" t="s">
        <v>754</v>
      </c>
      <c r="B3727" s="57">
        <v>3</v>
      </c>
      <c r="C3727" s="24" t="s">
        <v>1017</v>
      </c>
      <c r="D3727" s="35">
        <f>D3718</f>
        <v>5.97</v>
      </c>
      <c r="E3727" s="31">
        <f t="shared" si="286"/>
        <v>17.91</v>
      </c>
      <c r="F3727" s="32"/>
    </row>
    <row r="3728" spans="1:6" ht="12.75" customHeight="1">
      <c r="A3728" s="12" t="s">
        <v>208</v>
      </c>
      <c r="B3728" s="57">
        <f>SUM(E3722:E3727)</f>
        <v>733.1099999999999</v>
      </c>
      <c r="C3728" s="24" t="s">
        <v>209</v>
      </c>
      <c r="D3728" s="35">
        <f>D3719</f>
        <v>1.4999999999999999E-2</v>
      </c>
      <c r="E3728" s="31">
        <f t="shared" si="286"/>
        <v>11</v>
      </c>
      <c r="F3728" s="32">
        <f>SUM(E3722:E3728)</f>
        <v>744.1099999999999</v>
      </c>
    </row>
    <row r="3729" spans="1:13" s="166" customFormat="1" ht="12.75" customHeight="1">
      <c r="A3729" s="12"/>
      <c r="B3729" s="57"/>
      <c r="C3729" s="24"/>
      <c r="D3729" s="35"/>
      <c r="E3729" s="31"/>
      <c r="F3729" s="32"/>
      <c r="G3729" s="15"/>
      <c r="H3729" s="21"/>
      <c r="I3729" s="15"/>
      <c r="J3729" s="15"/>
      <c r="K3729" s="15"/>
      <c r="L3729" s="21"/>
      <c r="M3729" s="15"/>
    </row>
    <row r="3730" spans="1:13" ht="12.75" customHeight="1">
      <c r="A3730" s="13" t="s">
        <v>397</v>
      </c>
      <c r="B3730" s="14"/>
      <c r="C3730" s="24"/>
      <c r="D3730" s="35"/>
      <c r="E3730" s="31"/>
      <c r="F3730" s="32"/>
    </row>
    <row r="3731" spans="1:13" ht="12.75" customHeight="1">
      <c r="A3731" s="12" t="s">
        <v>191</v>
      </c>
      <c r="B3731" s="57">
        <v>5.0000000000000001E-3</v>
      </c>
      <c r="C3731" s="24" t="s">
        <v>261</v>
      </c>
      <c r="D3731" s="35">
        <f>D3713</f>
        <v>200</v>
      </c>
      <c r="E3731" s="31">
        <f t="shared" ref="E3731:E3737" si="287">ROUND(B3731*D3731,2)</f>
        <v>1</v>
      </c>
      <c r="F3731" s="32"/>
    </row>
    <row r="3732" spans="1:13" ht="12.75" customHeight="1">
      <c r="A3732" s="12" t="s">
        <v>398</v>
      </c>
      <c r="B3732" s="57">
        <v>1</v>
      </c>
      <c r="C3732" s="24" t="s">
        <v>213</v>
      </c>
      <c r="D3732" s="35">
        <f>Prec.!C135</f>
        <v>275</v>
      </c>
      <c r="E3732" s="31">
        <f t="shared" si="287"/>
        <v>275</v>
      </c>
      <c r="F3732" s="32"/>
    </row>
    <row r="3733" spans="1:13" ht="12.75" customHeight="1">
      <c r="A3733" s="12" t="s">
        <v>796</v>
      </c>
      <c r="B3733" s="57">
        <v>3.3000000000000002E-2</v>
      </c>
      <c r="C3733" s="24" t="s">
        <v>755</v>
      </c>
      <c r="D3733" s="35">
        <f>D3715</f>
        <v>250</v>
      </c>
      <c r="E3733" s="31">
        <f t="shared" si="287"/>
        <v>8.25</v>
      </c>
      <c r="F3733" s="32"/>
    </row>
    <row r="3734" spans="1:13" ht="12.75" customHeight="1">
      <c r="A3734" s="12" t="s">
        <v>427</v>
      </c>
      <c r="B3734" s="57">
        <v>3.2000000000000001E-2</v>
      </c>
      <c r="C3734" s="24" t="s">
        <v>825</v>
      </c>
      <c r="D3734" s="35">
        <f>D3716</f>
        <v>6653.49</v>
      </c>
      <c r="E3734" s="31">
        <f t="shared" si="287"/>
        <v>212.91</v>
      </c>
      <c r="F3734" s="32"/>
    </row>
    <row r="3735" spans="1:13" ht="12.75" customHeight="1">
      <c r="A3735" s="12" t="s">
        <v>399</v>
      </c>
      <c r="B3735" s="57">
        <v>1</v>
      </c>
      <c r="C3735" s="24" t="s">
        <v>213</v>
      </c>
      <c r="D3735" s="35">
        <f>D3708</f>
        <v>0</v>
      </c>
      <c r="E3735" s="31">
        <f t="shared" si="287"/>
        <v>0</v>
      </c>
      <c r="F3735" s="32"/>
    </row>
    <row r="3736" spans="1:13" ht="12.75" customHeight="1">
      <c r="A3736" s="12" t="s">
        <v>754</v>
      </c>
      <c r="B3736" s="57">
        <v>3.5</v>
      </c>
      <c r="C3736" s="24" t="s">
        <v>1017</v>
      </c>
      <c r="D3736" s="35">
        <f>D3718</f>
        <v>5.97</v>
      </c>
      <c r="E3736" s="31">
        <f t="shared" si="287"/>
        <v>20.9</v>
      </c>
      <c r="F3736" s="32"/>
    </row>
    <row r="3737" spans="1:13" ht="12.75" customHeight="1">
      <c r="A3737" s="12" t="s">
        <v>208</v>
      </c>
      <c r="B3737" s="57">
        <f>SUM(E3731:E3736)</f>
        <v>518.05999999999995</v>
      </c>
      <c r="C3737" s="24" t="s">
        <v>209</v>
      </c>
      <c r="D3737" s="35">
        <f>D3719</f>
        <v>1.4999999999999999E-2</v>
      </c>
      <c r="E3737" s="31">
        <f t="shared" si="287"/>
        <v>7.77</v>
      </c>
      <c r="F3737" s="32">
        <f>SUM(E3731:E3737)</f>
        <v>525.82999999999993</v>
      </c>
    </row>
    <row r="3738" spans="1:13" ht="12.75" customHeight="1">
      <c r="A3738" s="12"/>
      <c r="B3738" s="57"/>
      <c r="C3738" s="24"/>
      <c r="D3738" s="35"/>
      <c r="E3738" s="31"/>
      <c r="F3738" s="32"/>
    </row>
    <row r="3739" spans="1:13" ht="12.75" customHeight="1">
      <c r="A3739" s="13" t="s">
        <v>1060</v>
      </c>
      <c r="B3739" s="57"/>
      <c r="C3739" s="24"/>
      <c r="D3739" s="35"/>
      <c r="E3739" s="31"/>
      <c r="F3739" s="32"/>
    </row>
    <row r="3740" spans="1:13" ht="12.75" customHeight="1">
      <c r="A3740" s="12" t="s">
        <v>1061</v>
      </c>
      <c r="B3740" s="57">
        <v>0.1</v>
      </c>
      <c r="C3740" s="24" t="s">
        <v>825</v>
      </c>
      <c r="D3740" s="35">
        <f>Prec.!C21</f>
        <v>775</v>
      </c>
      <c r="E3740" s="31">
        <f t="shared" ref="E3740:E3745" si="288">ROUND(B3740*D3740,2)</f>
        <v>77.5</v>
      </c>
      <c r="F3740" s="32"/>
    </row>
    <row r="3741" spans="1:13" ht="12.75" customHeight="1">
      <c r="A3741" s="12" t="s">
        <v>183</v>
      </c>
      <c r="B3741" s="57">
        <v>8.7999999999999995E-2</v>
      </c>
      <c r="C3741" s="24" t="s">
        <v>211</v>
      </c>
      <c r="D3741" s="35">
        <f>D3542</f>
        <v>38</v>
      </c>
      <c r="E3741" s="31">
        <f t="shared" si="288"/>
        <v>3.34</v>
      </c>
      <c r="F3741" s="32"/>
    </row>
    <row r="3742" spans="1:13" ht="12.75" customHeight="1">
      <c r="A3742" s="12" t="s">
        <v>427</v>
      </c>
      <c r="B3742" s="57">
        <v>3.2000000000000001E-2</v>
      </c>
      <c r="C3742" s="24" t="s">
        <v>825</v>
      </c>
      <c r="D3742" s="35">
        <f>D3734</f>
        <v>6653.49</v>
      </c>
      <c r="E3742" s="31">
        <f t="shared" si="288"/>
        <v>212.91</v>
      </c>
      <c r="F3742" s="32"/>
    </row>
    <row r="3743" spans="1:13" ht="12.75" customHeight="1">
      <c r="A3743" s="12" t="s">
        <v>1170</v>
      </c>
      <c r="B3743" s="57">
        <v>0.8</v>
      </c>
      <c r="C3743" s="24" t="s">
        <v>1171</v>
      </c>
      <c r="D3743" s="35">
        <f>D2836</f>
        <v>68.430000000000007</v>
      </c>
      <c r="E3743" s="31">
        <f t="shared" si="288"/>
        <v>54.74</v>
      </c>
      <c r="F3743" s="32"/>
    </row>
    <row r="3744" spans="1:13" ht="12.75" customHeight="1">
      <c r="A3744" s="12" t="s">
        <v>1062</v>
      </c>
      <c r="B3744" s="57">
        <v>1</v>
      </c>
      <c r="C3744" s="24" t="s">
        <v>213</v>
      </c>
      <c r="D3744" s="35">
        <f>Prec.!D450</f>
        <v>0</v>
      </c>
      <c r="E3744" s="31">
        <f t="shared" si="288"/>
        <v>0</v>
      </c>
      <c r="F3744" s="32"/>
    </row>
    <row r="3745" spans="1:6" ht="12.75" customHeight="1">
      <c r="A3745" s="12" t="s">
        <v>208</v>
      </c>
      <c r="B3745" s="57">
        <f>SUM(E3740:E3744)</f>
        <v>348.49</v>
      </c>
      <c r="C3745" s="24" t="s">
        <v>209</v>
      </c>
      <c r="D3745" s="35">
        <f>D3737</f>
        <v>1.4999999999999999E-2</v>
      </c>
      <c r="E3745" s="31">
        <f t="shared" si="288"/>
        <v>5.23</v>
      </c>
      <c r="F3745" s="32">
        <f>SUM(E3740:E3745)</f>
        <v>353.72</v>
      </c>
    </row>
    <row r="3746" spans="1:6" ht="12.75" customHeight="1">
      <c r="A3746" s="12"/>
      <c r="B3746" s="57"/>
      <c r="C3746" s="24"/>
      <c r="D3746" s="35"/>
      <c r="E3746" s="31"/>
      <c r="F3746" s="32"/>
    </row>
    <row r="3747" spans="1:6" ht="12.75" customHeight="1">
      <c r="A3747" s="13" t="s">
        <v>440</v>
      </c>
      <c r="B3747" s="57"/>
      <c r="C3747" s="24"/>
      <c r="D3747" s="35"/>
      <c r="E3747" s="31"/>
      <c r="F3747" s="32"/>
    </row>
    <row r="3748" spans="1:6" ht="12.75" customHeight="1">
      <c r="A3748" s="12" t="s">
        <v>183</v>
      </c>
      <c r="B3748" s="57">
        <v>8.7999999999999995E-2</v>
      </c>
      <c r="C3748" s="24" t="s">
        <v>211</v>
      </c>
      <c r="D3748" s="35">
        <f>D3741</f>
        <v>38</v>
      </c>
      <c r="E3748" s="31">
        <f t="shared" ref="E3748:E3753" si="289">ROUND(B3748*D3748,2)</f>
        <v>3.34</v>
      </c>
      <c r="F3748" s="32"/>
    </row>
    <row r="3749" spans="1:6" ht="12.75" customHeight="1">
      <c r="A3749" s="12" t="s">
        <v>427</v>
      </c>
      <c r="B3749" s="57">
        <v>2.1999999999999999E-2</v>
      </c>
      <c r="C3749" s="24" t="s">
        <v>825</v>
      </c>
      <c r="D3749" s="35">
        <f>D3742</f>
        <v>6653.49</v>
      </c>
      <c r="E3749" s="31">
        <f t="shared" si="289"/>
        <v>146.38</v>
      </c>
      <c r="F3749" s="32"/>
    </row>
    <row r="3750" spans="1:6" ht="12.75" customHeight="1">
      <c r="A3750" s="12" t="s">
        <v>793</v>
      </c>
      <c r="B3750" s="57">
        <v>8.4000000000000005E-2</v>
      </c>
      <c r="C3750" s="24" t="s">
        <v>825</v>
      </c>
      <c r="D3750" s="35">
        <f>horm.ymez.!C14</f>
        <v>5147.68</v>
      </c>
      <c r="E3750" s="31">
        <f t="shared" si="289"/>
        <v>432.41</v>
      </c>
      <c r="F3750" s="32"/>
    </row>
    <row r="3751" spans="1:6" ht="12.75" customHeight="1">
      <c r="A3751" s="12" t="s">
        <v>1170</v>
      </c>
      <c r="B3751" s="57">
        <v>0.8</v>
      </c>
      <c r="C3751" s="24" t="s">
        <v>1171</v>
      </c>
      <c r="D3751" s="35">
        <f>D3743</f>
        <v>68.430000000000007</v>
      </c>
      <c r="E3751" s="31">
        <f t="shared" si="289"/>
        <v>54.74</v>
      </c>
      <c r="F3751" s="32"/>
    </row>
    <row r="3752" spans="1:6" ht="25.5" customHeight="1">
      <c r="A3752" s="122" t="s">
        <v>440</v>
      </c>
      <c r="B3752" s="57">
        <v>1</v>
      </c>
      <c r="C3752" s="24" t="s">
        <v>213</v>
      </c>
      <c r="D3752" s="35">
        <f>Prec.!D451</f>
        <v>0</v>
      </c>
      <c r="E3752" s="31">
        <f t="shared" si="289"/>
        <v>0</v>
      </c>
      <c r="F3752" s="32"/>
    </row>
    <row r="3753" spans="1:6" ht="12.75" customHeight="1">
      <c r="A3753" s="12" t="s">
        <v>208</v>
      </c>
      <c r="B3753" s="57">
        <f>SUM(E3748:E3752)</f>
        <v>636.87</v>
      </c>
      <c r="C3753" s="24" t="s">
        <v>209</v>
      </c>
      <c r="D3753" s="35">
        <f>D3745</f>
        <v>1.4999999999999999E-2</v>
      </c>
      <c r="E3753" s="31">
        <f t="shared" si="289"/>
        <v>9.5500000000000007</v>
      </c>
      <c r="F3753" s="32">
        <f>SUM(E3748:E3753)</f>
        <v>646.41999999999996</v>
      </c>
    </row>
    <row r="3754" spans="1:6" ht="12.75" customHeight="1">
      <c r="A3754" s="12"/>
      <c r="B3754" s="57"/>
      <c r="C3754" s="24"/>
      <c r="D3754" s="35"/>
      <c r="E3754" s="31"/>
      <c r="F3754" s="32"/>
    </row>
    <row r="3755" spans="1:6" ht="12.75" customHeight="1">
      <c r="A3755" s="13" t="s">
        <v>442</v>
      </c>
      <c r="B3755" s="57"/>
      <c r="C3755" s="24"/>
      <c r="D3755" s="35"/>
      <c r="E3755" s="31"/>
      <c r="F3755" s="32"/>
    </row>
    <row r="3756" spans="1:6" ht="12.75" customHeight="1">
      <c r="A3756" s="12" t="s">
        <v>1</v>
      </c>
      <c r="B3756" s="30">
        <v>4.4999999999999998E-2</v>
      </c>
      <c r="C3756" s="24" t="s">
        <v>823</v>
      </c>
      <c r="D3756" s="41">
        <f>Prec.!$C$5</f>
        <v>425</v>
      </c>
      <c r="E3756" s="31">
        <f t="shared" ref="E3756:E3764" si="290">ROUND(B3756*D3756,2)</f>
        <v>19.13</v>
      </c>
      <c r="F3756" s="32"/>
    </row>
    <row r="3757" spans="1:6" ht="12.75" customHeight="1">
      <c r="A3757" s="12" t="s">
        <v>2</v>
      </c>
      <c r="B3757" s="30">
        <v>0.04</v>
      </c>
      <c r="C3757" s="24" t="s">
        <v>823</v>
      </c>
      <c r="D3757" s="41">
        <f>Prec.!C6</f>
        <v>900</v>
      </c>
      <c r="E3757" s="31">
        <f t="shared" si="290"/>
        <v>36</v>
      </c>
      <c r="F3757" s="32"/>
    </row>
    <row r="3758" spans="1:6" ht="12.75" customHeight="1">
      <c r="A3758" s="12" t="s">
        <v>421</v>
      </c>
      <c r="B3758" s="30">
        <v>8.4000000000000005E-2</v>
      </c>
      <c r="C3758" s="24" t="s">
        <v>825</v>
      </c>
      <c r="D3758" s="35">
        <f>horm.ymez.!C14</f>
        <v>5147.68</v>
      </c>
      <c r="E3758" s="31">
        <f t="shared" si="290"/>
        <v>432.41</v>
      </c>
      <c r="F3758" s="32"/>
    </row>
    <row r="3759" spans="1:6" ht="12.75" customHeight="1">
      <c r="A3759" s="12" t="s">
        <v>427</v>
      </c>
      <c r="B3759" s="30">
        <v>2.1999999999999999E-2</v>
      </c>
      <c r="C3759" s="24" t="s">
        <v>825</v>
      </c>
      <c r="D3759" s="35">
        <f>horm.ymez.!C8</f>
        <v>6653.49</v>
      </c>
      <c r="E3759" s="31">
        <f t="shared" si="290"/>
        <v>146.38</v>
      </c>
      <c r="F3759" s="32"/>
    </row>
    <row r="3760" spans="1:6" ht="12.75" customHeight="1">
      <c r="A3760" s="12" t="s">
        <v>183</v>
      </c>
      <c r="B3760" s="30">
        <v>8.7999999999999995E-2</v>
      </c>
      <c r="C3760" s="24" t="s">
        <v>211</v>
      </c>
      <c r="D3760" s="35">
        <f>D3748</f>
        <v>38</v>
      </c>
      <c r="E3760" s="31">
        <f t="shared" si="290"/>
        <v>3.34</v>
      </c>
      <c r="F3760" s="32"/>
    </row>
    <row r="3761" spans="1:13" ht="12.75" customHeight="1">
      <c r="A3761" s="12" t="s">
        <v>368</v>
      </c>
      <c r="B3761" s="30">
        <v>0.25</v>
      </c>
      <c r="C3761" s="24" t="s">
        <v>1017</v>
      </c>
      <c r="D3761" s="35">
        <f>Prec.!C83</f>
        <v>50</v>
      </c>
      <c r="E3761" s="31">
        <f t="shared" si="290"/>
        <v>12.5</v>
      </c>
      <c r="F3761" s="32"/>
    </row>
    <row r="3762" spans="1:13" ht="12.75" customHeight="1">
      <c r="A3762" s="12" t="s">
        <v>1170</v>
      </c>
      <c r="B3762" s="30">
        <v>0.8</v>
      </c>
      <c r="C3762" s="24" t="s">
        <v>1171</v>
      </c>
      <c r="D3762" s="35">
        <f>Prec.!$D$438</f>
        <v>0</v>
      </c>
      <c r="E3762" s="31">
        <f t="shared" si="290"/>
        <v>0</v>
      </c>
      <c r="F3762" s="32"/>
    </row>
    <row r="3763" spans="1:13" ht="12.75" customHeight="1">
      <c r="A3763" s="12" t="s">
        <v>441</v>
      </c>
      <c r="B3763" s="30">
        <v>1</v>
      </c>
      <c r="C3763" s="24" t="s">
        <v>213</v>
      </c>
      <c r="D3763" s="35">
        <f>Prec.!$D$452</f>
        <v>0</v>
      </c>
      <c r="E3763" s="31">
        <f t="shared" si="290"/>
        <v>0</v>
      </c>
      <c r="F3763" s="32"/>
    </row>
    <row r="3764" spans="1:13" ht="12.75" customHeight="1">
      <c r="A3764" s="12" t="s">
        <v>208</v>
      </c>
      <c r="B3764" s="14">
        <f>SUM(E3756:E3763)</f>
        <v>649.7600000000001</v>
      </c>
      <c r="C3764" s="24" t="s">
        <v>209</v>
      </c>
      <c r="D3764" s="35">
        <f>D3753</f>
        <v>1.4999999999999999E-2</v>
      </c>
      <c r="E3764" s="31">
        <f t="shared" si="290"/>
        <v>9.75</v>
      </c>
      <c r="F3764" s="32">
        <f>SUM(E3756:E3764)</f>
        <v>659.5100000000001</v>
      </c>
    </row>
    <row r="3765" spans="1:13" ht="12.75" customHeight="1">
      <c r="A3765" s="12"/>
      <c r="B3765" s="14"/>
      <c r="C3765" s="24"/>
      <c r="D3765" s="35"/>
      <c r="E3765" s="31"/>
      <c r="F3765" s="32"/>
    </row>
    <row r="3766" spans="1:13" s="166" customFormat="1" ht="12.75" customHeight="1">
      <c r="A3766" s="12"/>
      <c r="B3766" s="14"/>
      <c r="C3766" s="24"/>
      <c r="D3766" s="35"/>
      <c r="E3766" s="31"/>
      <c r="F3766" s="32"/>
      <c r="G3766" s="15"/>
      <c r="H3766" s="21"/>
      <c r="I3766" s="15"/>
      <c r="J3766" s="15"/>
      <c r="K3766" s="15"/>
      <c r="L3766" s="21"/>
      <c r="M3766" s="15"/>
    </row>
    <row r="3767" spans="1:13" s="166" customFormat="1" ht="12.75" customHeight="1">
      <c r="A3767" s="12"/>
      <c r="B3767" s="14"/>
      <c r="C3767" s="24"/>
      <c r="D3767" s="35"/>
      <c r="E3767" s="31"/>
      <c r="F3767" s="32"/>
      <c r="G3767" s="15"/>
      <c r="H3767" s="21"/>
      <c r="I3767" s="15"/>
      <c r="J3767" s="15"/>
      <c r="K3767" s="15"/>
      <c r="L3767" s="21"/>
      <c r="M3767" s="15"/>
    </row>
    <row r="3768" spans="1:13" s="166" customFormat="1" ht="12.75" customHeight="1">
      <c r="A3768" s="12"/>
      <c r="B3768" s="14"/>
      <c r="C3768" s="24"/>
      <c r="D3768" s="35"/>
      <c r="E3768" s="31"/>
      <c r="F3768" s="32"/>
      <c r="G3768" s="15"/>
      <c r="H3768" s="21"/>
      <c r="I3768" s="15"/>
      <c r="J3768" s="15"/>
      <c r="K3768" s="15"/>
      <c r="L3768" s="21"/>
      <c r="M3768" s="15"/>
    </row>
    <row r="3769" spans="1:13" s="166" customFormat="1" ht="12.75" customHeight="1">
      <c r="A3769" s="12"/>
      <c r="B3769" s="14"/>
      <c r="C3769" s="24"/>
      <c r="D3769" s="35"/>
      <c r="E3769" s="31"/>
      <c r="F3769" s="32"/>
      <c r="G3769" s="15"/>
      <c r="H3769" s="21"/>
      <c r="I3769" s="15"/>
      <c r="J3769" s="15"/>
      <c r="K3769" s="15"/>
      <c r="L3769" s="21"/>
      <c r="M3769" s="15"/>
    </row>
    <row r="3770" spans="1:13" ht="12.75" customHeight="1">
      <c r="A3770" s="13" t="s">
        <v>1152</v>
      </c>
      <c r="B3770" s="42"/>
      <c r="C3770" s="29"/>
      <c r="D3770" s="35"/>
      <c r="E3770" s="43" t="s">
        <v>151</v>
      </c>
      <c r="F3770" s="44" t="s">
        <v>1171</v>
      </c>
    </row>
    <row r="3771" spans="1:13" ht="12.75" customHeight="1">
      <c r="A3771" s="12" t="s">
        <v>748</v>
      </c>
      <c r="B3771" s="30">
        <v>1.05</v>
      </c>
      <c r="C3771" s="24" t="s">
        <v>1171</v>
      </c>
      <c r="D3771" s="35">
        <f>Prec.!$C$139</f>
        <v>70.73</v>
      </c>
      <c r="E3771" s="31">
        <f t="shared" ref="E3771:E3776" si="291">ROUND(B3771*D3771,2)</f>
        <v>74.27</v>
      </c>
      <c r="F3771" s="32"/>
    </row>
    <row r="3772" spans="1:13" ht="12.75" customHeight="1">
      <c r="A3772" s="12" t="s">
        <v>673</v>
      </c>
      <c r="B3772" s="30">
        <v>2.1999999999999999E-2</v>
      </c>
      <c r="C3772" s="24" t="s">
        <v>1172</v>
      </c>
      <c r="D3772" s="35">
        <f>Prec.!$C$8</f>
        <v>250</v>
      </c>
      <c r="E3772" s="31">
        <f t="shared" si="291"/>
        <v>5.5</v>
      </c>
      <c r="F3772" s="32"/>
    </row>
    <row r="3773" spans="1:13" ht="12.75" customHeight="1">
      <c r="A3773" s="12" t="s">
        <v>1174</v>
      </c>
      <c r="B3773" s="30">
        <v>2E-3</v>
      </c>
      <c r="C3773" s="24" t="s">
        <v>825</v>
      </c>
      <c r="D3773" s="35">
        <f>horm.ymez.!C9</f>
        <v>5667.56</v>
      </c>
      <c r="E3773" s="31">
        <f t="shared" si="291"/>
        <v>11.34</v>
      </c>
      <c r="F3773" s="32"/>
    </row>
    <row r="3774" spans="1:13" ht="12.75" customHeight="1">
      <c r="A3774" s="12" t="s">
        <v>1015</v>
      </c>
      <c r="B3774" s="30">
        <v>1</v>
      </c>
      <c r="C3774" s="24" t="s">
        <v>1017</v>
      </c>
      <c r="D3774" s="35">
        <f>Prec.!D490</f>
        <v>11.93</v>
      </c>
      <c r="E3774" s="31">
        <f t="shared" si="291"/>
        <v>11.93</v>
      </c>
      <c r="F3774" s="32"/>
    </row>
    <row r="3775" spans="1:13" ht="12.75" customHeight="1">
      <c r="A3775" s="12" t="s">
        <v>674</v>
      </c>
      <c r="B3775" s="30">
        <v>1</v>
      </c>
      <c r="C3775" s="24" t="s">
        <v>1171</v>
      </c>
      <c r="D3775" s="35">
        <f>Prec.!$D$497</f>
        <v>0</v>
      </c>
      <c r="E3775" s="31">
        <f t="shared" si="291"/>
        <v>0</v>
      </c>
      <c r="F3775" s="32"/>
    </row>
    <row r="3776" spans="1:13" ht="12.75" customHeight="1">
      <c r="A3776" s="12" t="s">
        <v>208</v>
      </c>
      <c r="B3776" s="14">
        <f>SUM(E3771:E3775)</f>
        <v>103.03999999999999</v>
      </c>
      <c r="C3776" s="24" t="s">
        <v>209</v>
      </c>
      <c r="D3776" s="35">
        <f>Prec.!C302</f>
        <v>1.4999999999999999E-2</v>
      </c>
      <c r="E3776" s="31">
        <f t="shared" si="291"/>
        <v>1.55</v>
      </c>
      <c r="F3776" s="32">
        <f>SUM(E3771:E3776)</f>
        <v>104.58999999999999</v>
      </c>
    </row>
    <row r="3777" spans="1:6" ht="12.75" customHeight="1">
      <c r="A3777" s="12"/>
      <c r="B3777" s="14"/>
      <c r="C3777" s="24"/>
      <c r="D3777" s="35"/>
      <c r="E3777" s="31"/>
      <c r="F3777" s="32"/>
    </row>
    <row r="3778" spans="1:6" ht="12.75" customHeight="1">
      <c r="A3778" s="13" t="s">
        <v>1153</v>
      </c>
      <c r="B3778" s="42"/>
      <c r="C3778" s="29"/>
      <c r="D3778" s="35"/>
      <c r="E3778" s="43" t="s">
        <v>151</v>
      </c>
      <c r="F3778" s="44" t="s">
        <v>1171</v>
      </c>
    </row>
    <row r="3779" spans="1:6" ht="12.75" customHeight="1">
      <c r="A3779" s="12" t="s">
        <v>749</v>
      </c>
      <c r="B3779" s="30">
        <v>1.05</v>
      </c>
      <c r="C3779" s="24" t="s">
        <v>1171</v>
      </c>
      <c r="D3779" s="35">
        <f>Prec.!$C$140</f>
        <v>90</v>
      </c>
      <c r="E3779" s="31">
        <f t="shared" ref="E3779:E3784" si="292">ROUND(B3779*D3779,2)</f>
        <v>94.5</v>
      </c>
      <c r="F3779" s="32"/>
    </row>
    <row r="3780" spans="1:6" ht="12.75" customHeight="1">
      <c r="A3780" s="12" t="s">
        <v>622</v>
      </c>
      <c r="B3780" s="30">
        <v>2.1999999999999999E-2</v>
      </c>
      <c r="C3780" s="24" t="s">
        <v>1172</v>
      </c>
      <c r="D3780" s="35">
        <f>Prec.!$C$7</f>
        <v>250</v>
      </c>
      <c r="E3780" s="31">
        <f t="shared" si="292"/>
        <v>5.5</v>
      </c>
      <c r="F3780" s="32"/>
    </row>
    <row r="3781" spans="1:6" ht="12.75" customHeight="1">
      <c r="A3781" s="12" t="s">
        <v>1174</v>
      </c>
      <c r="B3781" s="30">
        <v>2E-3</v>
      </c>
      <c r="C3781" s="24" t="s">
        <v>825</v>
      </c>
      <c r="D3781" s="35">
        <f>D3773</f>
        <v>5667.56</v>
      </c>
      <c r="E3781" s="31">
        <f t="shared" si="292"/>
        <v>11.34</v>
      </c>
      <c r="F3781" s="32"/>
    </row>
    <row r="3782" spans="1:6" ht="12.75" customHeight="1">
      <c r="A3782" s="12" t="s">
        <v>1015</v>
      </c>
      <c r="B3782" s="30">
        <v>1</v>
      </c>
      <c r="C3782" s="24" t="s">
        <v>1017</v>
      </c>
      <c r="D3782" s="35">
        <f>D3774</f>
        <v>11.93</v>
      </c>
      <c r="E3782" s="31">
        <f t="shared" si="292"/>
        <v>11.93</v>
      </c>
      <c r="F3782" s="32"/>
    </row>
    <row r="3783" spans="1:6" ht="12.75" customHeight="1">
      <c r="A3783" s="12" t="s">
        <v>674</v>
      </c>
      <c r="B3783" s="30">
        <v>1</v>
      </c>
      <c r="C3783" s="24" t="s">
        <v>1171</v>
      </c>
      <c r="D3783" s="35">
        <f>Prec.!$D$497</f>
        <v>0</v>
      </c>
      <c r="E3783" s="31">
        <f t="shared" si="292"/>
        <v>0</v>
      </c>
      <c r="F3783" s="32"/>
    </row>
    <row r="3784" spans="1:6" ht="12.75" customHeight="1">
      <c r="A3784" s="12" t="s">
        <v>208</v>
      </c>
      <c r="B3784" s="14">
        <f>SUM(E3779:E3783)</f>
        <v>123.27000000000001</v>
      </c>
      <c r="C3784" s="24" t="s">
        <v>209</v>
      </c>
      <c r="D3784" s="35">
        <v>0.02</v>
      </c>
      <c r="E3784" s="31">
        <f t="shared" si="292"/>
        <v>2.4700000000000002</v>
      </c>
      <c r="F3784" s="32">
        <f>SUM(E3779:E3784)</f>
        <v>125.74000000000001</v>
      </c>
    </row>
    <row r="3785" spans="1:6" ht="12.75" customHeight="1">
      <c r="A3785" s="12"/>
      <c r="B3785" s="14"/>
      <c r="C3785" s="24"/>
      <c r="D3785" s="35"/>
      <c r="E3785" s="31"/>
      <c r="F3785" s="32"/>
    </row>
    <row r="3786" spans="1:6" ht="12.75" customHeight="1">
      <c r="A3786" s="698" t="s">
        <v>445</v>
      </c>
      <c r="B3786" s="706"/>
      <c r="C3786" s="707"/>
      <c r="D3786" s="708"/>
      <c r="E3786" s="709" t="s">
        <v>151</v>
      </c>
      <c r="F3786" s="710" t="s">
        <v>1171</v>
      </c>
    </row>
    <row r="3787" spans="1:6" ht="12.75" customHeight="1">
      <c r="A3787" s="704" t="s">
        <v>748</v>
      </c>
      <c r="B3787" s="705">
        <v>1.05</v>
      </c>
      <c r="C3787" s="700" t="s">
        <v>1171</v>
      </c>
      <c r="D3787" s="708">
        <f>Prec.!C141</f>
        <v>78.3</v>
      </c>
      <c r="E3787" s="702">
        <f t="shared" ref="E3787:E3792" si="293">ROUND(B3787*D3787,2)</f>
        <v>82.22</v>
      </c>
      <c r="F3787" s="703"/>
    </row>
    <row r="3788" spans="1:6" ht="12.75" customHeight="1">
      <c r="A3788" s="704" t="s">
        <v>673</v>
      </c>
      <c r="B3788" s="705">
        <v>2.1999999999999999E-2</v>
      </c>
      <c r="C3788" s="700" t="s">
        <v>1172</v>
      </c>
      <c r="D3788" s="708">
        <f>Prec.!$C$8</f>
        <v>250</v>
      </c>
      <c r="E3788" s="702">
        <f t="shared" si="293"/>
        <v>5.5</v>
      </c>
      <c r="F3788" s="703"/>
    </row>
    <row r="3789" spans="1:6" ht="12.75" customHeight="1">
      <c r="A3789" s="704" t="s">
        <v>1174</v>
      </c>
      <c r="B3789" s="705">
        <v>2E-3</v>
      </c>
      <c r="C3789" s="700" t="s">
        <v>825</v>
      </c>
      <c r="D3789" s="708">
        <f>D3773</f>
        <v>5667.56</v>
      </c>
      <c r="E3789" s="702">
        <f t="shared" si="293"/>
        <v>11.34</v>
      </c>
      <c r="F3789" s="703"/>
    </row>
    <row r="3790" spans="1:6" ht="12.75" customHeight="1">
      <c r="A3790" s="704" t="s">
        <v>1015</v>
      </c>
      <c r="B3790" s="705">
        <v>1</v>
      </c>
      <c r="C3790" s="700" t="s">
        <v>1017</v>
      </c>
      <c r="D3790" s="708">
        <f>Prec.!D491</f>
        <v>11.93</v>
      </c>
      <c r="E3790" s="702">
        <f t="shared" si="293"/>
        <v>11.93</v>
      </c>
      <c r="F3790" s="703"/>
    </row>
    <row r="3791" spans="1:6" ht="12.75" customHeight="1">
      <c r="A3791" s="704" t="s">
        <v>674</v>
      </c>
      <c r="B3791" s="705">
        <v>1</v>
      </c>
      <c r="C3791" s="700" t="s">
        <v>1171</v>
      </c>
      <c r="D3791" s="708">
        <f>Prec.!C497</f>
        <v>108.15</v>
      </c>
      <c r="E3791" s="702">
        <f t="shared" si="293"/>
        <v>108.15</v>
      </c>
      <c r="F3791" s="703"/>
    </row>
    <row r="3792" spans="1:6" ht="12.75" customHeight="1">
      <c r="A3792" s="704" t="s">
        <v>208</v>
      </c>
      <c r="B3792" s="711">
        <f>SUM(E3787:E3791)</f>
        <v>219.14000000000001</v>
      </c>
      <c r="C3792" s="700" t="s">
        <v>209</v>
      </c>
      <c r="D3792" s="708">
        <f>D3784</f>
        <v>0.02</v>
      </c>
      <c r="E3792" s="702">
        <f t="shared" si="293"/>
        <v>4.38</v>
      </c>
      <c r="F3792" s="703">
        <f>SUM(E3787:E3792)</f>
        <v>223.52</v>
      </c>
    </row>
    <row r="3793" spans="1:6" ht="12.75" customHeight="1">
      <c r="A3793" s="12"/>
      <c r="B3793" s="14"/>
      <c r="C3793" s="24"/>
      <c r="D3793" s="35"/>
      <c r="E3793" s="31"/>
      <c r="F3793" s="32"/>
    </row>
    <row r="3794" spans="1:6" ht="12.75" customHeight="1">
      <c r="A3794" s="13" t="s">
        <v>446</v>
      </c>
      <c r="B3794" s="42"/>
      <c r="C3794" s="29"/>
      <c r="D3794" s="35"/>
      <c r="E3794" s="43" t="s">
        <v>151</v>
      </c>
      <c r="F3794" s="44" t="s">
        <v>1171</v>
      </c>
    </row>
    <row r="3795" spans="1:6" ht="12.75" customHeight="1">
      <c r="A3795" s="12" t="s">
        <v>749</v>
      </c>
      <c r="B3795" s="30">
        <v>1.05</v>
      </c>
      <c r="C3795" s="24" t="s">
        <v>1171</v>
      </c>
      <c r="D3795" s="35">
        <f>Prec.!C142</f>
        <v>58</v>
      </c>
      <c r="E3795" s="31">
        <f t="shared" ref="E3795:E3800" si="294">ROUND(B3795*D3795,2)</f>
        <v>60.9</v>
      </c>
      <c r="F3795" s="32"/>
    </row>
    <row r="3796" spans="1:6" ht="12.75" customHeight="1">
      <c r="A3796" s="12" t="s">
        <v>622</v>
      </c>
      <c r="B3796" s="30">
        <v>2.1999999999999999E-2</v>
      </c>
      <c r="C3796" s="24" t="s">
        <v>1172</v>
      </c>
      <c r="D3796" s="35">
        <f>Prec.!$C$7</f>
        <v>250</v>
      </c>
      <c r="E3796" s="31">
        <f t="shared" si="294"/>
        <v>5.5</v>
      </c>
      <c r="F3796" s="32"/>
    </row>
    <row r="3797" spans="1:6" ht="12.75" customHeight="1">
      <c r="A3797" s="12" t="s">
        <v>1174</v>
      </c>
      <c r="B3797" s="30">
        <v>2E-3</v>
      </c>
      <c r="C3797" s="24" t="s">
        <v>825</v>
      </c>
      <c r="D3797" s="35">
        <f>D3773</f>
        <v>5667.56</v>
      </c>
      <c r="E3797" s="31">
        <f t="shared" si="294"/>
        <v>11.34</v>
      </c>
      <c r="F3797" s="32"/>
    </row>
    <row r="3798" spans="1:6" ht="12.75" customHeight="1">
      <c r="A3798" s="12" t="s">
        <v>1015</v>
      </c>
      <c r="B3798" s="30">
        <v>1</v>
      </c>
      <c r="C3798" s="24" t="s">
        <v>1017</v>
      </c>
      <c r="D3798" s="35">
        <f>D3790</f>
        <v>11.93</v>
      </c>
      <c r="E3798" s="31">
        <f t="shared" si="294"/>
        <v>11.93</v>
      </c>
      <c r="F3798" s="32"/>
    </row>
    <row r="3799" spans="1:6" ht="12.75" customHeight="1">
      <c r="A3799" s="12" t="s">
        <v>674</v>
      </c>
      <c r="B3799" s="30">
        <v>1</v>
      </c>
      <c r="C3799" s="24" t="s">
        <v>1171</v>
      </c>
      <c r="D3799" s="35">
        <f>Prec.!$D$497</f>
        <v>0</v>
      </c>
      <c r="E3799" s="31">
        <f t="shared" si="294"/>
        <v>0</v>
      </c>
      <c r="F3799" s="32"/>
    </row>
    <row r="3800" spans="1:6" ht="12.75" customHeight="1">
      <c r="A3800" s="12" t="s">
        <v>208</v>
      </c>
      <c r="B3800" s="14">
        <f>SUM(E3795:E3799)</f>
        <v>89.670000000000016</v>
      </c>
      <c r="C3800" s="24" t="s">
        <v>209</v>
      </c>
      <c r="D3800" s="35">
        <f>D3784</f>
        <v>0.02</v>
      </c>
      <c r="E3800" s="31">
        <f t="shared" si="294"/>
        <v>1.79</v>
      </c>
      <c r="F3800" s="32">
        <f>SUM(E3795:E3800)</f>
        <v>91.460000000000022</v>
      </c>
    </row>
    <row r="3801" spans="1:6" ht="12.75" customHeight="1">
      <c r="A3801" s="12"/>
      <c r="B3801" s="14"/>
      <c r="C3801" s="24"/>
      <c r="D3801" s="35"/>
      <c r="E3801" s="31"/>
      <c r="F3801" s="32"/>
    </row>
    <row r="3802" spans="1:6" ht="12.75" customHeight="1">
      <c r="A3802" s="13" t="s">
        <v>821</v>
      </c>
      <c r="B3802" s="42"/>
      <c r="C3802" s="29"/>
      <c r="D3802" s="35"/>
      <c r="E3802" s="43" t="s">
        <v>151</v>
      </c>
      <c r="F3802" s="44" t="s">
        <v>1171</v>
      </c>
    </row>
    <row r="3803" spans="1:6" ht="12.75" customHeight="1">
      <c r="A3803" s="12" t="s">
        <v>818</v>
      </c>
      <c r="B3803" s="30">
        <v>1.05</v>
      </c>
      <c r="C3803" s="24" t="s">
        <v>1017</v>
      </c>
      <c r="D3803" s="35">
        <f>Prec.!C113</f>
        <v>32.14</v>
      </c>
      <c r="E3803" s="31">
        <f t="shared" ref="E3803:E3808" si="295">ROUND(B3803*D3803,2)</f>
        <v>33.75</v>
      </c>
      <c r="F3803" s="32"/>
    </row>
    <row r="3804" spans="1:6" ht="12.75" customHeight="1">
      <c r="A3804" s="12" t="s">
        <v>673</v>
      </c>
      <c r="B3804" s="30">
        <v>7.0000000000000001E-3</v>
      </c>
      <c r="C3804" s="24" t="s">
        <v>1172</v>
      </c>
      <c r="D3804" s="35">
        <f>Prec.!$C$8</f>
        <v>250</v>
      </c>
      <c r="E3804" s="31">
        <f t="shared" si="295"/>
        <v>1.75</v>
      </c>
      <c r="F3804" s="32"/>
    </row>
    <row r="3805" spans="1:6" ht="12.75" customHeight="1">
      <c r="A3805" s="12" t="s">
        <v>1174</v>
      </c>
      <c r="B3805" s="30">
        <v>1E-3</v>
      </c>
      <c r="C3805" s="24" t="s">
        <v>825</v>
      </c>
      <c r="D3805" s="35">
        <f>D3781</f>
        <v>5667.56</v>
      </c>
      <c r="E3805" s="31">
        <f t="shared" si="295"/>
        <v>5.67</v>
      </c>
      <c r="F3805" s="32"/>
    </row>
    <row r="3806" spans="1:6" ht="12.75" customHeight="1">
      <c r="A3806" s="12" t="s">
        <v>443</v>
      </c>
      <c r="B3806" s="30">
        <v>4</v>
      </c>
      <c r="C3806" s="24" t="s">
        <v>1017</v>
      </c>
      <c r="D3806" s="35">
        <f>Prec.!D490</f>
        <v>11.93</v>
      </c>
      <c r="E3806" s="31">
        <f t="shared" si="295"/>
        <v>47.72</v>
      </c>
      <c r="F3806" s="32"/>
    </row>
    <row r="3807" spans="1:6" ht="12.75" customHeight="1">
      <c r="A3807" s="12" t="s">
        <v>674</v>
      </c>
      <c r="B3807" s="30">
        <v>1</v>
      </c>
      <c r="C3807" s="24" t="s">
        <v>1171</v>
      </c>
      <c r="D3807" s="35">
        <f>Prec.!$D$498</f>
        <v>0</v>
      </c>
      <c r="E3807" s="31">
        <f t="shared" si="295"/>
        <v>0</v>
      </c>
      <c r="F3807" s="32"/>
    </row>
    <row r="3808" spans="1:6" ht="12.75" customHeight="1">
      <c r="A3808" s="12" t="s">
        <v>208</v>
      </c>
      <c r="B3808" s="14">
        <f>SUM(E3803:E3807)</f>
        <v>88.89</v>
      </c>
      <c r="C3808" s="24" t="s">
        <v>209</v>
      </c>
      <c r="D3808" s="35">
        <f>Prec.!C302</f>
        <v>1.4999999999999999E-2</v>
      </c>
      <c r="E3808" s="31">
        <f t="shared" si="295"/>
        <v>1.33</v>
      </c>
      <c r="F3808" s="32">
        <f>SUM(E3803:E3808)</f>
        <v>90.22</v>
      </c>
    </row>
    <row r="3809" spans="1:13" ht="12.75" customHeight="1">
      <c r="A3809" s="12"/>
      <c r="B3809" s="14"/>
      <c r="C3809" s="24"/>
      <c r="D3809" s="35"/>
      <c r="E3809" s="31"/>
      <c r="F3809" s="32"/>
    </row>
    <row r="3810" spans="1:13" ht="12.75" customHeight="1">
      <c r="A3810" s="1586" t="s">
        <v>353</v>
      </c>
      <c r="B3810" s="1587"/>
      <c r="C3810" s="1588"/>
      <c r="D3810" s="1589"/>
      <c r="E3810" s="1590" t="s">
        <v>151</v>
      </c>
      <c r="F3810" s="1591" t="s">
        <v>1171</v>
      </c>
    </row>
    <row r="3811" spans="1:13" ht="12.75" customHeight="1">
      <c r="A3811" s="1592" t="s">
        <v>819</v>
      </c>
      <c r="B3811" s="1593">
        <v>1.05</v>
      </c>
      <c r="C3811" s="1594" t="s">
        <v>1017</v>
      </c>
      <c r="D3811" s="1589">
        <f>Prec.!C118</f>
        <v>67.540000000000006</v>
      </c>
      <c r="E3811" s="1595">
        <f t="shared" ref="E3811:E3816" si="296">ROUND(B3811*D3811,2)</f>
        <v>70.92</v>
      </c>
      <c r="F3811" s="1596"/>
    </row>
    <row r="3812" spans="1:13" ht="12.75" customHeight="1">
      <c r="A3812" s="1592" t="s">
        <v>673</v>
      </c>
      <c r="B3812" s="1593">
        <v>7.0000000000000001E-3</v>
      </c>
      <c r="C3812" s="1594" t="s">
        <v>1172</v>
      </c>
      <c r="D3812" s="1589">
        <f>Prec.!$C$8</f>
        <v>250</v>
      </c>
      <c r="E3812" s="1595">
        <f t="shared" si="296"/>
        <v>1.75</v>
      </c>
      <c r="F3812" s="1596"/>
    </row>
    <row r="3813" spans="1:13" ht="12.75" customHeight="1">
      <c r="A3813" s="1592" t="s">
        <v>1174</v>
      </c>
      <c r="B3813" s="1593">
        <v>1E-3</v>
      </c>
      <c r="C3813" s="1594" t="s">
        <v>825</v>
      </c>
      <c r="D3813" s="1589">
        <f>D3789</f>
        <v>5667.56</v>
      </c>
      <c r="E3813" s="1595">
        <f t="shared" si="296"/>
        <v>5.67</v>
      </c>
      <c r="F3813" s="1596"/>
    </row>
    <row r="3814" spans="1:13" ht="12.75" customHeight="1">
      <c r="A3814" s="1592" t="s">
        <v>443</v>
      </c>
      <c r="B3814" s="1593">
        <v>4</v>
      </c>
      <c r="C3814" s="1594" t="s">
        <v>1017</v>
      </c>
      <c r="D3814" s="1589">
        <f>D3806</f>
        <v>11.93</v>
      </c>
      <c r="E3814" s="1595">
        <f t="shared" si="296"/>
        <v>47.72</v>
      </c>
      <c r="F3814" s="1596"/>
    </row>
    <row r="3815" spans="1:13" ht="12.75" customHeight="1">
      <c r="A3815" s="1592" t="s">
        <v>674</v>
      </c>
      <c r="B3815" s="1593">
        <v>1</v>
      </c>
      <c r="C3815" s="1594" t="s">
        <v>1171</v>
      </c>
      <c r="D3815" s="1589">
        <f>Prec.!C498</f>
        <v>83.5</v>
      </c>
      <c r="E3815" s="1595">
        <f t="shared" si="296"/>
        <v>83.5</v>
      </c>
      <c r="F3815" s="1596"/>
    </row>
    <row r="3816" spans="1:13" ht="12.75" customHeight="1">
      <c r="A3816" s="1592" t="s">
        <v>208</v>
      </c>
      <c r="B3816" s="1597">
        <f>SUM(E3811:E3815)</f>
        <v>209.56</v>
      </c>
      <c r="C3816" s="1594" t="s">
        <v>209</v>
      </c>
      <c r="D3816" s="1589">
        <f>Prec.!C302</f>
        <v>1.4999999999999999E-2</v>
      </c>
      <c r="E3816" s="1595">
        <f t="shared" si="296"/>
        <v>3.14</v>
      </c>
      <c r="F3816" s="1596">
        <f>SUM(E3811:E3816)</f>
        <v>212.7</v>
      </c>
    </row>
    <row r="3817" spans="1:13" ht="12.75" customHeight="1">
      <c r="A3817" s="12"/>
      <c r="B3817" s="14"/>
      <c r="C3817" s="24"/>
      <c r="D3817" s="35"/>
      <c r="E3817" s="31"/>
      <c r="F3817" s="32"/>
    </row>
    <row r="3818" spans="1:13" s="166" customFormat="1" ht="12.75" customHeight="1">
      <c r="A3818" s="513" t="s">
        <v>4168</v>
      </c>
      <c r="B3818" s="505"/>
      <c r="C3818" s="506"/>
      <c r="D3818" s="507"/>
      <c r="E3818" s="514" t="s">
        <v>151</v>
      </c>
      <c r="F3818" s="515" t="s">
        <v>1171</v>
      </c>
      <c r="G3818" s="15"/>
      <c r="H3818" s="21"/>
      <c r="I3818" s="15"/>
      <c r="J3818" s="15"/>
      <c r="K3818" s="15"/>
      <c r="L3818" s="21"/>
      <c r="M3818" s="15"/>
    </row>
    <row r="3819" spans="1:13" s="166" customFormat="1" ht="12.75" customHeight="1">
      <c r="A3819" s="512" t="s">
        <v>4167</v>
      </c>
      <c r="B3819" s="510">
        <v>1.05</v>
      </c>
      <c r="C3819" s="511" t="s">
        <v>1017</v>
      </c>
      <c r="D3819" s="507">
        <v>80</v>
      </c>
      <c r="E3819" s="508">
        <f t="shared" ref="E3819:E3824" si="297">ROUND(B3819*D3819,2)</f>
        <v>84</v>
      </c>
      <c r="F3819" s="509"/>
      <c r="G3819" s="15"/>
      <c r="H3819" s="21"/>
      <c r="I3819" s="15"/>
      <c r="J3819" s="15"/>
      <c r="K3819" s="15"/>
      <c r="L3819" s="21"/>
      <c r="M3819" s="15"/>
    </row>
    <row r="3820" spans="1:13" s="166" customFormat="1" ht="12.75" customHeight="1">
      <c r="A3820" s="512" t="s">
        <v>673</v>
      </c>
      <c r="B3820" s="510">
        <v>7.0000000000000001E-3</v>
      </c>
      <c r="C3820" s="511" t="s">
        <v>1172</v>
      </c>
      <c r="D3820" s="507">
        <f t="shared" ref="D3820:D3822" si="298">D3812</f>
        <v>250</v>
      </c>
      <c r="E3820" s="508">
        <f t="shared" si="297"/>
        <v>1.75</v>
      </c>
      <c r="F3820" s="509"/>
      <c r="G3820" s="15"/>
      <c r="H3820" s="21"/>
      <c r="I3820" s="15"/>
      <c r="J3820" s="15"/>
      <c r="K3820" s="15"/>
      <c r="L3820" s="21"/>
      <c r="M3820" s="15"/>
    </row>
    <row r="3821" spans="1:13" s="166" customFormat="1" ht="12.75" customHeight="1">
      <c r="A3821" s="512" t="s">
        <v>1174</v>
      </c>
      <c r="B3821" s="510">
        <v>1E-3</v>
      </c>
      <c r="C3821" s="511" t="s">
        <v>825</v>
      </c>
      <c r="D3821" s="507">
        <f t="shared" si="298"/>
        <v>5667.56</v>
      </c>
      <c r="E3821" s="508">
        <f t="shared" si="297"/>
        <v>5.67</v>
      </c>
      <c r="F3821" s="509"/>
      <c r="G3821" s="15"/>
      <c r="H3821" s="21"/>
      <c r="I3821" s="15"/>
      <c r="J3821" s="15"/>
      <c r="K3821" s="15"/>
      <c r="L3821" s="21"/>
      <c r="M3821" s="15"/>
    </row>
    <row r="3822" spans="1:13" s="166" customFormat="1" ht="12.75" customHeight="1">
      <c r="A3822" s="512" t="s">
        <v>443</v>
      </c>
      <c r="B3822" s="510">
        <v>4</v>
      </c>
      <c r="C3822" s="511" t="s">
        <v>1017</v>
      </c>
      <c r="D3822" s="507">
        <f t="shared" si="298"/>
        <v>11.93</v>
      </c>
      <c r="E3822" s="508">
        <f t="shared" si="297"/>
        <v>47.72</v>
      </c>
      <c r="F3822" s="509"/>
      <c r="G3822" s="15"/>
      <c r="H3822" s="21"/>
      <c r="I3822" s="15"/>
      <c r="J3822" s="15"/>
      <c r="K3822" s="15"/>
      <c r="L3822" s="21"/>
      <c r="M3822" s="15"/>
    </row>
    <row r="3823" spans="1:13" s="166" customFormat="1" ht="12.75" customHeight="1">
      <c r="A3823" s="512" t="s">
        <v>674</v>
      </c>
      <c r="B3823" s="510">
        <v>1</v>
      </c>
      <c r="C3823" s="511" t="s">
        <v>1171</v>
      </c>
      <c r="D3823" s="507">
        <f>Prec.!C498</f>
        <v>83.5</v>
      </c>
      <c r="E3823" s="508">
        <f t="shared" si="297"/>
        <v>83.5</v>
      </c>
      <c r="F3823" s="509"/>
      <c r="G3823" s="15"/>
      <c r="H3823" s="21"/>
      <c r="I3823" s="15"/>
      <c r="J3823" s="15"/>
      <c r="K3823" s="15"/>
      <c r="L3823" s="21"/>
      <c r="M3823" s="15"/>
    </row>
    <row r="3824" spans="1:13" s="166" customFormat="1" ht="12.75" customHeight="1">
      <c r="A3824" s="512" t="s">
        <v>208</v>
      </c>
      <c r="B3824" s="516">
        <f>SUM(E3819:E3821)</f>
        <v>91.42</v>
      </c>
      <c r="C3824" s="511" t="s">
        <v>209</v>
      </c>
      <c r="D3824" s="507">
        <v>0.02</v>
      </c>
      <c r="E3824" s="508">
        <f t="shared" si="297"/>
        <v>1.83</v>
      </c>
      <c r="F3824" s="509">
        <f>SUM(E3819:E3824)</f>
        <v>224.47</v>
      </c>
      <c r="G3824" s="15"/>
      <c r="H3824" s="21"/>
      <c r="I3824" s="15"/>
      <c r="J3824" s="15"/>
      <c r="K3824" s="15"/>
      <c r="L3824" s="21"/>
      <c r="M3824" s="15"/>
    </row>
    <row r="3825" spans="1:13" s="166" customFormat="1" ht="12.75" customHeight="1">
      <c r="A3825" s="12"/>
      <c r="B3825" s="14"/>
      <c r="C3825" s="24"/>
      <c r="D3825" s="35"/>
      <c r="E3825" s="31"/>
      <c r="F3825" s="32"/>
      <c r="G3825" s="15"/>
      <c r="H3825" s="21"/>
      <c r="I3825" s="15"/>
      <c r="J3825" s="15"/>
      <c r="K3825" s="15"/>
      <c r="L3825" s="21"/>
      <c r="M3825" s="15"/>
    </row>
    <row r="3826" spans="1:13" s="166" customFormat="1" ht="12.75" customHeight="1">
      <c r="A3826" s="12"/>
      <c r="B3826" s="14"/>
      <c r="C3826" s="24"/>
      <c r="D3826" s="35"/>
      <c r="E3826" s="31"/>
      <c r="F3826" s="32"/>
      <c r="G3826" s="15"/>
      <c r="H3826" s="21"/>
      <c r="I3826" s="15"/>
      <c r="J3826" s="15"/>
      <c r="K3826" s="15"/>
      <c r="L3826" s="21"/>
      <c r="M3826" s="15"/>
    </row>
    <row r="3827" spans="1:13" s="166" customFormat="1" ht="12.75" customHeight="1">
      <c r="A3827" s="12"/>
      <c r="B3827" s="14"/>
      <c r="C3827" s="24"/>
      <c r="D3827" s="35"/>
      <c r="E3827" s="31"/>
      <c r="F3827" s="32"/>
      <c r="G3827" s="15"/>
      <c r="H3827" s="21"/>
      <c r="I3827" s="15"/>
      <c r="J3827" s="15"/>
      <c r="K3827" s="15"/>
      <c r="L3827" s="21"/>
      <c r="M3827" s="15"/>
    </row>
    <row r="3828" spans="1:13" ht="12.75" customHeight="1">
      <c r="A3828" s="13" t="s">
        <v>1149</v>
      </c>
      <c r="B3828" s="42"/>
      <c r="C3828" s="29"/>
      <c r="D3828" s="35"/>
      <c r="E3828" s="43" t="s">
        <v>151</v>
      </c>
      <c r="F3828" s="44" t="s">
        <v>1171</v>
      </c>
    </row>
    <row r="3829" spans="1:13" ht="12.75" customHeight="1">
      <c r="A3829" s="12" t="s">
        <v>820</v>
      </c>
      <c r="B3829" s="30">
        <v>1.05</v>
      </c>
      <c r="C3829" s="24" t="s">
        <v>1171</v>
      </c>
      <c r="D3829" s="35">
        <f>Prec.!C143</f>
        <v>348</v>
      </c>
      <c r="E3829" s="31">
        <f t="shared" ref="E3829:E3834" si="299">ROUND(B3829*D3829,2)</f>
        <v>365.4</v>
      </c>
      <c r="F3829" s="32"/>
    </row>
    <row r="3830" spans="1:13" ht="12.75" customHeight="1">
      <c r="A3830" s="12" t="s">
        <v>673</v>
      </c>
      <c r="B3830" s="30">
        <v>2.1999999999999999E-2</v>
      </c>
      <c r="C3830" s="24" t="s">
        <v>1172</v>
      </c>
      <c r="D3830" s="35">
        <f>Prec.!$C$8</f>
        <v>250</v>
      </c>
      <c r="E3830" s="31">
        <f t="shared" si="299"/>
        <v>5.5</v>
      </c>
      <c r="F3830" s="32"/>
    </row>
    <row r="3831" spans="1:13" ht="12.75" customHeight="1">
      <c r="A3831" s="12" t="s">
        <v>1174</v>
      </c>
      <c r="B3831" s="30">
        <v>1E-3</v>
      </c>
      <c r="C3831" s="24" t="s">
        <v>825</v>
      </c>
      <c r="D3831" s="35">
        <f>horm.ymez.!C9</f>
        <v>5667.56</v>
      </c>
      <c r="E3831" s="31">
        <f t="shared" si="299"/>
        <v>5.67</v>
      </c>
      <c r="F3831" s="32"/>
    </row>
    <row r="3832" spans="1:13" ht="12.75" customHeight="1">
      <c r="A3832" s="12" t="s">
        <v>444</v>
      </c>
      <c r="B3832" s="30">
        <v>1</v>
      </c>
      <c r="C3832" s="24" t="s">
        <v>1017</v>
      </c>
      <c r="D3832" s="35">
        <f>Prec.!D491</f>
        <v>11.93</v>
      </c>
      <c r="E3832" s="31">
        <f t="shared" si="299"/>
        <v>11.93</v>
      </c>
      <c r="F3832" s="32"/>
    </row>
    <row r="3833" spans="1:13" ht="12.75" customHeight="1">
      <c r="A3833" s="12" t="s">
        <v>674</v>
      </c>
      <c r="B3833" s="30">
        <v>1</v>
      </c>
      <c r="C3833" s="24" t="s">
        <v>1171</v>
      </c>
      <c r="D3833" s="35">
        <f>Prec.!D499</f>
        <v>93.25</v>
      </c>
      <c r="E3833" s="31">
        <f t="shared" si="299"/>
        <v>93.25</v>
      </c>
      <c r="F3833" s="32"/>
    </row>
    <row r="3834" spans="1:13" ht="12.75" customHeight="1">
      <c r="A3834" s="12" t="s">
        <v>208</v>
      </c>
      <c r="B3834" s="14">
        <f>SUM(E3829:E3833)</f>
        <v>481.75</v>
      </c>
      <c r="C3834" s="24" t="s">
        <v>209</v>
      </c>
      <c r="D3834" s="35">
        <f>Prec.!C302</f>
        <v>1.4999999999999999E-2</v>
      </c>
      <c r="E3834" s="31">
        <f t="shared" si="299"/>
        <v>7.23</v>
      </c>
      <c r="F3834" s="32">
        <f>SUM(E3829:E3834)</f>
        <v>488.98</v>
      </c>
    </row>
    <row r="3835" spans="1:13" ht="12.75" customHeight="1">
      <c r="A3835" s="12"/>
      <c r="B3835" s="14"/>
      <c r="C3835" s="24"/>
      <c r="D3835" s="35"/>
      <c r="E3835" s="31"/>
      <c r="F3835" s="32"/>
    </row>
    <row r="3836" spans="1:13" ht="12.75" customHeight="1">
      <c r="A3836" s="545" t="s">
        <v>1160</v>
      </c>
      <c r="B3836" s="555"/>
      <c r="C3836" s="556"/>
      <c r="D3836" s="548"/>
      <c r="E3836" s="549" t="s">
        <v>151</v>
      </c>
      <c r="F3836" s="550" t="s">
        <v>1171</v>
      </c>
    </row>
    <row r="3837" spans="1:13" ht="12.75" customHeight="1">
      <c r="A3837" s="551" t="s">
        <v>427</v>
      </c>
      <c r="B3837" s="546">
        <v>8.0000000000000002E-3</v>
      </c>
      <c r="C3837" s="547" t="s">
        <v>825</v>
      </c>
      <c r="D3837" s="548">
        <f>horm.ymez.!C8</f>
        <v>6653.49</v>
      </c>
      <c r="E3837" s="552">
        <f>ROUND(B3837*D3837,2)</f>
        <v>53.23</v>
      </c>
      <c r="F3837" s="553"/>
    </row>
    <row r="3838" spans="1:13" ht="12.75" customHeight="1">
      <c r="A3838" s="551" t="s">
        <v>1168</v>
      </c>
      <c r="B3838" s="546">
        <v>1</v>
      </c>
      <c r="C3838" s="547" t="s">
        <v>1171</v>
      </c>
      <c r="D3838" s="548">
        <f>Prec.!C486</f>
        <v>48.5</v>
      </c>
      <c r="E3838" s="552">
        <f>ROUND(B3838*D3838,2)</f>
        <v>48.5</v>
      </c>
      <c r="F3838" s="553"/>
    </row>
    <row r="3839" spans="1:13" ht="12.75" customHeight="1">
      <c r="A3839" s="551" t="s">
        <v>208</v>
      </c>
      <c r="B3839" s="554">
        <f>SUM(E3837)</f>
        <v>53.23</v>
      </c>
      <c r="C3839" s="547" t="s">
        <v>209</v>
      </c>
      <c r="D3839" s="548">
        <v>0.02</v>
      </c>
      <c r="E3839" s="552">
        <f>ROUND(B3839*D3839,2)</f>
        <v>1.06</v>
      </c>
      <c r="F3839" s="553">
        <f>SUM(E3837:E3839)</f>
        <v>102.78999999999999</v>
      </c>
    </row>
    <row r="3840" spans="1:13" ht="12.75" customHeight="1">
      <c r="A3840" s="12"/>
      <c r="B3840" s="14"/>
      <c r="C3840" s="24"/>
      <c r="D3840" s="35"/>
      <c r="E3840" s="31"/>
      <c r="F3840" s="32"/>
    </row>
    <row r="3841" spans="1:6" ht="12.75" customHeight="1">
      <c r="A3841" s="13" t="s">
        <v>1219</v>
      </c>
      <c r="B3841" s="14"/>
      <c r="C3841" s="24"/>
      <c r="D3841" s="35"/>
      <c r="E3841" s="31"/>
      <c r="F3841" s="32"/>
    </row>
    <row r="3842" spans="1:6" ht="12.75" customHeight="1">
      <c r="A3842" s="12" t="s">
        <v>1216</v>
      </c>
      <c r="B3842" s="30">
        <v>1</v>
      </c>
      <c r="C3842" s="24" t="s">
        <v>1171</v>
      </c>
      <c r="D3842" s="35">
        <f>Prec.!C140</f>
        <v>90</v>
      </c>
      <c r="E3842" s="31">
        <f>ROUND(B3842*D3842,2)</f>
        <v>90</v>
      </c>
      <c r="F3842" s="32"/>
    </row>
    <row r="3843" spans="1:6" ht="12.75" customHeight="1">
      <c r="A3843" s="12" t="s">
        <v>796</v>
      </c>
      <c r="B3843" s="30">
        <v>7.0000000000000001E-3</v>
      </c>
      <c r="C3843" s="24" t="s">
        <v>755</v>
      </c>
      <c r="D3843" s="35">
        <f>Prec.!C7</f>
        <v>250</v>
      </c>
      <c r="E3843" s="31">
        <f>ROUND(B3843*D3843,2)</f>
        <v>1.75</v>
      </c>
      <c r="F3843" s="32"/>
    </row>
    <row r="3844" spans="1:6" ht="12.75" customHeight="1">
      <c r="A3844" s="12" t="s">
        <v>1174</v>
      </c>
      <c r="B3844" s="30">
        <v>4.0000000000000001E-3</v>
      </c>
      <c r="C3844" s="24" t="s">
        <v>825</v>
      </c>
      <c r="D3844" s="35">
        <f>horm.ymez.!C9</f>
        <v>5667.56</v>
      </c>
      <c r="E3844" s="31">
        <f>ROUND(B3844*D3844,2)</f>
        <v>22.67</v>
      </c>
      <c r="F3844" s="32"/>
    </row>
    <row r="3845" spans="1:6" ht="12.75" customHeight="1">
      <c r="A3845" s="12" t="s">
        <v>1217</v>
      </c>
      <c r="B3845" s="30">
        <v>1</v>
      </c>
      <c r="C3845" s="24" t="s">
        <v>1171</v>
      </c>
      <c r="D3845" s="35">
        <f>Prec.!D467</f>
        <v>0</v>
      </c>
      <c r="E3845" s="31">
        <f>ROUND(B3845*D3845,2)</f>
        <v>0</v>
      </c>
      <c r="F3845" s="32"/>
    </row>
    <row r="3846" spans="1:6" ht="12.75" customHeight="1">
      <c r="A3846" s="12" t="s">
        <v>208</v>
      </c>
      <c r="B3846" s="30">
        <f>SUM(E3842:E3845)</f>
        <v>114.42</v>
      </c>
      <c r="C3846" s="24" t="s">
        <v>209</v>
      </c>
      <c r="D3846" s="35">
        <f>D3839</f>
        <v>0.02</v>
      </c>
      <c r="E3846" s="31">
        <f>ROUND(B3846*D3846,2)</f>
        <v>2.29</v>
      </c>
      <c r="F3846" s="32">
        <f>SUM(E3842:E3846)</f>
        <v>116.71000000000001</v>
      </c>
    </row>
    <row r="3847" spans="1:6" ht="12.75" customHeight="1">
      <c r="A3847" s="13"/>
      <c r="B3847" s="14"/>
      <c r="C3847" s="24"/>
      <c r="D3847" s="35"/>
      <c r="E3847" s="31"/>
      <c r="F3847" s="32"/>
    </row>
    <row r="3848" spans="1:6" ht="12.75" customHeight="1">
      <c r="A3848" s="13" t="s">
        <v>1220</v>
      </c>
      <c r="B3848" s="14"/>
      <c r="C3848" s="24"/>
      <c r="D3848" s="35"/>
      <c r="E3848" s="31"/>
      <c r="F3848" s="32"/>
    </row>
    <row r="3849" spans="1:6" ht="12.75" customHeight="1">
      <c r="A3849" s="12" t="s">
        <v>66</v>
      </c>
      <c r="B3849" s="30">
        <v>1</v>
      </c>
      <c r="C3849" s="24" t="s">
        <v>1171</v>
      </c>
      <c r="D3849" s="35">
        <f>Prec.!C139</f>
        <v>70.73</v>
      </c>
      <c r="E3849" s="31">
        <f>ROUND(B3849*D3849,2)</f>
        <v>70.73</v>
      </c>
      <c r="F3849" s="32"/>
    </row>
    <row r="3850" spans="1:6" ht="12.75" customHeight="1">
      <c r="A3850" s="12" t="s">
        <v>657</v>
      </c>
      <c r="B3850" s="30">
        <v>7.0000000000000001E-3</v>
      </c>
      <c r="C3850" s="24" t="s">
        <v>755</v>
      </c>
      <c r="D3850" s="35">
        <f>Prec.!C8</f>
        <v>250</v>
      </c>
      <c r="E3850" s="31">
        <f>ROUND(B3850*D3850,2)</f>
        <v>1.75</v>
      </c>
      <c r="F3850" s="32"/>
    </row>
    <row r="3851" spans="1:6" ht="12.75" customHeight="1">
      <c r="A3851" s="12" t="s">
        <v>1174</v>
      </c>
      <c r="B3851" s="30">
        <v>4.0000000000000001E-3</v>
      </c>
      <c r="C3851" s="24" t="s">
        <v>825</v>
      </c>
      <c r="D3851" s="35">
        <f>D3844</f>
        <v>5667.56</v>
      </c>
      <c r="E3851" s="31">
        <f>ROUND(B3851*D3851,2)</f>
        <v>22.67</v>
      </c>
      <c r="F3851" s="32"/>
    </row>
    <row r="3852" spans="1:6" ht="12.75" customHeight="1">
      <c r="A3852" s="12" t="s">
        <v>1217</v>
      </c>
      <c r="B3852" s="30">
        <v>1</v>
      </c>
      <c r="C3852" s="24" t="s">
        <v>1171</v>
      </c>
      <c r="D3852" s="35">
        <f>D3845</f>
        <v>0</v>
      </c>
      <c r="E3852" s="31">
        <f>ROUND(B3852*D3852,2)</f>
        <v>0</v>
      </c>
      <c r="F3852" s="32"/>
    </row>
    <row r="3853" spans="1:6" ht="12.75" customHeight="1">
      <c r="A3853" s="12" t="s">
        <v>208</v>
      </c>
      <c r="B3853" s="30">
        <f>SUM(E3849:E3852)</f>
        <v>95.15</v>
      </c>
      <c r="C3853" s="24" t="s">
        <v>209</v>
      </c>
      <c r="D3853" s="35">
        <f>D3846</f>
        <v>0.02</v>
      </c>
      <c r="E3853" s="31">
        <f>ROUND(B3853*D3853,2)</f>
        <v>1.9</v>
      </c>
      <c r="F3853" s="32">
        <f>SUM(E3849:E3853)</f>
        <v>97.050000000000011</v>
      </c>
    </row>
    <row r="3854" spans="1:6" ht="12.75" customHeight="1">
      <c r="A3854" s="12"/>
      <c r="B3854" s="30"/>
      <c r="C3854" s="24"/>
      <c r="D3854" s="35"/>
      <c r="E3854" s="31"/>
      <c r="F3854" s="32"/>
    </row>
    <row r="3855" spans="1:6" ht="12.75" customHeight="1">
      <c r="A3855" s="13" t="s">
        <v>67</v>
      </c>
      <c r="B3855" s="14"/>
      <c r="C3855" s="24"/>
      <c r="D3855" s="35"/>
      <c r="E3855" s="31"/>
      <c r="F3855" s="32"/>
    </row>
    <row r="3856" spans="1:6" ht="12.75" customHeight="1">
      <c r="A3856" s="12" t="s">
        <v>1216</v>
      </c>
      <c r="B3856" s="30">
        <v>1</v>
      </c>
      <c r="C3856" s="24" t="s">
        <v>1171</v>
      </c>
      <c r="D3856" s="35">
        <f>Prec.!C142</f>
        <v>58</v>
      </c>
      <c r="E3856" s="31">
        <f>ROUND(B3856*D3856,2)</f>
        <v>58</v>
      </c>
      <c r="F3856" s="32"/>
    </row>
    <row r="3857" spans="1:6" ht="12.75" customHeight="1">
      <c r="A3857" s="12" t="s">
        <v>796</v>
      </c>
      <c r="B3857" s="30">
        <v>7.0000000000000001E-3</v>
      </c>
      <c r="C3857" s="24" t="s">
        <v>755</v>
      </c>
      <c r="D3857" s="35">
        <f>D3843</f>
        <v>250</v>
      </c>
      <c r="E3857" s="31">
        <f>ROUND(B3857*D3857,2)</f>
        <v>1.75</v>
      </c>
      <c r="F3857" s="32"/>
    </row>
    <row r="3858" spans="1:6" ht="12.75" customHeight="1">
      <c r="A3858" s="12" t="s">
        <v>1174</v>
      </c>
      <c r="B3858" s="30">
        <v>4.0000000000000001E-3</v>
      </c>
      <c r="C3858" s="24" t="s">
        <v>825</v>
      </c>
      <c r="D3858" s="35">
        <f>D3844</f>
        <v>5667.56</v>
      </c>
      <c r="E3858" s="31">
        <f>ROUND(B3858*D3858,2)</f>
        <v>22.67</v>
      </c>
      <c r="F3858" s="32"/>
    </row>
    <row r="3859" spans="1:6" ht="12.75" customHeight="1">
      <c r="A3859" s="12" t="s">
        <v>1217</v>
      </c>
      <c r="B3859" s="30">
        <v>1</v>
      </c>
      <c r="C3859" s="24" t="s">
        <v>1171</v>
      </c>
      <c r="D3859" s="35">
        <f>D3845</f>
        <v>0</v>
      </c>
      <c r="E3859" s="31">
        <f>ROUND(B3859*D3859,2)</f>
        <v>0</v>
      </c>
      <c r="F3859" s="32"/>
    </row>
    <row r="3860" spans="1:6" ht="12.75" customHeight="1">
      <c r="A3860" s="12" t="s">
        <v>208</v>
      </c>
      <c r="B3860" s="30">
        <f>SUM(E3856:E3859)</f>
        <v>82.42</v>
      </c>
      <c r="C3860" s="24" t="s">
        <v>209</v>
      </c>
      <c r="D3860" s="35">
        <f>D3853</f>
        <v>0.02</v>
      </c>
      <c r="E3860" s="31">
        <f>ROUND(B3860*D3860,2)</f>
        <v>1.65</v>
      </c>
      <c r="F3860" s="32">
        <f>SUM(E3856:E3860)</f>
        <v>84.070000000000007</v>
      </c>
    </row>
    <row r="3861" spans="1:6" ht="12.75" customHeight="1">
      <c r="A3861" s="13"/>
      <c r="B3861" s="14"/>
      <c r="C3861" s="24"/>
      <c r="D3861" s="35"/>
      <c r="E3861" s="31"/>
      <c r="F3861" s="32"/>
    </row>
    <row r="3862" spans="1:6" ht="12.75" customHeight="1">
      <c r="A3862" s="13" t="s">
        <v>1129</v>
      </c>
      <c r="B3862" s="14"/>
      <c r="C3862" s="24"/>
      <c r="D3862" s="35"/>
      <c r="E3862" s="31"/>
      <c r="F3862" s="32"/>
    </row>
    <row r="3863" spans="1:6" ht="12.75" customHeight="1">
      <c r="A3863" s="12" t="s">
        <v>66</v>
      </c>
      <c r="B3863" s="30">
        <v>1</v>
      </c>
      <c r="C3863" s="24" t="s">
        <v>1171</v>
      </c>
      <c r="D3863" s="35">
        <f>Prec.!C141</f>
        <v>78.3</v>
      </c>
      <c r="E3863" s="31">
        <f>ROUND(B3863*D3863,2)</f>
        <v>78.3</v>
      </c>
      <c r="F3863" s="32"/>
    </row>
    <row r="3864" spans="1:6" ht="12.75" customHeight="1">
      <c r="A3864" s="12" t="s">
        <v>657</v>
      </c>
      <c r="B3864" s="30">
        <v>7.0000000000000001E-3</v>
      </c>
      <c r="C3864" s="24" t="s">
        <v>755</v>
      </c>
      <c r="D3864" s="35">
        <f>D3850</f>
        <v>250</v>
      </c>
      <c r="E3864" s="31">
        <f>ROUND(B3864*D3864,2)</f>
        <v>1.75</v>
      </c>
      <c r="F3864" s="32"/>
    </row>
    <row r="3865" spans="1:6" ht="12.75" customHeight="1">
      <c r="A3865" s="12" t="s">
        <v>1174</v>
      </c>
      <c r="B3865" s="30">
        <v>4.0000000000000001E-3</v>
      </c>
      <c r="C3865" s="24" t="s">
        <v>825</v>
      </c>
      <c r="D3865" s="35">
        <f>D3858</f>
        <v>5667.56</v>
      </c>
      <c r="E3865" s="31">
        <f>ROUND(B3865*D3865,2)</f>
        <v>22.67</v>
      </c>
      <c r="F3865" s="32"/>
    </row>
    <row r="3866" spans="1:6" ht="12.75" customHeight="1">
      <c r="A3866" s="12" t="s">
        <v>1217</v>
      </c>
      <c r="B3866" s="30">
        <v>1</v>
      </c>
      <c r="C3866" s="24" t="s">
        <v>1171</v>
      </c>
      <c r="D3866" s="35">
        <f>D3859</f>
        <v>0</v>
      </c>
      <c r="E3866" s="31">
        <f>ROUND(B3866*D3866,2)</f>
        <v>0</v>
      </c>
      <c r="F3866" s="32"/>
    </row>
    <row r="3867" spans="1:6" ht="12.75" customHeight="1">
      <c r="A3867" s="12" t="s">
        <v>208</v>
      </c>
      <c r="B3867" s="30">
        <f>SUM(E3863:E3866)</f>
        <v>102.72</v>
      </c>
      <c r="C3867" s="24" t="s">
        <v>209</v>
      </c>
      <c r="D3867" s="35">
        <f>D3860</f>
        <v>0.02</v>
      </c>
      <c r="E3867" s="31">
        <f>ROUND(B3867*D3867,2)</f>
        <v>2.0499999999999998</v>
      </c>
      <c r="F3867" s="32">
        <f>SUM(E3863:E3867)</f>
        <v>104.77</v>
      </c>
    </row>
    <row r="3868" spans="1:6" ht="12.75" customHeight="1">
      <c r="A3868" s="12"/>
      <c r="B3868" s="30"/>
      <c r="C3868" s="24"/>
      <c r="D3868" s="35"/>
      <c r="E3868" s="31"/>
      <c r="F3868" s="32"/>
    </row>
    <row r="3869" spans="1:6" ht="12.75" customHeight="1">
      <c r="A3869" s="13" t="s">
        <v>967</v>
      </c>
      <c r="B3869" s="14"/>
      <c r="C3869" s="24"/>
      <c r="D3869" s="35"/>
      <c r="E3869" s="31"/>
      <c r="F3869" s="32"/>
    </row>
    <row r="3870" spans="1:6" ht="12.75" customHeight="1">
      <c r="A3870" s="12" t="s">
        <v>427</v>
      </c>
      <c r="B3870" s="30">
        <v>3.0000000000000001E-3</v>
      </c>
      <c r="C3870" s="24" t="s">
        <v>1171</v>
      </c>
      <c r="D3870" s="35">
        <f>horm.ymez.!C8</f>
        <v>6653.49</v>
      </c>
      <c r="E3870" s="31">
        <f>ROUND(B3870*D3870,2)</f>
        <v>19.96</v>
      </c>
      <c r="F3870" s="32"/>
    </row>
    <row r="3871" spans="1:6" ht="12.75" customHeight="1">
      <c r="A3871" s="12" t="s">
        <v>793</v>
      </c>
      <c r="B3871" s="30">
        <v>0.01</v>
      </c>
      <c r="C3871" s="24" t="s">
        <v>755</v>
      </c>
      <c r="D3871" s="35">
        <f>horm.ymez.!C14</f>
        <v>5147.68</v>
      </c>
      <c r="E3871" s="31">
        <f>ROUND(B3871*D3871,2)</f>
        <v>51.48</v>
      </c>
      <c r="F3871" s="32"/>
    </row>
    <row r="3872" spans="1:6" ht="12.75" customHeight="1">
      <c r="A3872" s="12" t="s">
        <v>1217</v>
      </c>
      <c r="B3872" s="30">
        <v>1</v>
      </c>
      <c r="C3872" s="24" t="s">
        <v>1171</v>
      </c>
      <c r="D3872" s="35">
        <f>D3866</f>
        <v>0</v>
      </c>
      <c r="E3872" s="31">
        <f>ROUND(B3872*D3872,2)</f>
        <v>0</v>
      </c>
      <c r="F3872" s="32"/>
    </row>
    <row r="3873" spans="1:13" ht="12.75" customHeight="1">
      <c r="A3873" s="12" t="s">
        <v>208</v>
      </c>
      <c r="B3873" s="30">
        <f>SUM(E3870:E3872)</f>
        <v>71.44</v>
      </c>
      <c r="C3873" s="24" t="s">
        <v>209</v>
      </c>
      <c r="D3873" s="35">
        <f>D3867</f>
        <v>0.02</v>
      </c>
      <c r="E3873" s="31">
        <f>ROUND(B3873*D3873,2)</f>
        <v>1.43</v>
      </c>
      <c r="F3873" s="32">
        <f>SUM(E3870:E3873)</f>
        <v>72.87</v>
      </c>
    </row>
    <row r="3874" spans="1:13" ht="12.75" customHeight="1">
      <c r="A3874" s="12"/>
      <c r="B3874" s="30"/>
      <c r="C3874" s="24"/>
      <c r="D3874" s="35"/>
      <c r="E3874" s="31"/>
      <c r="F3874" s="32"/>
    </row>
    <row r="3875" spans="1:13" s="166" customFormat="1" ht="12.75" customHeight="1">
      <c r="A3875" s="12"/>
      <c r="B3875" s="30"/>
      <c r="C3875" s="24"/>
      <c r="D3875" s="35"/>
      <c r="E3875" s="31"/>
      <c r="F3875" s="32"/>
      <c r="G3875" s="15"/>
      <c r="H3875" s="21"/>
      <c r="I3875" s="15"/>
      <c r="J3875" s="15"/>
      <c r="K3875" s="15"/>
      <c r="L3875" s="21"/>
      <c r="M3875" s="15"/>
    </row>
    <row r="3876" spans="1:13" s="166" customFormat="1" ht="12.75" customHeight="1">
      <c r="B3876" s="8"/>
      <c r="C3876" s="165"/>
      <c r="D3876" s="37"/>
      <c r="E3876" s="25"/>
      <c r="F3876" s="26"/>
      <c r="G3876" s="15"/>
      <c r="H3876" s="21"/>
      <c r="I3876" s="15"/>
      <c r="J3876" s="15"/>
      <c r="K3876" s="15"/>
      <c r="L3876" s="21"/>
      <c r="M3876" s="15"/>
    </row>
    <row r="3877" spans="1:13" s="166" customFormat="1" ht="12.75" customHeight="1">
      <c r="B3877" s="8"/>
      <c r="C3877" s="165"/>
      <c r="D3877" s="37"/>
      <c r="E3877" s="25"/>
      <c r="F3877" s="26"/>
      <c r="G3877" s="15"/>
      <c r="H3877" s="21"/>
      <c r="I3877" s="15"/>
      <c r="J3877" s="15"/>
      <c r="K3877" s="15"/>
      <c r="L3877" s="21"/>
      <c r="M3877" s="15"/>
    </row>
    <row r="3878" spans="1:13" ht="12.75" customHeight="1">
      <c r="A3878" s="23" t="s">
        <v>989</v>
      </c>
      <c r="B3878" s="7"/>
    </row>
    <row r="3879" spans="1:13" ht="12.75" customHeight="1">
      <c r="A3879" s="2"/>
      <c r="B3879" s="7"/>
    </row>
    <row r="3880" spans="1:13" ht="12.75" customHeight="1">
      <c r="A3880" s="1" t="s">
        <v>447</v>
      </c>
      <c r="B3880" s="11"/>
      <c r="C3880" s="2"/>
      <c r="E3880" s="27" t="s">
        <v>151</v>
      </c>
      <c r="F3880" s="28" t="s">
        <v>213</v>
      </c>
    </row>
    <row r="3881" spans="1:13" ht="12.75" customHeight="1">
      <c r="A3881" s="4" t="s">
        <v>421</v>
      </c>
      <c r="B3881" s="8">
        <v>8.4000000000000005E-2</v>
      </c>
      <c r="C3881" s="6" t="s">
        <v>825</v>
      </c>
      <c r="D3881" s="37">
        <f>horm.ymez.!D14</f>
        <v>5373.880000000001</v>
      </c>
      <c r="E3881" s="25">
        <f>ROUND(B3881*D3881,2)</f>
        <v>451.41</v>
      </c>
    </row>
    <row r="3882" spans="1:13" ht="12.75" customHeight="1">
      <c r="A3882" s="4" t="s">
        <v>1168</v>
      </c>
      <c r="B3882" s="8">
        <v>1</v>
      </c>
      <c r="C3882" s="6" t="s">
        <v>213</v>
      </c>
      <c r="D3882" s="37">
        <f>D3536</f>
        <v>0</v>
      </c>
      <c r="E3882" s="25">
        <f>ROUND(B3882*D3882,2)</f>
        <v>0</v>
      </c>
    </row>
    <row r="3883" spans="1:13" ht="12.75" customHeight="1">
      <c r="A3883" s="4" t="s">
        <v>208</v>
      </c>
      <c r="B3883" s="7">
        <f>SUM(E3881:E3882)</f>
        <v>451.41</v>
      </c>
      <c r="C3883" s="6" t="s">
        <v>209</v>
      </c>
      <c r="D3883" s="37">
        <f>Prec.!C302</f>
        <v>1.4999999999999999E-2</v>
      </c>
      <c r="E3883" s="25">
        <f>ROUND(B3883*D3883,2)</f>
        <v>6.77</v>
      </c>
      <c r="F3883" s="26">
        <f>SUM(E3881:E3883)</f>
        <v>458.18</v>
      </c>
    </row>
    <row r="3884" spans="1:13" ht="12.75" customHeight="1">
      <c r="B3884" s="7"/>
    </row>
    <row r="3885" spans="1:13" ht="12.75" customHeight="1">
      <c r="A3885" s="13" t="s">
        <v>473</v>
      </c>
      <c r="B3885" s="42"/>
      <c r="C3885" s="29"/>
      <c r="D3885" s="35"/>
      <c r="E3885" s="43" t="s">
        <v>151</v>
      </c>
      <c r="F3885" s="44" t="s">
        <v>213</v>
      </c>
    </row>
    <row r="3886" spans="1:13" ht="12.75" customHeight="1">
      <c r="A3886" s="12" t="s">
        <v>421</v>
      </c>
      <c r="B3886" s="30">
        <v>8.4000000000000005E-2</v>
      </c>
      <c r="C3886" s="24" t="s">
        <v>825</v>
      </c>
      <c r="D3886" s="35">
        <f>D3881</f>
        <v>5373.880000000001</v>
      </c>
      <c r="E3886" s="31">
        <f t="shared" ref="E3886:E3891" si="300">ROUND(B3886*D3886,2)</f>
        <v>451.41</v>
      </c>
      <c r="F3886" s="32"/>
    </row>
    <row r="3887" spans="1:13" ht="12.75" customHeight="1">
      <c r="A3887" s="12" t="s">
        <v>427</v>
      </c>
      <c r="B3887" s="30">
        <v>2.1999999999999999E-2</v>
      </c>
      <c r="C3887" s="24" t="s">
        <v>825</v>
      </c>
      <c r="D3887" s="35">
        <f>horm.ymez.!D8</f>
        <v>6851.01</v>
      </c>
      <c r="E3887" s="31">
        <f t="shared" si="300"/>
        <v>150.72</v>
      </c>
      <c r="F3887" s="32"/>
    </row>
    <row r="3888" spans="1:13" ht="12.75" customHeight="1">
      <c r="A3888" s="12" t="s">
        <v>183</v>
      </c>
      <c r="B3888" s="30">
        <v>8.7999999999999995E-2</v>
      </c>
      <c r="C3888" s="24" t="s">
        <v>211</v>
      </c>
      <c r="D3888" s="35">
        <f>D3760</f>
        <v>38</v>
      </c>
      <c r="E3888" s="31">
        <f t="shared" si="300"/>
        <v>3.34</v>
      </c>
      <c r="F3888" s="32"/>
    </row>
    <row r="3889" spans="1:6" ht="12.75" customHeight="1">
      <c r="A3889" s="12" t="s">
        <v>1170</v>
      </c>
      <c r="B3889" s="30">
        <v>0.8</v>
      </c>
      <c r="C3889" s="24" t="s">
        <v>1171</v>
      </c>
      <c r="D3889" s="35">
        <f>Prec.!$D$438</f>
        <v>0</v>
      </c>
      <c r="E3889" s="31">
        <f t="shared" si="300"/>
        <v>0</v>
      </c>
      <c r="F3889" s="32"/>
    </row>
    <row r="3890" spans="1:6" ht="12.75" customHeight="1">
      <c r="A3890" s="12" t="s">
        <v>1168</v>
      </c>
      <c r="B3890" s="30">
        <v>1</v>
      </c>
      <c r="C3890" s="24" t="s">
        <v>213</v>
      </c>
      <c r="D3890" s="35">
        <f>Prec.!$D$450</f>
        <v>0</v>
      </c>
      <c r="E3890" s="31">
        <f t="shared" si="300"/>
        <v>0</v>
      </c>
      <c r="F3890" s="32"/>
    </row>
    <row r="3891" spans="1:6" ht="12.75" customHeight="1">
      <c r="A3891" s="12" t="s">
        <v>208</v>
      </c>
      <c r="B3891" s="14">
        <f>SUM(E3886:E3890)</f>
        <v>605.47</v>
      </c>
      <c r="C3891" s="24" t="s">
        <v>209</v>
      </c>
      <c r="D3891" s="35">
        <v>0.02</v>
      </c>
      <c r="E3891" s="31">
        <f t="shared" si="300"/>
        <v>12.11</v>
      </c>
      <c r="F3891" s="32">
        <f>SUM(E3886:E3891)</f>
        <v>617.58000000000004</v>
      </c>
    </row>
    <row r="3892" spans="1:6" ht="12.75" customHeight="1">
      <c r="A3892" s="12"/>
      <c r="B3892" s="14"/>
      <c r="C3892" s="24"/>
      <c r="D3892" s="35"/>
      <c r="E3892" s="31"/>
      <c r="F3892" s="32"/>
    </row>
    <row r="3893" spans="1:6" ht="12.75" customHeight="1">
      <c r="A3893" s="13" t="s">
        <v>474</v>
      </c>
      <c r="B3893" s="42"/>
      <c r="C3893" s="29"/>
      <c r="D3893" s="35"/>
      <c r="E3893" s="43" t="s">
        <v>151</v>
      </c>
      <c r="F3893" s="44" t="s">
        <v>213</v>
      </c>
    </row>
    <row r="3894" spans="1:6" ht="12.75" customHeight="1">
      <c r="A3894" s="12" t="s">
        <v>1</v>
      </c>
      <c r="B3894" s="30">
        <v>4.4999999999999998E-2</v>
      </c>
      <c r="C3894" s="24" t="s">
        <v>823</v>
      </c>
      <c r="D3894" s="41">
        <f>Prec.!$C$5</f>
        <v>425</v>
      </c>
      <c r="E3894" s="31">
        <f t="shared" ref="E3894:E3900" si="301">ROUND(B3894*D3894,2)</f>
        <v>19.13</v>
      </c>
      <c r="F3894" s="32"/>
    </row>
    <row r="3895" spans="1:6" ht="12.75" customHeight="1">
      <c r="A3895" s="12" t="s">
        <v>421</v>
      </c>
      <c r="B3895" s="30">
        <v>8.4000000000000005E-2</v>
      </c>
      <c r="C3895" s="24" t="s">
        <v>825</v>
      </c>
      <c r="D3895" s="35">
        <f>D3881</f>
        <v>5373.880000000001</v>
      </c>
      <c r="E3895" s="31">
        <f t="shared" si="301"/>
        <v>451.41</v>
      </c>
      <c r="F3895" s="32"/>
    </row>
    <row r="3896" spans="1:6" ht="12.75" customHeight="1">
      <c r="A3896" s="12" t="s">
        <v>427</v>
      </c>
      <c r="B3896" s="30">
        <v>2.1999999999999999E-2</v>
      </c>
      <c r="C3896" s="24" t="s">
        <v>825</v>
      </c>
      <c r="D3896" s="35">
        <f>D3887</f>
        <v>6851.01</v>
      </c>
      <c r="E3896" s="31">
        <f t="shared" si="301"/>
        <v>150.72</v>
      </c>
      <c r="F3896" s="32"/>
    </row>
    <row r="3897" spans="1:6" ht="12.75" customHeight="1">
      <c r="A3897" s="12" t="s">
        <v>183</v>
      </c>
      <c r="B3897" s="30">
        <v>8.7999999999999995E-2</v>
      </c>
      <c r="C3897" s="24" t="s">
        <v>211</v>
      </c>
      <c r="D3897" s="35">
        <f>D3888</f>
        <v>38</v>
      </c>
      <c r="E3897" s="31">
        <f t="shared" si="301"/>
        <v>3.34</v>
      </c>
      <c r="F3897" s="32"/>
    </row>
    <row r="3898" spans="1:6" ht="12.75" customHeight="1">
      <c r="A3898" s="12" t="s">
        <v>1170</v>
      </c>
      <c r="B3898" s="30">
        <v>0.8</v>
      </c>
      <c r="C3898" s="24" t="s">
        <v>1171</v>
      </c>
      <c r="D3898" s="35">
        <f>Prec.!$D$438</f>
        <v>0</v>
      </c>
      <c r="E3898" s="31">
        <f t="shared" si="301"/>
        <v>0</v>
      </c>
      <c r="F3898" s="32"/>
    </row>
    <row r="3899" spans="1:6" ht="12.75" customHeight="1">
      <c r="A3899" s="12" t="s">
        <v>1168</v>
      </c>
      <c r="B3899" s="30">
        <v>1</v>
      </c>
      <c r="C3899" s="24" t="s">
        <v>213</v>
      </c>
      <c r="D3899" s="35">
        <f>Prec.!$D$452</f>
        <v>0</v>
      </c>
      <c r="E3899" s="31">
        <f t="shared" si="301"/>
        <v>0</v>
      </c>
      <c r="F3899" s="32"/>
    </row>
    <row r="3900" spans="1:6" ht="12.75" customHeight="1">
      <c r="A3900" s="12" t="s">
        <v>208</v>
      </c>
      <c r="B3900" s="14">
        <f>SUM(E3894:E3899)</f>
        <v>624.6</v>
      </c>
      <c r="C3900" s="24" t="s">
        <v>209</v>
      </c>
      <c r="D3900" s="35">
        <f>Prec.!C302</f>
        <v>1.4999999999999999E-2</v>
      </c>
      <c r="E3900" s="31">
        <f t="shared" si="301"/>
        <v>9.3699999999999992</v>
      </c>
      <c r="F3900" s="32">
        <f>SUM(E3894:E3900)</f>
        <v>633.97</v>
      </c>
    </row>
    <row r="3901" spans="1:6" ht="12.75" customHeight="1">
      <c r="A3901" s="12"/>
      <c r="B3901" s="14"/>
      <c r="C3901" s="24"/>
      <c r="D3901" s="35"/>
      <c r="E3901" s="31"/>
      <c r="F3901" s="32"/>
    </row>
    <row r="3902" spans="1:6" ht="12.75" customHeight="1">
      <c r="A3902" s="13" t="s">
        <v>260</v>
      </c>
      <c r="B3902" s="42"/>
      <c r="C3902" s="29"/>
      <c r="D3902" s="35"/>
      <c r="E3902" s="43" t="s">
        <v>151</v>
      </c>
      <c r="F3902" s="44" t="s">
        <v>213</v>
      </c>
    </row>
    <row r="3903" spans="1:6" ht="12.75" customHeight="1">
      <c r="A3903" s="12" t="s">
        <v>672</v>
      </c>
      <c r="B3903" s="30">
        <v>11.67</v>
      </c>
      <c r="C3903" s="24" t="s">
        <v>1017</v>
      </c>
      <c r="D3903" s="35">
        <f>Prec.!$C$102</f>
        <v>34.76</v>
      </c>
      <c r="E3903" s="31">
        <f t="shared" ref="E3903:E3912" si="302">ROUND(B3903*D3903,2)</f>
        <v>405.65</v>
      </c>
      <c r="F3903" s="32"/>
    </row>
    <row r="3904" spans="1:6" ht="12.75" customHeight="1">
      <c r="A3904" s="12" t="s">
        <v>673</v>
      </c>
      <c r="B3904" s="30">
        <v>7.0000000000000007E-2</v>
      </c>
      <c r="C3904" s="24" t="s">
        <v>1172</v>
      </c>
      <c r="D3904" s="35">
        <f>Prec.!$C$8</f>
        <v>250</v>
      </c>
      <c r="E3904" s="31">
        <f t="shared" si="302"/>
        <v>17.5</v>
      </c>
      <c r="F3904" s="32"/>
    </row>
    <row r="3905" spans="1:6" ht="12.75" customHeight="1">
      <c r="A3905" s="12" t="s">
        <v>1174</v>
      </c>
      <c r="B3905" s="30">
        <v>3.2000000000000001E-2</v>
      </c>
      <c r="C3905" s="24" t="s">
        <v>825</v>
      </c>
      <c r="D3905" s="35">
        <f>horm.ymez.!D9</f>
        <v>5853.53</v>
      </c>
      <c r="E3905" s="31">
        <f t="shared" si="302"/>
        <v>187.31</v>
      </c>
      <c r="F3905" s="32"/>
    </row>
    <row r="3906" spans="1:6" ht="12.75" customHeight="1">
      <c r="A3906" s="12" t="s">
        <v>1173</v>
      </c>
      <c r="B3906" s="30">
        <v>0.05</v>
      </c>
      <c r="C3906" s="24" t="s">
        <v>1018</v>
      </c>
      <c r="D3906" s="35">
        <f>Prec.!$C$82</f>
        <v>75</v>
      </c>
      <c r="E3906" s="31">
        <f t="shared" si="302"/>
        <v>3.75</v>
      </c>
      <c r="F3906" s="32"/>
    </row>
    <row r="3907" spans="1:6" ht="12.75" customHeight="1">
      <c r="A3907" s="12" t="s">
        <v>1015</v>
      </c>
      <c r="B3907" s="30">
        <v>3</v>
      </c>
      <c r="C3907" s="24" t="s">
        <v>1017</v>
      </c>
      <c r="D3907" s="35">
        <f>Prec.!D490</f>
        <v>11.93</v>
      </c>
      <c r="E3907" s="31">
        <f t="shared" si="302"/>
        <v>35.79</v>
      </c>
      <c r="F3907" s="32"/>
    </row>
    <row r="3908" spans="1:6" ht="12.75" customHeight="1">
      <c r="A3908" s="12" t="s">
        <v>674</v>
      </c>
      <c r="B3908" s="30">
        <v>1</v>
      </c>
      <c r="C3908" s="24" t="s">
        <v>213</v>
      </c>
      <c r="D3908" s="35">
        <f>Prec.!$D$458</f>
        <v>0</v>
      </c>
      <c r="E3908" s="31">
        <f t="shared" si="302"/>
        <v>0</v>
      </c>
      <c r="F3908" s="32"/>
    </row>
    <row r="3909" spans="1:6" ht="12.75" customHeight="1">
      <c r="A3909" s="12" t="s">
        <v>1016</v>
      </c>
      <c r="B3909" s="30">
        <v>1</v>
      </c>
      <c r="C3909" s="24" t="s">
        <v>213</v>
      </c>
      <c r="D3909" s="35">
        <f>Prec.!$D$444</f>
        <v>160.08000000000001</v>
      </c>
      <c r="E3909" s="31">
        <f t="shared" si="302"/>
        <v>160.08000000000001</v>
      </c>
      <c r="F3909" s="32"/>
    </row>
    <row r="3910" spans="1:6" ht="12.75" customHeight="1">
      <c r="A3910" s="12" t="s">
        <v>1155</v>
      </c>
      <c r="B3910" s="30">
        <v>1</v>
      </c>
      <c r="C3910" s="24" t="s">
        <v>213</v>
      </c>
      <c r="D3910" s="35">
        <f>Prec.!$D$549</f>
        <v>8.34</v>
      </c>
      <c r="E3910" s="31">
        <f t="shared" si="302"/>
        <v>8.34</v>
      </c>
      <c r="F3910" s="32"/>
    </row>
    <row r="3911" spans="1:6" ht="12.75" customHeight="1">
      <c r="A3911" s="12" t="s">
        <v>1154</v>
      </c>
      <c r="B3911" s="30">
        <v>7.0000000000000007E-2</v>
      </c>
      <c r="C3911" s="24" t="s">
        <v>1172</v>
      </c>
      <c r="D3911" s="35">
        <f>Prec.!$D$562</f>
        <v>7.57</v>
      </c>
      <c r="E3911" s="31">
        <f t="shared" si="302"/>
        <v>0.53</v>
      </c>
      <c r="F3911" s="32"/>
    </row>
    <row r="3912" spans="1:6" ht="12.75" customHeight="1">
      <c r="A3912" s="12" t="s">
        <v>208</v>
      </c>
      <c r="B3912" s="14">
        <f>SUM(E3903:E3911)</f>
        <v>818.95</v>
      </c>
      <c r="C3912" s="24" t="s">
        <v>209</v>
      </c>
      <c r="D3912" s="35">
        <f>Prec.!C302</f>
        <v>1.4999999999999999E-2</v>
      </c>
      <c r="E3912" s="31">
        <f t="shared" si="302"/>
        <v>12.28</v>
      </c>
      <c r="F3912" s="32">
        <f>SUM(E3903:E3912)</f>
        <v>831.23</v>
      </c>
    </row>
    <row r="3913" spans="1:6" ht="12.75" customHeight="1">
      <c r="A3913" s="12"/>
      <c r="B3913" s="14"/>
      <c r="C3913" s="24"/>
      <c r="D3913" s="35"/>
      <c r="E3913" s="31"/>
      <c r="F3913" s="32"/>
    </row>
    <row r="3914" spans="1:6" ht="12.75" customHeight="1">
      <c r="A3914" s="13" t="s">
        <v>124</v>
      </c>
      <c r="B3914" s="42"/>
      <c r="C3914" s="29"/>
      <c r="D3914" s="35"/>
      <c r="E3914" s="43" t="s">
        <v>151</v>
      </c>
      <c r="F3914" s="44" t="s">
        <v>213</v>
      </c>
    </row>
    <row r="3915" spans="1:6" ht="12.75" customHeight="1">
      <c r="A3915" s="12" t="s">
        <v>672</v>
      </c>
      <c r="B3915" s="30">
        <v>11.67</v>
      </c>
      <c r="C3915" s="24" t="s">
        <v>1017</v>
      </c>
      <c r="D3915" s="35">
        <f>Prec.!$C$103</f>
        <v>59.27</v>
      </c>
      <c r="E3915" s="31">
        <f t="shared" ref="E3915:E3924" si="303">ROUND(B3915*D3915,2)</f>
        <v>691.68</v>
      </c>
      <c r="F3915" s="32"/>
    </row>
    <row r="3916" spans="1:6" ht="12.75" customHeight="1">
      <c r="A3916" s="12" t="s">
        <v>622</v>
      </c>
      <c r="B3916" s="30">
        <v>7.0000000000000007E-2</v>
      </c>
      <c r="C3916" s="24" t="s">
        <v>1172</v>
      </c>
      <c r="D3916" s="35">
        <f>Prec.!$C$7</f>
        <v>250</v>
      </c>
      <c r="E3916" s="31">
        <f t="shared" si="303"/>
        <v>17.5</v>
      </c>
      <c r="F3916" s="32"/>
    </row>
    <row r="3917" spans="1:6" ht="12.75" customHeight="1">
      <c r="A3917" s="12" t="s">
        <v>1174</v>
      </c>
      <c r="B3917" s="30">
        <v>3.2000000000000001E-2</v>
      </c>
      <c r="C3917" s="24" t="s">
        <v>825</v>
      </c>
      <c r="D3917" s="35">
        <f>D3905</f>
        <v>5853.53</v>
      </c>
      <c r="E3917" s="31">
        <f t="shared" si="303"/>
        <v>187.31</v>
      </c>
      <c r="F3917" s="32"/>
    </row>
    <row r="3918" spans="1:6" ht="12.75" customHeight="1">
      <c r="A3918" s="12" t="s">
        <v>1173</v>
      </c>
      <c r="B3918" s="30">
        <v>0.05</v>
      </c>
      <c r="C3918" s="24" t="s">
        <v>1018</v>
      </c>
      <c r="D3918" s="35">
        <f>Prec.!$C$82</f>
        <v>75</v>
      </c>
      <c r="E3918" s="31">
        <f t="shared" si="303"/>
        <v>3.75</v>
      </c>
      <c r="F3918" s="32"/>
    </row>
    <row r="3919" spans="1:6" ht="12.75" customHeight="1">
      <c r="A3919" s="12" t="s">
        <v>1015</v>
      </c>
      <c r="B3919" s="30">
        <v>3</v>
      </c>
      <c r="C3919" s="24" t="s">
        <v>1017</v>
      </c>
      <c r="D3919" s="35">
        <f>D3907</f>
        <v>11.93</v>
      </c>
      <c r="E3919" s="31">
        <f t="shared" si="303"/>
        <v>35.79</v>
      </c>
      <c r="F3919" s="32"/>
    </row>
    <row r="3920" spans="1:6" ht="12.75" customHeight="1">
      <c r="A3920" s="12" t="s">
        <v>674</v>
      </c>
      <c r="B3920" s="30">
        <v>1</v>
      </c>
      <c r="C3920" s="24" t="s">
        <v>213</v>
      </c>
      <c r="D3920" s="35">
        <f>Prec.!$D$458</f>
        <v>0</v>
      </c>
      <c r="E3920" s="31">
        <f t="shared" si="303"/>
        <v>0</v>
      </c>
      <c r="F3920" s="32"/>
    </row>
    <row r="3921" spans="1:6" ht="12.75" customHeight="1">
      <c r="A3921" s="12" t="s">
        <v>1016</v>
      </c>
      <c r="B3921" s="30">
        <v>1</v>
      </c>
      <c r="C3921" s="24" t="s">
        <v>213</v>
      </c>
      <c r="D3921" s="35">
        <f>Prec.!$D$444</f>
        <v>160.08000000000001</v>
      </c>
      <c r="E3921" s="31">
        <f t="shared" si="303"/>
        <v>160.08000000000001</v>
      </c>
      <c r="F3921" s="32"/>
    </row>
    <row r="3922" spans="1:6" ht="12.75" customHeight="1">
      <c r="A3922" s="12" t="s">
        <v>1155</v>
      </c>
      <c r="B3922" s="30">
        <v>1</v>
      </c>
      <c r="C3922" s="24" t="s">
        <v>213</v>
      </c>
      <c r="D3922" s="35">
        <f>Prec.!$D$549</f>
        <v>8.34</v>
      </c>
      <c r="E3922" s="31">
        <f t="shared" si="303"/>
        <v>8.34</v>
      </c>
      <c r="F3922" s="32"/>
    </row>
    <row r="3923" spans="1:6" ht="12.75" customHeight="1">
      <c r="A3923" s="12" t="s">
        <v>1154</v>
      </c>
      <c r="B3923" s="30">
        <v>7.0000000000000007E-2</v>
      </c>
      <c r="C3923" s="24" t="s">
        <v>1172</v>
      </c>
      <c r="D3923" s="35">
        <f>Prec.!$D$562</f>
        <v>7.57</v>
      </c>
      <c r="E3923" s="31">
        <f t="shared" si="303"/>
        <v>0.53</v>
      </c>
      <c r="F3923" s="32"/>
    </row>
    <row r="3924" spans="1:6" ht="12.75" customHeight="1">
      <c r="A3924" s="12" t="s">
        <v>208</v>
      </c>
      <c r="B3924" s="14">
        <f>SUM(E3915:E3923)</f>
        <v>1104.9799999999998</v>
      </c>
      <c r="C3924" s="24" t="s">
        <v>209</v>
      </c>
      <c r="D3924" s="35">
        <v>0.02</v>
      </c>
      <c r="E3924" s="31">
        <f t="shared" si="303"/>
        <v>22.1</v>
      </c>
      <c r="F3924" s="32">
        <f>SUM(E3915:E3924)</f>
        <v>1127.0799999999997</v>
      </c>
    </row>
    <row r="3925" spans="1:6" ht="12.75" customHeight="1">
      <c r="A3925" s="12"/>
      <c r="B3925" s="14"/>
      <c r="C3925" s="24"/>
      <c r="D3925" s="35"/>
      <c r="E3925" s="31"/>
      <c r="F3925" s="32"/>
    </row>
    <row r="3926" spans="1:6" ht="12.75" customHeight="1">
      <c r="A3926" s="12"/>
      <c r="B3926" s="14"/>
      <c r="C3926" s="24"/>
      <c r="D3926" s="35"/>
      <c r="E3926" s="31"/>
      <c r="F3926" s="32"/>
    </row>
    <row r="3927" spans="1:6" ht="12.75" customHeight="1">
      <c r="A3927" s="12"/>
      <c r="B3927" s="14"/>
      <c r="C3927" s="24"/>
      <c r="D3927" s="35"/>
      <c r="E3927" s="31"/>
      <c r="F3927" s="32"/>
    </row>
    <row r="3928" spans="1:6" ht="12.75" customHeight="1">
      <c r="A3928" s="698" t="s">
        <v>90</v>
      </c>
      <c r="B3928" s="706"/>
      <c r="C3928" s="707"/>
      <c r="D3928" s="708"/>
      <c r="E3928" s="709" t="s">
        <v>151</v>
      </c>
      <c r="F3928" s="710" t="s">
        <v>213</v>
      </c>
    </row>
    <row r="3929" spans="1:6" ht="12.75" customHeight="1">
      <c r="A3929" s="704" t="s">
        <v>672</v>
      </c>
      <c r="B3929" s="705">
        <v>6.56</v>
      </c>
      <c r="C3929" s="700" t="s">
        <v>1017</v>
      </c>
      <c r="D3929" s="708">
        <f>Prec.!C104</f>
        <v>107.65</v>
      </c>
      <c r="E3929" s="702">
        <f t="shared" ref="E3929:E3938" si="304">ROUND(B3929*D3929,2)</f>
        <v>706.18</v>
      </c>
      <c r="F3929" s="703"/>
    </row>
    <row r="3930" spans="1:6" ht="12.75" customHeight="1">
      <c r="A3930" s="704" t="s">
        <v>673</v>
      </c>
      <c r="B3930" s="705">
        <v>7.0000000000000007E-2</v>
      </c>
      <c r="C3930" s="700" t="s">
        <v>1172</v>
      </c>
      <c r="D3930" s="708">
        <f>Prec.!$C$8</f>
        <v>250</v>
      </c>
      <c r="E3930" s="702">
        <f t="shared" si="304"/>
        <v>17.5</v>
      </c>
      <c r="F3930" s="703"/>
    </row>
    <row r="3931" spans="1:6" ht="12.75" customHeight="1">
      <c r="A3931" s="704" t="s">
        <v>1174</v>
      </c>
      <c r="B3931" s="705">
        <v>3.2000000000000001E-2</v>
      </c>
      <c r="C3931" s="700" t="s">
        <v>825</v>
      </c>
      <c r="D3931" s="708">
        <f>D3905</f>
        <v>5853.53</v>
      </c>
      <c r="E3931" s="702">
        <f t="shared" si="304"/>
        <v>187.31</v>
      </c>
      <c r="F3931" s="703"/>
    </row>
    <row r="3932" spans="1:6" ht="12.75" customHeight="1">
      <c r="A3932" s="704" t="s">
        <v>1173</v>
      </c>
      <c r="B3932" s="705">
        <v>0.05</v>
      </c>
      <c r="C3932" s="700" t="s">
        <v>1018</v>
      </c>
      <c r="D3932" s="708">
        <f>Prec.!$C$82</f>
        <v>75</v>
      </c>
      <c r="E3932" s="702">
        <f t="shared" si="304"/>
        <v>3.75</v>
      </c>
      <c r="F3932" s="703"/>
    </row>
    <row r="3933" spans="1:6" ht="12.75" customHeight="1">
      <c r="A3933" s="704" t="s">
        <v>1015</v>
      </c>
      <c r="B3933" s="705">
        <v>3</v>
      </c>
      <c r="C3933" s="700" t="s">
        <v>1017</v>
      </c>
      <c r="D3933" s="708">
        <f>Prec.!D491</f>
        <v>11.93</v>
      </c>
      <c r="E3933" s="702">
        <f t="shared" si="304"/>
        <v>35.79</v>
      </c>
      <c r="F3933" s="703"/>
    </row>
    <row r="3934" spans="1:6" ht="12.75" customHeight="1">
      <c r="A3934" s="704" t="s">
        <v>674</v>
      </c>
      <c r="B3934" s="705">
        <v>1</v>
      </c>
      <c r="C3934" s="700" t="s">
        <v>213</v>
      </c>
      <c r="D3934" s="708">
        <f>Prec.!C457</f>
        <v>296.23</v>
      </c>
      <c r="E3934" s="702">
        <f t="shared" si="304"/>
        <v>296.23</v>
      </c>
      <c r="F3934" s="703"/>
    </row>
    <row r="3935" spans="1:6" ht="12.75" customHeight="1">
      <c r="A3935" s="704" t="s">
        <v>1016</v>
      </c>
      <c r="B3935" s="705">
        <v>1</v>
      </c>
      <c r="C3935" s="700" t="s">
        <v>213</v>
      </c>
      <c r="D3935" s="708">
        <f>Prec.!C444</f>
        <v>184.09200000000001</v>
      </c>
      <c r="E3935" s="702">
        <f t="shared" si="304"/>
        <v>184.09</v>
      </c>
      <c r="F3935" s="703"/>
    </row>
    <row r="3936" spans="1:6" ht="12.75" customHeight="1">
      <c r="A3936" s="704" t="s">
        <v>1155</v>
      </c>
      <c r="B3936" s="705">
        <v>1</v>
      </c>
      <c r="C3936" s="700" t="s">
        <v>213</v>
      </c>
      <c r="D3936" s="708">
        <f>Prec.!$D$549</f>
        <v>8.34</v>
      </c>
      <c r="E3936" s="702">
        <f t="shared" si="304"/>
        <v>8.34</v>
      </c>
      <c r="F3936" s="703"/>
    </row>
    <row r="3937" spans="1:6" ht="12.75" customHeight="1">
      <c r="A3937" s="704" t="s">
        <v>1154</v>
      </c>
      <c r="B3937" s="705">
        <v>7.0000000000000007E-2</v>
      </c>
      <c r="C3937" s="700" t="s">
        <v>1172</v>
      </c>
      <c r="D3937" s="708">
        <f>Prec.!$D$562</f>
        <v>7.57</v>
      </c>
      <c r="E3937" s="702">
        <f t="shared" si="304"/>
        <v>0.53</v>
      </c>
      <c r="F3937" s="703"/>
    </row>
    <row r="3938" spans="1:6" ht="12.75" customHeight="1">
      <c r="A3938" s="704" t="s">
        <v>208</v>
      </c>
      <c r="B3938" s="711">
        <f>SUM(E3929:E3932)</f>
        <v>914.74</v>
      </c>
      <c r="C3938" s="700" t="s">
        <v>209</v>
      </c>
      <c r="D3938" s="708">
        <v>0.02</v>
      </c>
      <c r="E3938" s="702">
        <f t="shared" si="304"/>
        <v>18.29</v>
      </c>
      <c r="F3938" s="703">
        <f>SUM(E3929:E3938)</f>
        <v>1458.0099999999998</v>
      </c>
    </row>
    <row r="3939" spans="1:6" ht="12.75" customHeight="1">
      <c r="A3939" s="12"/>
      <c r="B3939" s="14"/>
      <c r="C3939" s="24"/>
      <c r="D3939" s="35"/>
      <c r="E3939" s="31"/>
      <c r="F3939" s="32"/>
    </row>
    <row r="3940" spans="1:6" ht="12.75" customHeight="1">
      <c r="A3940" s="13" t="s">
        <v>789</v>
      </c>
      <c r="B3940" s="42"/>
      <c r="C3940" s="29"/>
      <c r="D3940" s="35"/>
      <c r="E3940" s="43" t="s">
        <v>151</v>
      </c>
      <c r="F3940" s="44" t="s">
        <v>213</v>
      </c>
    </row>
    <row r="3941" spans="1:6" ht="12.75" customHeight="1">
      <c r="A3941" s="12" t="s">
        <v>790</v>
      </c>
      <c r="B3941" s="30">
        <v>6.56</v>
      </c>
      <c r="C3941" s="24" t="s">
        <v>1017</v>
      </c>
      <c r="D3941" s="35">
        <f>Prec.!C105</f>
        <v>62.63</v>
      </c>
      <c r="E3941" s="31">
        <f t="shared" ref="E3941:E3950" si="305">ROUND(B3941*D3941,2)</f>
        <v>410.85</v>
      </c>
      <c r="F3941" s="32"/>
    </row>
    <row r="3942" spans="1:6" ht="12.75" customHeight="1">
      <c r="A3942" s="12" t="s">
        <v>622</v>
      </c>
      <c r="B3942" s="30">
        <v>7.0000000000000007E-2</v>
      </c>
      <c r="C3942" s="24" t="s">
        <v>1172</v>
      </c>
      <c r="D3942" s="35">
        <f>Prec.!$C$7</f>
        <v>250</v>
      </c>
      <c r="E3942" s="31">
        <f t="shared" si="305"/>
        <v>17.5</v>
      </c>
      <c r="F3942" s="32"/>
    </row>
    <row r="3943" spans="1:6" ht="12.75" customHeight="1">
      <c r="A3943" s="12" t="s">
        <v>1174</v>
      </c>
      <c r="B3943" s="30">
        <v>3.2000000000000001E-2</v>
      </c>
      <c r="C3943" s="24" t="s">
        <v>825</v>
      </c>
      <c r="D3943" s="35">
        <f>D3917</f>
        <v>5853.53</v>
      </c>
      <c r="E3943" s="31">
        <f t="shared" si="305"/>
        <v>187.31</v>
      </c>
      <c r="F3943" s="32"/>
    </row>
    <row r="3944" spans="1:6" ht="12.75" customHeight="1">
      <c r="A3944" s="12" t="s">
        <v>1173</v>
      </c>
      <c r="B3944" s="30">
        <v>0.05</v>
      </c>
      <c r="C3944" s="24" t="s">
        <v>1018</v>
      </c>
      <c r="D3944" s="35">
        <f>Prec.!$C$82</f>
        <v>75</v>
      </c>
      <c r="E3944" s="31">
        <f t="shared" si="305"/>
        <v>3.75</v>
      </c>
      <c r="F3944" s="32"/>
    </row>
    <row r="3945" spans="1:6" ht="12.75" customHeight="1">
      <c r="A3945" s="12" t="s">
        <v>1015</v>
      </c>
      <c r="B3945" s="30">
        <v>3</v>
      </c>
      <c r="C3945" s="24" t="s">
        <v>1017</v>
      </c>
      <c r="D3945" s="35">
        <f>D3933</f>
        <v>11.93</v>
      </c>
      <c r="E3945" s="31">
        <f t="shared" si="305"/>
        <v>35.79</v>
      </c>
      <c r="F3945" s="32"/>
    </row>
    <row r="3946" spans="1:6" ht="12.75" customHeight="1">
      <c r="A3946" s="12" t="s">
        <v>674</v>
      </c>
      <c r="B3946" s="30">
        <v>1</v>
      </c>
      <c r="C3946" s="24" t="s">
        <v>213</v>
      </c>
      <c r="D3946" s="35">
        <f>Prec.!D457</f>
        <v>0</v>
      </c>
      <c r="E3946" s="31">
        <f t="shared" si="305"/>
        <v>0</v>
      </c>
      <c r="F3946" s="32"/>
    </row>
    <row r="3947" spans="1:6" ht="12.75" customHeight="1">
      <c r="A3947" s="12" t="s">
        <v>1016</v>
      </c>
      <c r="B3947" s="30">
        <v>1</v>
      </c>
      <c r="C3947" s="24" t="s">
        <v>213</v>
      </c>
      <c r="D3947" s="35">
        <f>Prec.!$D$444</f>
        <v>160.08000000000001</v>
      </c>
      <c r="E3947" s="31">
        <f t="shared" si="305"/>
        <v>160.08000000000001</v>
      </c>
      <c r="F3947" s="32"/>
    </row>
    <row r="3948" spans="1:6" ht="12.75" customHeight="1">
      <c r="A3948" s="12" t="s">
        <v>1155</v>
      </c>
      <c r="B3948" s="30">
        <v>1</v>
      </c>
      <c r="C3948" s="24" t="s">
        <v>213</v>
      </c>
      <c r="D3948" s="35">
        <f>Prec.!$D$549</f>
        <v>8.34</v>
      </c>
      <c r="E3948" s="31">
        <f t="shared" si="305"/>
        <v>8.34</v>
      </c>
      <c r="F3948" s="32"/>
    </row>
    <row r="3949" spans="1:6" ht="12.75" customHeight="1">
      <c r="A3949" s="12" t="s">
        <v>1154</v>
      </c>
      <c r="B3949" s="30">
        <v>7.0000000000000007E-2</v>
      </c>
      <c r="C3949" s="24" t="s">
        <v>1172</v>
      </c>
      <c r="D3949" s="35">
        <f>Prec.!$D$562</f>
        <v>7.57</v>
      </c>
      <c r="E3949" s="31">
        <f t="shared" si="305"/>
        <v>0.53</v>
      </c>
      <c r="F3949" s="32"/>
    </row>
    <row r="3950" spans="1:6" ht="12.75" customHeight="1">
      <c r="A3950" s="12" t="s">
        <v>208</v>
      </c>
      <c r="B3950" s="14">
        <f>SUM(E3941:E3949)</f>
        <v>824.15000000000009</v>
      </c>
      <c r="C3950" s="24" t="s">
        <v>209</v>
      </c>
      <c r="D3950" s="35">
        <f>D3938</f>
        <v>0.02</v>
      </c>
      <c r="E3950" s="31">
        <f t="shared" si="305"/>
        <v>16.48</v>
      </c>
      <c r="F3950" s="32">
        <f>SUM(E3941:E3950)</f>
        <v>840.63000000000011</v>
      </c>
    </row>
    <row r="3951" spans="1:6" ht="12.75" customHeight="1">
      <c r="A3951" s="12"/>
      <c r="B3951" s="14"/>
      <c r="C3951" s="24"/>
      <c r="D3951" s="35"/>
      <c r="E3951" s="31"/>
      <c r="F3951" s="32"/>
    </row>
    <row r="3952" spans="1:6" ht="12.75" customHeight="1">
      <c r="A3952" s="698" t="s">
        <v>89</v>
      </c>
      <c r="B3952" s="706"/>
      <c r="C3952" s="707"/>
      <c r="D3952" s="708"/>
      <c r="E3952" s="709" t="s">
        <v>151</v>
      </c>
      <c r="F3952" s="710" t="s">
        <v>213</v>
      </c>
    </row>
    <row r="3953" spans="1:13" ht="12.75" customHeight="1">
      <c r="A3953" s="704" t="s">
        <v>892</v>
      </c>
      <c r="B3953" s="705">
        <v>1.05</v>
      </c>
      <c r="C3953" s="700" t="s">
        <v>213</v>
      </c>
      <c r="D3953" s="708">
        <v>500</v>
      </c>
      <c r="E3953" s="702">
        <f t="shared" ref="E3953:E3962" si="306">ROUND(B3953*D3953,2)</f>
        <v>525</v>
      </c>
      <c r="F3953" s="703"/>
    </row>
    <row r="3954" spans="1:13" ht="12.75" customHeight="1">
      <c r="A3954" s="704" t="s">
        <v>673</v>
      </c>
      <c r="B3954" s="705">
        <v>7.0000000000000007E-2</v>
      </c>
      <c r="C3954" s="700" t="s">
        <v>1172</v>
      </c>
      <c r="D3954" s="708">
        <f>Prec.!$C$8</f>
        <v>250</v>
      </c>
      <c r="E3954" s="702">
        <f t="shared" si="306"/>
        <v>17.5</v>
      </c>
      <c r="F3954" s="703"/>
    </row>
    <row r="3955" spans="1:13" ht="12.75" customHeight="1">
      <c r="A3955" s="704" t="s">
        <v>1117</v>
      </c>
      <c r="B3955" s="705">
        <v>0.1</v>
      </c>
      <c r="C3955" s="700" t="s">
        <v>1172</v>
      </c>
      <c r="D3955" s="708">
        <f>Prec.!C10</f>
        <v>250</v>
      </c>
      <c r="E3955" s="702">
        <f t="shared" si="306"/>
        <v>25</v>
      </c>
      <c r="F3955" s="703"/>
    </row>
    <row r="3956" spans="1:13" ht="12.75" customHeight="1">
      <c r="A3956" s="704" t="s">
        <v>1174</v>
      </c>
      <c r="B3956" s="705">
        <v>3.3000000000000002E-2</v>
      </c>
      <c r="C3956" s="700" t="s">
        <v>825</v>
      </c>
      <c r="D3956" s="708">
        <f>horm.ymez.!D9</f>
        <v>5853.53</v>
      </c>
      <c r="E3956" s="702">
        <f t="shared" si="306"/>
        <v>193.17</v>
      </c>
      <c r="F3956" s="703"/>
    </row>
    <row r="3957" spans="1:13" ht="12.75" customHeight="1">
      <c r="A3957" s="704" t="s">
        <v>1173</v>
      </c>
      <c r="B3957" s="705">
        <v>0.05</v>
      </c>
      <c r="C3957" s="700" t="s">
        <v>1018</v>
      </c>
      <c r="D3957" s="708">
        <f>Prec.!$C$82</f>
        <v>75</v>
      </c>
      <c r="E3957" s="702">
        <f t="shared" si="306"/>
        <v>3.75</v>
      </c>
      <c r="F3957" s="703"/>
    </row>
    <row r="3958" spans="1:13" ht="12.75" customHeight="1">
      <c r="A3958" s="704" t="s">
        <v>623</v>
      </c>
      <c r="B3958" s="705">
        <v>3</v>
      </c>
      <c r="C3958" s="700" t="s">
        <v>1017</v>
      </c>
      <c r="D3958" s="708">
        <f>Prec.!D490</f>
        <v>11.93</v>
      </c>
      <c r="E3958" s="702">
        <f t="shared" si="306"/>
        <v>35.79</v>
      </c>
      <c r="F3958" s="703"/>
    </row>
    <row r="3959" spans="1:13" ht="12.75" customHeight="1">
      <c r="A3959" s="704" t="s">
        <v>674</v>
      </c>
      <c r="B3959" s="705">
        <v>1</v>
      </c>
      <c r="C3959" s="700" t="s">
        <v>213</v>
      </c>
      <c r="D3959" s="708">
        <f>Prec.!C463</f>
        <v>500.84</v>
      </c>
      <c r="E3959" s="702">
        <f t="shared" si="306"/>
        <v>500.84</v>
      </c>
      <c r="F3959" s="703"/>
    </row>
    <row r="3960" spans="1:13" ht="12.75" customHeight="1">
      <c r="A3960" s="704" t="s">
        <v>1155</v>
      </c>
      <c r="B3960" s="705">
        <v>1</v>
      </c>
      <c r="C3960" s="700" t="s">
        <v>213</v>
      </c>
      <c r="D3960" s="708">
        <f>Prec.!$D$549</f>
        <v>8.34</v>
      </c>
      <c r="E3960" s="702">
        <f>ROUND(B3960*D3960,2)</f>
        <v>8.34</v>
      </c>
      <c r="F3960" s="703"/>
    </row>
    <row r="3961" spans="1:13" ht="12.75" customHeight="1">
      <c r="A3961" s="704" t="s">
        <v>1154</v>
      </c>
      <c r="B3961" s="705">
        <v>7.0000000000000007E-2</v>
      </c>
      <c r="C3961" s="700" t="s">
        <v>1172</v>
      </c>
      <c r="D3961" s="708">
        <f>Prec.!$D$562</f>
        <v>7.57</v>
      </c>
      <c r="E3961" s="702">
        <f t="shared" si="306"/>
        <v>0.53</v>
      </c>
      <c r="F3961" s="703"/>
    </row>
    <row r="3962" spans="1:13" ht="12.75" customHeight="1">
      <c r="A3962" s="704" t="s">
        <v>208</v>
      </c>
      <c r="B3962" s="711">
        <f>SUM(E3953:E3957)</f>
        <v>764.42</v>
      </c>
      <c r="C3962" s="700" t="s">
        <v>209</v>
      </c>
      <c r="D3962" s="708">
        <v>0.02</v>
      </c>
      <c r="E3962" s="702">
        <f t="shared" si="306"/>
        <v>15.29</v>
      </c>
      <c r="F3962" s="703">
        <f>SUM(E3953:E3962)</f>
        <v>1325.2099999999998</v>
      </c>
    </row>
    <row r="3963" spans="1:13" ht="12.75" customHeight="1">
      <c r="A3963" s="12"/>
      <c r="B3963" s="14"/>
      <c r="C3963" s="24"/>
      <c r="D3963" s="35"/>
      <c r="E3963" s="31"/>
      <c r="F3963" s="32"/>
    </row>
    <row r="3964" spans="1:13" s="166" customFormat="1" ht="12.75" customHeight="1">
      <c r="A3964" s="513" t="s">
        <v>4166</v>
      </c>
      <c r="B3964" s="505"/>
      <c r="C3964" s="506"/>
      <c r="D3964" s="507"/>
      <c r="E3964" s="514" t="s">
        <v>151</v>
      </c>
      <c r="F3964" s="515" t="s">
        <v>213</v>
      </c>
      <c r="G3964" s="15"/>
      <c r="H3964" s="21"/>
      <c r="I3964" s="15"/>
      <c r="J3964" s="15"/>
      <c r="K3964" s="15"/>
      <c r="L3964" s="21"/>
      <c r="M3964" s="15"/>
    </row>
    <row r="3965" spans="1:13" s="166" customFormat="1" ht="12.75" customHeight="1">
      <c r="A3965" s="512" t="s">
        <v>4167</v>
      </c>
      <c r="B3965" s="510">
        <v>1.05</v>
      </c>
      <c r="C3965" s="511" t="s">
        <v>213</v>
      </c>
      <c r="D3965" s="507">
        <v>1000</v>
      </c>
      <c r="E3965" s="508">
        <f t="shared" ref="E3965:E3974" si="307">ROUND(B3965*D3965,2)</f>
        <v>1050</v>
      </c>
      <c r="F3965" s="509"/>
      <c r="G3965" s="15"/>
      <c r="H3965" s="21"/>
      <c r="I3965" s="15"/>
      <c r="J3965" s="15"/>
      <c r="K3965" s="15"/>
      <c r="L3965" s="21"/>
      <c r="M3965" s="15"/>
    </row>
    <row r="3966" spans="1:13" s="166" customFormat="1" ht="12.75" customHeight="1">
      <c r="A3966" s="512" t="s">
        <v>673</v>
      </c>
      <c r="B3966" s="510">
        <v>7.0000000000000007E-2</v>
      </c>
      <c r="C3966" s="511" t="s">
        <v>1172</v>
      </c>
      <c r="D3966" s="507">
        <f>Prec.!$C$8</f>
        <v>250</v>
      </c>
      <c r="E3966" s="508">
        <f t="shared" si="307"/>
        <v>17.5</v>
      </c>
      <c r="F3966" s="509"/>
      <c r="G3966" s="15"/>
      <c r="H3966" s="21"/>
      <c r="I3966" s="15"/>
      <c r="J3966" s="15"/>
      <c r="K3966" s="15"/>
      <c r="L3966" s="21"/>
      <c r="M3966" s="15"/>
    </row>
    <row r="3967" spans="1:13" s="166" customFormat="1" ht="12.75" customHeight="1">
      <c r="A3967" s="512" t="s">
        <v>1117</v>
      </c>
      <c r="B3967" s="510">
        <v>0.1</v>
      </c>
      <c r="C3967" s="511" t="s">
        <v>1172</v>
      </c>
      <c r="D3967" s="507">
        <f>D3623</f>
        <v>603.04999999999995</v>
      </c>
      <c r="E3967" s="508">
        <f t="shared" si="307"/>
        <v>60.31</v>
      </c>
      <c r="F3967" s="509"/>
      <c r="G3967" s="15"/>
      <c r="H3967" s="21"/>
      <c r="I3967" s="15"/>
      <c r="J3967" s="15"/>
      <c r="K3967" s="15"/>
      <c r="L3967" s="21"/>
      <c r="M3967" s="15"/>
    </row>
    <row r="3968" spans="1:13" s="166" customFormat="1" ht="12.75" customHeight="1">
      <c r="A3968" s="512" t="s">
        <v>1174</v>
      </c>
      <c r="B3968" s="510">
        <v>3.3000000000000002E-2</v>
      </c>
      <c r="C3968" s="511" t="s">
        <v>825</v>
      </c>
      <c r="D3968" s="507">
        <f>D3956</f>
        <v>5853.53</v>
      </c>
      <c r="E3968" s="508">
        <f t="shared" si="307"/>
        <v>193.17</v>
      </c>
      <c r="F3968" s="509"/>
      <c r="G3968" s="15"/>
      <c r="H3968" s="21"/>
      <c r="I3968" s="15"/>
      <c r="J3968" s="15"/>
      <c r="K3968" s="15"/>
      <c r="L3968" s="21"/>
      <c r="M3968" s="15"/>
    </row>
    <row r="3969" spans="1:13" s="166" customFormat="1" ht="12.75" customHeight="1">
      <c r="A3969" s="512" t="s">
        <v>1173</v>
      </c>
      <c r="B3969" s="510">
        <v>0.05</v>
      </c>
      <c r="C3969" s="511" t="s">
        <v>1018</v>
      </c>
      <c r="D3969" s="507">
        <f t="shared" ref="D3969:D3972" si="308">D3957</f>
        <v>75</v>
      </c>
      <c r="E3969" s="508">
        <f t="shared" si="307"/>
        <v>3.75</v>
      </c>
      <c r="F3969" s="509"/>
      <c r="G3969" s="15"/>
      <c r="H3969" s="21"/>
      <c r="I3969" s="15"/>
      <c r="J3969" s="15"/>
      <c r="K3969" s="15"/>
      <c r="L3969" s="21"/>
      <c r="M3969" s="15"/>
    </row>
    <row r="3970" spans="1:13" s="166" customFormat="1" ht="12.75" customHeight="1">
      <c r="A3970" s="512" t="s">
        <v>623</v>
      </c>
      <c r="B3970" s="510">
        <v>3</v>
      </c>
      <c r="C3970" s="511" t="s">
        <v>1017</v>
      </c>
      <c r="D3970" s="507">
        <f>D3626</f>
        <v>58.61</v>
      </c>
      <c r="E3970" s="508">
        <f t="shared" si="307"/>
        <v>175.83</v>
      </c>
      <c r="F3970" s="509"/>
      <c r="G3970" s="15"/>
      <c r="H3970" s="21"/>
      <c r="I3970" s="15"/>
      <c r="J3970" s="15"/>
      <c r="K3970" s="15"/>
      <c r="L3970" s="21"/>
      <c r="M3970" s="15"/>
    </row>
    <row r="3971" spans="1:13" s="166" customFormat="1" ht="12.75" customHeight="1">
      <c r="A3971" s="512" t="s">
        <v>674</v>
      </c>
      <c r="B3971" s="510">
        <v>1</v>
      </c>
      <c r="C3971" s="511" t="s">
        <v>213</v>
      </c>
      <c r="D3971" s="507">
        <f>Prec.!C463</f>
        <v>500.84</v>
      </c>
      <c r="E3971" s="508">
        <f t="shared" si="307"/>
        <v>500.84</v>
      </c>
      <c r="F3971" s="509"/>
      <c r="G3971" s="15"/>
      <c r="H3971" s="21"/>
      <c r="I3971" s="15"/>
      <c r="J3971" s="15"/>
      <c r="K3971" s="15"/>
      <c r="L3971" s="21"/>
      <c r="M3971" s="15"/>
    </row>
    <row r="3972" spans="1:13" s="166" customFormat="1" ht="12.75" customHeight="1">
      <c r="A3972" s="512" t="s">
        <v>1155</v>
      </c>
      <c r="B3972" s="510">
        <v>1</v>
      </c>
      <c r="C3972" s="511" t="s">
        <v>213</v>
      </c>
      <c r="D3972" s="507">
        <f t="shared" si="308"/>
        <v>8.34</v>
      </c>
      <c r="E3972" s="508">
        <f t="shared" si="307"/>
        <v>8.34</v>
      </c>
      <c r="F3972" s="509"/>
      <c r="G3972" s="15"/>
      <c r="H3972" s="21"/>
      <c r="I3972" s="15"/>
      <c r="J3972" s="15"/>
      <c r="K3972" s="15"/>
      <c r="L3972" s="21"/>
      <c r="M3972" s="15"/>
    </row>
    <row r="3973" spans="1:13" s="166" customFormat="1" ht="12.75" customHeight="1">
      <c r="A3973" s="512" t="s">
        <v>1154</v>
      </c>
      <c r="B3973" s="510">
        <v>7.0000000000000007E-2</v>
      </c>
      <c r="C3973" s="511" t="s">
        <v>1172</v>
      </c>
      <c r="D3973" s="507">
        <f>D3961</f>
        <v>7.57</v>
      </c>
      <c r="E3973" s="508">
        <f t="shared" si="307"/>
        <v>0.53</v>
      </c>
      <c r="F3973" s="509"/>
      <c r="G3973" s="15"/>
      <c r="H3973" s="21"/>
      <c r="I3973" s="15"/>
      <c r="J3973" s="15"/>
      <c r="K3973" s="15"/>
      <c r="L3973" s="21"/>
      <c r="M3973" s="15"/>
    </row>
    <row r="3974" spans="1:13" s="166" customFormat="1" ht="12.75" customHeight="1">
      <c r="A3974" s="512" t="s">
        <v>208</v>
      </c>
      <c r="B3974" s="516">
        <f>SUM(E3965:E3969)</f>
        <v>1324.73</v>
      </c>
      <c r="C3974" s="511" t="s">
        <v>209</v>
      </c>
      <c r="D3974" s="507">
        <v>0.02</v>
      </c>
      <c r="E3974" s="508">
        <f t="shared" si="307"/>
        <v>26.49</v>
      </c>
      <c r="F3974" s="509">
        <f>SUM(E3965:E3974)</f>
        <v>2036.7599999999998</v>
      </c>
      <c r="G3974" s="15"/>
      <c r="H3974" s="21"/>
      <c r="I3974" s="15"/>
      <c r="J3974" s="15"/>
      <c r="K3974" s="15"/>
      <c r="L3974" s="21"/>
      <c r="M3974" s="15"/>
    </row>
    <row r="3975" spans="1:13" s="166" customFormat="1" ht="12.75" customHeight="1">
      <c r="A3975" s="12"/>
      <c r="B3975" s="14"/>
      <c r="C3975" s="24"/>
      <c r="D3975" s="35"/>
      <c r="E3975" s="31"/>
      <c r="F3975" s="32"/>
      <c r="G3975" s="15"/>
      <c r="H3975" s="21"/>
      <c r="I3975" s="15"/>
      <c r="J3975" s="15"/>
      <c r="K3975" s="15"/>
      <c r="L3975" s="21"/>
      <c r="M3975" s="15"/>
    </row>
    <row r="3976" spans="1:13" s="166" customFormat="1" ht="12.75" customHeight="1">
      <c r="A3976" s="12"/>
      <c r="B3976" s="14"/>
      <c r="C3976" s="24"/>
      <c r="D3976" s="35"/>
      <c r="E3976" s="31"/>
      <c r="F3976" s="32"/>
      <c r="G3976" s="15"/>
      <c r="H3976" s="21"/>
      <c r="I3976" s="15"/>
      <c r="J3976" s="15"/>
      <c r="K3976" s="15"/>
      <c r="L3976" s="21"/>
      <c r="M3976" s="15"/>
    </row>
    <row r="3977" spans="1:13" s="166" customFormat="1" ht="12.75" customHeight="1">
      <c r="A3977" s="12"/>
      <c r="B3977" s="14"/>
      <c r="C3977" s="24"/>
      <c r="D3977" s="35"/>
      <c r="E3977" s="31"/>
      <c r="F3977" s="32"/>
      <c r="G3977" s="15"/>
      <c r="H3977" s="21"/>
      <c r="I3977" s="15"/>
      <c r="J3977" s="15"/>
      <c r="K3977" s="15"/>
      <c r="L3977" s="21"/>
      <c r="M3977" s="15"/>
    </row>
    <row r="3978" spans="1:13" s="166" customFormat="1" ht="12.75" customHeight="1">
      <c r="A3978" s="12"/>
      <c r="B3978" s="14"/>
      <c r="C3978" s="24"/>
      <c r="D3978" s="35"/>
      <c r="E3978" s="31"/>
      <c r="F3978" s="32"/>
      <c r="G3978" s="15"/>
      <c r="H3978" s="21"/>
      <c r="I3978" s="15"/>
      <c r="J3978" s="15"/>
      <c r="K3978" s="15"/>
      <c r="L3978" s="21"/>
      <c r="M3978" s="15"/>
    </row>
    <row r="3979" spans="1:13" s="166" customFormat="1" ht="12.75" customHeight="1">
      <c r="A3979" s="12"/>
      <c r="B3979" s="14"/>
      <c r="C3979" s="24"/>
      <c r="D3979" s="35"/>
      <c r="E3979" s="31"/>
      <c r="F3979" s="32"/>
      <c r="G3979" s="15"/>
      <c r="H3979" s="21"/>
      <c r="I3979" s="15"/>
      <c r="J3979" s="15"/>
      <c r="K3979" s="15"/>
      <c r="L3979" s="21"/>
      <c r="M3979" s="15"/>
    </row>
    <row r="3980" spans="1:13" ht="12.75" customHeight="1">
      <c r="A3980" s="13" t="s">
        <v>46</v>
      </c>
      <c r="B3980" s="42"/>
      <c r="C3980" s="29"/>
      <c r="D3980" s="35"/>
      <c r="E3980" s="43" t="s">
        <v>151</v>
      </c>
      <c r="F3980" s="44" t="s">
        <v>213</v>
      </c>
    </row>
    <row r="3981" spans="1:13" ht="12.75" customHeight="1">
      <c r="A3981" s="12" t="s">
        <v>1146</v>
      </c>
      <c r="B3981" s="30">
        <v>1.05</v>
      </c>
      <c r="C3981" s="24" t="s">
        <v>213</v>
      </c>
      <c r="D3981" s="35">
        <f>Prec.!$C$112</f>
        <v>295</v>
      </c>
      <c r="E3981" s="31">
        <f t="shared" ref="E3981:E3990" si="309">ROUND(B3981*D3981,2)</f>
        <v>309.75</v>
      </c>
      <c r="F3981" s="32"/>
    </row>
    <row r="3982" spans="1:13" ht="12.75" customHeight="1">
      <c r="A3982" s="12" t="s">
        <v>673</v>
      </c>
      <c r="B3982" s="30">
        <v>7.0000000000000007E-2</v>
      </c>
      <c r="C3982" s="24" t="s">
        <v>1172</v>
      </c>
      <c r="D3982" s="35">
        <f>Prec.!$C$8</f>
        <v>250</v>
      </c>
      <c r="E3982" s="31">
        <f t="shared" si="309"/>
        <v>17.5</v>
      </c>
      <c r="F3982" s="32"/>
    </row>
    <row r="3983" spans="1:13" ht="12.75" customHeight="1">
      <c r="A3983" s="12" t="s">
        <v>1174</v>
      </c>
      <c r="B3983" s="30">
        <v>3.3000000000000002E-2</v>
      </c>
      <c r="C3983" s="24" t="s">
        <v>825</v>
      </c>
      <c r="D3983" s="35">
        <f>D3943</f>
        <v>5853.53</v>
      </c>
      <c r="E3983" s="31">
        <f t="shared" si="309"/>
        <v>193.17</v>
      </c>
      <c r="F3983" s="32"/>
    </row>
    <row r="3984" spans="1:13" ht="12.75" customHeight="1">
      <c r="A3984" s="12" t="s">
        <v>1117</v>
      </c>
      <c r="B3984" s="30">
        <v>0.1</v>
      </c>
      <c r="C3984" s="24" t="s">
        <v>1172</v>
      </c>
      <c r="D3984" s="35">
        <f>D3955</f>
        <v>250</v>
      </c>
      <c r="E3984" s="31">
        <f t="shared" si="309"/>
        <v>25</v>
      </c>
      <c r="F3984" s="32"/>
    </row>
    <row r="3985" spans="1:6" ht="12.75" customHeight="1">
      <c r="A3985" s="12" t="s">
        <v>1173</v>
      </c>
      <c r="B3985" s="30">
        <v>0.05</v>
      </c>
      <c r="C3985" s="24" t="s">
        <v>1018</v>
      </c>
      <c r="D3985" s="35">
        <f>Prec.!$C$82</f>
        <v>75</v>
      </c>
      <c r="E3985" s="31">
        <f t="shared" si="309"/>
        <v>3.75</v>
      </c>
      <c r="F3985" s="32"/>
    </row>
    <row r="3986" spans="1:6" ht="12.75" customHeight="1">
      <c r="A3986" s="12" t="s">
        <v>623</v>
      </c>
      <c r="B3986" s="30">
        <v>3</v>
      </c>
      <c r="C3986" s="24" t="s">
        <v>1017</v>
      </c>
      <c r="D3986" s="35">
        <f>D3958</f>
        <v>11.93</v>
      </c>
      <c r="E3986" s="31">
        <f t="shared" si="309"/>
        <v>35.79</v>
      </c>
      <c r="F3986" s="32"/>
    </row>
    <row r="3987" spans="1:6" ht="12.75" customHeight="1">
      <c r="A3987" s="12" t="s">
        <v>674</v>
      </c>
      <c r="B3987" s="30">
        <v>1</v>
      </c>
      <c r="C3987" s="24" t="s">
        <v>213</v>
      </c>
      <c r="D3987" s="35">
        <f>Prec.!$D$459</f>
        <v>0</v>
      </c>
      <c r="E3987" s="31">
        <f t="shared" si="309"/>
        <v>0</v>
      </c>
      <c r="F3987" s="32"/>
    </row>
    <row r="3988" spans="1:6" ht="12.75" customHeight="1">
      <c r="A3988" s="12" t="s">
        <v>1155</v>
      </c>
      <c r="B3988" s="30">
        <v>1</v>
      </c>
      <c r="C3988" s="24" t="s">
        <v>213</v>
      </c>
      <c r="D3988" s="35">
        <f>Prec.!$D$549</f>
        <v>8.34</v>
      </c>
      <c r="E3988" s="31">
        <f t="shared" si="309"/>
        <v>8.34</v>
      </c>
      <c r="F3988" s="32"/>
    </row>
    <row r="3989" spans="1:6" ht="12.75" customHeight="1">
      <c r="A3989" s="12" t="s">
        <v>1154</v>
      </c>
      <c r="B3989" s="30">
        <v>7.0000000000000007E-2</v>
      </c>
      <c r="C3989" s="24" t="s">
        <v>1172</v>
      </c>
      <c r="D3989" s="35">
        <f>Prec.!$D$562</f>
        <v>7.57</v>
      </c>
      <c r="E3989" s="31">
        <f t="shared" si="309"/>
        <v>0.53</v>
      </c>
      <c r="F3989" s="32"/>
    </row>
    <row r="3990" spans="1:6" ht="12.75" customHeight="1">
      <c r="A3990" s="12" t="s">
        <v>208</v>
      </c>
      <c r="B3990" s="14">
        <f>SUM(E3981:E3989)</f>
        <v>593.82999999999993</v>
      </c>
      <c r="C3990" s="24" t="s">
        <v>209</v>
      </c>
      <c r="D3990" s="35">
        <f>Prec.!C302</f>
        <v>1.4999999999999999E-2</v>
      </c>
      <c r="E3990" s="31">
        <f t="shared" si="309"/>
        <v>8.91</v>
      </c>
      <c r="F3990" s="32">
        <f>SUM(E3981:E3990)</f>
        <v>602.7399999999999</v>
      </c>
    </row>
    <row r="3991" spans="1:6" ht="12.75" customHeight="1">
      <c r="A3991" s="12"/>
      <c r="B3991" s="14"/>
      <c r="C3991" s="24"/>
      <c r="D3991" s="35"/>
      <c r="E3991" s="31"/>
      <c r="F3991" s="32"/>
    </row>
    <row r="3992" spans="1:6" ht="12.75" customHeight="1">
      <c r="A3992" s="12"/>
      <c r="B3992" s="14"/>
      <c r="C3992" s="24"/>
      <c r="D3992" s="35"/>
      <c r="E3992" s="31"/>
      <c r="F3992" s="32"/>
    </row>
    <row r="3993" spans="1:6" ht="12.75" customHeight="1">
      <c r="A3993" s="12"/>
      <c r="B3993" s="14"/>
      <c r="C3993" s="24"/>
      <c r="D3993" s="35"/>
      <c r="E3993" s="31"/>
      <c r="F3993" s="32"/>
    </row>
    <row r="3994" spans="1:6" ht="12.75" customHeight="1">
      <c r="A3994" s="13" t="s">
        <v>200</v>
      </c>
      <c r="B3994" s="42"/>
      <c r="C3994" s="29"/>
      <c r="D3994" s="35"/>
      <c r="E3994" s="43" t="s">
        <v>151</v>
      </c>
      <c r="F3994" s="44" t="s">
        <v>213</v>
      </c>
    </row>
    <row r="3995" spans="1:6" ht="12.75" customHeight="1">
      <c r="A3995" s="12" t="s">
        <v>1147</v>
      </c>
      <c r="B3995" s="30">
        <v>1.05</v>
      </c>
      <c r="C3995" s="24" t="s">
        <v>213</v>
      </c>
      <c r="D3995" s="35">
        <f>Prec.!$C$114</f>
        <v>285</v>
      </c>
      <c r="E3995" s="31">
        <f t="shared" ref="E3995:E4004" si="310">ROUND(B3995*D3995,2)</f>
        <v>299.25</v>
      </c>
      <c r="F3995" s="32"/>
    </row>
    <row r="3996" spans="1:6" ht="12.75" customHeight="1">
      <c r="A3996" s="12" t="s">
        <v>673</v>
      </c>
      <c r="B3996" s="30">
        <v>7.0000000000000007E-2</v>
      </c>
      <c r="C3996" s="24" t="s">
        <v>1172</v>
      </c>
      <c r="D3996" s="35">
        <f>Prec.!$C$8</f>
        <v>250</v>
      </c>
      <c r="E3996" s="31">
        <f t="shared" si="310"/>
        <v>17.5</v>
      </c>
      <c r="F3996" s="32"/>
    </row>
    <row r="3997" spans="1:6" ht="12.75" customHeight="1">
      <c r="A3997" s="12" t="s">
        <v>1174</v>
      </c>
      <c r="B3997" s="30">
        <v>3.3000000000000002E-2</v>
      </c>
      <c r="C3997" s="24" t="s">
        <v>825</v>
      </c>
      <c r="D3997" s="35">
        <f>D3983</f>
        <v>5853.53</v>
      </c>
      <c r="E3997" s="31">
        <f t="shared" si="310"/>
        <v>193.17</v>
      </c>
      <c r="F3997" s="32"/>
    </row>
    <row r="3998" spans="1:6" ht="12.75" customHeight="1">
      <c r="A3998" s="12" t="s">
        <v>1117</v>
      </c>
      <c r="B3998" s="30">
        <v>0.1</v>
      </c>
      <c r="C3998" s="24" t="s">
        <v>1172</v>
      </c>
      <c r="D3998" s="35">
        <f>D3984</f>
        <v>250</v>
      </c>
      <c r="E3998" s="31">
        <f t="shared" si="310"/>
        <v>25</v>
      </c>
      <c r="F3998" s="32"/>
    </row>
    <row r="3999" spans="1:6" ht="12.75" customHeight="1">
      <c r="A3999" s="12" t="s">
        <v>1173</v>
      </c>
      <c r="B3999" s="30">
        <v>0.05</v>
      </c>
      <c r="C3999" s="24" t="s">
        <v>1018</v>
      </c>
      <c r="D3999" s="35">
        <f>Prec.!$C$82</f>
        <v>75</v>
      </c>
      <c r="E3999" s="31">
        <f t="shared" si="310"/>
        <v>3.75</v>
      </c>
      <c r="F3999" s="32"/>
    </row>
    <row r="4000" spans="1:6" ht="12.75" customHeight="1">
      <c r="A4000" s="12" t="s">
        <v>623</v>
      </c>
      <c r="B4000" s="30">
        <v>3</v>
      </c>
      <c r="C4000" s="24" t="s">
        <v>1017</v>
      </c>
      <c r="D4000" s="35">
        <f>Prec.!D488</f>
        <v>5.97</v>
      </c>
      <c r="E4000" s="31">
        <f t="shared" si="310"/>
        <v>17.91</v>
      </c>
      <c r="F4000" s="32"/>
    </row>
    <row r="4001" spans="1:6" ht="12.75" customHeight="1">
      <c r="A4001" s="12" t="s">
        <v>674</v>
      </c>
      <c r="B4001" s="30">
        <v>1</v>
      </c>
      <c r="C4001" s="24" t="s">
        <v>213</v>
      </c>
      <c r="D4001" s="35">
        <f>Prec.!$D$462</f>
        <v>311.49</v>
      </c>
      <c r="E4001" s="31">
        <f t="shared" si="310"/>
        <v>311.49</v>
      </c>
      <c r="F4001" s="32"/>
    </row>
    <row r="4002" spans="1:6" ht="12.75" customHeight="1">
      <c r="A4002" s="12" t="s">
        <v>1155</v>
      </c>
      <c r="B4002" s="30">
        <v>1</v>
      </c>
      <c r="C4002" s="24" t="s">
        <v>213</v>
      </c>
      <c r="D4002" s="35">
        <f>Prec.!$D$549</f>
        <v>8.34</v>
      </c>
      <c r="E4002" s="31">
        <f t="shared" si="310"/>
        <v>8.34</v>
      </c>
      <c r="F4002" s="32"/>
    </row>
    <row r="4003" spans="1:6" ht="12.75" customHeight="1">
      <c r="A4003" s="12" t="s">
        <v>1154</v>
      </c>
      <c r="B4003" s="30">
        <v>7.0000000000000007E-2</v>
      </c>
      <c r="C4003" s="24" t="s">
        <v>1172</v>
      </c>
      <c r="D4003" s="35">
        <f>Prec.!$D$562</f>
        <v>7.57</v>
      </c>
      <c r="E4003" s="31">
        <f t="shared" si="310"/>
        <v>0.53</v>
      </c>
      <c r="F4003" s="32"/>
    </row>
    <row r="4004" spans="1:6" ht="12.75" customHeight="1">
      <c r="A4004" s="12" t="s">
        <v>208</v>
      </c>
      <c r="B4004" s="14">
        <f>SUM(E3995:E4003)</f>
        <v>876.93999999999994</v>
      </c>
      <c r="C4004" s="24" t="s">
        <v>209</v>
      </c>
      <c r="D4004" s="35">
        <f>Prec.!C302</f>
        <v>1.4999999999999999E-2</v>
      </c>
      <c r="E4004" s="31">
        <f t="shared" si="310"/>
        <v>13.15</v>
      </c>
      <c r="F4004" s="32">
        <f>SUM(E3995:E4004)</f>
        <v>890.08999999999992</v>
      </c>
    </row>
    <row r="4005" spans="1:6" ht="12.75" customHeight="1">
      <c r="A4005" s="12"/>
      <c r="B4005" s="14"/>
      <c r="C4005" s="24"/>
      <c r="D4005" s="35"/>
      <c r="E4005" s="31"/>
      <c r="F4005" s="32"/>
    </row>
    <row r="4006" spans="1:6" ht="12.75" customHeight="1">
      <c r="A4006" s="13" t="s">
        <v>201</v>
      </c>
      <c r="B4006" s="42"/>
      <c r="C4006" s="29"/>
      <c r="D4006" s="35"/>
      <c r="E4006" s="43" t="s">
        <v>151</v>
      </c>
      <c r="F4006" s="44" t="s">
        <v>213</v>
      </c>
    </row>
    <row r="4007" spans="1:6" ht="12.75" customHeight="1">
      <c r="A4007" s="12" t="s">
        <v>1312</v>
      </c>
      <c r="B4007" s="30">
        <v>1.05</v>
      </c>
      <c r="C4007" s="24" t="s">
        <v>213</v>
      </c>
      <c r="D4007" s="35">
        <f>Prec.!$C$107</f>
        <v>1986</v>
      </c>
      <c r="E4007" s="31">
        <f t="shared" ref="E4007:E4015" si="311">ROUND(B4007*D4007,2)</f>
        <v>2085.3000000000002</v>
      </c>
      <c r="F4007" s="32"/>
    </row>
    <row r="4008" spans="1:6" ht="12.75" customHeight="1">
      <c r="A4008" s="12" t="s">
        <v>673</v>
      </c>
      <c r="B4008" s="30">
        <v>7.0000000000000007E-2</v>
      </c>
      <c r="C4008" s="24" t="s">
        <v>1172</v>
      </c>
      <c r="D4008" s="35">
        <f>Prec.!$C$8</f>
        <v>250</v>
      </c>
      <c r="E4008" s="31">
        <f t="shared" si="311"/>
        <v>17.5</v>
      </c>
      <c r="F4008" s="32"/>
    </row>
    <row r="4009" spans="1:6" ht="12.75" customHeight="1">
      <c r="A4009" s="12" t="s">
        <v>1174</v>
      </c>
      <c r="B4009" s="30">
        <v>3.3000000000000002E-2</v>
      </c>
      <c r="C4009" s="24" t="s">
        <v>825</v>
      </c>
      <c r="D4009" s="35">
        <f>D3983</f>
        <v>5853.53</v>
      </c>
      <c r="E4009" s="31">
        <f t="shared" si="311"/>
        <v>193.17</v>
      </c>
      <c r="F4009" s="32"/>
    </row>
    <row r="4010" spans="1:6" ht="12.75" customHeight="1">
      <c r="A4010" s="12" t="s">
        <v>1173</v>
      </c>
      <c r="B4010" s="30">
        <v>0.05</v>
      </c>
      <c r="C4010" s="24" t="s">
        <v>1018</v>
      </c>
      <c r="D4010" s="35">
        <f>Prec.!$C$82</f>
        <v>75</v>
      </c>
      <c r="E4010" s="31">
        <f t="shared" si="311"/>
        <v>3.75</v>
      </c>
      <c r="F4010" s="32"/>
    </row>
    <row r="4011" spans="1:6" ht="12.75" customHeight="1">
      <c r="A4011" s="12" t="s">
        <v>688</v>
      </c>
      <c r="B4011" s="30">
        <v>3</v>
      </c>
      <c r="C4011" s="24" t="s">
        <v>1017</v>
      </c>
      <c r="D4011" s="35">
        <f>Prec.!D491</f>
        <v>11.93</v>
      </c>
      <c r="E4011" s="31">
        <f t="shared" si="311"/>
        <v>35.79</v>
      </c>
      <c r="F4011" s="32"/>
    </row>
    <row r="4012" spans="1:6" ht="12.75" customHeight="1">
      <c r="A4012" s="12" t="s">
        <v>674</v>
      </c>
      <c r="B4012" s="30">
        <v>1</v>
      </c>
      <c r="C4012" s="24" t="s">
        <v>213</v>
      </c>
      <c r="D4012" s="35">
        <f>Prec.!$D$464</f>
        <v>0</v>
      </c>
      <c r="E4012" s="31">
        <f t="shared" si="311"/>
        <v>0</v>
      </c>
      <c r="F4012" s="32"/>
    </row>
    <row r="4013" spans="1:6" ht="12.75" customHeight="1">
      <c r="A4013" s="12" t="s">
        <v>685</v>
      </c>
      <c r="B4013" s="30">
        <v>1</v>
      </c>
      <c r="C4013" s="24" t="s">
        <v>213</v>
      </c>
      <c r="D4013" s="35">
        <f>Prec.!$D$446</f>
        <v>261</v>
      </c>
      <c r="E4013" s="31">
        <f t="shared" si="311"/>
        <v>261</v>
      </c>
      <c r="F4013" s="32"/>
    </row>
    <row r="4014" spans="1:6" ht="12.75" customHeight="1">
      <c r="A4014" s="12" t="s">
        <v>1155</v>
      </c>
      <c r="B4014" s="30">
        <v>1</v>
      </c>
      <c r="C4014" s="24" t="s">
        <v>213</v>
      </c>
      <c r="D4014" s="35">
        <f>Prec.!$D$549</f>
        <v>8.34</v>
      </c>
      <c r="E4014" s="31">
        <f t="shared" si="311"/>
        <v>8.34</v>
      </c>
      <c r="F4014" s="32"/>
    </row>
    <row r="4015" spans="1:6" ht="12.75" customHeight="1">
      <c r="A4015" s="12" t="s">
        <v>1154</v>
      </c>
      <c r="B4015" s="30">
        <v>7.0000000000000007E-2</v>
      </c>
      <c r="C4015" s="24" t="s">
        <v>1172</v>
      </c>
      <c r="D4015" s="35">
        <f>Prec.!$D$562</f>
        <v>7.57</v>
      </c>
      <c r="E4015" s="31">
        <f t="shared" si="311"/>
        <v>0.53</v>
      </c>
      <c r="F4015" s="32"/>
    </row>
    <row r="4016" spans="1:6" ht="12.75" customHeight="1">
      <c r="A4016" s="12" t="s">
        <v>208</v>
      </c>
      <c r="B4016" s="14">
        <f>SUM(E4007:E4015)</f>
        <v>2605.3800000000006</v>
      </c>
      <c r="C4016" s="24" t="s">
        <v>209</v>
      </c>
      <c r="D4016" s="35">
        <f>Prec.!C302</f>
        <v>1.4999999999999999E-2</v>
      </c>
      <c r="E4016" s="31">
        <f>ROUND(B4016*D4016,2)</f>
        <v>39.08</v>
      </c>
      <c r="F4016" s="32">
        <f>SUM(E4007:E4016)</f>
        <v>2644.4600000000005</v>
      </c>
    </row>
    <row r="4017" spans="1:6" ht="12.75" customHeight="1">
      <c r="A4017" s="12"/>
      <c r="B4017" s="14"/>
      <c r="C4017" s="24"/>
      <c r="D4017" s="35"/>
      <c r="E4017" s="31"/>
      <c r="F4017" s="32"/>
    </row>
    <row r="4018" spans="1:6" ht="12.75" customHeight="1">
      <c r="A4018" s="13" t="s">
        <v>330</v>
      </c>
      <c r="B4018" s="14"/>
      <c r="C4018" s="24"/>
      <c r="D4018" s="35"/>
      <c r="E4018" s="31"/>
      <c r="F4018" s="32"/>
    </row>
    <row r="4019" spans="1:6" ht="12.75" customHeight="1">
      <c r="A4019" s="12" t="s">
        <v>191</v>
      </c>
      <c r="B4019" s="57">
        <v>5.0000000000000001E-3</v>
      </c>
      <c r="C4019" s="24" t="s">
        <v>1228</v>
      </c>
      <c r="D4019" s="35">
        <f>Prec.!C28</f>
        <v>200</v>
      </c>
      <c r="E4019" s="31">
        <f t="shared" ref="E4019:E4028" si="312">ROUND(B4019*D4019,2)</f>
        <v>1</v>
      </c>
      <c r="F4019" s="32"/>
    </row>
    <row r="4020" spans="1:6" ht="12.75" customHeight="1">
      <c r="A4020" s="12" t="s">
        <v>792</v>
      </c>
      <c r="B4020" s="57">
        <v>50</v>
      </c>
      <c r="C4020" s="24" t="s">
        <v>1017</v>
      </c>
      <c r="D4020" s="35">
        <f>Prec.!C131</f>
        <v>10.82</v>
      </c>
      <c r="E4020" s="31">
        <f t="shared" si="312"/>
        <v>541</v>
      </c>
      <c r="F4020" s="32"/>
    </row>
    <row r="4021" spans="1:6" ht="12.75" customHeight="1">
      <c r="A4021" s="12" t="s">
        <v>796</v>
      </c>
      <c r="B4021" s="57">
        <v>4.4999999999999998E-2</v>
      </c>
      <c r="C4021" s="24" t="s">
        <v>1172</v>
      </c>
      <c r="D4021" s="35">
        <f>Prec.!C7</f>
        <v>250</v>
      </c>
      <c r="E4021" s="31">
        <f t="shared" si="312"/>
        <v>11.25</v>
      </c>
      <c r="F4021" s="32"/>
    </row>
    <row r="4022" spans="1:6" ht="12.75" customHeight="1">
      <c r="A4022" s="12" t="s">
        <v>1173</v>
      </c>
      <c r="B4022" s="57">
        <v>0.05</v>
      </c>
      <c r="C4022" s="24" t="s">
        <v>218</v>
      </c>
      <c r="D4022" s="35">
        <f>Prec.!C82</f>
        <v>75</v>
      </c>
      <c r="E4022" s="31">
        <f t="shared" si="312"/>
        <v>3.75</v>
      </c>
      <c r="F4022" s="32"/>
    </row>
    <row r="4023" spans="1:6" ht="12.75" customHeight="1">
      <c r="A4023" s="12" t="s">
        <v>793</v>
      </c>
      <c r="B4023" s="57">
        <v>7.0000000000000001E-3</v>
      </c>
      <c r="C4023" s="24" t="s">
        <v>825</v>
      </c>
      <c r="D4023" s="35">
        <f>horm.ymez.!D14</f>
        <v>5373.880000000001</v>
      </c>
      <c r="E4023" s="31">
        <f t="shared" si="312"/>
        <v>37.619999999999997</v>
      </c>
      <c r="F4023" s="32"/>
    </row>
    <row r="4024" spans="1:6" ht="12.75" customHeight="1">
      <c r="A4024" s="12" t="s">
        <v>794</v>
      </c>
      <c r="B4024" s="57">
        <v>1</v>
      </c>
      <c r="C4024" s="24" t="s">
        <v>213</v>
      </c>
      <c r="D4024" s="35">
        <f>Prec.!D468</f>
        <v>0</v>
      </c>
      <c r="E4024" s="31">
        <f t="shared" si="312"/>
        <v>0</v>
      </c>
      <c r="F4024" s="32"/>
    </row>
    <row r="4025" spans="1:6" ht="12.75" customHeight="1">
      <c r="A4025" s="12" t="s">
        <v>795</v>
      </c>
      <c r="B4025" s="57">
        <v>3</v>
      </c>
      <c r="C4025" s="24" t="s">
        <v>1017</v>
      </c>
      <c r="D4025" s="35">
        <f>Prec.!D494</f>
        <v>11.93</v>
      </c>
      <c r="E4025" s="31">
        <f t="shared" si="312"/>
        <v>35.79</v>
      </c>
      <c r="F4025" s="32"/>
    </row>
    <row r="4026" spans="1:6" ht="12.75" customHeight="1">
      <c r="A4026" s="12" t="s">
        <v>328</v>
      </c>
      <c r="B4026" s="57">
        <v>50</v>
      </c>
      <c r="C4026" s="24" t="s">
        <v>1017</v>
      </c>
      <c r="D4026" s="35">
        <f>Prec.!D580</f>
        <v>0.3</v>
      </c>
      <c r="E4026" s="31">
        <f t="shared" si="312"/>
        <v>15</v>
      </c>
      <c r="F4026" s="32"/>
    </row>
    <row r="4027" spans="1:6" ht="12.75" customHeight="1">
      <c r="A4027" s="12" t="s">
        <v>329</v>
      </c>
      <c r="B4027" s="57">
        <v>4.4999999999999998E-2</v>
      </c>
      <c r="C4027" s="24" t="s">
        <v>1172</v>
      </c>
      <c r="D4027" s="35">
        <f>Prec.!D562</f>
        <v>7.57</v>
      </c>
      <c r="E4027" s="31">
        <f t="shared" si="312"/>
        <v>0.34</v>
      </c>
      <c r="F4027" s="32"/>
    </row>
    <row r="4028" spans="1:6" ht="12.75" customHeight="1">
      <c r="A4028" s="12" t="s">
        <v>208</v>
      </c>
      <c r="B4028" s="57">
        <f>SUM(E4019:E4027)</f>
        <v>645.75</v>
      </c>
      <c r="C4028" s="24" t="s">
        <v>209</v>
      </c>
      <c r="D4028" s="35">
        <f>D4016</f>
        <v>1.4999999999999999E-2</v>
      </c>
      <c r="E4028" s="31">
        <f t="shared" si="312"/>
        <v>9.69</v>
      </c>
      <c r="F4028" s="32">
        <f>SUM(E4019:E4028)</f>
        <v>655.44</v>
      </c>
    </row>
    <row r="4029" spans="1:6" ht="12.75" customHeight="1">
      <c r="A4029" s="12"/>
      <c r="B4029" s="14"/>
      <c r="C4029" s="24"/>
      <c r="D4029" s="35"/>
      <c r="E4029" s="31"/>
      <c r="F4029" s="32"/>
    </row>
    <row r="4030" spans="1:6" ht="12.75" customHeight="1">
      <c r="A4030" s="13" t="s">
        <v>442</v>
      </c>
      <c r="B4030" s="14"/>
      <c r="C4030" s="24"/>
      <c r="D4030" s="35"/>
      <c r="E4030" s="31"/>
      <c r="F4030" s="32"/>
    </row>
    <row r="4031" spans="1:6" ht="12.75" customHeight="1">
      <c r="A4031" s="12" t="s">
        <v>765</v>
      </c>
      <c r="B4031" s="57">
        <v>4.4999999999999998E-2</v>
      </c>
      <c r="C4031" s="24" t="s">
        <v>1172</v>
      </c>
      <c r="D4031" s="35">
        <f>Prec.!C5</f>
        <v>425</v>
      </c>
      <c r="E4031" s="31">
        <f t="shared" ref="E4031:E4041" si="313">ROUND(B4031*D4031,2)</f>
        <v>19.13</v>
      </c>
      <c r="F4031" s="32"/>
    </row>
    <row r="4032" spans="1:6" ht="12.75" customHeight="1">
      <c r="A4032" s="12" t="s">
        <v>2</v>
      </c>
      <c r="B4032" s="57">
        <v>0.04</v>
      </c>
      <c r="C4032" s="24" t="s">
        <v>1172</v>
      </c>
      <c r="D4032" s="35">
        <f>Prec.!C6</f>
        <v>900</v>
      </c>
      <c r="E4032" s="31">
        <f t="shared" si="313"/>
        <v>36</v>
      </c>
      <c r="F4032" s="32"/>
    </row>
    <row r="4033" spans="1:6" ht="12.75" customHeight="1">
      <c r="A4033" s="12" t="s">
        <v>183</v>
      </c>
      <c r="B4033" s="57">
        <v>8.7999999999999995E-2</v>
      </c>
      <c r="C4033" s="24" t="s">
        <v>211</v>
      </c>
      <c r="D4033" s="35">
        <f>D3897</f>
        <v>38</v>
      </c>
      <c r="E4033" s="31">
        <f t="shared" si="313"/>
        <v>3.34</v>
      </c>
      <c r="F4033" s="32"/>
    </row>
    <row r="4034" spans="1:6" ht="12.75" customHeight="1">
      <c r="A4034" s="12" t="s">
        <v>368</v>
      </c>
      <c r="B4034" s="57">
        <v>0.25</v>
      </c>
      <c r="C4034" s="24" t="s">
        <v>1017</v>
      </c>
      <c r="D4034" s="35">
        <f>Prec.!C83</f>
        <v>50</v>
      </c>
      <c r="E4034" s="31">
        <f t="shared" si="313"/>
        <v>12.5</v>
      </c>
      <c r="F4034" s="32"/>
    </row>
    <row r="4035" spans="1:6" ht="12.75" customHeight="1">
      <c r="A4035" s="12" t="s">
        <v>427</v>
      </c>
      <c r="B4035" s="57">
        <v>2.1999999999999999E-2</v>
      </c>
      <c r="C4035" s="24" t="s">
        <v>825</v>
      </c>
      <c r="D4035" s="35">
        <f>horm.ymez.!D8</f>
        <v>6851.01</v>
      </c>
      <c r="E4035" s="31">
        <f t="shared" si="313"/>
        <v>150.72</v>
      </c>
      <c r="F4035" s="32"/>
    </row>
    <row r="4036" spans="1:6" ht="12.75" customHeight="1">
      <c r="A4036" s="12" t="s">
        <v>793</v>
      </c>
      <c r="B4036" s="57">
        <v>8.4000000000000005E-2</v>
      </c>
      <c r="C4036" s="24" t="s">
        <v>825</v>
      </c>
      <c r="D4036" s="35">
        <f>horm.ymez.!D14</f>
        <v>5373.880000000001</v>
      </c>
      <c r="E4036" s="31">
        <f t="shared" si="313"/>
        <v>451.41</v>
      </c>
      <c r="F4036" s="32"/>
    </row>
    <row r="4037" spans="1:6" ht="12.75" customHeight="1">
      <c r="A4037" s="12" t="s">
        <v>331</v>
      </c>
      <c r="B4037" s="57">
        <v>0.8</v>
      </c>
      <c r="C4037" s="24" t="s">
        <v>1171</v>
      </c>
      <c r="D4037" s="35">
        <f>D3475</f>
        <v>0</v>
      </c>
      <c r="E4037" s="31">
        <f t="shared" si="313"/>
        <v>0</v>
      </c>
      <c r="F4037" s="32"/>
    </row>
    <row r="4038" spans="1:6" ht="12.75" customHeight="1">
      <c r="A4038" s="12" t="s">
        <v>1143</v>
      </c>
      <c r="B4038" s="57">
        <v>1</v>
      </c>
      <c r="C4038" s="24" t="s">
        <v>213</v>
      </c>
      <c r="D4038" s="35">
        <f>Prec.!D452</f>
        <v>0</v>
      </c>
      <c r="E4038" s="31">
        <f t="shared" si="313"/>
        <v>0</v>
      </c>
      <c r="F4038" s="32"/>
    </row>
    <row r="4039" spans="1:6" ht="12.75" customHeight="1">
      <c r="A4039" s="12" t="s">
        <v>171</v>
      </c>
      <c r="B4039" s="57">
        <v>4.4999999999999998E-2</v>
      </c>
      <c r="C4039" s="24" t="s">
        <v>1172</v>
      </c>
      <c r="D4039" s="35">
        <f>Prec.!D390</f>
        <v>7.57</v>
      </c>
      <c r="E4039" s="31">
        <f t="shared" si="313"/>
        <v>0.34</v>
      </c>
      <c r="F4039" s="32"/>
    </row>
    <row r="4040" spans="1:6" ht="12.75" customHeight="1">
      <c r="A4040" s="12" t="s">
        <v>172</v>
      </c>
      <c r="B4040" s="57">
        <v>0.04</v>
      </c>
      <c r="C4040" s="24" t="s">
        <v>1172</v>
      </c>
      <c r="D4040" s="35">
        <f>D4039</f>
        <v>7.57</v>
      </c>
      <c r="E4040" s="31">
        <f t="shared" si="313"/>
        <v>0.3</v>
      </c>
      <c r="F4040" s="32"/>
    </row>
    <row r="4041" spans="1:6" ht="12.75" customHeight="1">
      <c r="A4041" s="12" t="s">
        <v>208</v>
      </c>
      <c r="B4041" s="57">
        <f>SUM(E4031:E4040)</f>
        <v>673.74</v>
      </c>
      <c r="C4041" s="24" t="s">
        <v>209</v>
      </c>
      <c r="D4041" s="35">
        <f>D4016</f>
        <v>1.4999999999999999E-2</v>
      </c>
      <c r="E4041" s="31">
        <f t="shared" si="313"/>
        <v>10.11</v>
      </c>
      <c r="F4041" s="32">
        <f>SUM(E4031:E4041)</f>
        <v>683.85</v>
      </c>
    </row>
    <row r="4042" spans="1:6" ht="12.75" customHeight="1">
      <c r="A4042" s="12"/>
      <c r="B4042" s="14"/>
      <c r="C4042" s="24"/>
      <c r="D4042" s="35"/>
      <c r="E4042" s="31"/>
      <c r="F4042" s="32"/>
    </row>
    <row r="4043" spans="1:6" ht="12.75" customHeight="1">
      <c r="A4043" s="12"/>
      <c r="B4043" s="14"/>
      <c r="C4043" s="24"/>
      <c r="D4043" s="35"/>
      <c r="E4043" s="31"/>
      <c r="F4043" s="32"/>
    </row>
    <row r="4044" spans="1:6" ht="12.75" customHeight="1">
      <c r="A4044" s="13" t="s">
        <v>202</v>
      </c>
      <c r="B4044" s="42"/>
      <c r="C4044" s="29"/>
      <c r="D4044" s="35"/>
      <c r="E4044" s="43" t="s">
        <v>151</v>
      </c>
      <c r="F4044" s="44" t="s">
        <v>1171</v>
      </c>
    </row>
    <row r="4045" spans="1:6" ht="12.75" customHeight="1">
      <c r="A4045" s="12" t="s">
        <v>748</v>
      </c>
      <c r="B4045" s="30">
        <v>1.05</v>
      </c>
      <c r="C4045" s="24" t="s">
        <v>1171</v>
      </c>
      <c r="D4045" s="35">
        <f>Prec.!$C$139</f>
        <v>70.73</v>
      </c>
      <c r="E4045" s="31">
        <f t="shared" ref="E4045:E4052" si="314">ROUND(B4045*D4045,2)</f>
        <v>74.27</v>
      </c>
      <c r="F4045" s="32"/>
    </row>
    <row r="4046" spans="1:6" ht="12.75" customHeight="1">
      <c r="A4046" s="12" t="s">
        <v>673</v>
      </c>
      <c r="B4046" s="30">
        <v>2.1999999999999999E-2</v>
      </c>
      <c r="C4046" s="24" t="s">
        <v>1172</v>
      </c>
      <c r="D4046" s="35">
        <f>Prec.!$C$8</f>
        <v>250</v>
      </c>
      <c r="E4046" s="31">
        <f t="shared" si="314"/>
        <v>5.5</v>
      </c>
      <c r="F4046" s="32"/>
    </row>
    <row r="4047" spans="1:6" ht="12.75" customHeight="1">
      <c r="A4047" s="12" t="s">
        <v>1174</v>
      </c>
      <c r="B4047" s="30">
        <v>2E-3</v>
      </c>
      <c r="C4047" s="24" t="s">
        <v>825</v>
      </c>
      <c r="D4047" s="35">
        <f>horm.ymez.!D9</f>
        <v>5853.53</v>
      </c>
      <c r="E4047" s="31">
        <f t="shared" si="314"/>
        <v>11.71</v>
      </c>
      <c r="F4047" s="32"/>
    </row>
    <row r="4048" spans="1:6" ht="12.75" customHeight="1">
      <c r="A4048" s="12" t="s">
        <v>1015</v>
      </c>
      <c r="B4048" s="30">
        <v>1</v>
      </c>
      <c r="C4048" s="24" t="s">
        <v>1017</v>
      </c>
      <c r="D4048" s="35">
        <f>Prec.!D490</f>
        <v>11.93</v>
      </c>
      <c r="E4048" s="31">
        <f t="shared" si="314"/>
        <v>11.93</v>
      </c>
      <c r="F4048" s="32"/>
    </row>
    <row r="4049" spans="1:6" ht="12.75" customHeight="1">
      <c r="A4049" s="12" t="s">
        <v>674</v>
      </c>
      <c r="B4049" s="30">
        <v>1</v>
      </c>
      <c r="C4049" s="24" t="s">
        <v>1171</v>
      </c>
      <c r="D4049" s="35">
        <f>Prec.!$D$497</f>
        <v>0</v>
      </c>
      <c r="E4049" s="31">
        <f t="shared" si="314"/>
        <v>0</v>
      </c>
      <c r="F4049" s="32"/>
    </row>
    <row r="4050" spans="1:6" ht="12.75" customHeight="1">
      <c r="A4050" s="12" t="s">
        <v>1156</v>
      </c>
      <c r="B4050" s="30">
        <v>1</v>
      </c>
      <c r="C4050" s="24" t="s">
        <v>1171</v>
      </c>
      <c r="D4050" s="35">
        <f>Prec.!$D$556</f>
        <v>0.67</v>
      </c>
      <c r="E4050" s="31">
        <f t="shared" si="314"/>
        <v>0.67</v>
      </c>
      <c r="F4050" s="32"/>
    </row>
    <row r="4051" spans="1:6" ht="12.75" customHeight="1">
      <c r="A4051" s="12" t="s">
        <v>1154</v>
      </c>
      <c r="B4051" s="30">
        <v>2.1999999999999999E-2</v>
      </c>
      <c r="C4051" s="24" t="s">
        <v>1172</v>
      </c>
      <c r="D4051" s="35">
        <f>Prec.!$D$562</f>
        <v>7.57</v>
      </c>
      <c r="E4051" s="31">
        <f t="shared" si="314"/>
        <v>0.17</v>
      </c>
      <c r="F4051" s="32"/>
    </row>
    <row r="4052" spans="1:6" ht="12.75" customHeight="1">
      <c r="A4052" s="12" t="s">
        <v>208</v>
      </c>
      <c r="B4052" s="14">
        <f>SUM(E4045:E4051)</f>
        <v>104.25</v>
      </c>
      <c r="C4052" s="24" t="s">
        <v>209</v>
      </c>
      <c r="D4052" s="35">
        <f>Prec.!C302</f>
        <v>1.4999999999999999E-2</v>
      </c>
      <c r="E4052" s="31">
        <f t="shared" si="314"/>
        <v>1.56</v>
      </c>
      <c r="F4052" s="32">
        <f>SUM(E4045:E4052)</f>
        <v>105.81</v>
      </c>
    </row>
    <row r="4053" spans="1:6" ht="12.75" customHeight="1">
      <c r="A4053" s="12"/>
      <c r="B4053" s="14"/>
      <c r="C4053" s="24"/>
      <c r="D4053" s="35"/>
      <c r="E4053" s="31"/>
      <c r="F4053" s="32"/>
    </row>
    <row r="4054" spans="1:6" ht="12.75" customHeight="1">
      <c r="A4054" s="13" t="s">
        <v>547</v>
      </c>
      <c r="B4054" s="42"/>
      <c r="C4054" s="29"/>
      <c r="D4054" s="35"/>
      <c r="E4054" s="43" t="s">
        <v>151</v>
      </c>
      <c r="F4054" s="44" t="s">
        <v>1171</v>
      </c>
    </row>
    <row r="4055" spans="1:6" ht="12.75" customHeight="1">
      <c r="A4055" s="12" t="s">
        <v>749</v>
      </c>
      <c r="B4055" s="30">
        <v>1.05</v>
      </c>
      <c r="C4055" s="24" t="s">
        <v>1171</v>
      </c>
      <c r="D4055" s="35">
        <f>Prec.!$C$140</f>
        <v>90</v>
      </c>
      <c r="E4055" s="31">
        <f t="shared" ref="E4055:E4062" si="315">ROUND(B4055*D4055,2)</f>
        <v>94.5</v>
      </c>
      <c r="F4055" s="32"/>
    </row>
    <row r="4056" spans="1:6" ht="12.75" customHeight="1">
      <c r="A4056" s="12" t="s">
        <v>622</v>
      </c>
      <c r="B4056" s="30">
        <v>2.1999999999999999E-2</v>
      </c>
      <c r="C4056" s="24" t="s">
        <v>1172</v>
      </c>
      <c r="D4056" s="35">
        <f>Prec.!$C$7</f>
        <v>250</v>
      </c>
      <c r="E4056" s="31">
        <f t="shared" si="315"/>
        <v>5.5</v>
      </c>
      <c r="F4056" s="32"/>
    </row>
    <row r="4057" spans="1:6" ht="12.75" customHeight="1">
      <c r="A4057" s="12" t="s">
        <v>1174</v>
      </c>
      <c r="B4057" s="30">
        <v>2E-3</v>
      </c>
      <c r="C4057" s="24" t="s">
        <v>825</v>
      </c>
      <c r="D4057" s="35">
        <f>D4047</f>
        <v>5853.53</v>
      </c>
      <c r="E4057" s="31">
        <f t="shared" si="315"/>
        <v>11.71</v>
      </c>
      <c r="F4057" s="32"/>
    </row>
    <row r="4058" spans="1:6" ht="12.75" customHeight="1">
      <c r="A4058" s="12" t="s">
        <v>1015</v>
      </c>
      <c r="B4058" s="30">
        <v>1</v>
      </c>
      <c r="C4058" s="24" t="s">
        <v>1017</v>
      </c>
      <c r="D4058" s="35">
        <f>D4048</f>
        <v>11.93</v>
      </c>
      <c r="E4058" s="31">
        <f t="shared" si="315"/>
        <v>11.93</v>
      </c>
      <c r="F4058" s="32"/>
    </row>
    <row r="4059" spans="1:6" ht="12.75" customHeight="1">
      <c r="A4059" s="12" t="s">
        <v>674</v>
      </c>
      <c r="B4059" s="30">
        <v>1</v>
      </c>
      <c r="C4059" s="24" t="s">
        <v>1171</v>
      </c>
      <c r="D4059" s="35">
        <f>Prec.!$D$497</f>
        <v>0</v>
      </c>
      <c r="E4059" s="31">
        <f t="shared" si="315"/>
        <v>0</v>
      </c>
      <c r="F4059" s="32"/>
    </row>
    <row r="4060" spans="1:6" ht="12.75" customHeight="1">
      <c r="A4060" s="12" t="s">
        <v>1156</v>
      </c>
      <c r="B4060" s="30">
        <v>1</v>
      </c>
      <c r="C4060" s="24" t="s">
        <v>1171</v>
      </c>
      <c r="D4060" s="35">
        <f>Prec.!$D$556</f>
        <v>0.67</v>
      </c>
      <c r="E4060" s="31">
        <f t="shared" si="315"/>
        <v>0.67</v>
      </c>
      <c r="F4060" s="32"/>
    </row>
    <row r="4061" spans="1:6" ht="12.75" customHeight="1">
      <c r="A4061" s="12" t="s">
        <v>1154</v>
      </c>
      <c r="B4061" s="30">
        <v>2.1999999999999999E-2</v>
      </c>
      <c r="C4061" s="24" t="s">
        <v>1172</v>
      </c>
      <c r="D4061" s="35">
        <f>Prec.!$D$562</f>
        <v>7.57</v>
      </c>
      <c r="E4061" s="31">
        <f t="shared" si="315"/>
        <v>0.17</v>
      </c>
      <c r="F4061" s="32"/>
    </row>
    <row r="4062" spans="1:6" ht="12.75" customHeight="1">
      <c r="A4062" s="12" t="s">
        <v>208</v>
      </c>
      <c r="B4062" s="14">
        <f>SUM(E4055:E4061)</f>
        <v>124.48000000000002</v>
      </c>
      <c r="C4062" s="24" t="s">
        <v>209</v>
      </c>
      <c r="D4062" s="35">
        <v>0.02</v>
      </c>
      <c r="E4062" s="31">
        <f t="shared" si="315"/>
        <v>2.4900000000000002</v>
      </c>
      <c r="F4062" s="32">
        <f>SUM(E4055:E4062)</f>
        <v>126.97000000000001</v>
      </c>
    </row>
    <row r="4063" spans="1:6" ht="12.75" customHeight="1">
      <c r="A4063" s="12"/>
      <c r="B4063" s="14"/>
      <c r="C4063" s="24"/>
      <c r="D4063" s="35"/>
      <c r="E4063" s="31"/>
      <c r="F4063" s="32"/>
    </row>
    <row r="4064" spans="1:6" ht="12.75" customHeight="1">
      <c r="A4064" s="698" t="s">
        <v>1014</v>
      </c>
      <c r="B4064" s="706"/>
      <c r="C4064" s="707"/>
      <c r="D4064" s="708"/>
      <c r="E4064" s="709" t="s">
        <v>151</v>
      </c>
      <c r="F4064" s="710" t="s">
        <v>1171</v>
      </c>
    </row>
    <row r="4065" spans="1:6" ht="12.75" customHeight="1">
      <c r="A4065" s="704" t="s">
        <v>748</v>
      </c>
      <c r="B4065" s="705">
        <v>1.05</v>
      </c>
      <c r="C4065" s="700" t="s">
        <v>1171</v>
      </c>
      <c r="D4065" s="708">
        <f>Prec.!C141</f>
        <v>78.3</v>
      </c>
      <c r="E4065" s="702">
        <f t="shared" ref="E4065:E4072" si="316">ROUND(B4065*D4065,2)</f>
        <v>82.22</v>
      </c>
      <c r="F4065" s="703"/>
    </row>
    <row r="4066" spans="1:6" ht="12.75" customHeight="1">
      <c r="A4066" s="704" t="s">
        <v>673</v>
      </c>
      <c r="B4066" s="705">
        <v>2.1999999999999999E-2</v>
      </c>
      <c r="C4066" s="700" t="s">
        <v>1172</v>
      </c>
      <c r="D4066" s="708">
        <f>Prec.!$C$8</f>
        <v>250</v>
      </c>
      <c r="E4066" s="702">
        <f t="shared" si="316"/>
        <v>5.5</v>
      </c>
      <c r="F4066" s="703"/>
    </row>
    <row r="4067" spans="1:6" ht="12.75" customHeight="1">
      <c r="A4067" s="704" t="s">
        <v>1174</v>
      </c>
      <c r="B4067" s="705">
        <v>2E-3</v>
      </c>
      <c r="C4067" s="700" t="s">
        <v>825</v>
      </c>
      <c r="D4067" s="708">
        <f>$F$185</f>
        <v>5853.53</v>
      </c>
      <c r="E4067" s="702">
        <f t="shared" si="316"/>
        <v>11.71</v>
      </c>
      <c r="F4067" s="703"/>
    </row>
    <row r="4068" spans="1:6" ht="12.75" customHeight="1">
      <c r="A4068" s="704" t="s">
        <v>1015</v>
      </c>
      <c r="B4068" s="705">
        <v>1</v>
      </c>
      <c r="C4068" s="700" t="s">
        <v>1017</v>
      </c>
      <c r="D4068" s="708">
        <f>Prec.!D491</f>
        <v>11.93</v>
      </c>
      <c r="E4068" s="702">
        <f t="shared" si="316"/>
        <v>11.93</v>
      </c>
      <c r="F4068" s="703"/>
    </row>
    <row r="4069" spans="1:6" ht="12.75" customHeight="1">
      <c r="A4069" s="704" t="s">
        <v>674</v>
      </c>
      <c r="B4069" s="705">
        <v>1</v>
      </c>
      <c r="C4069" s="700" t="s">
        <v>1171</v>
      </c>
      <c r="D4069" s="708">
        <f>D3791</f>
        <v>108.15</v>
      </c>
      <c r="E4069" s="702">
        <f t="shared" si="316"/>
        <v>108.15</v>
      </c>
      <c r="F4069" s="703"/>
    </row>
    <row r="4070" spans="1:6" ht="12.75" customHeight="1">
      <c r="A4070" s="704" t="s">
        <v>1156</v>
      </c>
      <c r="B4070" s="705">
        <v>1</v>
      </c>
      <c r="C4070" s="700" t="s">
        <v>1171</v>
      </c>
      <c r="D4070" s="708">
        <f>Prec.!$D$556</f>
        <v>0.67</v>
      </c>
      <c r="E4070" s="702">
        <f t="shared" si="316"/>
        <v>0.67</v>
      </c>
      <c r="F4070" s="703"/>
    </row>
    <row r="4071" spans="1:6" ht="12.75" customHeight="1">
      <c r="A4071" s="704" t="s">
        <v>1154</v>
      </c>
      <c r="B4071" s="705">
        <v>2.1999999999999999E-2</v>
      </c>
      <c r="C4071" s="700" t="s">
        <v>1172</v>
      </c>
      <c r="D4071" s="708">
        <f>Prec.!$D$562</f>
        <v>7.57</v>
      </c>
      <c r="E4071" s="702">
        <f t="shared" si="316"/>
        <v>0.17</v>
      </c>
      <c r="F4071" s="703"/>
    </row>
    <row r="4072" spans="1:6" ht="12.75" customHeight="1">
      <c r="A4072" s="704" t="s">
        <v>208</v>
      </c>
      <c r="B4072" s="711">
        <f>SUM(E4065:E4071)</f>
        <v>220.35</v>
      </c>
      <c r="C4072" s="700" t="s">
        <v>209</v>
      </c>
      <c r="D4072" s="708">
        <f>D4062</f>
        <v>0.02</v>
      </c>
      <c r="E4072" s="702">
        <f t="shared" si="316"/>
        <v>4.41</v>
      </c>
      <c r="F4072" s="703">
        <f>SUM(E4065:E4072)</f>
        <v>224.76</v>
      </c>
    </row>
    <row r="4073" spans="1:6" ht="12.75" customHeight="1">
      <c r="A4073" s="12"/>
      <c r="B4073" s="14"/>
      <c r="C4073" s="24"/>
      <c r="D4073" s="35"/>
      <c r="E4073" s="31"/>
      <c r="F4073" s="32"/>
    </row>
    <row r="4074" spans="1:6" ht="12.75" customHeight="1">
      <c r="A4074" s="13" t="s">
        <v>268</v>
      </c>
      <c r="B4074" s="42"/>
      <c r="C4074" s="29"/>
      <c r="D4074" s="35"/>
      <c r="E4074" s="43" t="s">
        <v>151</v>
      </c>
      <c r="F4074" s="44" t="s">
        <v>1171</v>
      </c>
    </row>
    <row r="4075" spans="1:6" ht="12.75" customHeight="1">
      <c r="A4075" s="12" t="s">
        <v>749</v>
      </c>
      <c r="B4075" s="30">
        <v>1.05</v>
      </c>
      <c r="C4075" s="24" t="s">
        <v>1171</v>
      </c>
      <c r="D4075" s="35">
        <f>Prec.!C142</f>
        <v>58</v>
      </c>
      <c r="E4075" s="31">
        <f t="shared" ref="E4075:E4082" si="317">ROUND(B4075*D4075,2)</f>
        <v>60.9</v>
      </c>
      <c r="F4075" s="32"/>
    </row>
    <row r="4076" spans="1:6" ht="12.75" customHeight="1">
      <c r="A4076" s="12" t="s">
        <v>622</v>
      </c>
      <c r="B4076" s="30">
        <v>2.1999999999999999E-2</v>
      </c>
      <c r="C4076" s="24" t="s">
        <v>1172</v>
      </c>
      <c r="D4076" s="35">
        <f>Prec.!$C$7</f>
        <v>250</v>
      </c>
      <c r="E4076" s="31">
        <f t="shared" si="317"/>
        <v>5.5</v>
      </c>
      <c r="F4076" s="32"/>
    </row>
    <row r="4077" spans="1:6" ht="12.75" customHeight="1">
      <c r="A4077" s="12" t="s">
        <v>1174</v>
      </c>
      <c r="B4077" s="30">
        <v>2E-3</v>
      </c>
      <c r="C4077" s="24" t="s">
        <v>825</v>
      </c>
      <c r="D4077" s="35">
        <f>D4057</f>
        <v>5853.53</v>
      </c>
      <c r="E4077" s="31">
        <f t="shared" si="317"/>
        <v>11.71</v>
      </c>
      <c r="F4077" s="32"/>
    </row>
    <row r="4078" spans="1:6" ht="12.75" customHeight="1">
      <c r="A4078" s="12" t="s">
        <v>1015</v>
      </c>
      <c r="B4078" s="30">
        <v>1</v>
      </c>
      <c r="C4078" s="24" t="s">
        <v>1017</v>
      </c>
      <c r="D4078" s="35">
        <f>D4068</f>
        <v>11.93</v>
      </c>
      <c r="E4078" s="31">
        <f t="shared" si="317"/>
        <v>11.93</v>
      </c>
      <c r="F4078" s="32"/>
    </row>
    <row r="4079" spans="1:6" ht="12.75" customHeight="1">
      <c r="A4079" s="12" t="s">
        <v>674</v>
      </c>
      <c r="B4079" s="30">
        <v>1</v>
      </c>
      <c r="C4079" s="24" t="s">
        <v>1171</v>
      </c>
      <c r="D4079" s="35">
        <f>Prec.!$D$497</f>
        <v>0</v>
      </c>
      <c r="E4079" s="31">
        <f t="shared" si="317"/>
        <v>0</v>
      </c>
      <c r="F4079" s="32"/>
    </row>
    <row r="4080" spans="1:6" ht="12.75" customHeight="1">
      <c r="A4080" s="12" t="s">
        <v>1156</v>
      </c>
      <c r="B4080" s="30">
        <v>1</v>
      </c>
      <c r="C4080" s="24" t="s">
        <v>1171</v>
      </c>
      <c r="D4080" s="35">
        <f>Prec.!$D$556</f>
        <v>0.67</v>
      </c>
      <c r="E4080" s="31">
        <f t="shared" si="317"/>
        <v>0.67</v>
      </c>
      <c r="F4080" s="32"/>
    </row>
    <row r="4081" spans="1:6" ht="12.75" customHeight="1">
      <c r="A4081" s="12" t="s">
        <v>1154</v>
      </c>
      <c r="B4081" s="30">
        <v>2.1999999999999999E-2</v>
      </c>
      <c r="C4081" s="24" t="s">
        <v>1172</v>
      </c>
      <c r="D4081" s="35">
        <f>Prec.!$D$562</f>
        <v>7.57</v>
      </c>
      <c r="E4081" s="31">
        <f t="shared" si="317"/>
        <v>0.17</v>
      </c>
      <c r="F4081" s="32"/>
    </row>
    <row r="4082" spans="1:6" ht="12.75" customHeight="1">
      <c r="A4082" s="12" t="s">
        <v>208</v>
      </c>
      <c r="B4082" s="14">
        <f>SUM(E4075:E4081)</f>
        <v>90.880000000000024</v>
      </c>
      <c r="C4082" s="24" t="s">
        <v>209</v>
      </c>
      <c r="D4082" s="35">
        <f>D4072</f>
        <v>0.02</v>
      </c>
      <c r="E4082" s="31">
        <f t="shared" si="317"/>
        <v>1.82</v>
      </c>
      <c r="F4082" s="32">
        <f>SUM(E4075:E4082)</f>
        <v>92.700000000000017</v>
      </c>
    </row>
    <row r="4083" spans="1:6" ht="12.75" customHeight="1">
      <c r="A4083" s="12"/>
      <c r="B4083" s="14"/>
      <c r="C4083" s="24"/>
      <c r="D4083" s="35"/>
      <c r="E4083" s="31"/>
      <c r="F4083" s="32"/>
    </row>
    <row r="4084" spans="1:6" ht="12.75" customHeight="1">
      <c r="A4084" s="13" t="s">
        <v>548</v>
      </c>
      <c r="B4084" s="42"/>
      <c r="C4084" s="29"/>
      <c r="D4084" s="35"/>
      <c r="E4084" s="43" t="s">
        <v>151</v>
      </c>
      <c r="F4084" s="44" t="s">
        <v>1171</v>
      </c>
    </row>
    <row r="4085" spans="1:6" ht="12.75" customHeight="1">
      <c r="A4085" s="12" t="s">
        <v>818</v>
      </c>
      <c r="B4085" s="30">
        <v>1.05</v>
      </c>
      <c r="C4085" s="24" t="s">
        <v>1017</v>
      </c>
      <c r="D4085" s="35">
        <f>Prec.!C113</f>
        <v>32.14</v>
      </c>
      <c r="E4085" s="31">
        <f t="shared" ref="E4085:E4092" si="318">ROUND(B4085*D4085,2)</f>
        <v>33.75</v>
      </c>
      <c r="F4085" s="32"/>
    </row>
    <row r="4086" spans="1:6" ht="12.75" customHeight="1">
      <c r="A4086" s="12" t="s">
        <v>673</v>
      </c>
      <c r="B4086" s="30">
        <v>7.0000000000000001E-3</v>
      </c>
      <c r="C4086" s="24" t="s">
        <v>1172</v>
      </c>
      <c r="D4086" s="35">
        <f>Prec.!$C$8</f>
        <v>250</v>
      </c>
      <c r="E4086" s="31">
        <f t="shared" si="318"/>
        <v>1.75</v>
      </c>
      <c r="F4086" s="32"/>
    </row>
    <row r="4087" spans="1:6" ht="12.75" customHeight="1">
      <c r="A4087" s="12" t="s">
        <v>1174</v>
      </c>
      <c r="B4087" s="30">
        <v>1E-3</v>
      </c>
      <c r="C4087" s="24" t="s">
        <v>825</v>
      </c>
      <c r="D4087" s="35">
        <f>D4057</f>
        <v>5853.53</v>
      </c>
      <c r="E4087" s="31">
        <f t="shared" si="318"/>
        <v>5.85</v>
      </c>
      <c r="F4087" s="32"/>
    </row>
    <row r="4088" spans="1:6" ht="12.75" customHeight="1">
      <c r="A4088" s="12" t="s">
        <v>1015</v>
      </c>
      <c r="B4088" s="30">
        <v>4</v>
      </c>
      <c r="C4088" s="24" t="s">
        <v>1017</v>
      </c>
      <c r="D4088" s="35">
        <f>Prec.!D490</f>
        <v>11.93</v>
      </c>
      <c r="E4088" s="31">
        <f t="shared" si="318"/>
        <v>47.72</v>
      </c>
      <c r="F4088" s="32"/>
    </row>
    <row r="4089" spans="1:6" ht="12.75" customHeight="1">
      <c r="A4089" s="12" t="s">
        <v>674</v>
      </c>
      <c r="B4089" s="30">
        <v>1</v>
      </c>
      <c r="C4089" s="24" t="s">
        <v>1171</v>
      </c>
      <c r="D4089" s="35">
        <f>Prec.!$D$498</f>
        <v>0</v>
      </c>
      <c r="E4089" s="31">
        <f t="shared" si="318"/>
        <v>0</v>
      </c>
      <c r="F4089" s="32"/>
    </row>
    <row r="4090" spans="1:6" ht="12.75" customHeight="1">
      <c r="A4090" s="12" t="s">
        <v>870</v>
      </c>
      <c r="B4090" s="30">
        <v>1</v>
      </c>
      <c r="C4090" s="24" t="s">
        <v>1171</v>
      </c>
      <c r="D4090" s="35">
        <f>Prec.!D556</f>
        <v>0.67</v>
      </c>
      <c r="E4090" s="31">
        <f t="shared" si="318"/>
        <v>0.67</v>
      </c>
      <c r="F4090" s="32"/>
    </row>
    <row r="4091" spans="1:6" ht="12.75" customHeight="1">
      <c r="A4091" s="12" t="s">
        <v>1154</v>
      </c>
      <c r="B4091" s="30">
        <v>2.1999999999999999E-2</v>
      </c>
      <c r="C4091" s="24" t="s">
        <v>1172</v>
      </c>
      <c r="D4091" s="35">
        <f>Prec.!$D$562</f>
        <v>7.57</v>
      </c>
      <c r="E4091" s="31">
        <f t="shared" si="318"/>
        <v>0.17</v>
      </c>
      <c r="F4091" s="32"/>
    </row>
    <row r="4092" spans="1:6" ht="12.75" customHeight="1">
      <c r="A4092" s="12" t="s">
        <v>208</v>
      </c>
      <c r="B4092" s="14">
        <f>SUM(E4085:E4091)</f>
        <v>89.91</v>
      </c>
      <c r="C4092" s="24" t="s">
        <v>209</v>
      </c>
      <c r="D4092" s="35">
        <f>Prec.!C302</f>
        <v>1.4999999999999999E-2</v>
      </c>
      <c r="E4092" s="31">
        <f t="shared" si="318"/>
        <v>1.35</v>
      </c>
      <c r="F4092" s="32">
        <f>SUM(E4085:E4092)</f>
        <v>91.259999999999991</v>
      </c>
    </row>
    <row r="4093" spans="1:6" ht="12.75" customHeight="1">
      <c r="A4093" s="12"/>
      <c r="B4093" s="14"/>
      <c r="C4093" s="24"/>
      <c r="D4093" s="35"/>
      <c r="E4093" s="31"/>
      <c r="F4093" s="32"/>
    </row>
    <row r="4094" spans="1:6" ht="12.75" customHeight="1">
      <c r="A4094" s="1586" t="s">
        <v>871</v>
      </c>
      <c r="B4094" s="1587"/>
      <c r="C4094" s="1588"/>
      <c r="D4094" s="1589"/>
      <c r="E4094" s="1590" t="s">
        <v>151</v>
      </c>
      <c r="F4094" s="1591" t="s">
        <v>1171</v>
      </c>
    </row>
    <row r="4095" spans="1:6" ht="12.75" customHeight="1">
      <c r="A4095" s="1592" t="s">
        <v>819</v>
      </c>
      <c r="B4095" s="1593">
        <v>1.05</v>
      </c>
      <c r="C4095" s="1594" t="s">
        <v>1017</v>
      </c>
      <c r="D4095" s="1589">
        <f>Prec.!C118</f>
        <v>67.540000000000006</v>
      </c>
      <c r="E4095" s="1595">
        <f t="shared" ref="E4095:E4102" si="319">ROUND(B4095*D4095,2)</f>
        <v>70.92</v>
      </c>
      <c r="F4095" s="1596"/>
    </row>
    <row r="4096" spans="1:6" ht="12.75" customHeight="1">
      <c r="A4096" s="1592" t="s">
        <v>673</v>
      </c>
      <c r="B4096" s="1593">
        <v>7.0000000000000001E-3</v>
      </c>
      <c r="C4096" s="1594" t="s">
        <v>1172</v>
      </c>
      <c r="D4096" s="1589">
        <f>Prec.!$C$8</f>
        <v>250</v>
      </c>
      <c r="E4096" s="1595">
        <f t="shared" si="319"/>
        <v>1.75</v>
      </c>
      <c r="F4096" s="1596"/>
    </row>
    <row r="4097" spans="1:13" ht="12.75" customHeight="1">
      <c r="A4097" s="1592" t="s">
        <v>1174</v>
      </c>
      <c r="B4097" s="1593">
        <v>1E-3</v>
      </c>
      <c r="C4097" s="1594" t="s">
        <v>825</v>
      </c>
      <c r="D4097" s="1589">
        <f>D4067</f>
        <v>5853.53</v>
      </c>
      <c r="E4097" s="1595">
        <f t="shared" si="319"/>
        <v>5.85</v>
      </c>
      <c r="F4097" s="1596"/>
    </row>
    <row r="4098" spans="1:13" ht="12.75" customHeight="1">
      <c r="A4098" s="1592" t="s">
        <v>1015</v>
      </c>
      <c r="B4098" s="1593">
        <v>4</v>
      </c>
      <c r="C4098" s="1594" t="s">
        <v>1017</v>
      </c>
      <c r="D4098" s="1589">
        <f>D4088</f>
        <v>11.93</v>
      </c>
      <c r="E4098" s="1595">
        <f t="shared" si="319"/>
        <v>47.72</v>
      </c>
      <c r="F4098" s="1596"/>
    </row>
    <row r="4099" spans="1:13" ht="12.75" customHeight="1">
      <c r="A4099" s="1592" t="s">
        <v>674</v>
      </c>
      <c r="B4099" s="1593">
        <v>1</v>
      </c>
      <c r="C4099" s="1594" t="s">
        <v>1171</v>
      </c>
      <c r="D4099" s="1589">
        <f>Prec.!C498</f>
        <v>83.5</v>
      </c>
      <c r="E4099" s="1595">
        <f t="shared" si="319"/>
        <v>83.5</v>
      </c>
      <c r="F4099" s="1596"/>
    </row>
    <row r="4100" spans="1:13" ht="12.75" customHeight="1">
      <c r="A4100" s="1592" t="s">
        <v>870</v>
      </c>
      <c r="B4100" s="1593">
        <v>1</v>
      </c>
      <c r="C4100" s="1594" t="s">
        <v>1171</v>
      </c>
      <c r="D4100" s="1589">
        <f>Prec.!D556</f>
        <v>0.67</v>
      </c>
      <c r="E4100" s="1595">
        <f t="shared" si="319"/>
        <v>0.67</v>
      </c>
      <c r="F4100" s="1596"/>
    </row>
    <row r="4101" spans="1:13" ht="12.75" customHeight="1">
      <c r="A4101" s="1592" t="s">
        <v>1154</v>
      </c>
      <c r="B4101" s="1593">
        <v>7.0000000000000001E-3</v>
      </c>
      <c r="C4101" s="1594" t="s">
        <v>1172</v>
      </c>
      <c r="D4101" s="1589">
        <f>Prec.!$D$562</f>
        <v>7.57</v>
      </c>
      <c r="E4101" s="1595">
        <f t="shared" si="319"/>
        <v>0.05</v>
      </c>
      <c r="F4101" s="1596"/>
    </row>
    <row r="4102" spans="1:13" ht="12.75" customHeight="1">
      <c r="A4102" s="1592" t="s">
        <v>208</v>
      </c>
      <c r="B4102" s="1597">
        <f>SUM(E4095:E4101)</f>
        <v>210.46</v>
      </c>
      <c r="C4102" s="1594" t="s">
        <v>209</v>
      </c>
      <c r="D4102" s="1589">
        <f>Prec.!C302</f>
        <v>1.4999999999999999E-2</v>
      </c>
      <c r="E4102" s="1595">
        <f t="shared" si="319"/>
        <v>3.16</v>
      </c>
      <c r="F4102" s="1596">
        <f>SUM(E4095:E4102)</f>
        <v>213.62</v>
      </c>
    </row>
    <row r="4103" spans="1:13" ht="12.75" customHeight="1">
      <c r="A4103" s="12"/>
      <c r="B4103" s="14"/>
      <c r="C4103" s="24"/>
      <c r="D4103" s="35"/>
      <c r="E4103" s="31"/>
      <c r="F4103" s="32"/>
    </row>
    <row r="4104" spans="1:13" s="166" customFormat="1" ht="12.75" customHeight="1">
      <c r="A4104" s="513" t="s">
        <v>4168</v>
      </c>
      <c r="B4104" s="505"/>
      <c r="C4104" s="506"/>
      <c r="D4104" s="507"/>
      <c r="E4104" s="514" t="s">
        <v>151</v>
      </c>
      <c r="F4104" s="515" t="s">
        <v>1171</v>
      </c>
      <c r="G4104" s="15"/>
      <c r="H4104" s="21"/>
      <c r="I4104" s="15"/>
      <c r="J4104" s="15"/>
      <c r="K4104" s="15"/>
      <c r="L4104" s="21"/>
      <c r="M4104" s="15"/>
    </row>
    <row r="4105" spans="1:13" s="166" customFormat="1" ht="12.75" customHeight="1">
      <c r="A4105" s="512" t="s">
        <v>4167</v>
      </c>
      <c r="B4105" s="510">
        <v>1.05</v>
      </c>
      <c r="C4105" s="511" t="s">
        <v>1017</v>
      </c>
      <c r="D4105" s="507">
        <v>80</v>
      </c>
      <c r="E4105" s="508">
        <f t="shared" ref="E4105:E4112" si="320">ROUND(B4105*D4105,2)</f>
        <v>84</v>
      </c>
      <c r="F4105" s="509"/>
      <c r="G4105" s="15"/>
      <c r="H4105" s="21"/>
      <c r="I4105" s="15"/>
      <c r="J4105" s="15"/>
      <c r="K4105" s="15"/>
      <c r="L4105" s="21"/>
      <c r="M4105" s="15"/>
    </row>
    <row r="4106" spans="1:13" s="166" customFormat="1" ht="12.75" customHeight="1">
      <c r="A4106" s="512" t="s">
        <v>673</v>
      </c>
      <c r="B4106" s="510">
        <v>7.0000000000000001E-3</v>
      </c>
      <c r="C4106" s="511" t="s">
        <v>1172</v>
      </c>
      <c r="D4106" s="507">
        <f t="shared" ref="D4106:D4111" si="321">D4096</f>
        <v>250</v>
      </c>
      <c r="E4106" s="508">
        <f t="shared" si="320"/>
        <v>1.75</v>
      </c>
      <c r="F4106" s="509"/>
      <c r="G4106" s="15"/>
      <c r="H4106" s="21"/>
      <c r="I4106" s="15"/>
      <c r="J4106" s="15"/>
      <c r="K4106" s="15"/>
      <c r="L4106" s="21"/>
      <c r="M4106" s="15"/>
    </row>
    <row r="4107" spans="1:13" s="166" customFormat="1" ht="12.75" customHeight="1">
      <c r="A4107" s="512" t="s">
        <v>1174</v>
      </c>
      <c r="B4107" s="510">
        <v>1E-3</v>
      </c>
      <c r="C4107" s="511" t="s">
        <v>825</v>
      </c>
      <c r="D4107" s="507">
        <f t="shared" si="321"/>
        <v>5853.53</v>
      </c>
      <c r="E4107" s="508">
        <f t="shared" si="320"/>
        <v>5.85</v>
      </c>
      <c r="F4107" s="509"/>
      <c r="G4107" s="15"/>
      <c r="H4107" s="21"/>
      <c r="I4107" s="15"/>
      <c r="J4107" s="15"/>
      <c r="K4107" s="15"/>
      <c r="L4107" s="21"/>
      <c r="M4107" s="15"/>
    </row>
    <row r="4108" spans="1:13" s="166" customFormat="1" ht="12.75" customHeight="1">
      <c r="A4108" s="512" t="s">
        <v>1015</v>
      </c>
      <c r="B4108" s="510">
        <v>4</v>
      </c>
      <c r="C4108" s="511" t="s">
        <v>1017</v>
      </c>
      <c r="D4108" s="507">
        <f t="shared" si="321"/>
        <v>11.93</v>
      </c>
      <c r="E4108" s="508">
        <f t="shared" si="320"/>
        <v>47.72</v>
      </c>
      <c r="F4108" s="509"/>
      <c r="G4108" s="15"/>
      <c r="H4108" s="21"/>
      <c r="I4108" s="15"/>
      <c r="J4108" s="15"/>
      <c r="K4108" s="15"/>
      <c r="L4108" s="21"/>
      <c r="M4108" s="15"/>
    </row>
    <row r="4109" spans="1:13" s="166" customFormat="1" ht="12.75" customHeight="1">
      <c r="A4109" s="512" t="s">
        <v>674</v>
      </c>
      <c r="B4109" s="510">
        <v>1</v>
      </c>
      <c r="C4109" s="511" t="s">
        <v>1171</v>
      </c>
      <c r="D4109" s="507">
        <f>Ana.term!D3823</f>
        <v>83.5</v>
      </c>
      <c r="E4109" s="508">
        <f t="shared" si="320"/>
        <v>83.5</v>
      </c>
      <c r="F4109" s="509"/>
      <c r="G4109" s="15"/>
      <c r="H4109" s="21"/>
      <c r="I4109" s="15"/>
      <c r="J4109" s="15"/>
      <c r="K4109" s="15"/>
      <c r="L4109" s="21"/>
      <c r="M4109" s="15"/>
    </row>
    <row r="4110" spans="1:13" s="166" customFormat="1" ht="12.75" customHeight="1">
      <c r="A4110" s="512" t="s">
        <v>870</v>
      </c>
      <c r="B4110" s="510">
        <v>1</v>
      </c>
      <c r="C4110" s="511" t="s">
        <v>1171</v>
      </c>
      <c r="D4110" s="507">
        <f t="shared" si="321"/>
        <v>0.67</v>
      </c>
      <c r="E4110" s="508">
        <f t="shared" si="320"/>
        <v>0.67</v>
      </c>
      <c r="F4110" s="509"/>
      <c r="G4110" s="15"/>
      <c r="H4110" s="21"/>
      <c r="I4110" s="15"/>
      <c r="J4110" s="15"/>
      <c r="K4110" s="15"/>
      <c r="L4110" s="21"/>
      <c r="M4110" s="15"/>
    </row>
    <row r="4111" spans="1:13" s="166" customFormat="1" ht="12.75" customHeight="1">
      <c r="A4111" s="512" t="s">
        <v>1154</v>
      </c>
      <c r="B4111" s="510">
        <v>7.0000000000000001E-3</v>
      </c>
      <c r="C4111" s="511" t="s">
        <v>1172</v>
      </c>
      <c r="D4111" s="507">
        <f t="shared" si="321"/>
        <v>7.57</v>
      </c>
      <c r="E4111" s="508">
        <f t="shared" si="320"/>
        <v>0.05</v>
      </c>
      <c r="F4111" s="509"/>
      <c r="G4111" s="15"/>
      <c r="H4111" s="21"/>
      <c r="I4111" s="15"/>
      <c r="J4111" s="15"/>
      <c r="K4111" s="15"/>
      <c r="L4111" s="21"/>
      <c r="M4111" s="15"/>
    </row>
    <row r="4112" spans="1:13" s="166" customFormat="1" ht="12.75" customHeight="1">
      <c r="A4112" s="512" t="s">
        <v>208</v>
      </c>
      <c r="B4112" s="516">
        <f>SUM(E4105:E4107)</f>
        <v>91.6</v>
      </c>
      <c r="C4112" s="511" t="s">
        <v>209</v>
      </c>
      <c r="D4112" s="507">
        <v>0.02</v>
      </c>
      <c r="E4112" s="508">
        <f t="shared" si="320"/>
        <v>1.83</v>
      </c>
      <c r="F4112" s="509">
        <f>SUM(E4105:E4112)</f>
        <v>225.37</v>
      </c>
      <c r="G4112" s="15"/>
      <c r="H4112" s="21"/>
      <c r="I4112" s="15"/>
      <c r="J4112" s="15"/>
      <c r="K4112" s="15"/>
      <c r="L4112" s="21"/>
      <c r="M4112" s="15"/>
    </row>
    <row r="4113" spans="1:13" s="166" customFormat="1" ht="12.75" customHeight="1">
      <c r="A4113" s="12"/>
      <c r="B4113" s="14"/>
      <c r="C4113" s="24"/>
      <c r="D4113" s="35"/>
      <c r="E4113" s="31"/>
      <c r="F4113" s="32"/>
      <c r="G4113" s="15"/>
      <c r="H4113" s="21"/>
      <c r="I4113" s="15"/>
      <c r="J4113" s="15"/>
      <c r="K4113" s="15"/>
      <c r="L4113" s="21"/>
      <c r="M4113" s="15"/>
    </row>
    <row r="4114" spans="1:13" s="166" customFormat="1" ht="12.75" customHeight="1">
      <c r="A4114" s="12"/>
      <c r="B4114" s="14"/>
      <c r="C4114" s="24"/>
      <c r="D4114" s="35"/>
      <c r="E4114" s="31"/>
      <c r="F4114" s="32"/>
      <c r="G4114" s="15"/>
      <c r="H4114" s="21"/>
      <c r="I4114" s="15"/>
      <c r="J4114" s="15"/>
      <c r="K4114" s="15"/>
      <c r="L4114" s="21"/>
      <c r="M4114" s="15"/>
    </row>
    <row r="4115" spans="1:13" ht="12.75" customHeight="1">
      <c r="A4115" s="13" t="s">
        <v>68</v>
      </c>
      <c r="B4115" s="42"/>
      <c r="C4115" s="29"/>
      <c r="D4115" s="35"/>
      <c r="E4115" s="43" t="s">
        <v>151</v>
      </c>
      <c r="F4115" s="44" t="s">
        <v>1171</v>
      </c>
    </row>
    <row r="4116" spans="1:13" ht="12.75" customHeight="1">
      <c r="A4116" s="12" t="s">
        <v>820</v>
      </c>
      <c r="B4116" s="30">
        <v>1.05</v>
      </c>
      <c r="C4116" s="24" t="s">
        <v>1171</v>
      </c>
      <c r="D4116" s="35">
        <f>Prec.!C143</f>
        <v>348</v>
      </c>
      <c r="E4116" s="31">
        <f t="shared" ref="E4116:E4124" si="322">ROUND(B4116*D4116,2)</f>
        <v>365.4</v>
      </c>
      <c r="F4116" s="32"/>
    </row>
    <row r="4117" spans="1:13" ht="12.75" customHeight="1">
      <c r="A4117" s="12" t="s">
        <v>673</v>
      </c>
      <c r="B4117" s="30">
        <v>2.1999999999999999E-2</v>
      </c>
      <c r="C4117" s="24" t="s">
        <v>1172</v>
      </c>
      <c r="D4117" s="35">
        <f>Prec.!$C$8</f>
        <v>250</v>
      </c>
      <c r="E4117" s="31">
        <f t="shared" si="322"/>
        <v>5.5</v>
      </c>
      <c r="F4117" s="32"/>
    </row>
    <row r="4118" spans="1:13" ht="12.75" customHeight="1">
      <c r="A4118" s="12" t="s">
        <v>1173</v>
      </c>
      <c r="B4118" s="30">
        <v>5.0000000000000001E-3</v>
      </c>
      <c r="C4118" s="24" t="s">
        <v>1018</v>
      </c>
      <c r="D4118" s="35">
        <f>Prec.!$C$82</f>
        <v>75</v>
      </c>
      <c r="E4118" s="31">
        <f t="shared" si="322"/>
        <v>0.38</v>
      </c>
      <c r="F4118" s="32"/>
    </row>
    <row r="4119" spans="1:13" ht="12.75" customHeight="1">
      <c r="A4119" s="12" t="s">
        <v>1174</v>
      </c>
      <c r="B4119" s="30">
        <v>1E-3</v>
      </c>
      <c r="C4119" s="24" t="s">
        <v>825</v>
      </c>
      <c r="D4119" s="35">
        <f>D4077</f>
        <v>5853.53</v>
      </c>
      <c r="E4119" s="31">
        <f t="shared" si="322"/>
        <v>5.85</v>
      </c>
      <c r="F4119" s="32"/>
    </row>
    <row r="4120" spans="1:13" ht="12.75" customHeight="1">
      <c r="A4120" s="12" t="s">
        <v>1015</v>
      </c>
      <c r="B4120" s="30">
        <v>1</v>
      </c>
      <c r="C4120" s="24" t="s">
        <v>1017</v>
      </c>
      <c r="D4120" s="35">
        <f>Prec.!D491</f>
        <v>11.93</v>
      </c>
      <c r="E4120" s="31">
        <f t="shared" si="322"/>
        <v>11.93</v>
      </c>
      <c r="F4120" s="32"/>
    </row>
    <row r="4121" spans="1:13" ht="12.75" customHeight="1">
      <c r="A4121" s="12" t="s">
        <v>674</v>
      </c>
      <c r="B4121" s="30">
        <v>1</v>
      </c>
      <c r="C4121" s="24" t="s">
        <v>1171</v>
      </c>
      <c r="D4121" s="35">
        <f>Prec.!D499</f>
        <v>93.25</v>
      </c>
      <c r="E4121" s="31">
        <f t="shared" si="322"/>
        <v>93.25</v>
      </c>
      <c r="F4121" s="32"/>
    </row>
    <row r="4122" spans="1:13" ht="12.75" customHeight="1">
      <c r="A4122" s="12" t="s">
        <v>870</v>
      </c>
      <c r="B4122" s="30">
        <v>1</v>
      </c>
      <c r="C4122" s="24" t="s">
        <v>1171</v>
      </c>
      <c r="D4122" s="35">
        <f>Prec.!D556</f>
        <v>0.67</v>
      </c>
      <c r="E4122" s="31">
        <f t="shared" si="322"/>
        <v>0.67</v>
      </c>
      <c r="F4122" s="32"/>
    </row>
    <row r="4123" spans="1:13" ht="12.75" customHeight="1">
      <c r="A4123" s="12" t="s">
        <v>1154</v>
      </c>
      <c r="B4123" s="30">
        <v>2.1999999999999999E-2</v>
      </c>
      <c r="C4123" s="24" t="s">
        <v>1172</v>
      </c>
      <c r="D4123" s="35">
        <f>Prec.!$D$562</f>
        <v>7.57</v>
      </c>
      <c r="E4123" s="31">
        <f t="shared" si="322"/>
        <v>0.17</v>
      </c>
      <c r="F4123" s="32"/>
    </row>
    <row r="4124" spans="1:13" ht="12.75" customHeight="1">
      <c r="A4124" s="12" t="s">
        <v>208</v>
      </c>
      <c r="B4124" s="14">
        <f>SUM(E4116:E4123)</f>
        <v>483.15000000000003</v>
      </c>
      <c r="C4124" s="24" t="s">
        <v>209</v>
      </c>
      <c r="D4124" s="35">
        <f>Prec.!C302</f>
        <v>1.4999999999999999E-2</v>
      </c>
      <c r="E4124" s="31">
        <f t="shared" si="322"/>
        <v>7.25</v>
      </c>
      <c r="F4124" s="32">
        <f>SUM(E4116:E4124)</f>
        <v>490.40000000000003</v>
      </c>
    </row>
    <row r="4125" spans="1:13" ht="12.75" customHeight="1">
      <c r="A4125" s="12"/>
      <c r="B4125" s="14"/>
      <c r="C4125" s="24"/>
      <c r="D4125" s="35"/>
      <c r="E4125" s="31"/>
      <c r="F4125" s="32"/>
    </row>
    <row r="4126" spans="1:13" ht="12.75" customHeight="1">
      <c r="A4126" s="1586" t="s">
        <v>70</v>
      </c>
      <c r="B4126" s="1587"/>
      <c r="C4126" s="1588"/>
      <c r="D4126" s="1589"/>
      <c r="E4126" s="1590" t="s">
        <v>151</v>
      </c>
      <c r="F4126" s="1591" t="s">
        <v>1171</v>
      </c>
    </row>
    <row r="4127" spans="1:13" ht="12.75" customHeight="1">
      <c r="A4127" s="1592" t="s">
        <v>427</v>
      </c>
      <c r="B4127" s="1593">
        <v>8.0000000000000002E-3</v>
      </c>
      <c r="C4127" s="1594" t="s">
        <v>825</v>
      </c>
      <c r="D4127" s="1589">
        <f>horm.ymez.!D8</f>
        <v>6851.01</v>
      </c>
      <c r="E4127" s="1595">
        <f>ROUND(B4127*D4127,2)</f>
        <v>54.81</v>
      </c>
      <c r="F4127" s="1596"/>
    </row>
    <row r="4128" spans="1:13" ht="12.75" customHeight="1">
      <c r="A4128" s="1592" t="s">
        <v>1168</v>
      </c>
      <c r="B4128" s="1593">
        <v>1</v>
      </c>
      <c r="C4128" s="1594" t="s">
        <v>1171</v>
      </c>
      <c r="D4128" s="1589">
        <f>Prec.!C486</f>
        <v>48.5</v>
      </c>
      <c r="E4128" s="1595">
        <f>ROUND(B4128*D4128,2)</f>
        <v>48.5</v>
      </c>
      <c r="F4128" s="1596"/>
    </row>
    <row r="4129" spans="1:6" ht="12.75" customHeight="1">
      <c r="A4129" s="1592" t="s">
        <v>208</v>
      </c>
      <c r="B4129" s="1597">
        <f>SUM(E4127:E4128)</f>
        <v>103.31</v>
      </c>
      <c r="C4129" s="1594" t="s">
        <v>209</v>
      </c>
      <c r="D4129" s="1589">
        <f>Prec.!C302</f>
        <v>1.4999999999999999E-2</v>
      </c>
      <c r="E4129" s="1595">
        <f>ROUND(B4129*D4129,2)</f>
        <v>1.55</v>
      </c>
      <c r="F4129" s="1596">
        <f>SUM(E4127:E4129)</f>
        <v>104.86</v>
      </c>
    </row>
    <row r="4130" spans="1:6" ht="12.75" customHeight="1">
      <c r="A4130" s="12"/>
      <c r="B4130" s="14"/>
      <c r="C4130" s="24"/>
      <c r="D4130" s="35"/>
      <c r="E4130" s="31"/>
      <c r="F4130" s="32"/>
    </row>
    <row r="4131" spans="1:6" ht="12.75" customHeight="1">
      <c r="A4131" s="13" t="s">
        <v>1219</v>
      </c>
      <c r="B4131" s="14"/>
      <c r="C4131" s="24"/>
      <c r="D4131" s="35"/>
      <c r="E4131" s="31"/>
      <c r="F4131" s="32"/>
    </row>
    <row r="4132" spans="1:6" ht="12.75" customHeight="1">
      <c r="A4132" s="12" t="s">
        <v>1216</v>
      </c>
      <c r="B4132" s="30">
        <v>1</v>
      </c>
      <c r="C4132" s="24" t="s">
        <v>1171</v>
      </c>
      <c r="D4132" s="35">
        <f>Prec.!C140</f>
        <v>90</v>
      </c>
      <c r="E4132" s="31">
        <f t="shared" ref="E4132:E4138" si="323">ROUND(B4132*D4132,2)</f>
        <v>90</v>
      </c>
      <c r="F4132" s="32"/>
    </row>
    <row r="4133" spans="1:6" ht="12.75" customHeight="1">
      <c r="A4133" s="12" t="s">
        <v>870</v>
      </c>
      <c r="B4133" s="30">
        <v>1</v>
      </c>
      <c r="C4133" s="24" t="s">
        <v>1171</v>
      </c>
      <c r="D4133" s="35">
        <f>Prec.!D556</f>
        <v>0.67</v>
      </c>
      <c r="E4133" s="31">
        <f t="shared" si="323"/>
        <v>0.67</v>
      </c>
      <c r="F4133" s="32"/>
    </row>
    <row r="4134" spans="1:6" ht="12.75" customHeight="1">
      <c r="A4134" s="12" t="s">
        <v>796</v>
      </c>
      <c r="B4134" s="30">
        <v>7.0000000000000001E-3</v>
      </c>
      <c r="C4134" s="24" t="s">
        <v>755</v>
      </c>
      <c r="D4134" s="35">
        <f>Prec.!C7</f>
        <v>250</v>
      </c>
      <c r="E4134" s="31">
        <f t="shared" si="323"/>
        <v>1.75</v>
      </c>
      <c r="F4134" s="32"/>
    </row>
    <row r="4135" spans="1:6" ht="12.75" customHeight="1">
      <c r="A4135" s="12" t="s">
        <v>1130</v>
      </c>
      <c r="B4135" s="30">
        <v>7.0000000000000001E-3</v>
      </c>
      <c r="C4135" s="24" t="s">
        <v>755</v>
      </c>
      <c r="D4135" s="35">
        <f>Prec.!D562</f>
        <v>7.57</v>
      </c>
      <c r="E4135" s="31">
        <f t="shared" si="323"/>
        <v>0.05</v>
      </c>
      <c r="F4135" s="32"/>
    </row>
    <row r="4136" spans="1:6" ht="12.75" customHeight="1">
      <c r="A4136" s="12" t="s">
        <v>1174</v>
      </c>
      <c r="B4136" s="30">
        <v>4.0000000000000001E-3</v>
      </c>
      <c r="C4136" s="24" t="s">
        <v>825</v>
      </c>
      <c r="D4136" s="35">
        <f>horm.ymez.!D9</f>
        <v>5853.53</v>
      </c>
      <c r="E4136" s="31">
        <f t="shared" si="323"/>
        <v>23.41</v>
      </c>
      <c r="F4136" s="32"/>
    </row>
    <row r="4137" spans="1:6" ht="12.75" customHeight="1">
      <c r="A4137" s="12" t="s">
        <v>1217</v>
      </c>
      <c r="B4137" s="30">
        <v>1</v>
      </c>
      <c r="C4137" s="24" t="s">
        <v>1171</v>
      </c>
      <c r="D4137" s="35">
        <f>Prec.!D467</f>
        <v>0</v>
      </c>
      <c r="E4137" s="31">
        <f t="shared" si="323"/>
        <v>0</v>
      </c>
      <c r="F4137" s="32"/>
    </row>
    <row r="4138" spans="1:6" ht="12.75" customHeight="1">
      <c r="A4138" s="12" t="s">
        <v>208</v>
      </c>
      <c r="B4138" s="30">
        <f>SUM(E4132:E4137)</f>
        <v>115.88</v>
      </c>
      <c r="C4138" s="24" t="s">
        <v>209</v>
      </c>
      <c r="D4138" s="35">
        <f>D4129</f>
        <v>1.4999999999999999E-2</v>
      </c>
      <c r="E4138" s="31">
        <f t="shared" si="323"/>
        <v>1.74</v>
      </c>
      <c r="F4138" s="32">
        <f>SUM(E4132:E4138)</f>
        <v>117.61999999999999</v>
      </c>
    </row>
    <row r="4139" spans="1:6" ht="12.75" customHeight="1">
      <c r="A4139" s="13"/>
      <c r="B4139" s="14"/>
      <c r="C4139" s="24"/>
      <c r="D4139" s="35"/>
      <c r="E4139" s="31"/>
      <c r="F4139" s="32"/>
    </row>
    <row r="4140" spans="1:6" ht="12.75" customHeight="1">
      <c r="A4140" s="13" t="s">
        <v>1220</v>
      </c>
      <c r="B4140" s="14"/>
      <c r="C4140" s="24"/>
      <c r="D4140" s="35"/>
      <c r="E4140" s="31"/>
      <c r="F4140" s="32"/>
    </row>
    <row r="4141" spans="1:6" ht="12.75" customHeight="1">
      <c r="A4141" s="12" t="s">
        <v>66</v>
      </c>
      <c r="B4141" s="30">
        <v>1</v>
      </c>
      <c r="C4141" s="24" t="s">
        <v>1171</v>
      </c>
      <c r="D4141" s="35">
        <f>Prec.!C139</f>
        <v>70.73</v>
      </c>
      <c r="E4141" s="31">
        <f t="shared" ref="E4141:E4147" si="324">ROUND(B4141*D4141,2)</f>
        <v>70.73</v>
      </c>
      <c r="F4141" s="32"/>
    </row>
    <row r="4142" spans="1:6" ht="12.75" customHeight="1">
      <c r="A4142" s="12" t="s">
        <v>870</v>
      </c>
      <c r="B4142" s="30">
        <v>1</v>
      </c>
      <c r="C4142" s="24" t="s">
        <v>1171</v>
      </c>
      <c r="D4142" s="35">
        <f>D4133</f>
        <v>0.67</v>
      </c>
      <c r="E4142" s="31">
        <f t="shared" si="324"/>
        <v>0.67</v>
      </c>
      <c r="F4142" s="32"/>
    </row>
    <row r="4143" spans="1:6" ht="12.75" customHeight="1">
      <c r="A4143" s="12" t="s">
        <v>657</v>
      </c>
      <c r="B4143" s="30">
        <v>7.0000000000000001E-3</v>
      </c>
      <c r="C4143" s="24" t="s">
        <v>755</v>
      </c>
      <c r="D4143" s="35">
        <f>Prec.!C8</f>
        <v>250</v>
      </c>
      <c r="E4143" s="31">
        <f t="shared" si="324"/>
        <v>1.75</v>
      </c>
      <c r="F4143" s="32"/>
    </row>
    <row r="4144" spans="1:6" ht="12.75" customHeight="1">
      <c r="A4144" s="12" t="s">
        <v>1130</v>
      </c>
      <c r="B4144" s="30">
        <v>7.0000000000000001E-3</v>
      </c>
      <c r="C4144" s="24" t="s">
        <v>755</v>
      </c>
      <c r="D4144" s="35">
        <f>D4135</f>
        <v>7.57</v>
      </c>
      <c r="E4144" s="31">
        <f t="shared" si="324"/>
        <v>0.05</v>
      </c>
      <c r="F4144" s="32"/>
    </row>
    <row r="4145" spans="1:6" ht="12.75" customHeight="1">
      <c r="A4145" s="12" t="s">
        <v>1174</v>
      </c>
      <c r="B4145" s="30">
        <v>4.0000000000000001E-3</v>
      </c>
      <c r="C4145" s="24" t="s">
        <v>825</v>
      </c>
      <c r="D4145" s="35">
        <f>D4136</f>
        <v>5853.53</v>
      </c>
      <c r="E4145" s="31">
        <f t="shared" si="324"/>
        <v>23.41</v>
      </c>
      <c r="F4145" s="32"/>
    </row>
    <row r="4146" spans="1:6" ht="12.75" customHeight="1">
      <c r="A4146" s="12" t="s">
        <v>1217</v>
      </c>
      <c r="B4146" s="30">
        <v>1</v>
      </c>
      <c r="C4146" s="24" t="s">
        <v>1171</v>
      </c>
      <c r="D4146" s="35">
        <f>D4137</f>
        <v>0</v>
      </c>
      <c r="E4146" s="31">
        <f t="shared" si="324"/>
        <v>0</v>
      </c>
      <c r="F4146" s="32"/>
    </row>
    <row r="4147" spans="1:6" ht="12.75" customHeight="1">
      <c r="A4147" s="12" t="s">
        <v>208</v>
      </c>
      <c r="B4147" s="30">
        <f>SUM(E4141:E4146)</f>
        <v>96.61</v>
      </c>
      <c r="C4147" s="24" t="s">
        <v>209</v>
      </c>
      <c r="D4147" s="35">
        <f>D4138</f>
        <v>1.4999999999999999E-2</v>
      </c>
      <c r="E4147" s="31">
        <f t="shared" si="324"/>
        <v>1.45</v>
      </c>
      <c r="F4147" s="32">
        <f>SUM(E4141:E4147)</f>
        <v>98.06</v>
      </c>
    </row>
    <row r="4148" spans="1:6" ht="12.75" customHeight="1">
      <c r="A4148" s="12"/>
      <c r="B4148" s="30"/>
      <c r="C4148" s="24"/>
      <c r="D4148" s="35"/>
      <c r="E4148" s="31"/>
      <c r="F4148" s="32"/>
    </row>
    <row r="4149" spans="1:6" ht="12.75" customHeight="1">
      <c r="A4149" s="12"/>
      <c r="B4149" s="30"/>
      <c r="C4149" s="24"/>
      <c r="D4149" s="35"/>
      <c r="E4149" s="31"/>
      <c r="F4149" s="32"/>
    </row>
    <row r="4150" spans="1:6" ht="12.75" customHeight="1">
      <c r="A4150" s="12"/>
      <c r="B4150" s="30"/>
      <c r="C4150" s="24"/>
      <c r="D4150" s="35"/>
      <c r="E4150" s="31"/>
      <c r="F4150" s="32"/>
    </row>
    <row r="4151" spans="1:6" ht="12.75" customHeight="1">
      <c r="A4151" s="12"/>
      <c r="B4151" s="30"/>
      <c r="C4151" s="24"/>
      <c r="D4151" s="35"/>
      <c r="E4151" s="31"/>
      <c r="F4151" s="32"/>
    </row>
    <row r="4152" spans="1:6" ht="12.75" customHeight="1">
      <c r="A4152" s="12"/>
      <c r="B4152" s="30"/>
      <c r="C4152" s="24"/>
      <c r="D4152" s="35"/>
      <c r="E4152" s="31"/>
      <c r="F4152" s="32"/>
    </row>
    <row r="4153" spans="1:6" ht="12.75" customHeight="1">
      <c r="A4153" s="12"/>
      <c r="B4153" s="30"/>
      <c r="C4153" s="24"/>
      <c r="D4153" s="35"/>
      <c r="E4153" s="31"/>
      <c r="F4153" s="32"/>
    </row>
    <row r="4154" spans="1:6" ht="12.75" customHeight="1">
      <c r="A4154" s="12"/>
      <c r="B4154" s="30"/>
      <c r="C4154" s="24"/>
      <c r="D4154" s="35"/>
      <c r="E4154" s="31"/>
      <c r="F4154" s="32"/>
    </row>
    <row r="4155" spans="1:6" ht="12.75" customHeight="1">
      <c r="A4155" s="13" t="s">
        <v>67</v>
      </c>
      <c r="B4155" s="14"/>
      <c r="C4155" s="24"/>
      <c r="D4155" s="35"/>
      <c r="E4155" s="31"/>
      <c r="F4155" s="32"/>
    </row>
    <row r="4156" spans="1:6" ht="12.75" customHeight="1">
      <c r="A4156" s="12" t="s">
        <v>1216</v>
      </c>
      <c r="B4156" s="30">
        <v>1</v>
      </c>
      <c r="C4156" s="24" t="s">
        <v>1171</v>
      </c>
      <c r="D4156" s="35">
        <f>Prec.!C142</f>
        <v>58</v>
      </c>
      <c r="E4156" s="31">
        <f t="shared" ref="E4156:E4162" si="325">ROUND(B4156*D4156,2)</f>
        <v>58</v>
      </c>
      <c r="F4156" s="32"/>
    </row>
    <row r="4157" spans="1:6" ht="12.75" customHeight="1">
      <c r="A4157" s="12" t="s">
        <v>870</v>
      </c>
      <c r="B4157" s="30">
        <v>1</v>
      </c>
      <c r="C4157" s="24" t="s">
        <v>1171</v>
      </c>
      <c r="D4157" s="35">
        <f>D4142</f>
        <v>0.67</v>
      </c>
      <c r="E4157" s="31">
        <f t="shared" si="325"/>
        <v>0.67</v>
      </c>
      <c r="F4157" s="32"/>
    </row>
    <row r="4158" spans="1:6" ht="12.75" customHeight="1">
      <c r="A4158" s="12" t="s">
        <v>796</v>
      </c>
      <c r="B4158" s="30">
        <v>7.0000000000000001E-3</v>
      </c>
      <c r="C4158" s="24" t="s">
        <v>755</v>
      </c>
      <c r="D4158" s="35">
        <f>D4134</f>
        <v>250</v>
      </c>
      <c r="E4158" s="31">
        <f t="shared" si="325"/>
        <v>1.75</v>
      </c>
      <c r="F4158" s="32"/>
    </row>
    <row r="4159" spans="1:6" ht="12.75" customHeight="1">
      <c r="A4159" s="12" t="s">
        <v>1130</v>
      </c>
      <c r="B4159" s="30">
        <v>7.0000000000000001E-3</v>
      </c>
      <c r="C4159" s="24" t="s">
        <v>755</v>
      </c>
      <c r="D4159" s="35">
        <f>D4144</f>
        <v>7.57</v>
      </c>
      <c r="E4159" s="31">
        <f t="shared" si="325"/>
        <v>0.05</v>
      </c>
      <c r="F4159" s="32"/>
    </row>
    <row r="4160" spans="1:6" ht="12.75" customHeight="1">
      <c r="A4160" s="12" t="s">
        <v>1174</v>
      </c>
      <c r="B4160" s="30">
        <v>4.0000000000000001E-3</v>
      </c>
      <c r="C4160" s="24" t="s">
        <v>825</v>
      </c>
      <c r="D4160" s="35">
        <f>D4136</f>
        <v>5853.53</v>
      </c>
      <c r="E4160" s="31">
        <f t="shared" si="325"/>
        <v>23.41</v>
      </c>
      <c r="F4160" s="32"/>
    </row>
    <row r="4161" spans="1:6" ht="12.75" customHeight="1">
      <c r="A4161" s="12" t="s">
        <v>1217</v>
      </c>
      <c r="B4161" s="30">
        <v>1</v>
      </c>
      <c r="C4161" s="24" t="s">
        <v>1171</v>
      </c>
      <c r="D4161" s="35">
        <f>D4137</f>
        <v>0</v>
      </c>
      <c r="E4161" s="31">
        <f t="shared" si="325"/>
        <v>0</v>
      </c>
      <c r="F4161" s="32"/>
    </row>
    <row r="4162" spans="1:6" ht="12.75" customHeight="1">
      <c r="A4162" s="12" t="s">
        <v>208</v>
      </c>
      <c r="B4162" s="30">
        <f>SUM(E4156:E4161)</f>
        <v>83.88</v>
      </c>
      <c r="C4162" s="24" t="s">
        <v>209</v>
      </c>
      <c r="D4162" s="35">
        <f>D4147</f>
        <v>1.4999999999999999E-2</v>
      </c>
      <c r="E4162" s="31">
        <f t="shared" si="325"/>
        <v>1.26</v>
      </c>
      <c r="F4162" s="32">
        <f>SUM(E4156:E4162)</f>
        <v>85.14</v>
      </c>
    </row>
    <row r="4163" spans="1:6" ht="12.75" customHeight="1">
      <c r="A4163" s="13"/>
      <c r="B4163" s="14"/>
      <c r="C4163" s="24"/>
      <c r="D4163" s="35"/>
      <c r="E4163" s="31"/>
      <c r="F4163" s="32"/>
    </row>
    <row r="4164" spans="1:6" ht="12.75" customHeight="1">
      <c r="A4164" s="13" t="s">
        <v>1129</v>
      </c>
      <c r="B4164" s="14"/>
      <c r="C4164" s="24"/>
      <c r="D4164" s="35"/>
      <c r="E4164" s="31"/>
      <c r="F4164" s="32"/>
    </row>
    <row r="4165" spans="1:6" ht="12.75" customHeight="1">
      <c r="A4165" s="12" t="s">
        <v>66</v>
      </c>
      <c r="B4165" s="30">
        <v>1</v>
      </c>
      <c r="C4165" s="24" t="s">
        <v>1171</v>
      </c>
      <c r="D4165" s="35">
        <f>Prec.!C141</f>
        <v>78.3</v>
      </c>
      <c r="E4165" s="31">
        <f t="shared" ref="E4165:E4171" si="326">ROUND(B4165*D4165,2)</f>
        <v>78.3</v>
      </c>
      <c r="F4165" s="32"/>
    </row>
    <row r="4166" spans="1:6" ht="12.75" customHeight="1">
      <c r="A4166" s="12" t="s">
        <v>870</v>
      </c>
      <c r="B4166" s="30">
        <v>1</v>
      </c>
      <c r="C4166" s="24" t="s">
        <v>1171</v>
      </c>
      <c r="D4166" s="35">
        <f>D4157</f>
        <v>0.67</v>
      </c>
      <c r="E4166" s="31">
        <f t="shared" si="326"/>
        <v>0.67</v>
      </c>
      <c r="F4166" s="32"/>
    </row>
    <row r="4167" spans="1:6" ht="12.75" customHeight="1">
      <c r="A4167" s="12" t="s">
        <v>657</v>
      </c>
      <c r="B4167" s="30">
        <v>7.0000000000000001E-3</v>
      </c>
      <c r="C4167" s="24" t="s">
        <v>755</v>
      </c>
      <c r="D4167" s="35">
        <f>D4143</f>
        <v>250</v>
      </c>
      <c r="E4167" s="31">
        <f t="shared" si="326"/>
        <v>1.75</v>
      </c>
      <c r="F4167" s="32"/>
    </row>
    <row r="4168" spans="1:6" ht="12.75" customHeight="1">
      <c r="A4168" s="12" t="s">
        <v>1130</v>
      </c>
      <c r="B4168" s="30">
        <v>7.0000000000000001E-3</v>
      </c>
      <c r="C4168" s="24" t="s">
        <v>755</v>
      </c>
      <c r="D4168" s="35">
        <f>D4159</f>
        <v>7.57</v>
      </c>
      <c r="E4168" s="31">
        <f t="shared" si="326"/>
        <v>0.05</v>
      </c>
      <c r="F4168" s="32"/>
    </row>
    <row r="4169" spans="1:6" ht="12.75" customHeight="1">
      <c r="A4169" s="12" t="s">
        <v>1174</v>
      </c>
      <c r="B4169" s="30">
        <v>4.0000000000000001E-3</v>
      </c>
      <c r="C4169" s="24" t="s">
        <v>825</v>
      </c>
      <c r="D4169" s="35">
        <f>D4160</f>
        <v>5853.53</v>
      </c>
      <c r="E4169" s="31">
        <f t="shared" si="326"/>
        <v>23.41</v>
      </c>
      <c r="F4169" s="32"/>
    </row>
    <row r="4170" spans="1:6" ht="12.75" customHeight="1">
      <c r="A4170" s="12" t="s">
        <v>1217</v>
      </c>
      <c r="B4170" s="30">
        <v>1</v>
      </c>
      <c r="C4170" s="24" t="s">
        <v>1171</v>
      </c>
      <c r="D4170" s="35">
        <f>D4161</f>
        <v>0</v>
      </c>
      <c r="E4170" s="31">
        <f t="shared" si="326"/>
        <v>0</v>
      </c>
      <c r="F4170" s="32"/>
    </row>
    <row r="4171" spans="1:6" ht="12.75" customHeight="1">
      <c r="A4171" s="12" t="s">
        <v>208</v>
      </c>
      <c r="B4171" s="30">
        <f>SUM(E4165:E4170)</f>
        <v>104.17999999999999</v>
      </c>
      <c r="C4171" s="24" t="s">
        <v>209</v>
      </c>
      <c r="D4171" s="35">
        <f>D4162</f>
        <v>1.4999999999999999E-2</v>
      </c>
      <c r="E4171" s="31">
        <f t="shared" si="326"/>
        <v>1.56</v>
      </c>
      <c r="F4171" s="32">
        <f>SUM(E4165:E4171)</f>
        <v>105.74</v>
      </c>
    </row>
    <row r="4172" spans="1:6" ht="12.75" customHeight="1">
      <c r="A4172" s="12"/>
      <c r="B4172" s="14"/>
      <c r="C4172" s="24"/>
      <c r="D4172" s="35"/>
      <c r="E4172" s="31"/>
      <c r="F4172" s="32"/>
    </row>
    <row r="4173" spans="1:6" ht="12.75" customHeight="1">
      <c r="A4173" s="23" t="s">
        <v>1159</v>
      </c>
      <c r="B4173" s="14"/>
      <c r="C4173" s="24"/>
      <c r="D4173" s="35"/>
      <c r="E4173" s="31"/>
      <c r="F4173" s="32"/>
    </row>
    <row r="4174" spans="1:6" ht="12.75" customHeight="1">
      <c r="A4174" s="29"/>
      <c r="B4174" s="14"/>
      <c r="C4174" s="24"/>
      <c r="D4174" s="35"/>
      <c r="E4174" s="31"/>
      <c r="F4174" s="32"/>
    </row>
    <row r="4175" spans="1:6" ht="12.75" customHeight="1">
      <c r="A4175" s="13" t="s">
        <v>1246</v>
      </c>
      <c r="B4175" s="42"/>
      <c r="C4175" s="29"/>
      <c r="D4175" s="35"/>
      <c r="E4175" s="43" t="s">
        <v>151</v>
      </c>
      <c r="F4175" s="44" t="s">
        <v>213</v>
      </c>
    </row>
    <row r="4176" spans="1:6" ht="12.75" customHeight="1">
      <c r="A4176" s="12" t="s">
        <v>421</v>
      </c>
      <c r="B4176" s="30">
        <v>8.4000000000000005E-2</v>
      </c>
      <c r="C4176" s="24" t="s">
        <v>825</v>
      </c>
      <c r="D4176" s="35">
        <f>horm.ymez.!E14</f>
        <v>5567.74</v>
      </c>
      <c r="E4176" s="31">
        <f>ROUND(B4176*D4176,2)</f>
        <v>467.69</v>
      </c>
      <c r="F4176" s="32"/>
    </row>
    <row r="4177" spans="1:6" ht="12.75" customHeight="1">
      <c r="A4177" s="12" t="s">
        <v>1168</v>
      </c>
      <c r="B4177" s="30">
        <v>1</v>
      </c>
      <c r="C4177" s="24" t="s">
        <v>213</v>
      </c>
      <c r="D4177" s="35">
        <f>D3882</f>
        <v>0</v>
      </c>
      <c r="E4177" s="31">
        <f>ROUND(B4177*D4177,2)</f>
        <v>0</v>
      </c>
      <c r="F4177" s="32"/>
    </row>
    <row r="4178" spans="1:6" ht="12.75" customHeight="1">
      <c r="A4178" s="12" t="s">
        <v>208</v>
      </c>
      <c r="B4178" s="14">
        <f>SUM(E4176:E4177)</f>
        <v>467.69</v>
      </c>
      <c r="C4178" s="24" t="s">
        <v>209</v>
      </c>
      <c r="D4178" s="35">
        <f>Prec.!C302</f>
        <v>1.4999999999999999E-2</v>
      </c>
      <c r="E4178" s="31">
        <f>ROUND(B4178*D4178,2)</f>
        <v>7.02</v>
      </c>
      <c r="F4178" s="32">
        <f>SUM(E4176:E4178)</f>
        <v>474.71</v>
      </c>
    </row>
    <row r="4179" spans="1:6" ht="12.75" customHeight="1">
      <c r="A4179" s="12"/>
      <c r="B4179" s="14"/>
      <c r="C4179" s="24"/>
      <c r="D4179" s="35"/>
      <c r="E4179" s="31"/>
      <c r="F4179" s="32"/>
    </row>
    <row r="4180" spans="1:6" ht="12.75" customHeight="1">
      <c r="A4180" s="13" t="s">
        <v>71</v>
      </c>
      <c r="B4180" s="42"/>
      <c r="C4180" s="29"/>
      <c r="D4180" s="35"/>
      <c r="E4180" s="43" t="s">
        <v>151</v>
      </c>
      <c r="F4180" s="44" t="s">
        <v>213</v>
      </c>
    </row>
    <row r="4181" spans="1:6" ht="12.75" customHeight="1">
      <c r="A4181" s="12" t="s">
        <v>421</v>
      </c>
      <c r="B4181" s="30">
        <v>8.4000000000000005E-2</v>
      </c>
      <c r="C4181" s="24" t="s">
        <v>825</v>
      </c>
      <c r="D4181" s="35">
        <f>D4176</f>
        <v>5567.74</v>
      </c>
      <c r="E4181" s="31">
        <f t="shared" ref="E4181:E4186" si="327">ROUND(B4181*D4181,2)</f>
        <v>467.69</v>
      </c>
      <c r="F4181" s="32"/>
    </row>
    <row r="4182" spans="1:6" ht="12.75" customHeight="1">
      <c r="A4182" s="12" t="s">
        <v>427</v>
      </c>
      <c r="B4182" s="30">
        <v>2.1999999999999999E-2</v>
      </c>
      <c r="C4182" s="24" t="s">
        <v>825</v>
      </c>
      <c r="D4182" s="35">
        <f>horm.ymez.!E8</f>
        <v>7012.85</v>
      </c>
      <c r="E4182" s="31">
        <f t="shared" si="327"/>
        <v>154.28</v>
      </c>
      <c r="F4182" s="32"/>
    </row>
    <row r="4183" spans="1:6" ht="12.75" customHeight="1">
      <c r="A4183" s="12" t="s">
        <v>183</v>
      </c>
      <c r="B4183" s="30">
        <v>8.7999999999999995E-2</v>
      </c>
      <c r="C4183" s="24" t="s">
        <v>211</v>
      </c>
      <c r="D4183" s="35">
        <f>D3897</f>
        <v>38</v>
      </c>
      <c r="E4183" s="31">
        <f t="shared" si="327"/>
        <v>3.34</v>
      </c>
      <c r="F4183" s="32"/>
    </row>
    <row r="4184" spans="1:6" ht="12.75" customHeight="1">
      <c r="A4184" s="12" t="s">
        <v>1170</v>
      </c>
      <c r="B4184" s="30">
        <v>0.8</v>
      </c>
      <c r="C4184" s="24" t="s">
        <v>1171</v>
      </c>
      <c r="D4184" s="35">
        <f>Prec.!$D$438</f>
        <v>0</v>
      </c>
      <c r="E4184" s="31">
        <f t="shared" si="327"/>
        <v>0</v>
      </c>
      <c r="F4184" s="32"/>
    </row>
    <row r="4185" spans="1:6" ht="12.75" customHeight="1">
      <c r="A4185" s="12" t="s">
        <v>1168</v>
      </c>
      <c r="B4185" s="30">
        <v>1</v>
      </c>
      <c r="C4185" s="24" t="s">
        <v>213</v>
      </c>
      <c r="D4185" s="35">
        <f>Prec.!$D$450</f>
        <v>0</v>
      </c>
      <c r="E4185" s="31">
        <f t="shared" si="327"/>
        <v>0</v>
      </c>
      <c r="F4185" s="32"/>
    </row>
    <row r="4186" spans="1:6" ht="12.75" customHeight="1">
      <c r="A4186" s="12" t="s">
        <v>208</v>
      </c>
      <c r="B4186" s="14">
        <f>SUM(E4181:E4185)</f>
        <v>625.31000000000006</v>
      </c>
      <c r="C4186" s="24" t="s">
        <v>209</v>
      </c>
      <c r="D4186" s="35">
        <f>Prec.!C302</f>
        <v>1.4999999999999999E-2</v>
      </c>
      <c r="E4186" s="31">
        <f t="shared" si="327"/>
        <v>9.3800000000000008</v>
      </c>
      <c r="F4186" s="32">
        <f>SUM(E4181:E4186)</f>
        <v>634.69000000000005</v>
      </c>
    </row>
    <row r="4187" spans="1:6" ht="12.75" customHeight="1">
      <c r="A4187" s="12"/>
      <c r="B4187" s="14"/>
      <c r="C4187" s="24"/>
      <c r="D4187" s="35"/>
      <c r="E4187" s="31"/>
      <c r="F4187" s="32"/>
    </row>
    <row r="4188" spans="1:6" ht="12.75" customHeight="1">
      <c r="A4188" s="13" t="s">
        <v>72</v>
      </c>
      <c r="B4188" s="42"/>
      <c r="C4188" s="29"/>
      <c r="D4188" s="35"/>
      <c r="E4188" s="43" t="s">
        <v>151</v>
      </c>
      <c r="F4188" s="44" t="s">
        <v>213</v>
      </c>
    </row>
    <row r="4189" spans="1:6" ht="12.75" customHeight="1">
      <c r="A4189" s="12" t="s">
        <v>1</v>
      </c>
      <c r="B4189" s="30">
        <v>4.4999999999999998E-2</v>
      </c>
      <c r="C4189" s="24" t="s">
        <v>823</v>
      </c>
      <c r="D4189" s="41">
        <f>Prec.!$C$5</f>
        <v>425</v>
      </c>
      <c r="E4189" s="31">
        <f t="shared" ref="E4189:E4195" si="328">ROUND(B4189*D4189,2)</f>
        <v>19.13</v>
      </c>
      <c r="F4189" s="32"/>
    </row>
    <row r="4190" spans="1:6" ht="12.75" customHeight="1">
      <c r="A4190" s="12" t="s">
        <v>421</v>
      </c>
      <c r="B4190" s="30">
        <v>8.4000000000000005E-2</v>
      </c>
      <c r="C4190" s="24" t="s">
        <v>825</v>
      </c>
      <c r="D4190" s="35">
        <f>D4181</f>
        <v>5567.74</v>
      </c>
      <c r="E4190" s="31">
        <f t="shared" si="328"/>
        <v>467.69</v>
      </c>
      <c r="F4190" s="32"/>
    </row>
    <row r="4191" spans="1:6" ht="12.75" customHeight="1">
      <c r="A4191" s="12" t="s">
        <v>427</v>
      </c>
      <c r="B4191" s="30">
        <v>2.1999999999999999E-2</v>
      </c>
      <c r="C4191" s="24" t="s">
        <v>825</v>
      </c>
      <c r="D4191" s="35">
        <f>D4182</f>
        <v>7012.85</v>
      </c>
      <c r="E4191" s="31">
        <f t="shared" si="328"/>
        <v>154.28</v>
      </c>
      <c r="F4191" s="32"/>
    </row>
    <row r="4192" spans="1:6" ht="12.75" customHeight="1">
      <c r="A4192" s="12" t="s">
        <v>183</v>
      </c>
      <c r="B4192" s="30">
        <v>8.7999999999999995E-2</v>
      </c>
      <c r="C4192" s="24" t="s">
        <v>211</v>
      </c>
      <c r="D4192" s="35">
        <f>D4183</f>
        <v>38</v>
      </c>
      <c r="E4192" s="31">
        <f t="shared" si="328"/>
        <v>3.34</v>
      </c>
      <c r="F4192" s="32"/>
    </row>
    <row r="4193" spans="1:6" ht="12.75" customHeight="1">
      <c r="A4193" s="12" t="s">
        <v>1170</v>
      </c>
      <c r="B4193" s="30">
        <v>0.8</v>
      </c>
      <c r="C4193" s="24" t="s">
        <v>1171</v>
      </c>
      <c r="D4193" s="35">
        <f>Prec.!$D$438</f>
        <v>0</v>
      </c>
      <c r="E4193" s="31">
        <f t="shared" si="328"/>
        <v>0</v>
      </c>
      <c r="F4193" s="32"/>
    </row>
    <row r="4194" spans="1:6" ht="12.75" customHeight="1">
      <c r="A4194" s="12" t="s">
        <v>1168</v>
      </c>
      <c r="B4194" s="30">
        <v>1</v>
      </c>
      <c r="C4194" s="24" t="s">
        <v>213</v>
      </c>
      <c r="D4194" s="35">
        <f>Prec.!$D$452</f>
        <v>0</v>
      </c>
      <c r="E4194" s="31">
        <f t="shared" si="328"/>
        <v>0</v>
      </c>
      <c r="F4194" s="32"/>
    </row>
    <row r="4195" spans="1:6" ht="12.75" customHeight="1">
      <c r="A4195" s="12" t="s">
        <v>208</v>
      </c>
      <c r="B4195" s="14">
        <f>SUM(E4189:E4194)</f>
        <v>644.44000000000005</v>
      </c>
      <c r="C4195" s="24" t="s">
        <v>209</v>
      </c>
      <c r="D4195" s="35">
        <f>Prec.!C302</f>
        <v>1.4999999999999999E-2</v>
      </c>
      <c r="E4195" s="31">
        <f t="shared" si="328"/>
        <v>9.67</v>
      </c>
      <c r="F4195" s="32">
        <f>SUM(E4189:E4195)</f>
        <v>654.11</v>
      </c>
    </row>
    <row r="4196" spans="1:6" ht="12.75" customHeight="1">
      <c r="A4196" s="12"/>
      <c r="B4196" s="14"/>
      <c r="C4196" s="24"/>
      <c r="D4196" s="35"/>
      <c r="E4196" s="31"/>
      <c r="F4196" s="32"/>
    </row>
    <row r="4197" spans="1:6" ht="12.75" customHeight="1">
      <c r="A4197" s="12"/>
      <c r="B4197" s="14"/>
      <c r="C4197" s="24"/>
      <c r="D4197" s="35"/>
      <c r="E4197" s="31"/>
      <c r="F4197" s="32"/>
    </row>
    <row r="4198" spans="1:6" ht="12.75" customHeight="1">
      <c r="A4198" s="12"/>
      <c r="B4198" s="14"/>
      <c r="C4198" s="24"/>
      <c r="D4198" s="35"/>
      <c r="E4198" s="31"/>
      <c r="F4198" s="32"/>
    </row>
    <row r="4199" spans="1:6" ht="12.75" customHeight="1">
      <c r="A4199" s="12"/>
      <c r="B4199" s="14"/>
      <c r="C4199" s="24"/>
      <c r="D4199" s="35"/>
      <c r="E4199" s="31"/>
      <c r="F4199" s="32"/>
    </row>
    <row r="4200" spans="1:6" ht="12.75" customHeight="1">
      <c r="A4200" s="12"/>
      <c r="B4200" s="14"/>
      <c r="C4200" s="24"/>
      <c r="D4200" s="35"/>
      <c r="E4200" s="31"/>
      <c r="F4200" s="32"/>
    </row>
    <row r="4201" spans="1:6" ht="12.75" customHeight="1">
      <c r="A4201" s="12"/>
      <c r="B4201" s="14"/>
      <c r="C4201" s="24"/>
      <c r="D4201" s="35"/>
      <c r="E4201" s="31"/>
      <c r="F4201" s="32"/>
    </row>
    <row r="4202" spans="1:6" ht="12.75" customHeight="1">
      <c r="A4202" s="12"/>
      <c r="B4202" s="14"/>
      <c r="C4202" s="24"/>
      <c r="D4202" s="35"/>
      <c r="E4202" s="31"/>
      <c r="F4202" s="32"/>
    </row>
    <row r="4203" spans="1:6" ht="12.75" customHeight="1">
      <c r="A4203" s="12"/>
      <c r="B4203" s="14"/>
      <c r="C4203" s="24"/>
      <c r="D4203" s="35"/>
      <c r="E4203" s="31"/>
      <c r="F4203" s="32"/>
    </row>
    <row r="4204" spans="1:6" ht="12.75" customHeight="1">
      <c r="A4204" s="12"/>
      <c r="B4204" s="14"/>
      <c r="C4204" s="24"/>
      <c r="D4204" s="35"/>
      <c r="E4204" s="31"/>
      <c r="F4204" s="32"/>
    </row>
    <row r="4205" spans="1:6" ht="12.75" customHeight="1">
      <c r="A4205" s="13" t="s">
        <v>73</v>
      </c>
      <c r="B4205" s="42"/>
      <c r="C4205" s="29"/>
      <c r="D4205" s="35"/>
      <c r="E4205" s="43" t="s">
        <v>151</v>
      </c>
      <c r="F4205" s="44" t="s">
        <v>213</v>
      </c>
    </row>
    <row r="4206" spans="1:6" ht="12.75" customHeight="1">
      <c r="A4206" s="12" t="s">
        <v>672</v>
      </c>
      <c r="B4206" s="30">
        <v>11.67</v>
      </c>
      <c r="C4206" s="24" t="s">
        <v>1017</v>
      </c>
      <c r="D4206" s="35">
        <f>Prec.!$C$102</f>
        <v>34.76</v>
      </c>
      <c r="E4206" s="31">
        <f t="shared" ref="E4206:E4215" si="329">ROUND(B4206*D4206,2)</f>
        <v>405.65</v>
      </c>
      <c r="F4206" s="32"/>
    </row>
    <row r="4207" spans="1:6" ht="12.75" customHeight="1">
      <c r="A4207" s="12" t="s">
        <v>673</v>
      </c>
      <c r="B4207" s="30">
        <v>7.0000000000000007E-2</v>
      </c>
      <c r="C4207" s="24" t="s">
        <v>1172</v>
      </c>
      <c r="D4207" s="35">
        <f>Prec.!$C$8</f>
        <v>250</v>
      </c>
      <c r="E4207" s="31">
        <f t="shared" si="329"/>
        <v>17.5</v>
      </c>
      <c r="F4207" s="32"/>
    </row>
    <row r="4208" spans="1:6" ht="12.75" customHeight="1">
      <c r="A4208" s="12" t="s">
        <v>1174</v>
      </c>
      <c r="B4208" s="30">
        <v>3.2000000000000001E-2</v>
      </c>
      <c r="C4208" s="24" t="s">
        <v>825</v>
      </c>
      <c r="D4208" s="35">
        <f>horm.ymez.!E9</f>
        <v>6011.2699999999995</v>
      </c>
      <c r="E4208" s="31">
        <f t="shared" si="329"/>
        <v>192.36</v>
      </c>
      <c r="F4208" s="32"/>
    </row>
    <row r="4209" spans="1:6" ht="12.75" customHeight="1">
      <c r="A4209" s="12" t="s">
        <v>1173</v>
      </c>
      <c r="B4209" s="30">
        <v>0.05</v>
      </c>
      <c r="C4209" s="24" t="s">
        <v>1018</v>
      </c>
      <c r="D4209" s="35">
        <f>Prec.!$C$82</f>
        <v>75</v>
      </c>
      <c r="E4209" s="31">
        <f t="shared" si="329"/>
        <v>3.75</v>
      </c>
      <c r="F4209" s="32"/>
    </row>
    <row r="4210" spans="1:6" ht="12.75" customHeight="1">
      <c r="A4210" s="12" t="s">
        <v>1015</v>
      </c>
      <c r="B4210" s="30">
        <v>3</v>
      </c>
      <c r="C4210" s="24" t="s">
        <v>1017</v>
      </c>
      <c r="D4210" s="35">
        <f>Prec.!D490</f>
        <v>11.93</v>
      </c>
      <c r="E4210" s="31">
        <f t="shared" si="329"/>
        <v>35.79</v>
      </c>
      <c r="F4210" s="32"/>
    </row>
    <row r="4211" spans="1:6" ht="12.75" customHeight="1">
      <c r="A4211" s="12" t="s">
        <v>674</v>
      </c>
      <c r="B4211" s="30">
        <v>1</v>
      </c>
      <c r="C4211" s="24" t="s">
        <v>213</v>
      </c>
      <c r="D4211" s="35">
        <f>Prec.!$D$458</f>
        <v>0</v>
      </c>
      <c r="E4211" s="31">
        <f t="shared" si="329"/>
        <v>0</v>
      </c>
      <c r="F4211" s="32"/>
    </row>
    <row r="4212" spans="1:6" ht="12.75" customHeight="1">
      <c r="A4212" s="12" t="s">
        <v>1016</v>
      </c>
      <c r="B4212" s="30">
        <v>1</v>
      </c>
      <c r="C4212" s="24" t="s">
        <v>213</v>
      </c>
      <c r="D4212" s="35">
        <f>Prec.!$D$444</f>
        <v>160.08000000000001</v>
      </c>
      <c r="E4212" s="31">
        <f t="shared" si="329"/>
        <v>160.08000000000001</v>
      </c>
      <c r="F4212" s="32"/>
    </row>
    <row r="4213" spans="1:6" ht="12.75" customHeight="1">
      <c r="A4213" s="12" t="s">
        <v>1155</v>
      </c>
      <c r="B4213" s="30">
        <v>1</v>
      </c>
      <c r="C4213" s="24" t="s">
        <v>213</v>
      </c>
      <c r="D4213" s="35">
        <f>Prec.!$D$550</f>
        <v>13.48</v>
      </c>
      <c r="E4213" s="31">
        <f t="shared" si="329"/>
        <v>13.48</v>
      </c>
      <c r="F4213" s="32"/>
    </row>
    <row r="4214" spans="1:6" ht="12.75" customHeight="1">
      <c r="A4214" s="12" t="s">
        <v>1154</v>
      </c>
      <c r="B4214" s="30">
        <v>7.0000000000000007E-2</v>
      </c>
      <c r="C4214" s="24" t="s">
        <v>1172</v>
      </c>
      <c r="D4214" s="35">
        <f>Prec.!$D$563</f>
        <v>12.04</v>
      </c>
      <c r="E4214" s="31">
        <f t="shared" si="329"/>
        <v>0.84</v>
      </c>
      <c r="F4214" s="32"/>
    </row>
    <row r="4215" spans="1:6" ht="12.75" customHeight="1">
      <c r="A4215" s="12" t="s">
        <v>208</v>
      </c>
      <c r="B4215" s="14">
        <f>SUM(E4206:E4214)</f>
        <v>829.45</v>
      </c>
      <c r="C4215" s="24" t="s">
        <v>209</v>
      </c>
      <c r="D4215" s="35">
        <f>Prec.!C302</f>
        <v>1.4999999999999999E-2</v>
      </c>
      <c r="E4215" s="31">
        <f t="shared" si="329"/>
        <v>12.44</v>
      </c>
      <c r="F4215" s="32">
        <f>SUM(E4206:E4215)</f>
        <v>841.8900000000001</v>
      </c>
    </row>
    <row r="4216" spans="1:6" ht="12.75" customHeight="1">
      <c r="A4216" s="12"/>
      <c r="B4216" s="14"/>
      <c r="C4216" s="24"/>
      <c r="D4216" s="35"/>
      <c r="E4216" s="31"/>
      <c r="F4216" s="32"/>
    </row>
    <row r="4217" spans="1:6" ht="12.75" customHeight="1">
      <c r="A4217" s="13" t="s">
        <v>725</v>
      </c>
      <c r="B4217" s="42"/>
      <c r="C4217" s="29"/>
      <c r="D4217" s="35"/>
      <c r="E4217" s="43" t="s">
        <v>151</v>
      </c>
      <c r="F4217" s="44" t="s">
        <v>213</v>
      </c>
    </row>
    <row r="4218" spans="1:6" ht="12.75" customHeight="1">
      <c r="A4218" s="12" t="s">
        <v>649</v>
      </c>
      <c r="B4218" s="30">
        <v>11.67</v>
      </c>
      <c r="C4218" s="24" t="s">
        <v>1017</v>
      </c>
      <c r="D4218" s="35">
        <f>Prec.!$C$103</f>
        <v>59.27</v>
      </c>
      <c r="E4218" s="31">
        <f t="shared" ref="E4218:E4227" si="330">ROUND(B4218*D4218,2)</f>
        <v>691.68</v>
      </c>
      <c r="F4218" s="32"/>
    </row>
    <row r="4219" spans="1:6" ht="12.75" customHeight="1">
      <c r="A4219" s="12" t="s">
        <v>622</v>
      </c>
      <c r="B4219" s="30">
        <v>7.0000000000000007E-2</v>
      </c>
      <c r="C4219" s="24" t="s">
        <v>1172</v>
      </c>
      <c r="D4219" s="35">
        <f>Prec.!C7</f>
        <v>250</v>
      </c>
      <c r="E4219" s="31">
        <f t="shared" si="330"/>
        <v>17.5</v>
      </c>
      <c r="F4219" s="32"/>
    </row>
    <row r="4220" spans="1:6" ht="12.75" customHeight="1">
      <c r="A4220" s="12" t="s">
        <v>1174</v>
      </c>
      <c r="B4220" s="30">
        <v>3.2000000000000001E-2</v>
      </c>
      <c r="C4220" s="24" t="s">
        <v>825</v>
      </c>
      <c r="D4220" s="35">
        <f>D4208</f>
        <v>6011.2699999999995</v>
      </c>
      <c r="E4220" s="31">
        <f t="shared" si="330"/>
        <v>192.36</v>
      </c>
      <c r="F4220" s="32"/>
    </row>
    <row r="4221" spans="1:6" ht="12.75" customHeight="1">
      <c r="A4221" s="12" t="s">
        <v>1173</v>
      </c>
      <c r="B4221" s="30">
        <v>0.05</v>
      </c>
      <c r="C4221" s="24" t="s">
        <v>1018</v>
      </c>
      <c r="D4221" s="35">
        <f>Prec.!$C$82</f>
        <v>75</v>
      </c>
      <c r="E4221" s="31">
        <f t="shared" si="330"/>
        <v>3.75</v>
      </c>
      <c r="F4221" s="32"/>
    </row>
    <row r="4222" spans="1:6" ht="12.75" customHeight="1">
      <c r="A4222" s="12" t="s">
        <v>1015</v>
      </c>
      <c r="B4222" s="30">
        <v>3</v>
      </c>
      <c r="C4222" s="24" t="s">
        <v>1017</v>
      </c>
      <c r="D4222" s="35">
        <f>D4210</f>
        <v>11.93</v>
      </c>
      <c r="E4222" s="31">
        <f t="shared" si="330"/>
        <v>35.79</v>
      </c>
      <c r="F4222" s="32"/>
    </row>
    <row r="4223" spans="1:6" ht="12.75" customHeight="1">
      <c r="A4223" s="12" t="s">
        <v>674</v>
      </c>
      <c r="B4223" s="30">
        <v>1</v>
      </c>
      <c r="C4223" s="24" t="s">
        <v>213</v>
      </c>
      <c r="D4223" s="35">
        <f>Prec.!$D$458</f>
        <v>0</v>
      </c>
      <c r="E4223" s="31">
        <f t="shared" si="330"/>
        <v>0</v>
      </c>
      <c r="F4223" s="32"/>
    </row>
    <row r="4224" spans="1:6" ht="12.75" customHeight="1">
      <c r="A4224" s="12" t="s">
        <v>1016</v>
      </c>
      <c r="B4224" s="30">
        <v>1</v>
      </c>
      <c r="C4224" s="24" t="s">
        <v>213</v>
      </c>
      <c r="D4224" s="35">
        <f>Prec.!$D$444</f>
        <v>160.08000000000001</v>
      </c>
      <c r="E4224" s="31">
        <f t="shared" si="330"/>
        <v>160.08000000000001</v>
      </c>
      <c r="F4224" s="32"/>
    </row>
    <row r="4225" spans="1:6" ht="12.75" customHeight="1">
      <c r="A4225" s="12" t="s">
        <v>1155</v>
      </c>
      <c r="B4225" s="30">
        <v>1</v>
      </c>
      <c r="C4225" s="24" t="s">
        <v>1017</v>
      </c>
      <c r="D4225" s="35">
        <f>Prec.!$D$550</f>
        <v>13.48</v>
      </c>
      <c r="E4225" s="31">
        <f t="shared" si="330"/>
        <v>13.48</v>
      </c>
      <c r="F4225" s="32"/>
    </row>
    <row r="4226" spans="1:6" ht="12.75" customHeight="1">
      <c r="A4226" s="12" t="s">
        <v>1154</v>
      </c>
      <c r="B4226" s="30">
        <v>7.0000000000000007E-2</v>
      </c>
      <c r="C4226" s="24" t="s">
        <v>1172</v>
      </c>
      <c r="D4226" s="35">
        <f>Prec.!$D$563</f>
        <v>12.04</v>
      </c>
      <c r="E4226" s="31">
        <f t="shared" si="330"/>
        <v>0.84</v>
      </c>
      <c r="F4226" s="32"/>
    </row>
    <row r="4227" spans="1:6" ht="12.75" customHeight="1">
      <c r="A4227" s="12" t="s">
        <v>208</v>
      </c>
      <c r="B4227" s="14">
        <f>SUM(E4218:E4226)</f>
        <v>1115.4799999999998</v>
      </c>
      <c r="C4227" s="24" t="s">
        <v>209</v>
      </c>
      <c r="D4227" s="35">
        <v>0.02</v>
      </c>
      <c r="E4227" s="31">
        <f t="shared" si="330"/>
        <v>22.31</v>
      </c>
      <c r="F4227" s="32">
        <f>SUM(E4218:E4227)</f>
        <v>1137.7899999999997</v>
      </c>
    </row>
    <row r="4228" spans="1:6" ht="12.75" customHeight="1">
      <c r="A4228" s="12"/>
      <c r="B4228" s="14"/>
      <c r="C4228" s="24"/>
      <c r="D4228" s="35"/>
      <c r="E4228" s="31"/>
      <c r="F4228" s="32"/>
    </row>
    <row r="4229" spans="1:6" ht="12.75" customHeight="1">
      <c r="A4229" s="1530" t="s">
        <v>650</v>
      </c>
      <c r="B4229" s="1531"/>
      <c r="C4229" s="1532"/>
      <c r="D4229" s="1533"/>
      <c r="E4229" s="1534" t="s">
        <v>151</v>
      </c>
      <c r="F4229" s="1535" t="s">
        <v>213</v>
      </c>
    </row>
    <row r="4230" spans="1:6" ht="12.75" customHeight="1">
      <c r="A4230" s="1536" t="s">
        <v>672</v>
      </c>
      <c r="B4230" s="1537">
        <v>6.56</v>
      </c>
      <c r="C4230" s="1538" t="s">
        <v>1017</v>
      </c>
      <c r="D4230" s="1533">
        <f>Prec.!C104</f>
        <v>107.65</v>
      </c>
      <c r="E4230" s="1539">
        <f t="shared" ref="E4230:E4239" si="331">ROUND(B4230*D4230,2)</f>
        <v>706.18</v>
      </c>
      <c r="F4230" s="1540"/>
    </row>
    <row r="4231" spans="1:6" ht="12.75" customHeight="1">
      <c r="A4231" s="1536" t="s">
        <v>673</v>
      </c>
      <c r="B4231" s="1537">
        <v>7.0000000000000007E-2</v>
      </c>
      <c r="C4231" s="1538" t="s">
        <v>1172</v>
      </c>
      <c r="D4231" s="1533">
        <f>Prec.!$C$8</f>
        <v>250</v>
      </c>
      <c r="E4231" s="1539">
        <f t="shared" si="331"/>
        <v>17.5</v>
      </c>
      <c r="F4231" s="1540"/>
    </row>
    <row r="4232" spans="1:6" ht="12.75" customHeight="1">
      <c r="A4232" s="1536" t="s">
        <v>1174</v>
      </c>
      <c r="B4232" s="1537">
        <v>3.2000000000000001E-2</v>
      </c>
      <c r="C4232" s="1538" t="s">
        <v>825</v>
      </c>
      <c r="D4232" s="1533">
        <f>D4220</f>
        <v>6011.2699999999995</v>
      </c>
      <c r="E4232" s="1539">
        <f t="shared" si="331"/>
        <v>192.36</v>
      </c>
      <c r="F4232" s="1540"/>
    </row>
    <row r="4233" spans="1:6" ht="12.75" customHeight="1">
      <c r="A4233" s="1536" t="s">
        <v>1173</v>
      </c>
      <c r="B4233" s="1537">
        <v>0.05</v>
      </c>
      <c r="C4233" s="1538" t="s">
        <v>1018</v>
      </c>
      <c r="D4233" s="1533">
        <f>Prec.!$C$82</f>
        <v>75</v>
      </c>
      <c r="E4233" s="1539">
        <f t="shared" si="331"/>
        <v>3.75</v>
      </c>
      <c r="F4233" s="1540"/>
    </row>
    <row r="4234" spans="1:6" ht="12.75" customHeight="1">
      <c r="A4234" s="1536" t="s">
        <v>1015</v>
      </c>
      <c r="B4234" s="1537">
        <v>3</v>
      </c>
      <c r="C4234" s="1538" t="s">
        <v>1017</v>
      </c>
      <c r="D4234" s="1533">
        <f>Prec.!D491</f>
        <v>11.93</v>
      </c>
      <c r="E4234" s="1539">
        <f t="shared" si="331"/>
        <v>35.79</v>
      </c>
      <c r="F4234" s="1540"/>
    </row>
    <row r="4235" spans="1:6" ht="12.75" customHeight="1">
      <c r="A4235" s="1536" t="s">
        <v>674</v>
      </c>
      <c r="B4235" s="1537">
        <v>1</v>
      </c>
      <c r="C4235" s="1538" t="s">
        <v>213</v>
      </c>
      <c r="D4235" s="1533">
        <f>Prec.!C457</f>
        <v>296.23</v>
      </c>
      <c r="E4235" s="1539">
        <f t="shared" si="331"/>
        <v>296.23</v>
      </c>
      <c r="F4235" s="1540"/>
    </row>
    <row r="4236" spans="1:6" ht="12.75" customHeight="1">
      <c r="A4236" s="1536" t="s">
        <v>1016</v>
      </c>
      <c r="B4236" s="1537">
        <v>1</v>
      </c>
      <c r="C4236" s="1538" t="s">
        <v>213</v>
      </c>
      <c r="D4236" s="1533">
        <f>D3935</f>
        <v>184.09200000000001</v>
      </c>
      <c r="E4236" s="1539">
        <f t="shared" si="331"/>
        <v>184.09</v>
      </c>
      <c r="F4236" s="1540"/>
    </row>
    <row r="4237" spans="1:6" ht="12.75" customHeight="1">
      <c r="A4237" s="1536" t="s">
        <v>1155</v>
      </c>
      <c r="B4237" s="1537">
        <v>1</v>
      </c>
      <c r="C4237" s="1538" t="s">
        <v>213</v>
      </c>
      <c r="D4237" s="1533">
        <f>Prec.!$D$550</f>
        <v>13.48</v>
      </c>
      <c r="E4237" s="1539">
        <f t="shared" si="331"/>
        <v>13.48</v>
      </c>
      <c r="F4237" s="1540"/>
    </row>
    <row r="4238" spans="1:6" ht="12.75" customHeight="1">
      <c r="A4238" s="1536" t="s">
        <v>1154</v>
      </c>
      <c r="B4238" s="1537">
        <v>7.0000000000000007E-2</v>
      </c>
      <c r="C4238" s="1538" t="s">
        <v>1172</v>
      </c>
      <c r="D4238" s="1533">
        <f>Prec.!$D$563</f>
        <v>12.04</v>
      </c>
      <c r="E4238" s="1539">
        <f t="shared" si="331"/>
        <v>0.84</v>
      </c>
      <c r="F4238" s="1540"/>
    </row>
    <row r="4239" spans="1:6" ht="12.75" customHeight="1">
      <c r="A4239" s="1536" t="s">
        <v>208</v>
      </c>
      <c r="B4239" s="1541">
        <f>SUM(E4230:E4238)</f>
        <v>1450.2199999999998</v>
      </c>
      <c r="C4239" s="1538" t="s">
        <v>209</v>
      </c>
      <c r="D4239" s="1533">
        <f>D4227</f>
        <v>0.02</v>
      </c>
      <c r="E4239" s="1539">
        <f t="shared" si="331"/>
        <v>29</v>
      </c>
      <c r="F4239" s="1540">
        <f>SUM(E4230:E4239)</f>
        <v>1479.2199999999998</v>
      </c>
    </row>
    <row r="4240" spans="1:6" ht="12.75" customHeight="1">
      <c r="A4240" s="12"/>
      <c r="B4240" s="14"/>
      <c r="C4240" s="24"/>
      <c r="D4240" s="35"/>
      <c r="E4240" s="31"/>
      <c r="F4240" s="32"/>
    </row>
    <row r="4241" spans="1:6" ht="12.75" customHeight="1">
      <c r="A4241" s="13" t="s">
        <v>1124</v>
      </c>
      <c r="B4241" s="42"/>
      <c r="C4241" s="29"/>
      <c r="D4241" s="35"/>
      <c r="E4241" s="43" t="s">
        <v>151</v>
      </c>
      <c r="F4241" s="44" t="s">
        <v>213</v>
      </c>
    </row>
    <row r="4242" spans="1:6" ht="12.75" customHeight="1">
      <c r="A4242" s="12" t="s">
        <v>649</v>
      </c>
      <c r="B4242" s="30">
        <v>6.56</v>
      </c>
      <c r="C4242" s="24" t="s">
        <v>1017</v>
      </c>
      <c r="D4242" s="35">
        <f>Prec.!C105</f>
        <v>62.63</v>
      </c>
      <c r="E4242" s="31">
        <f t="shared" ref="E4242:E4251" si="332">ROUND(B4242*D4242,2)</f>
        <v>410.85</v>
      </c>
      <c r="F4242" s="32"/>
    </row>
    <row r="4243" spans="1:6" ht="12.75" customHeight="1">
      <c r="A4243" s="12" t="s">
        <v>622</v>
      </c>
      <c r="B4243" s="30">
        <v>7.0000000000000007E-2</v>
      </c>
      <c r="C4243" s="24" t="s">
        <v>1172</v>
      </c>
      <c r="D4243" s="35">
        <f>Prec.!C7</f>
        <v>250</v>
      </c>
      <c r="E4243" s="31">
        <f t="shared" si="332"/>
        <v>17.5</v>
      </c>
      <c r="F4243" s="32"/>
    </row>
    <row r="4244" spans="1:6" ht="12.75" customHeight="1">
      <c r="A4244" s="12" t="s">
        <v>1174</v>
      </c>
      <c r="B4244" s="30">
        <v>3.2000000000000001E-2</v>
      </c>
      <c r="C4244" s="24" t="s">
        <v>825</v>
      </c>
      <c r="D4244" s="35">
        <f>D4232</f>
        <v>6011.2699999999995</v>
      </c>
      <c r="E4244" s="31">
        <f t="shared" si="332"/>
        <v>192.36</v>
      </c>
      <c r="F4244" s="32"/>
    </row>
    <row r="4245" spans="1:6" ht="12.75" customHeight="1">
      <c r="A4245" s="12" t="s">
        <v>1173</v>
      </c>
      <c r="B4245" s="30">
        <v>0.05</v>
      </c>
      <c r="C4245" s="24" t="s">
        <v>1018</v>
      </c>
      <c r="D4245" s="35">
        <f>Prec.!$C$82</f>
        <v>75</v>
      </c>
      <c r="E4245" s="31">
        <f t="shared" si="332"/>
        <v>3.75</v>
      </c>
      <c r="F4245" s="32"/>
    </row>
    <row r="4246" spans="1:6" ht="12.75" customHeight="1">
      <c r="A4246" s="12" t="s">
        <v>1015</v>
      </c>
      <c r="B4246" s="30">
        <v>3</v>
      </c>
      <c r="C4246" s="24" t="s">
        <v>1017</v>
      </c>
      <c r="D4246" s="35">
        <f>D4234</f>
        <v>11.93</v>
      </c>
      <c r="E4246" s="31">
        <f t="shared" si="332"/>
        <v>35.79</v>
      </c>
      <c r="F4246" s="32"/>
    </row>
    <row r="4247" spans="1:6" ht="12.75" customHeight="1">
      <c r="A4247" s="12" t="s">
        <v>674</v>
      </c>
      <c r="B4247" s="30">
        <v>1</v>
      </c>
      <c r="C4247" s="24" t="s">
        <v>213</v>
      </c>
      <c r="D4247" s="35">
        <f>Prec.!D457</f>
        <v>0</v>
      </c>
      <c r="E4247" s="31">
        <f t="shared" si="332"/>
        <v>0</v>
      </c>
      <c r="F4247" s="32"/>
    </row>
    <row r="4248" spans="1:6" ht="12.75" customHeight="1">
      <c r="A4248" s="12" t="s">
        <v>1016</v>
      </c>
      <c r="B4248" s="30">
        <v>1</v>
      </c>
      <c r="C4248" s="24" t="s">
        <v>213</v>
      </c>
      <c r="D4248" s="35">
        <f>Prec.!$D$444</f>
        <v>160.08000000000001</v>
      </c>
      <c r="E4248" s="31">
        <f t="shared" si="332"/>
        <v>160.08000000000001</v>
      </c>
      <c r="F4248" s="32"/>
    </row>
    <row r="4249" spans="1:6" ht="12.75" customHeight="1">
      <c r="A4249" s="12" t="s">
        <v>1155</v>
      </c>
      <c r="B4249" s="30">
        <v>1</v>
      </c>
      <c r="C4249" s="24" t="s">
        <v>1017</v>
      </c>
      <c r="D4249" s="35">
        <f>Prec.!$D$550</f>
        <v>13.48</v>
      </c>
      <c r="E4249" s="31">
        <f t="shared" si="332"/>
        <v>13.48</v>
      </c>
      <c r="F4249" s="32"/>
    </row>
    <row r="4250" spans="1:6" ht="12.75" customHeight="1">
      <c r="A4250" s="12" t="s">
        <v>1154</v>
      </c>
      <c r="B4250" s="30">
        <v>7.0000000000000007E-2</v>
      </c>
      <c r="C4250" s="24" t="s">
        <v>1172</v>
      </c>
      <c r="D4250" s="35">
        <f>Prec.!$D$563</f>
        <v>12.04</v>
      </c>
      <c r="E4250" s="31">
        <f t="shared" si="332"/>
        <v>0.84</v>
      </c>
      <c r="F4250" s="32"/>
    </row>
    <row r="4251" spans="1:6" ht="12.75" customHeight="1">
      <c r="A4251" s="12" t="s">
        <v>208</v>
      </c>
      <c r="B4251" s="14">
        <f>SUM(E4242:E4250)</f>
        <v>834.65000000000009</v>
      </c>
      <c r="C4251" s="24" t="s">
        <v>209</v>
      </c>
      <c r="D4251" s="35">
        <f>D4239</f>
        <v>0.02</v>
      </c>
      <c r="E4251" s="31">
        <f t="shared" si="332"/>
        <v>16.690000000000001</v>
      </c>
      <c r="F4251" s="32">
        <f>SUM(E4242:E4251)</f>
        <v>851.34000000000015</v>
      </c>
    </row>
    <row r="4252" spans="1:6" ht="12.75" customHeight="1">
      <c r="A4252" s="12"/>
      <c r="B4252" s="14"/>
      <c r="C4252" s="24"/>
      <c r="D4252" s="35"/>
      <c r="E4252" s="31"/>
      <c r="F4252" s="32"/>
    </row>
    <row r="4253" spans="1:6" ht="12.75" customHeight="1">
      <c r="A4253" s="12"/>
      <c r="B4253" s="14"/>
      <c r="C4253" s="24"/>
      <c r="D4253" s="35"/>
      <c r="E4253" s="31"/>
      <c r="F4253" s="32"/>
    </row>
    <row r="4254" spans="1:6" ht="12.75" customHeight="1">
      <c r="A4254" s="12"/>
      <c r="B4254" s="14"/>
      <c r="C4254" s="24"/>
      <c r="D4254" s="35"/>
      <c r="E4254" s="31"/>
      <c r="F4254" s="32"/>
    </row>
    <row r="4255" spans="1:6" ht="12.75" customHeight="1">
      <c r="A4255" s="1530" t="s">
        <v>1125</v>
      </c>
      <c r="B4255" s="1531"/>
      <c r="C4255" s="1532"/>
      <c r="D4255" s="1533"/>
      <c r="E4255" s="1534" t="s">
        <v>151</v>
      </c>
      <c r="F4255" s="1535" t="s">
        <v>213</v>
      </c>
    </row>
    <row r="4256" spans="1:6" ht="12.75" customHeight="1">
      <c r="A4256" s="1536" t="s">
        <v>892</v>
      </c>
      <c r="B4256" s="1537">
        <v>1.05</v>
      </c>
      <c r="C4256" s="1538" t="s">
        <v>213</v>
      </c>
      <c r="D4256" s="1533">
        <f>D3953</f>
        <v>500</v>
      </c>
      <c r="E4256" s="1539">
        <f t="shared" ref="E4256:E4265" si="333">ROUND(B4256*D4256,2)</f>
        <v>525</v>
      </c>
      <c r="F4256" s="1540"/>
    </row>
    <row r="4257" spans="1:6" ht="12.75" customHeight="1">
      <c r="A4257" s="1536" t="s">
        <v>673</v>
      </c>
      <c r="B4257" s="1537">
        <v>7.0000000000000007E-2</v>
      </c>
      <c r="C4257" s="1538" t="s">
        <v>1172</v>
      </c>
      <c r="D4257" s="1533">
        <f>Prec.!$C$8</f>
        <v>250</v>
      </c>
      <c r="E4257" s="1539">
        <f t="shared" si="333"/>
        <v>17.5</v>
      </c>
      <c r="F4257" s="1540"/>
    </row>
    <row r="4258" spans="1:6" ht="12.75" customHeight="1">
      <c r="A4258" s="1536" t="s">
        <v>1174</v>
      </c>
      <c r="B4258" s="1537">
        <v>3.3000000000000002E-2</v>
      </c>
      <c r="C4258" s="1538" t="s">
        <v>825</v>
      </c>
      <c r="D4258" s="1533">
        <f>D4232</f>
        <v>6011.2699999999995</v>
      </c>
      <c r="E4258" s="1539">
        <f t="shared" si="333"/>
        <v>198.37</v>
      </c>
      <c r="F4258" s="1540"/>
    </row>
    <row r="4259" spans="1:6" ht="12.75" customHeight="1">
      <c r="A4259" s="1536" t="s">
        <v>1117</v>
      </c>
      <c r="B4259" s="1537">
        <v>0.1</v>
      </c>
      <c r="C4259" s="1538" t="s">
        <v>1172</v>
      </c>
      <c r="D4259" s="1533">
        <f>Prec.!C10</f>
        <v>250</v>
      </c>
      <c r="E4259" s="1539">
        <f t="shared" si="333"/>
        <v>25</v>
      </c>
      <c r="F4259" s="1540"/>
    </row>
    <row r="4260" spans="1:6" ht="12.75" customHeight="1">
      <c r="A4260" s="1536" t="s">
        <v>1173</v>
      </c>
      <c r="B4260" s="1537">
        <v>0.05</v>
      </c>
      <c r="C4260" s="1538" t="s">
        <v>1018</v>
      </c>
      <c r="D4260" s="1533">
        <f>Prec.!$C$82</f>
        <v>75</v>
      </c>
      <c r="E4260" s="1539">
        <f t="shared" si="333"/>
        <v>3.75</v>
      </c>
      <c r="F4260" s="1540"/>
    </row>
    <row r="4261" spans="1:6" ht="12.75" customHeight="1">
      <c r="A4261" s="1536" t="s">
        <v>623</v>
      </c>
      <c r="B4261" s="1537">
        <v>3</v>
      </c>
      <c r="C4261" s="1538" t="s">
        <v>1017</v>
      </c>
      <c r="D4261" s="1533">
        <f>Prec.!D490</f>
        <v>11.93</v>
      </c>
      <c r="E4261" s="1539">
        <f t="shared" si="333"/>
        <v>35.79</v>
      </c>
      <c r="F4261" s="1540"/>
    </row>
    <row r="4262" spans="1:6" ht="12.75" customHeight="1">
      <c r="A4262" s="1536" t="s">
        <v>674</v>
      </c>
      <c r="B4262" s="1537">
        <v>1</v>
      </c>
      <c r="C4262" s="1538" t="s">
        <v>213</v>
      </c>
      <c r="D4262" s="1533">
        <f>Prec.!C460</f>
        <v>594.73</v>
      </c>
      <c r="E4262" s="1539">
        <f t="shared" si="333"/>
        <v>594.73</v>
      </c>
      <c r="F4262" s="1540"/>
    </row>
    <row r="4263" spans="1:6" ht="12.75" customHeight="1">
      <c r="A4263" s="1536" t="s">
        <v>1155</v>
      </c>
      <c r="B4263" s="1537">
        <v>1</v>
      </c>
      <c r="C4263" s="1538" t="s">
        <v>213</v>
      </c>
      <c r="D4263" s="1533">
        <f>Prec.!$D$550</f>
        <v>13.48</v>
      </c>
      <c r="E4263" s="1539">
        <f t="shared" si="333"/>
        <v>13.48</v>
      </c>
      <c r="F4263" s="1540"/>
    </row>
    <row r="4264" spans="1:6" ht="12.75" customHeight="1">
      <c r="A4264" s="1536" t="s">
        <v>1154</v>
      </c>
      <c r="B4264" s="1537">
        <v>7.0000000000000007E-2</v>
      </c>
      <c r="C4264" s="1538" t="s">
        <v>1172</v>
      </c>
      <c r="D4264" s="1533">
        <f>Prec.!$D$563</f>
        <v>12.04</v>
      </c>
      <c r="E4264" s="1539">
        <f t="shared" si="333"/>
        <v>0.84</v>
      </c>
      <c r="F4264" s="1540"/>
    </row>
    <row r="4265" spans="1:6" ht="12.75" customHeight="1">
      <c r="A4265" s="1536" t="s">
        <v>208</v>
      </c>
      <c r="B4265" s="1541">
        <f>SUM(E4256:E4264)</f>
        <v>1414.4599999999998</v>
      </c>
      <c r="C4265" s="1538" t="s">
        <v>209</v>
      </c>
      <c r="D4265" s="1533">
        <v>0.02</v>
      </c>
      <c r="E4265" s="1539">
        <f t="shared" si="333"/>
        <v>28.29</v>
      </c>
      <c r="F4265" s="1540">
        <f>SUM(E4256:E4265)</f>
        <v>1442.7499999999998</v>
      </c>
    </row>
    <row r="4266" spans="1:6" ht="12.75" customHeight="1">
      <c r="A4266" s="12"/>
      <c r="B4266" s="14"/>
      <c r="C4266" s="24"/>
      <c r="D4266" s="35"/>
      <c r="E4266" s="31"/>
      <c r="F4266" s="32"/>
    </row>
    <row r="4267" spans="1:6" ht="12.75" customHeight="1">
      <c r="A4267" s="13" t="s">
        <v>726</v>
      </c>
      <c r="B4267" s="42"/>
      <c r="C4267" s="29"/>
      <c r="D4267" s="35"/>
      <c r="E4267" s="43" t="s">
        <v>151</v>
      </c>
      <c r="F4267" s="44" t="s">
        <v>213</v>
      </c>
    </row>
    <row r="4268" spans="1:6" ht="12.75" customHeight="1">
      <c r="A4268" s="12" t="s">
        <v>1146</v>
      </c>
      <c r="B4268" s="30">
        <v>1.05</v>
      </c>
      <c r="C4268" s="24" t="s">
        <v>213</v>
      </c>
      <c r="D4268" s="35">
        <f>Prec.!$C$112</f>
        <v>295</v>
      </c>
      <c r="E4268" s="31">
        <f t="shared" ref="E4268:E4277" si="334">ROUND(B4268*D4268,2)</f>
        <v>309.75</v>
      </c>
      <c r="F4268" s="32"/>
    </row>
    <row r="4269" spans="1:6" ht="12.75" customHeight="1">
      <c r="A4269" s="12" t="s">
        <v>673</v>
      </c>
      <c r="B4269" s="30">
        <v>7.0000000000000007E-2</v>
      </c>
      <c r="C4269" s="24" t="s">
        <v>1172</v>
      </c>
      <c r="D4269" s="35">
        <f>Prec.!$C$8</f>
        <v>250</v>
      </c>
      <c r="E4269" s="31">
        <f t="shared" si="334"/>
        <v>17.5</v>
      </c>
      <c r="F4269" s="32"/>
    </row>
    <row r="4270" spans="1:6" ht="12.75" customHeight="1">
      <c r="A4270" s="12" t="s">
        <v>1174</v>
      </c>
      <c r="B4270" s="30">
        <v>3.3000000000000002E-2</v>
      </c>
      <c r="C4270" s="24" t="s">
        <v>825</v>
      </c>
      <c r="D4270" s="35">
        <f>D4244</f>
        <v>6011.2699999999995</v>
      </c>
      <c r="E4270" s="31">
        <f t="shared" si="334"/>
        <v>198.37</v>
      </c>
      <c r="F4270" s="32"/>
    </row>
    <row r="4271" spans="1:6" ht="12.75" customHeight="1">
      <c r="A4271" s="12" t="s">
        <v>1117</v>
      </c>
      <c r="B4271" s="30">
        <v>0.1</v>
      </c>
      <c r="C4271" s="24" t="s">
        <v>1172</v>
      </c>
      <c r="D4271" s="35">
        <f>D4259</f>
        <v>250</v>
      </c>
      <c r="E4271" s="31">
        <f t="shared" si="334"/>
        <v>25</v>
      </c>
      <c r="F4271" s="32"/>
    </row>
    <row r="4272" spans="1:6" ht="12.75" customHeight="1">
      <c r="A4272" s="12" t="s">
        <v>1173</v>
      </c>
      <c r="B4272" s="30">
        <v>0.05</v>
      </c>
      <c r="C4272" s="24" t="s">
        <v>1018</v>
      </c>
      <c r="D4272" s="35">
        <f>Prec.!$C$82</f>
        <v>75</v>
      </c>
      <c r="E4272" s="31">
        <f t="shared" si="334"/>
        <v>3.75</v>
      </c>
      <c r="F4272" s="32"/>
    </row>
    <row r="4273" spans="1:6" ht="12.75" customHeight="1">
      <c r="A4273" s="12" t="s">
        <v>623</v>
      </c>
      <c r="B4273" s="30">
        <v>3</v>
      </c>
      <c r="C4273" s="24" t="s">
        <v>1017</v>
      </c>
      <c r="D4273" s="35">
        <f>D4261</f>
        <v>11.93</v>
      </c>
      <c r="E4273" s="31">
        <f t="shared" si="334"/>
        <v>35.79</v>
      </c>
      <c r="F4273" s="32"/>
    </row>
    <row r="4274" spans="1:6" ht="12.75" customHeight="1">
      <c r="A4274" s="12" t="s">
        <v>674</v>
      </c>
      <c r="B4274" s="30">
        <v>1</v>
      </c>
      <c r="C4274" s="24" t="s">
        <v>213</v>
      </c>
      <c r="D4274" s="35">
        <f>Prec.!$D$459</f>
        <v>0</v>
      </c>
      <c r="E4274" s="31">
        <f t="shared" si="334"/>
        <v>0</v>
      </c>
      <c r="F4274" s="32"/>
    </row>
    <row r="4275" spans="1:6" ht="12.75" customHeight="1">
      <c r="A4275" s="12" t="s">
        <v>1155</v>
      </c>
      <c r="B4275" s="30">
        <v>1</v>
      </c>
      <c r="C4275" s="24" t="s">
        <v>213</v>
      </c>
      <c r="D4275" s="35">
        <f>Prec.!$D$550</f>
        <v>13.48</v>
      </c>
      <c r="E4275" s="31">
        <f t="shared" si="334"/>
        <v>13.48</v>
      </c>
      <c r="F4275" s="32"/>
    </row>
    <row r="4276" spans="1:6" ht="12.75" customHeight="1">
      <c r="A4276" s="12" t="s">
        <v>1154</v>
      </c>
      <c r="B4276" s="30">
        <v>7.0000000000000007E-2</v>
      </c>
      <c r="C4276" s="24" t="s">
        <v>1172</v>
      </c>
      <c r="D4276" s="35">
        <f>Prec.!$D$563</f>
        <v>12.04</v>
      </c>
      <c r="E4276" s="31">
        <f t="shared" si="334"/>
        <v>0.84</v>
      </c>
      <c r="F4276" s="32"/>
    </row>
    <row r="4277" spans="1:6" ht="12.75" customHeight="1">
      <c r="A4277" s="12" t="s">
        <v>208</v>
      </c>
      <c r="B4277" s="14">
        <f>SUM(E4268:E4276)</f>
        <v>604.48</v>
      </c>
      <c r="C4277" s="24" t="s">
        <v>209</v>
      </c>
      <c r="D4277" s="35">
        <f>Prec.!C302</f>
        <v>1.4999999999999999E-2</v>
      </c>
      <c r="E4277" s="31">
        <f t="shared" si="334"/>
        <v>9.07</v>
      </c>
      <c r="F4277" s="32">
        <f>SUM(E4268:E4277)</f>
        <v>613.55000000000007</v>
      </c>
    </row>
    <row r="4278" spans="1:6" ht="12.75" customHeight="1">
      <c r="A4278" s="12"/>
      <c r="B4278" s="14"/>
      <c r="C4278" s="24"/>
      <c r="D4278" s="35"/>
      <c r="E4278" s="31"/>
      <c r="F4278" s="32"/>
    </row>
    <row r="4279" spans="1:6" ht="12.75" customHeight="1">
      <c r="A4279" s="13" t="s">
        <v>357</v>
      </c>
      <c r="B4279" s="42"/>
      <c r="C4279" s="29"/>
      <c r="D4279" s="35"/>
      <c r="E4279" s="43" t="s">
        <v>151</v>
      </c>
      <c r="F4279" s="44" t="s">
        <v>213</v>
      </c>
    </row>
    <row r="4280" spans="1:6" ht="12.75" customHeight="1">
      <c r="A4280" s="12" t="s">
        <v>1147</v>
      </c>
      <c r="B4280" s="30">
        <v>1.05</v>
      </c>
      <c r="C4280" s="24" t="s">
        <v>213</v>
      </c>
      <c r="D4280" s="35">
        <f>Prec.!$C$114</f>
        <v>285</v>
      </c>
      <c r="E4280" s="31">
        <f t="shared" ref="E4280:E4289" si="335">ROUND(B4280*D4280,2)</f>
        <v>299.25</v>
      </c>
      <c r="F4280" s="32"/>
    </row>
    <row r="4281" spans="1:6" ht="12.75" customHeight="1">
      <c r="A4281" s="12" t="s">
        <v>673</v>
      </c>
      <c r="B4281" s="30">
        <v>7.0000000000000007E-2</v>
      </c>
      <c r="C4281" s="24" t="s">
        <v>1172</v>
      </c>
      <c r="D4281" s="35">
        <f>Prec.!$C$8</f>
        <v>250</v>
      </c>
      <c r="E4281" s="31">
        <f t="shared" si="335"/>
        <v>17.5</v>
      </c>
      <c r="F4281" s="32"/>
    </row>
    <row r="4282" spans="1:6" ht="12.75" customHeight="1">
      <c r="A4282" s="12" t="s">
        <v>1174</v>
      </c>
      <c r="B4282" s="30">
        <v>3.3000000000000002E-2</v>
      </c>
      <c r="C4282" s="24" t="s">
        <v>825</v>
      </c>
      <c r="D4282" s="35">
        <f>D4244</f>
        <v>6011.2699999999995</v>
      </c>
      <c r="E4282" s="31">
        <f t="shared" si="335"/>
        <v>198.37</v>
      </c>
      <c r="F4282" s="32"/>
    </row>
    <row r="4283" spans="1:6" ht="12.75" customHeight="1">
      <c r="A4283" s="12" t="s">
        <v>1117</v>
      </c>
      <c r="B4283" s="30">
        <v>0.1</v>
      </c>
      <c r="C4283" s="24" t="s">
        <v>1172</v>
      </c>
      <c r="D4283" s="35">
        <f>D4271</f>
        <v>250</v>
      </c>
      <c r="E4283" s="31">
        <f t="shared" si="335"/>
        <v>25</v>
      </c>
      <c r="F4283" s="32"/>
    </row>
    <row r="4284" spans="1:6" ht="12.75" customHeight="1">
      <c r="A4284" s="12" t="s">
        <v>1173</v>
      </c>
      <c r="B4284" s="30">
        <v>0.05</v>
      </c>
      <c r="C4284" s="24" t="s">
        <v>1018</v>
      </c>
      <c r="D4284" s="35">
        <f>Prec.!$C$82</f>
        <v>75</v>
      </c>
      <c r="E4284" s="31">
        <f t="shared" si="335"/>
        <v>3.75</v>
      </c>
      <c r="F4284" s="32"/>
    </row>
    <row r="4285" spans="1:6" ht="12.75" customHeight="1">
      <c r="A4285" s="12" t="s">
        <v>623</v>
      </c>
      <c r="B4285" s="30">
        <v>3</v>
      </c>
      <c r="C4285" s="24" t="s">
        <v>1017</v>
      </c>
      <c r="D4285" s="35">
        <f>Prec.!D488</f>
        <v>5.97</v>
      </c>
      <c r="E4285" s="31">
        <f t="shared" si="335"/>
        <v>17.91</v>
      </c>
      <c r="F4285" s="32"/>
    </row>
    <row r="4286" spans="1:6" ht="12.75" customHeight="1">
      <c r="A4286" s="12" t="s">
        <v>674</v>
      </c>
      <c r="B4286" s="30">
        <v>1</v>
      </c>
      <c r="C4286" s="24" t="s">
        <v>213</v>
      </c>
      <c r="D4286" s="35">
        <f>Prec.!$D$462</f>
        <v>311.49</v>
      </c>
      <c r="E4286" s="31">
        <f t="shared" si="335"/>
        <v>311.49</v>
      </c>
      <c r="F4286" s="32"/>
    </row>
    <row r="4287" spans="1:6" ht="12.75" customHeight="1">
      <c r="A4287" s="12" t="s">
        <v>1155</v>
      </c>
      <c r="B4287" s="30">
        <v>1</v>
      </c>
      <c r="C4287" s="24" t="s">
        <v>213</v>
      </c>
      <c r="D4287" s="35">
        <f>Prec.!$D$550</f>
        <v>13.48</v>
      </c>
      <c r="E4287" s="31">
        <f t="shared" si="335"/>
        <v>13.48</v>
      </c>
      <c r="F4287" s="32"/>
    </row>
    <row r="4288" spans="1:6" ht="12.75" customHeight="1">
      <c r="A4288" s="12" t="s">
        <v>1154</v>
      </c>
      <c r="B4288" s="30">
        <v>7.0000000000000007E-2</v>
      </c>
      <c r="C4288" s="24" t="s">
        <v>1172</v>
      </c>
      <c r="D4288" s="35">
        <f>Prec.!$D$563</f>
        <v>12.04</v>
      </c>
      <c r="E4288" s="31">
        <f t="shared" si="335"/>
        <v>0.84</v>
      </c>
      <c r="F4288" s="32"/>
    </row>
    <row r="4289" spans="1:6" ht="12.75" customHeight="1">
      <c r="A4289" s="12" t="s">
        <v>208</v>
      </c>
      <c r="B4289" s="14">
        <f>SUM(E4280:E4288)</f>
        <v>887.59</v>
      </c>
      <c r="C4289" s="24" t="s">
        <v>209</v>
      </c>
      <c r="D4289" s="35">
        <f>Prec.!C302</f>
        <v>1.4999999999999999E-2</v>
      </c>
      <c r="E4289" s="31">
        <f t="shared" si="335"/>
        <v>13.31</v>
      </c>
      <c r="F4289" s="32">
        <f>SUM(E4280:E4289)</f>
        <v>900.9</v>
      </c>
    </row>
    <row r="4290" spans="1:6" ht="12.75" customHeight="1">
      <c r="A4290" s="12"/>
      <c r="B4290" s="14"/>
      <c r="C4290" s="24"/>
      <c r="D4290" s="35"/>
      <c r="E4290" s="31"/>
      <c r="F4290" s="32"/>
    </row>
    <row r="4291" spans="1:6" ht="12.75" customHeight="1">
      <c r="A4291" s="13" t="s">
        <v>1050</v>
      </c>
      <c r="B4291" s="42"/>
      <c r="C4291" s="29"/>
      <c r="D4291" s="35"/>
      <c r="E4291" s="43" t="s">
        <v>151</v>
      </c>
      <c r="F4291" s="44" t="s">
        <v>213</v>
      </c>
    </row>
    <row r="4292" spans="1:6" ht="12.75" customHeight="1">
      <c r="A4292" s="12" t="s">
        <v>1312</v>
      </c>
      <c r="B4292" s="30">
        <v>1.05</v>
      </c>
      <c r="C4292" s="24" t="s">
        <v>213</v>
      </c>
      <c r="D4292" s="35">
        <f>Prec.!$C$107</f>
        <v>1986</v>
      </c>
      <c r="E4292" s="31">
        <f t="shared" ref="E4292:E4300" si="336">ROUND(B4292*D4292,2)</f>
        <v>2085.3000000000002</v>
      </c>
      <c r="F4292" s="32"/>
    </row>
    <row r="4293" spans="1:6" ht="12.75" customHeight="1">
      <c r="A4293" s="12" t="s">
        <v>673</v>
      </c>
      <c r="B4293" s="30">
        <v>7.0000000000000007E-2</v>
      </c>
      <c r="C4293" s="24" t="s">
        <v>1172</v>
      </c>
      <c r="D4293" s="35">
        <f>Prec.!$C$8</f>
        <v>250</v>
      </c>
      <c r="E4293" s="31">
        <f t="shared" si="336"/>
        <v>17.5</v>
      </c>
      <c r="F4293" s="32"/>
    </row>
    <row r="4294" spans="1:6" ht="12.75" customHeight="1">
      <c r="A4294" s="12" t="s">
        <v>1174</v>
      </c>
      <c r="B4294" s="30">
        <v>3.3000000000000002E-2</v>
      </c>
      <c r="C4294" s="24" t="s">
        <v>825</v>
      </c>
      <c r="D4294" s="35">
        <f>D4244</f>
        <v>6011.2699999999995</v>
      </c>
      <c r="E4294" s="31">
        <f t="shared" si="336"/>
        <v>198.37</v>
      </c>
      <c r="F4294" s="32"/>
    </row>
    <row r="4295" spans="1:6" ht="12.75" customHeight="1">
      <c r="A4295" s="12" t="s">
        <v>1173</v>
      </c>
      <c r="B4295" s="30">
        <v>0.05</v>
      </c>
      <c r="C4295" s="24" t="s">
        <v>1018</v>
      </c>
      <c r="D4295" s="35">
        <f>Prec.!$C$82</f>
        <v>75</v>
      </c>
      <c r="E4295" s="31">
        <f t="shared" si="336"/>
        <v>3.75</v>
      </c>
      <c r="F4295" s="32"/>
    </row>
    <row r="4296" spans="1:6" ht="12.75" customHeight="1">
      <c r="A4296" s="12" t="s">
        <v>688</v>
      </c>
      <c r="B4296" s="30">
        <v>3</v>
      </c>
      <c r="C4296" s="24" t="s">
        <v>1017</v>
      </c>
      <c r="D4296" s="35">
        <f>Prec.!D491</f>
        <v>11.93</v>
      </c>
      <c r="E4296" s="31">
        <f t="shared" si="336"/>
        <v>35.79</v>
      </c>
      <c r="F4296" s="32"/>
    </row>
    <row r="4297" spans="1:6" ht="12.75" customHeight="1">
      <c r="A4297" s="12" t="s">
        <v>674</v>
      </c>
      <c r="B4297" s="30">
        <v>1</v>
      </c>
      <c r="C4297" s="24" t="s">
        <v>213</v>
      </c>
      <c r="D4297" s="35">
        <f>Prec.!$D$464</f>
        <v>0</v>
      </c>
      <c r="E4297" s="31">
        <f t="shared" si="336"/>
        <v>0</v>
      </c>
      <c r="F4297" s="32"/>
    </row>
    <row r="4298" spans="1:6" ht="12.75" customHeight="1">
      <c r="A4298" s="12" t="s">
        <v>685</v>
      </c>
      <c r="B4298" s="30">
        <v>1</v>
      </c>
      <c r="C4298" s="24" t="s">
        <v>213</v>
      </c>
      <c r="D4298" s="35">
        <f>Prec.!$D$446</f>
        <v>261</v>
      </c>
      <c r="E4298" s="31">
        <f t="shared" si="336"/>
        <v>261</v>
      </c>
      <c r="F4298" s="32"/>
    </row>
    <row r="4299" spans="1:6" ht="12.75" customHeight="1">
      <c r="A4299" s="12" t="s">
        <v>1155</v>
      </c>
      <c r="B4299" s="30">
        <v>1</v>
      </c>
      <c r="C4299" s="24" t="s">
        <v>213</v>
      </c>
      <c r="D4299" s="35">
        <f>Prec.!$D$550</f>
        <v>13.48</v>
      </c>
      <c r="E4299" s="31">
        <f t="shared" si="336"/>
        <v>13.48</v>
      </c>
      <c r="F4299" s="32"/>
    </row>
    <row r="4300" spans="1:6" ht="12.75" customHeight="1">
      <c r="A4300" s="12" t="s">
        <v>1154</v>
      </c>
      <c r="B4300" s="30">
        <v>7.0000000000000007E-2</v>
      </c>
      <c r="C4300" s="24" t="s">
        <v>1172</v>
      </c>
      <c r="D4300" s="35">
        <f>Prec.!$D$563</f>
        <v>12.04</v>
      </c>
      <c r="E4300" s="31">
        <f t="shared" si="336"/>
        <v>0.84</v>
      </c>
      <c r="F4300" s="32"/>
    </row>
    <row r="4301" spans="1:6" ht="12.75" customHeight="1">
      <c r="A4301" s="12" t="s">
        <v>208</v>
      </c>
      <c r="B4301" s="14">
        <f>SUM(E4292:E4300)</f>
        <v>2616.0300000000002</v>
      </c>
      <c r="C4301" s="24" t="s">
        <v>209</v>
      </c>
      <c r="D4301" s="35">
        <f>Prec.!C302</f>
        <v>1.4999999999999999E-2</v>
      </c>
      <c r="E4301" s="31">
        <f>ROUND(B4301*D4301,2)</f>
        <v>39.24</v>
      </c>
      <c r="F4301" s="32">
        <f>SUM(E4292:E4301)</f>
        <v>2655.27</v>
      </c>
    </row>
    <row r="4302" spans="1:6" ht="12.75" customHeight="1">
      <c r="A4302" s="12"/>
      <c r="B4302" s="14"/>
      <c r="C4302" s="24"/>
      <c r="D4302" s="35"/>
      <c r="E4302" s="31"/>
      <c r="F4302" s="32"/>
    </row>
    <row r="4303" spans="1:6" ht="12.75" customHeight="1">
      <c r="A4303" s="12"/>
      <c r="B4303" s="14"/>
      <c r="C4303" s="24"/>
      <c r="D4303" s="35"/>
      <c r="E4303" s="31"/>
      <c r="F4303" s="32"/>
    </row>
    <row r="4304" spans="1:6" ht="12.75" customHeight="1">
      <c r="A4304" s="12"/>
      <c r="B4304" s="14"/>
      <c r="C4304" s="24"/>
      <c r="D4304" s="35"/>
      <c r="E4304" s="31"/>
      <c r="F4304" s="32"/>
    </row>
    <row r="4305" spans="1:6" ht="12.75" customHeight="1">
      <c r="A4305" s="13" t="s">
        <v>1199</v>
      </c>
      <c r="B4305" s="42"/>
      <c r="C4305" s="29"/>
      <c r="D4305" s="35"/>
      <c r="E4305" s="43" t="s">
        <v>151</v>
      </c>
      <c r="F4305" s="44" t="s">
        <v>1171</v>
      </c>
    </row>
    <row r="4306" spans="1:6" ht="12.75" customHeight="1">
      <c r="A4306" s="12" t="s">
        <v>748</v>
      </c>
      <c r="B4306" s="30">
        <v>1.05</v>
      </c>
      <c r="C4306" s="24" t="s">
        <v>1171</v>
      </c>
      <c r="D4306" s="35">
        <f>Prec.!$C$139</f>
        <v>70.73</v>
      </c>
      <c r="E4306" s="31">
        <f t="shared" ref="E4306:E4313" si="337">ROUND(B4306*D4306,2)</f>
        <v>74.27</v>
      </c>
      <c r="F4306" s="32"/>
    </row>
    <row r="4307" spans="1:6" ht="12.75" customHeight="1">
      <c r="A4307" s="12" t="s">
        <v>673</v>
      </c>
      <c r="B4307" s="30">
        <v>2.1999999999999999E-2</v>
      </c>
      <c r="C4307" s="24" t="s">
        <v>1172</v>
      </c>
      <c r="D4307" s="35">
        <f>Prec.!$C$8</f>
        <v>250</v>
      </c>
      <c r="E4307" s="31">
        <f t="shared" si="337"/>
        <v>5.5</v>
      </c>
      <c r="F4307" s="32"/>
    </row>
    <row r="4308" spans="1:6" ht="12.75" customHeight="1">
      <c r="A4308" s="12" t="s">
        <v>1174</v>
      </c>
      <c r="B4308" s="30">
        <v>2E-3</v>
      </c>
      <c r="C4308" s="24" t="s">
        <v>825</v>
      </c>
      <c r="D4308" s="35">
        <f>D4270</f>
        <v>6011.2699999999995</v>
      </c>
      <c r="E4308" s="31">
        <f t="shared" si="337"/>
        <v>12.02</v>
      </c>
      <c r="F4308" s="32"/>
    </row>
    <row r="4309" spans="1:6" ht="12.75" customHeight="1">
      <c r="A4309" s="12" t="s">
        <v>1015</v>
      </c>
      <c r="B4309" s="30">
        <v>1</v>
      </c>
      <c r="C4309" s="24" t="s">
        <v>1017</v>
      </c>
      <c r="D4309" s="35">
        <f>Prec.!D490</f>
        <v>11.93</v>
      </c>
      <c r="E4309" s="31">
        <f t="shared" si="337"/>
        <v>11.93</v>
      </c>
      <c r="F4309" s="32"/>
    </row>
    <row r="4310" spans="1:6" ht="12.75" customHeight="1">
      <c r="A4310" s="12" t="s">
        <v>674</v>
      </c>
      <c r="B4310" s="30">
        <v>1</v>
      </c>
      <c r="C4310" s="24" t="s">
        <v>1171</v>
      </c>
      <c r="D4310" s="35">
        <f>Prec.!$D$497</f>
        <v>0</v>
      </c>
      <c r="E4310" s="31">
        <f t="shared" si="337"/>
        <v>0</v>
      </c>
      <c r="F4310" s="32"/>
    </row>
    <row r="4311" spans="1:6" ht="12.75" customHeight="1">
      <c r="A4311" s="12" t="s">
        <v>1156</v>
      </c>
      <c r="B4311" s="30">
        <v>1</v>
      </c>
      <c r="C4311" s="24" t="s">
        <v>1171</v>
      </c>
      <c r="D4311" s="35">
        <f>Prec.!$D$557</f>
        <v>1.22</v>
      </c>
      <c r="E4311" s="31">
        <f t="shared" si="337"/>
        <v>1.22</v>
      </c>
      <c r="F4311" s="32"/>
    </row>
    <row r="4312" spans="1:6" ht="12.75" customHeight="1">
      <c r="A4312" s="12" t="s">
        <v>1154</v>
      </c>
      <c r="B4312" s="30">
        <v>2.1999999999999999E-2</v>
      </c>
      <c r="C4312" s="24" t="s">
        <v>1172</v>
      </c>
      <c r="D4312" s="35">
        <f>Prec.!$D$563</f>
        <v>12.04</v>
      </c>
      <c r="E4312" s="31">
        <f t="shared" si="337"/>
        <v>0.26</v>
      </c>
      <c r="F4312" s="32"/>
    </row>
    <row r="4313" spans="1:6" ht="12.75" customHeight="1">
      <c r="A4313" s="12" t="s">
        <v>208</v>
      </c>
      <c r="B4313" s="14">
        <f>SUM(E4306:E4312)</f>
        <v>105.2</v>
      </c>
      <c r="C4313" s="24" t="s">
        <v>209</v>
      </c>
      <c r="D4313" s="35">
        <f>Prec.!C302</f>
        <v>1.4999999999999999E-2</v>
      </c>
      <c r="E4313" s="31">
        <f t="shared" si="337"/>
        <v>1.58</v>
      </c>
      <c r="F4313" s="32">
        <f>SUM(E4306:E4313)</f>
        <v>106.78</v>
      </c>
    </row>
    <row r="4314" spans="1:6" ht="12.75" customHeight="1">
      <c r="A4314" s="12"/>
      <c r="B4314" s="14"/>
      <c r="C4314" s="24"/>
      <c r="D4314" s="35"/>
      <c r="E4314" s="31"/>
      <c r="F4314" s="32"/>
    </row>
    <row r="4315" spans="1:6" ht="12.75" customHeight="1">
      <c r="A4315" s="13" t="s">
        <v>1200</v>
      </c>
      <c r="B4315" s="42"/>
      <c r="C4315" s="29"/>
      <c r="D4315" s="35"/>
      <c r="E4315" s="43" t="s">
        <v>151</v>
      </c>
      <c r="F4315" s="44" t="s">
        <v>1171</v>
      </c>
    </row>
    <row r="4316" spans="1:6" ht="12.75" customHeight="1">
      <c r="A4316" s="12" t="s">
        <v>749</v>
      </c>
      <c r="B4316" s="30">
        <v>1.05</v>
      </c>
      <c r="C4316" s="24" t="s">
        <v>1171</v>
      </c>
      <c r="D4316" s="35">
        <f>Prec.!$C$140</f>
        <v>90</v>
      </c>
      <c r="E4316" s="31">
        <f t="shared" ref="E4316:E4323" si="338">ROUND(B4316*D4316,2)</f>
        <v>94.5</v>
      </c>
      <c r="F4316" s="32"/>
    </row>
    <row r="4317" spans="1:6" ht="12.75" customHeight="1">
      <c r="A4317" s="12" t="s">
        <v>622</v>
      </c>
      <c r="B4317" s="30">
        <v>2.1999999999999999E-2</v>
      </c>
      <c r="C4317" s="24" t="s">
        <v>1172</v>
      </c>
      <c r="D4317" s="35">
        <f>Prec.!$C$7</f>
        <v>250</v>
      </c>
      <c r="E4317" s="31">
        <f t="shared" si="338"/>
        <v>5.5</v>
      </c>
      <c r="F4317" s="32"/>
    </row>
    <row r="4318" spans="1:6" ht="12.75" customHeight="1">
      <c r="A4318" s="12" t="s">
        <v>1174</v>
      </c>
      <c r="B4318" s="30">
        <v>2E-3</v>
      </c>
      <c r="C4318" s="24" t="s">
        <v>825</v>
      </c>
      <c r="D4318" s="35">
        <f>D4282</f>
        <v>6011.2699999999995</v>
      </c>
      <c r="E4318" s="31">
        <f t="shared" si="338"/>
        <v>12.02</v>
      </c>
      <c r="F4318" s="32"/>
    </row>
    <row r="4319" spans="1:6" ht="12.75" customHeight="1">
      <c r="A4319" s="12" t="s">
        <v>1015</v>
      </c>
      <c r="B4319" s="30">
        <v>1</v>
      </c>
      <c r="C4319" s="24" t="s">
        <v>1017</v>
      </c>
      <c r="D4319" s="35">
        <f>D4309</f>
        <v>11.93</v>
      </c>
      <c r="E4319" s="31">
        <f t="shared" si="338"/>
        <v>11.93</v>
      </c>
      <c r="F4319" s="32"/>
    </row>
    <row r="4320" spans="1:6" ht="12.75" customHeight="1">
      <c r="A4320" s="12" t="s">
        <v>674</v>
      </c>
      <c r="B4320" s="30">
        <v>1</v>
      </c>
      <c r="C4320" s="24" t="s">
        <v>1171</v>
      </c>
      <c r="D4320" s="35">
        <f>Prec.!$D$497</f>
        <v>0</v>
      </c>
      <c r="E4320" s="31">
        <f t="shared" si="338"/>
        <v>0</v>
      </c>
      <c r="F4320" s="32"/>
    </row>
    <row r="4321" spans="1:6" ht="12.75" customHeight="1">
      <c r="A4321" s="12" t="s">
        <v>1156</v>
      </c>
      <c r="B4321" s="30">
        <v>1</v>
      </c>
      <c r="C4321" s="24" t="s">
        <v>1171</v>
      </c>
      <c r="D4321" s="35">
        <f>Prec.!$D$557</f>
        <v>1.22</v>
      </c>
      <c r="E4321" s="31">
        <f t="shared" si="338"/>
        <v>1.22</v>
      </c>
      <c r="F4321" s="32"/>
    </row>
    <row r="4322" spans="1:6" ht="12.75" customHeight="1">
      <c r="A4322" s="12" t="s">
        <v>1154</v>
      </c>
      <c r="B4322" s="30">
        <v>2.1999999999999999E-2</v>
      </c>
      <c r="C4322" s="24" t="s">
        <v>1172</v>
      </c>
      <c r="D4322" s="35">
        <f>Prec.!$D$563</f>
        <v>12.04</v>
      </c>
      <c r="E4322" s="31">
        <f t="shared" si="338"/>
        <v>0.26</v>
      </c>
      <c r="F4322" s="32"/>
    </row>
    <row r="4323" spans="1:6" ht="12.75" customHeight="1">
      <c r="A4323" s="12" t="s">
        <v>208</v>
      </c>
      <c r="B4323" s="14">
        <f>SUM(E4316:E4322)</f>
        <v>125.42999999999999</v>
      </c>
      <c r="C4323" s="24" t="s">
        <v>209</v>
      </c>
      <c r="D4323" s="35">
        <v>0.02</v>
      </c>
      <c r="E4323" s="31">
        <f t="shared" si="338"/>
        <v>2.5099999999999998</v>
      </c>
      <c r="F4323" s="32">
        <f>SUM(E4316:E4323)</f>
        <v>127.94</v>
      </c>
    </row>
    <row r="4324" spans="1:6" ht="12.75" customHeight="1">
      <c r="A4324" s="12"/>
      <c r="B4324" s="14"/>
      <c r="C4324" s="24"/>
      <c r="D4324" s="35"/>
      <c r="E4324" s="31"/>
      <c r="F4324" s="32"/>
    </row>
    <row r="4325" spans="1:6" ht="12.75" customHeight="1">
      <c r="A4325" s="13" t="s">
        <v>1113</v>
      </c>
      <c r="B4325" s="42"/>
      <c r="C4325" s="29"/>
      <c r="D4325" s="35"/>
      <c r="E4325" s="43" t="s">
        <v>151</v>
      </c>
      <c r="F4325" s="44" t="s">
        <v>1171</v>
      </c>
    </row>
    <row r="4326" spans="1:6" ht="12.75" customHeight="1">
      <c r="A4326" s="12" t="s">
        <v>748</v>
      </c>
      <c r="B4326" s="30">
        <v>1.05</v>
      </c>
      <c r="C4326" s="24" t="s">
        <v>1171</v>
      </c>
      <c r="D4326" s="35">
        <f>Prec.!C141</f>
        <v>78.3</v>
      </c>
      <c r="E4326" s="31">
        <f t="shared" ref="E4326:E4333" si="339">ROUND(B4326*D4326,2)</f>
        <v>82.22</v>
      </c>
      <c r="F4326" s="32"/>
    </row>
    <row r="4327" spans="1:6" ht="12.75" customHeight="1">
      <c r="A4327" s="12" t="s">
        <v>673</v>
      </c>
      <c r="B4327" s="30">
        <v>2.1999999999999999E-2</v>
      </c>
      <c r="C4327" s="24" t="s">
        <v>1172</v>
      </c>
      <c r="D4327" s="35">
        <f>Prec.!$C$8</f>
        <v>250</v>
      </c>
      <c r="E4327" s="31">
        <f t="shared" si="339"/>
        <v>5.5</v>
      </c>
      <c r="F4327" s="32"/>
    </row>
    <row r="4328" spans="1:6" ht="12.75" customHeight="1">
      <c r="A4328" s="12" t="s">
        <v>1174</v>
      </c>
      <c r="B4328" s="30">
        <v>2E-3</v>
      </c>
      <c r="C4328" s="24" t="s">
        <v>825</v>
      </c>
      <c r="D4328" s="35">
        <f>D4282</f>
        <v>6011.2699999999995</v>
      </c>
      <c r="E4328" s="31">
        <f t="shared" si="339"/>
        <v>12.02</v>
      </c>
      <c r="F4328" s="32"/>
    </row>
    <row r="4329" spans="1:6" ht="12.75" customHeight="1">
      <c r="A4329" s="12" t="s">
        <v>1015</v>
      </c>
      <c r="B4329" s="30">
        <v>1</v>
      </c>
      <c r="C4329" s="24" t="s">
        <v>1017</v>
      </c>
      <c r="D4329" s="35">
        <f>Prec.!D491</f>
        <v>11.93</v>
      </c>
      <c r="E4329" s="31">
        <f t="shared" si="339"/>
        <v>11.93</v>
      </c>
      <c r="F4329" s="32"/>
    </row>
    <row r="4330" spans="1:6" ht="12.75" customHeight="1">
      <c r="A4330" s="12" t="s">
        <v>674</v>
      </c>
      <c r="B4330" s="30">
        <v>1</v>
      </c>
      <c r="C4330" s="24" t="s">
        <v>1171</v>
      </c>
      <c r="D4330" s="35">
        <f>Prec.!C497</f>
        <v>108.15</v>
      </c>
      <c r="E4330" s="31">
        <f t="shared" si="339"/>
        <v>108.15</v>
      </c>
      <c r="F4330" s="32"/>
    </row>
    <row r="4331" spans="1:6" ht="12.75" customHeight="1">
      <c r="A4331" s="12" t="s">
        <v>1156</v>
      </c>
      <c r="B4331" s="30">
        <v>1</v>
      </c>
      <c r="C4331" s="24" t="s">
        <v>1171</v>
      </c>
      <c r="D4331" s="35">
        <f>Prec.!$D$557</f>
        <v>1.22</v>
      </c>
      <c r="E4331" s="31">
        <f t="shared" si="339"/>
        <v>1.22</v>
      </c>
      <c r="F4331" s="32"/>
    </row>
    <row r="4332" spans="1:6" ht="12.75" customHeight="1">
      <c r="A4332" s="12" t="s">
        <v>1154</v>
      </c>
      <c r="B4332" s="30">
        <v>2.1999999999999999E-2</v>
      </c>
      <c r="C4332" s="24" t="s">
        <v>1172</v>
      </c>
      <c r="D4332" s="35">
        <f>Prec.!$D$563</f>
        <v>12.04</v>
      </c>
      <c r="E4332" s="31">
        <f t="shared" si="339"/>
        <v>0.26</v>
      </c>
      <c r="F4332" s="32"/>
    </row>
    <row r="4333" spans="1:6" ht="12.75" customHeight="1">
      <c r="A4333" s="12" t="s">
        <v>208</v>
      </c>
      <c r="B4333" s="14">
        <f>SUM(E4326:E4332)</f>
        <v>221.29999999999998</v>
      </c>
      <c r="C4333" s="24" t="s">
        <v>209</v>
      </c>
      <c r="D4333" s="35">
        <f>D4323</f>
        <v>0.02</v>
      </c>
      <c r="E4333" s="31">
        <f t="shared" si="339"/>
        <v>4.43</v>
      </c>
      <c r="F4333" s="32">
        <f>SUM(E4326:E4333)</f>
        <v>225.73</v>
      </c>
    </row>
    <row r="4334" spans="1:6" ht="12.75" customHeight="1">
      <c r="A4334" s="12"/>
      <c r="B4334" s="14"/>
      <c r="C4334" s="24"/>
      <c r="D4334" s="35"/>
      <c r="E4334" s="31"/>
      <c r="F4334" s="32"/>
    </row>
    <row r="4335" spans="1:6" ht="12.75" customHeight="1">
      <c r="A4335" s="13" t="s">
        <v>593</v>
      </c>
      <c r="B4335" s="42"/>
      <c r="C4335" s="29"/>
      <c r="D4335" s="35"/>
      <c r="E4335" s="43" t="s">
        <v>151</v>
      </c>
      <c r="F4335" s="44" t="s">
        <v>1171</v>
      </c>
    </row>
    <row r="4336" spans="1:6" ht="12.75" customHeight="1">
      <c r="A4336" s="12" t="s">
        <v>749</v>
      </c>
      <c r="B4336" s="30">
        <v>1.05</v>
      </c>
      <c r="C4336" s="24" t="s">
        <v>1171</v>
      </c>
      <c r="D4336" s="35">
        <f>Prec.!C142</f>
        <v>58</v>
      </c>
      <c r="E4336" s="31">
        <f t="shared" ref="E4336:E4343" si="340">ROUND(B4336*D4336,2)</f>
        <v>60.9</v>
      </c>
      <c r="F4336" s="32"/>
    </row>
    <row r="4337" spans="1:6" ht="12.75" customHeight="1">
      <c r="A4337" s="12" t="s">
        <v>622</v>
      </c>
      <c r="B4337" s="30">
        <v>2.1999999999999999E-2</v>
      </c>
      <c r="C4337" s="24" t="s">
        <v>1172</v>
      </c>
      <c r="D4337" s="35">
        <f>Prec.!$C$7</f>
        <v>250</v>
      </c>
      <c r="E4337" s="31">
        <f t="shared" si="340"/>
        <v>5.5</v>
      </c>
      <c r="F4337" s="32"/>
    </row>
    <row r="4338" spans="1:6" ht="12.75" customHeight="1">
      <c r="A4338" s="12" t="s">
        <v>1174</v>
      </c>
      <c r="B4338" s="30">
        <v>2E-3</v>
      </c>
      <c r="C4338" s="24" t="s">
        <v>825</v>
      </c>
      <c r="D4338" s="35">
        <f>D4282</f>
        <v>6011.2699999999995</v>
      </c>
      <c r="E4338" s="31">
        <f t="shared" si="340"/>
        <v>12.02</v>
      </c>
      <c r="F4338" s="32"/>
    </row>
    <row r="4339" spans="1:6" ht="12.75" customHeight="1">
      <c r="A4339" s="12" t="s">
        <v>1015</v>
      </c>
      <c r="B4339" s="30">
        <v>1</v>
      </c>
      <c r="C4339" s="24" t="s">
        <v>1017</v>
      </c>
      <c r="D4339" s="35">
        <f>D4329</f>
        <v>11.93</v>
      </c>
      <c r="E4339" s="31">
        <f t="shared" si="340"/>
        <v>11.93</v>
      </c>
      <c r="F4339" s="32"/>
    </row>
    <row r="4340" spans="1:6" ht="12.75" customHeight="1">
      <c r="A4340" s="12" t="s">
        <v>674</v>
      </c>
      <c r="B4340" s="30">
        <v>1</v>
      </c>
      <c r="C4340" s="24" t="s">
        <v>1171</v>
      </c>
      <c r="D4340" s="35">
        <f>Prec.!$D$497</f>
        <v>0</v>
      </c>
      <c r="E4340" s="31">
        <f t="shared" si="340"/>
        <v>0</v>
      </c>
      <c r="F4340" s="32"/>
    </row>
    <row r="4341" spans="1:6" ht="12.75" customHeight="1">
      <c r="A4341" s="12" t="s">
        <v>1156</v>
      </c>
      <c r="B4341" s="30">
        <v>1</v>
      </c>
      <c r="C4341" s="24" t="s">
        <v>1171</v>
      </c>
      <c r="D4341" s="35">
        <f>Prec.!$D$557</f>
        <v>1.22</v>
      </c>
      <c r="E4341" s="31">
        <f t="shared" si="340"/>
        <v>1.22</v>
      </c>
      <c r="F4341" s="32"/>
    </row>
    <row r="4342" spans="1:6" ht="12.75" customHeight="1">
      <c r="A4342" s="12" t="s">
        <v>1154</v>
      </c>
      <c r="B4342" s="30">
        <v>2.1999999999999999E-2</v>
      </c>
      <c r="C4342" s="24" t="s">
        <v>1172</v>
      </c>
      <c r="D4342" s="35">
        <f>Prec.!$D$563</f>
        <v>12.04</v>
      </c>
      <c r="E4342" s="31">
        <f t="shared" si="340"/>
        <v>0.26</v>
      </c>
      <c r="F4342" s="32"/>
    </row>
    <row r="4343" spans="1:6" ht="12.75" customHeight="1">
      <c r="A4343" s="12" t="s">
        <v>208</v>
      </c>
      <c r="B4343" s="14">
        <f>SUM(E4336:E4342)</f>
        <v>91.83</v>
      </c>
      <c r="C4343" s="24" t="s">
        <v>209</v>
      </c>
      <c r="D4343" s="35">
        <f>D4333</f>
        <v>0.02</v>
      </c>
      <c r="E4343" s="31">
        <f t="shared" si="340"/>
        <v>1.84</v>
      </c>
      <c r="F4343" s="32">
        <f>SUM(E4336:E4343)</f>
        <v>93.67</v>
      </c>
    </row>
    <row r="4344" spans="1:6" ht="12.75" customHeight="1">
      <c r="A4344" s="12"/>
      <c r="B4344" s="14"/>
      <c r="C4344" s="24"/>
      <c r="D4344" s="35"/>
      <c r="E4344" s="31"/>
      <c r="F4344" s="32"/>
    </row>
    <row r="4345" spans="1:6" ht="12.75" customHeight="1">
      <c r="A4345" s="13" t="s">
        <v>868</v>
      </c>
      <c r="B4345" s="42"/>
      <c r="C4345" s="29"/>
      <c r="D4345" s="35"/>
      <c r="E4345" s="43" t="s">
        <v>151</v>
      </c>
      <c r="F4345" s="44" t="s">
        <v>1171</v>
      </c>
    </row>
    <row r="4346" spans="1:6" ht="12.75" customHeight="1">
      <c r="A4346" s="12" t="s">
        <v>818</v>
      </c>
      <c r="B4346" s="30">
        <v>1.05</v>
      </c>
      <c r="C4346" s="24" t="s">
        <v>1017</v>
      </c>
      <c r="D4346" s="35">
        <f>Prec.!C113</f>
        <v>32.14</v>
      </c>
      <c r="E4346" s="31">
        <f t="shared" ref="E4346:E4354" si="341">ROUND(B4346*D4346,2)</f>
        <v>33.75</v>
      </c>
      <c r="F4346" s="32"/>
    </row>
    <row r="4347" spans="1:6" ht="12.75" customHeight="1">
      <c r="A4347" s="12" t="s">
        <v>673</v>
      </c>
      <c r="B4347" s="30">
        <v>7.0000000000000001E-3</v>
      </c>
      <c r="C4347" s="24" t="s">
        <v>1172</v>
      </c>
      <c r="D4347" s="35">
        <f>Prec.!$C$8</f>
        <v>250</v>
      </c>
      <c r="E4347" s="31">
        <f t="shared" si="341"/>
        <v>1.75</v>
      </c>
      <c r="F4347" s="32"/>
    </row>
    <row r="4348" spans="1:6" ht="12.75" customHeight="1">
      <c r="A4348" s="12" t="s">
        <v>1173</v>
      </c>
      <c r="B4348" s="30">
        <v>5.0000000000000001E-3</v>
      </c>
      <c r="C4348" s="24" t="s">
        <v>1018</v>
      </c>
      <c r="D4348" s="35">
        <f>Prec.!$C$82</f>
        <v>75</v>
      </c>
      <c r="E4348" s="31">
        <f t="shared" si="341"/>
        <v>0.38</v>
      </c>
      <c r="F4348" s="32"/>
    </row>
    <row r="4349" spans="1:6" ht="12.75" customHeight="1">
      <c r="A4349" s="12" t="s">
        <v>1174</v>
      </c>
      <c r="B4349" s="30">
        <v>1E-3</v>
      </c>
      <c r="C4349" s="24" t="s">
        <v>825</v>
      </c>
      <c r="D4349" s="35">
        <f>D4270</f>
        <v>6011.2699999999995</v>
      </c>
      <c r="E4349" s="31">
        <f t="shared" si="341"/>
        <v>6.01</v>
      </c>
      <c r="F4349" s="32"/>
    </row>
    <row r="4350" spans="1:6" ht="12.75" customHeight="1">
      <c r="A4350" s="12" t="s">
        <v>1015</v>
      </c>
      <c r="B4350" s="30">
        <v>4</v>
      </c>
      <c r="C4350" s="24" t="s">
        <v>1017</v>
      </c>
      <c r="D4350" s="35">
        <f>Prec.!D490</f>
        <v>11.93</v>
      </c>
      <c r="E4350" s="31">
        <f t="shared" si="341"/>
        <v>47.72</v>
      </c>
      <c r="F4350" s="32"/>
    </row>
    <row r="4351" spans="1:6" ht="12.75" customHeight="1">
      <c r="A4351" s="12" t="s">
        <v>674</v>
      </c>
      <c r="B4351" s="30">
        <v>1</v>
      </c>
      <c r="C4351" s="24" t="s">
        <v>1171</v>
      </c>
      <c r="D4351" s="35">
        <f>Prec.!$D$498</f>
        <v>0</v>
      </c>
      <c r="E4351" s="31">
        <f t="shared" si="341"/>
        <v>0</v>
      </c>
      <c r="F4351" s="32"/>
    </row>
    <row r="4352" spans="1:6" ht="12.75" customHeight="1">
      <c r="A4352" s="12" t="s">
        <v>1156</v>
      </c>
      <c r="B4352" s="30">
        <v>1</v>
      </c>
      <c r="C4352" s="24" t="s">
        <v>1171</v>
      </c>
      <c r="D4352" s="35">
        <f>Prec.!D557</f>
        <v>1.22</v>
      </c>
      <c r="E4352" s="31">
        <f t="shared" si="341"/>
        <v>1.22</v>
      </c>
      <c r="F4352" s="32"/>
    </row>
    <row r="4353" spans="1:13" ht="12.75" customHeight="1">
      <c r="A4353" s="12" t="s">
        <v>1154</v>
      </c>
      <c r="B4353" s="30">
        <v>2.1999999999999999E-2</v>
      </c>
      <c r="C4353" s="24" t="s">
        <v>1172</v>
      </c>
      <c r="D4353" s="35">
        <f>Prec.!$D$563</f>
        <v>12.04</v>
      </c>
      <c r="E4353" s="31">
        <f t="shared" si="341"/>
        <v>0.26</v>
      </c>
      <c r="F4353" s="32"/>
    </row>
    <row r="4354" spans="1:13" ht="12.75" customHeight="1">
      <c r="A4354" s="12" t="s">
        <v>208</v>
      </c>
      <c r="B4354" s="14">
        <f>SUM(E4346:E4353)</f>
        <v>91.09</v>
      </c>
      <c r="C4354" s="24" t="s">
        <v>209</v>
      </c>
      <c r="D4354" s="35">
        <f>Prec.!C302</f>
        <v>1.4999999999999999E-2</v>
      </c>
      <c r="E4354" s="31">
        <f t="shared" si="341"/>
        <v>1.37</v>
      </c>
      <c r="F4354" s="32">
        <f>SUM(E4346:E4354)</f>
        <v>92.460000000000008</v>
      </c>
    </row>
    <row r="4355" spans="1:13" s="166" customFormat="1" ht="12.75" customHeight="1">
      <c r="A4355" s="12"/>
      <c r="B4355" s="14"/>
      <c r="C4355" s="24"/>
      <c r="D4355" s="35"/>
      <c r="E4355" s="31"/>
      <c r="F4355" s="32"/>
      <c r="G4355" s="15"/>
      <c r="H4355" s="21"/>
      <c r="I4355" s="15"/>
      <c r="J4355" s="15"/>
      <c r="K4355" s="15"/>
      <c r="L4355" s="21"/>
      <c r="M4355" s="15"/>
    </row>
    <row r="4356" spans="1:13" ht="12.75" customHeight="1">
      <c r="A4356" s="1586" t="s">
        <v>594</v>
      </c>
      <c r="B4356" s="1587"/>
      <c r="C4356" s="1588"/>
      <c r="D4356" s="1589"/>
      <c r="E4356" s="1590" t="s">
        <v>151</v>
      </c>
      <c r="F4356" s="1591" t="s">
        <v>1171</v>
      </c>
    </row>
    <row r="4357" spans="1:13" ht="12.75" customHeight="1">
      <c r="A4357" s="1592" t="s">
        <v>819</v>
      </c>
      <c r="B4357" s="1593">
        <v>1.05</v>
      </c>
      <c r="C4357" s="1594" t="s">
        <v>1017</v>
      </c>
      <c r="D4357" s="1589">
        <f>Prec.!C118</f>
        <v>67.540000000000006</v>
      </c>
      <c r="E4357" s="1595">
        <f t="shared" ref="E4357:E4365" si="342">ROUND(B4357*D4357,2)</f>
        <v>70.92</v>
      </c>
      <c r="F4357" s="1596"/>
    </row>
    <row r="4358" spans="1:13" ht="12.75" customHeight="1">
      <c r="A4358" s="1592" t="s">
        <v>673</v>
      </c>
      <c r="B4358" s="1593">
        <f>B4347</f>
        <v>7.0000000000000001E-3</v>
      </c>
      <c r="C4358" s="1594" t="s">
        <v>1172</v>
      </c>
      <c r="D4358" s="1589">
        <f>Prec.!$C$8</f>
        <v>250</v>
      </c>
      <c r="E4358" s="1595">
        <f t="shared" si="342"/>
        <v>1.75</v>
      </c>
      <c r="F4358" s="1596"/>
    </row>
    <row r="4359" spans="1:13" ht="12.75" customHeight="1">
      <c r="A4359" s="1592" t="s">
        <v>1173</v>
      </c>
      <c r="B4359" s="1593">
        <v>5.0000000000000001E-3</v>
      </c>
      <c r="C4359" s="1594" t="s">
        <v>1018</v>
      </c>
      <c r="D4359" s="1589">
        <f>Prec.!$C$82</f>
        <v>75</v>
      </c>
      <c r="E4359" s="1595">
        <f t="shared" si="342"/>
        <v>0.38</v>
      </c>
      <c r="F4359" s="1596"/>
    </row>
    <row r="4360" spans="1:13" ht="12.75" customHeight="1">
      <c r="A4360" s="1592" t="s">
        <v>1174</v>
      </c>
      <c r="B4360" s="1593">
        <v>1E-3</v>
      </c>
      <c r="C4360" s="1594" t="s">
        <v>825</v>
      </c>
      <c r="D4360" s="1589">
        <f>D4308</f>
        <v>6011.2699999999995</v>
      </c>
      <c r="E4360" s="1595">
        <f t="shared" si="342"/>
        <v>6.01</v>
      </c>
      <c r="F4360" s="1596"/>
    </row>
    <row r="4361" spans="1:13" ht="12.75" customHeight="1">
      <c r="A4361" s="1592" t="s">
        <v>1015</v>
      </c>
      <c r="B4361" s="1593">
        <v>4</v>
      </c>
      <c r="C4361" s="1594" t="s">
        <v>1017</v>
      </c>
      <c r="D4361" s="1589">
        <f>D4309</f>
        <v>11.93</v>
      </c>
      <c r="E4361" s="1595">
        <f t="shared" si="342"/>
        <v>47.72</v>
      </c>
      <c r="F4361" s="1596"/>
    </row>
    <row r="4362" spans="1:13" ht="12.75" customHeight="1">
      <c r="A4362" s="1592" t="s">
        <v>674</v>
      </c>
      <c r="B4362" s="1593">
        <v>1</v>
      </c>
      <c r="C4362" s="1594" t="s">
        <v>1171</v>
      </c>
      <c r="D4362" s="1589">
        <f>Prec.!C498</f>
        <v>83.5</v>
      </c>
      <c r="E4362" s="1595">
        <f t="shared" si="342"/>
        <v>83.5</v>
      </c>
      <c r="F4362" s="1596"/>
    </row>
    <row r="4363" spans="1:13" ht="12.75" customHeight="1">
      <c r="A4363" s="1592" t="s">
        <v>1156</v>
      </c>
      <c r="B4363" s="1593">
        <v>1</v>
      </c>
      <c r="C4363" s="1594" t="s">
        <v>1171</v>
      </c>
      <c r="D4363" s="1589">
        <f>D4352</f>
        <v>1.22</v>
      </c>
      <c r="E4363" s="1595">
        <f t="shared" si="342"/>
        <v>1.22</v>
      </c>
      <c r="F4363" s="1596"/>
    </row>
    <row r="4364" spans="1:13" ht="12.75" customHeight="1">
      <c r="A4364" s="1592" t="s">
        <v>1154</v>
      </c>
      <c r="B4364" s="1593">
        <f>B4358</f>
        <v>7.0000000000000001E-3</v>
      </c>
      <c r="C4364" s="1594" t="s">
        <v>1172</v>
      </c>
      <c r="D4364" s="1589">
        <f>Prec.!$D$563</f>
        <v>12.04</v>
      </c>
      <c r="E4364" s="1595">
        <f t="shared" si="342"/>
        <v>0.08</v>
      </c>
      <c r="F4364" s="1596"/>
    </row>
    <row r="4365" spans="1:13" ht="12.75" customHeight="1">
      <c r="A4365" s="1592" t="s">
        <v>208</v>
      </c>
      <c r="B4365" s="1597">
        <f>SUM(E4357:E4364)</f>
        <v>211.58</v>
      </c>
      <c r="C4365" s="1594" t="s">
        <v>209</v>
      </c>
      <c r="D4365" s="1589">
        <f>Prec.!C302</f>
        <v>1.4999999999999999E-2</v>
      </c>
      <c r="E4365" s="1595">
        <f t="shared" si="342"/>
        <v>3.17</v>
      </c>
      <c r="F4365" s="1596">
        <f>SUM(E4357:E4365)</f>
        <v>214.75</v>
      </c>
    </row>
    <row r="4366" spans="1:13" ht="12.75" customHeight="1">
      <c r="A4366" s="12"/>
      <c r="B4366" s="14"/>
      <c r="C4366" s="24"/>
      <c r="D4366" s="35"/>
      <c r="E4366" s="31"/>
      <c r="F4366" s="32"/>
    </row>
    <row r="4367" spans="1:13" s="12" customFormat="1" ht="12.75" customHeight="1">
      <c r="A4367" s="13" t="s">
        <v>679</v>
      </c>
      <c r="B4367" s="42"/>
      <c r="C4367" s="29"/>
      <c r="D4367" s="35"/>
      <c r="E4367" s="43" t="s">
        <v>151</v>
      </c>
      <c r="F4367" s="44" t="s">
        <v>1171</v>
      </c>
      <c r="G4367" s="20"/>
      <c r="H4367" s="22"/>
      <c r="I4367" s="20"/>
      <c r="J4367" s="20"/>
      <c r="K4367" s="20"/>
      <c r="L4367" s="22"/>
      <c r="M4367" s="20"/>
    </row>
    <row r="4368" spans="1:13" ht="12.75" customHeight="1">
      <c r="A4368" s="12" t="s">
        <v>820</v>
      </c>
      <c r="B4368" s="30">
        <v>1.05</v>
      </c>
      <c r="C4368" s="24" t="s">
        <v>1171</v>
      </c>
      <c r="D4368" s="35">
        <f>Prec.!C143</f>
        <v>348</v>
      </c>
      <c r="E4368" s="31">
        <f t="shared" ref="E4368:E4376" si="343">ROUND(B4368*D4368,2)</f>
        <v>365.4</v>
      </c>
      <c r="F4368" s="32"/>
    </row>
    <row r="4369" spans="1:6" ht="12.75" customHeight="1">
      <c r="A4369" s="12" t="s">
        <v>673</v>
      </c>
      <c r="B4369" s="30">
        <v>2.1999999999999999E-2</v>
      </c>
      <c r="C4369" s="24" t="s">
        <v>1172</v>
      </c>
      <c r="D4369" s="35">
        <f>Prec.!$C$8</f>
        <v>250</v>
      </c>
      <c r="E4369" s="31">
        <f t="shared" si="343"/>
        <v>5.5</v>
      </c>
      <c r="F4369" s="32"/>
    </row>
    <row r="4370" spans="1:6" ht="12.75" customHeight="1">
      <c r="A4370" s="12" t="s">
        <v>1173</v>
      </c>
      <c r="B4370" s="30">
        <v>5.0000000000000001E-3</v>
      </c>
      <c r="C4370" s="24" t="s">
        <v>1018</v>
      </c>
      <c r="D4370" s="35">
        <f>Prec.!$C$82</f>
        <v>75</v>
      </c>
      <c r="E4370" s="31">
        <f t="shared" si="343"/>
        <v>0.38</v>
      </c>
      <c r="F4370" s="32"/>
    </row>
    <row r="4371" spans="1:6" ht="12.75" customHeight="1">
      <c r="A4371" s="12" t="s">
        <v>1174</v>
      </c>
      <c r="B4371" s="30">
        <v>1E-3</v>
      </c>
      <c r="C4371" s="24" t="s">
        <v>825</v>
      </c>
      <c r="D4371" s="35">
        <f>D4294</f>
        <v>6011.2699999999995</v>
      </c>
      <c r="E4371" s="31">
        <f t="shared" si="343"/>
        <v>6.01</v>
      </c>
      <c r="F4371" s="32"/>
    </row>
    <row r="4372" spans="1:6" ht="12.75" customHeight="1">
      <c r="A4372" s="12" t="s">
        <v>1015</v>
      </c>
      <c r="B4372" s="30">
        <v>1</v>
      </c>
      <c r="C4372" s="24" t="s">
        <v>1017</v>
      </c>
      <c r="D4372" s="35">
        <f>D4339</f>
        <v>11.93</v>
      </c>
      <c r="E4372" s="31">
        <f t="shared" si="343"/>
        <v>11.93</v>
      </c>
      <c r="F4372" s="32"/>
    </row>
    <row r="4373" spans="1:6" ht="12.75" customHeight="1">
      <c r="A4373" s="12" t="s">
        <v>674</v>
      </c>
      <c r="B4373" s="30">
        <v>1</v>
      </c>
      <c r="C4373" s="24" t="s">
        <v>1171</v>
      </c>
      <c r="D4373" s="35">
        <f>Prec.!D499</f>
        <v>93.25</v>
      </c>
      <c r="E4373" s="31">
        <f t="shared" si="343"/>
        <v>93.25</v>
      </c>
      <c r="F4373" s="32"/>
    </row>
    <row r="4374" spans="1:6" ht="12.75" customHeight="1">
      <c r="A4374" s="12" t="s">
        <v>1156</v>
      </c>
      <c r="B4374" s="30">
        <v>1</v>
      </c>
      <c r="C4374" s="24" t="s">
        <v>1171</v>
      </c>
      <c r="D4374" s="35">
        <f>Prec.!D557</f>
        <v>1.22</v>
      </c>
      <c r="E4374" s="31">
        <f t="shared" si="343"/>
        <v>1.22</v>
      </c>
      <c r="F4374" s="32"/>
    </row>
    <row r="4375" spans="1:6" ht="12.75" customHeight="1">
      <c r="A4375" s="12" t="s">
        <v>1154</v>
      </c>
      <c r="B4375" s="30">
        <v>2.1999999999999999E-2</v>
      </c>
      <c r="C4375" s="24" t="s">
        <v>1172</v>
      </c>
      <c r="D4375" s="35">
        <f>Prec.!$D$563</f>
        <v>12.04</v>
      </c>
      <c r="E4375" s="31">
        <f t="shared" si="343"/>
        <v>0.26</v>
      </c>
      <c r="F4375" s="32"/>
    </row>
    <row r="4376" spans="1:6" ht="12.75" customHeight="1">
      <c r="A4376" s="12" t="s">
        <v>208</v>
      </c>
      <c r="B4376" s="14">
        <f>SUM(E4368:E4375)</f>
        <v>483.95</v>
      </c>
      <c r="C4376" s="24" t="s">
        <v>209</v>
      </c>
      <c r="D4376" s="35">
        <f>Prec.!C302</f>
        <v>1.4999999999999999E-2</v>
      </c>
      <c r="E4376" s="31">
        <f t="shared" si="343"/>
        <v>7.26</v>
      </c>
      <c r="F4376" s="32">
        <f>SUM(E4368:E4376)</f>
        <v>491.21</v>
      </c>
    </row>
    <row r="4377" spans="1:6" ht="12.75" customHeight="1">
      <c r="A4377" s="12"/>
      <c r="B4377" s="14"/>
      <c r="C4377" s="24"/>
      <c r="D4377" s="35"/>
      <c r="E4377" s="31"/>
      <c r="F4377" s="32"/>
    </row>
    <row r="4378" spans="1:6" ht="12.75" customHeight="1">
      <c r="A4378" s="1586" t="s">
        <v>69</v>
      </c>
      <c r="B4378" s="1587"/>
      <c r="C4378" s="1588"/>
      <c r="D4378" s="1589"/>
      <c r="E4378" s="1590" t="s">
        <v>151</v>
      </c>
      <c r="F4378" s="1591" t="s">
        <v>1171</v>
      </c>
    </row>
    <row r="4379" spans="1:6" ht="12.75" customHeight="1">
      <c r="A4379" s="1592" t="s">
        <v>427</v>
      </c>
      <c r="B4379" s="1593">
        <v>8.0000000000000002E-3</v>
      </c>
      <c r="C4379" s="1594" t="s">
        <v>825</v>
      </c>
      <c r="D4379" s="1589">
        <f>horm.ymez.!E8</f>
        <v>7012.85</v>
      </c>
      <c r="E4379" s="1595">
        <f>ROUND(B4379*D4379,2)</f>
        <v>56.1</v>
      </c>
      <c r="F4379" s="1596"/>
    </row>
    <row r="4380" spans="1:6" ht="12.75" customHeight="1">
      <c r="A4380" s="1592" t="s">
        <v>1168</v>
      </c>
      <c r="B4380" s="1593">
        <v>1</v>
      </c>
      <c r="C4380" s="1594" t="s">
        <v>1171</v>
      </c>
      <c r="D4380" s="1589">
        <f>Prec.!C486</f>
        <v>48.5</v>
      </c>
      <c r="E4380" s="1595">
        <f>ROUND(B4380*D4380,2)</f>
        <v>48.5</v>
      </c>
      <c r="F4380" s="1596"/>
    </row>
    <row r="4381" spans="1:6" ht="12.75" customHeight="1">
      <c r="A4381" s="1592" t="s">
        <v>208</v>
      </c>
      <c r="B4381" s="1597">
        <f>SUM(E4379:E4380)</f>
        <v>104.6</v>
      </c>
      <c r="C4381" s="1594" t="s">
        <v>209</v>
      </c>
      <c r="D4381" s="1589">
        <f>Prec.!C302</f>
        <v>1.4999999999999999E-2</v>
      </c>
      <c r="E4381" s="1595">
        <f>ROUND(B4381*D4381,2)</f>
        <v>1.57</v>
      </c>
      <c r="F4381" s="1596">
        <f>SUM(E4379:E4381)</f>
        <v>106.16999999999999</v>
      </c>
    </row>
    <row r="4382" spans="1:6" ht="12.75" customHeight="1">
      <c r="A4382" s="12"/>
      <c r="B4382" s="14"/>
      <c r="C4382" s="24"/>
      <c r="D4382" s="35"/>
      <c r="E4382" s="31"/>
      <c r="F4382" s="32"/>
    </row>
    <row r="4383" spans="1:6" ht="12.75" customHeight="1">
      <c r="A4383" s="13" t="s">
        <v>1219</v>
      </c>
      <c r="B4383" s="14"/>
      <c r="C4383" s="24"/>
      <c r="D4383" s="35"/>
      <c r="E4383" s="31"/>
      <c r="F4383" s="32"/>
    </row>
    <row r="4384" spans="1:6" ht="12.75" customHeight="1">
      <c r="A4384" s="12" t="s">
        <v>1216</v>
      </c>
      <c r="B4384" s="30">
        <v>1</v>
      </c>
      <c r="C4384" s="24" t="s">
        <v>1171</v>
      </c>
      <c r="D4384" s="35">
        <f>Prec.!C140</f>
        <v>90</v>
      </c>
      <c r="E4384" s="31">
        <f t="shared" ref="E4384:E4390" si="344">ROUND(B4384*D4384,2)</f>
        <v>90</v>
      </c>
      <c r="F4384" s="32"/>
    </row>
    <row r="4385" spans="1:6" ht="12.75" customHeight="1">
      <c r="A4385" s="12" t="s">
        <v>870</v>
      </c>
      <c r="B4385" s="30">
        <v>1</v>
      </c>
      <c r="C4385" s="24" t="s">
        <v>1171</v>
      </c>
      <c r="D4385" s="35">
        <f>D4374</f>
        <v>1.22</v>
      </c>
      <c r="E4385" s="31">
        <f t="shared" si="344"/>
        <v>1.22</v>
      </c>
      <c r="F4385" s="32"/>
    </row>
    <row r="4386" spans="1:6" ht="12.75" customHeight="1">
      <c r="A4386" s="12" t="s">
        <v>796</v>
      </c>
      <c r="B4386" s="30">
        <v>7.0000000000000001E-3</v>
      </c>
      <c r="C4386" s="24" t="s">
        <v>755</v>
      </c>
      <c r="D4386" s="35">
        <f>Prec.!C7</f>
        <v>250</v>
      </c>
      <c r="E4386" s="31">
        <f t="shared" si="344"/>
        <v>1.75</v>
      </c>
      <c r="F4386" s="32"/>
    </row>
    <row r="4387" spans="1:6" ht="12.75" customHeight="1">
      <c r="A4387" s="12" t="s">
        <v>1130</v>
      </c>
      <c r="B4387" s="30">
        <v>7.0000000000000001E-3</v>
      </c>
      <c r="C4387" s="24" t="s">
        <v>755</v>
      </c>
      <c r="D4387" s="35">
        <f>Prec.!D563</f>
        <v>12.04</v>
      </c>
      <c r="E4387" s="31">
        <f t="shared" si="344"/>
        <v>0.08</v>
      </c>
      <c r="F4387" s="32"/>
    </row>
    <row r="4388" spans="1:6" ht="12.75" customHeight="1">
      <c r="A4388" s="12" t="s">
        <v>1174</v>
      </c>
      <c r="B4388" s="30">
        <v>4.0000000000000001E-3</v>
      </c>
      <c r="C4388" s="24" t="s">
        <v>825</v>
      </c>
      <c r="D4388" s="35">
        <f>D4360</f>
        <v>6011.2699999999995</v>
      </c>
      <c r="E4388" s="31">
        <f t="shared" si="344"/>
        <v>24.05</v>
      </c>
      <c r="F4388" s="32"/>
    </row>
    <row r="4389" spans="1:6" ht="12.75" customHeight="1">
      <c r="A4389" s="12" t="s">
        <v>1217</v>
      </c>
      <c r="B4389" s="30">
        <v>1</v>
      </c>
      <c r="C4389" s="24" t="s">
        <v>1171</v>
      </c>
      <c r="D4389" s="35">
        <f>Prec.!D467</f>
        <v>0</v>
      </c>
      <c r="E4389" s="31">
        <f t="shared" si="344"/>
        <v>0</v>
      </c>
      <c r="F4389" s="32"/>
    </row>
    <row r="4390" spans="1:6" ht="12.75" customHeight="1">
      <c r="A4390" s="12" t="s">
        <v>208</v>
      </c>
      <c r="B4390" s="30">
        <f>SUM(E4384:E4389)</f>
        <v>117.1</v>
      </c>
      <c r="C4390" s="24" t="s">
        <v>209</v>
      </c>
      <c r="D4390" s="35">
        <f>D4381</f>
        <v>1.4999999999999999E-2</v>
      </c>
      <c r="E4390" s="31">
        <f t="shared" si="344"/>
        <v>1.76</v>
      </c>
      <c r="F4390" s="32">
        <f>SUM(E4384:E4390)</f>
        <v>118.86</v>
      </c>
    </row>
    <row r="4391" spans="1:6" ht="12.75" customHeight="1">
      <c r="A4391" s="13"/>
      <c r="B4391" s="14"/>
      <c r="C4391" s="24"/>
      <c r="D4391" s="35"/>
      <c r="E4391" s="31"/>
      <c r="F4391" s="32"/>
    </row>
    <row r="4392" spans="1:6" ht="12.75" customHeight="1">
      <c r="A4392" s="13" t="s">
        <v>1220</v>
      </c>
      <c r="B4392" s="14"/>
      <c r="C4392" s="24"/>
      <c r="D4392" s="35"/>
      <c r="E4392" s="31"/>
      <c r="F4392" s="32"/>
    </row>
    <row r="4393" spans="1:6" ht="12.75" customHeight="1">
      <c r="A4393" s="12" t="s">
        <v>66</v>
      </c>
      <c r="B4393" s="30">
        <v>1</v>
      </c>
      <c r="C4393" s="24" t="s">
        <v>1171</v>
      </c>
      <c r="D4393" s="35">
        <f>Prec.!C139</f>
        <v>70.73</v>
      </c>
      <c r="E4393" s="31">
        <f t="shared" ref="E4393:E4399" si="345">ROUND(B4393*D4393,2)</f>
        <v>70.73</v>
      </c>
      <c r="F4393" s="32"/>
    </row>
    <row r="4394" spans="1:6" ht="12.75" customHeight="1">
      <c r="A4394" s="12" t="s">
        <v>870</v>
      </c>
      <c r="B4394" s="30">
        <v>1</v>
      </c>
      <c r="C4394" s="24" t="s">
        <v>1171</v>
      </c>
      <c r="D4394" s="35">
        <f>D4385</f>
        <v>1.22</v>
      </c>
      <c r="E4394" s="31">
        <f t="shared" si="345"/>
        <v>1.22</v>
      </c>
      <c r="F4394" s="32"/>
    </row>
    <row r="4395" spans="1:6" ht="12.75" customHeight="1">
      <c r="A4395" s="12" t="s">
        <v>657</v>
      </c>
      <c r="B4395" s="30">
        <v>7.0000000000000001E-3</v>
      </c>
      <c r="C4395" s="24" t="s">
        <v>755</v>
      </c>
      <c r="D4395" s="35">
        <f>Prec.!C8</f>
        <v>250</v>
      </c>
      <c r="E4395" s="31">
        <f t="shared" si="345"/>
        <v>1.75</v>
      </c>
      <c r="F4395" s="32"/>
    </row>
    <row r="4396" spans="1:6" ht="12.75" customHeight="1">
      <c r="A4396" s="12" t="s">
        <v>1130</v>
      </c>
      <c r="B4396" s="30">
        <v>7.0000000000000001E-3</v>
      </c>
      <c r="C4396" s="24" t="s">
        <v>755</v>
      </c>
      <c r="D4396" s="35">
        <f>D4387</f>
        <v>12.04</v>
      </c>
      <c r="E4396" s="31">
        <f t="shared" si="345"/>
        <v>0.08</v>
      </c>
      <c r="F4396" s="32"/>
    </row>
    <row r="4397" spans="1:6" ht="12.75" customHeight="1">
      <c r="A4397" s="12" t="s">
        <v>1174</v>
      </c>
      <c r="B4397" s="30">
        <v>4.0000000000000001E-3</v>
      </c>
      <c r="C4397" s="24" t="s">
        <v>825</v>
      </c>
      <c r="D4397" s="35">
        <f>D4388</f>
        <v>6011.2699999999995</v>
      </c>
      <c r="E4397" s="31">
        <f t="shared" si="345"/>
        <v>24.05</v>
      </c>
      <c r="F4397" s="32"/>
    </row>
    <row r="4398" spans="1:6" ht="12.75" customHeight="1">
      <c r="A4398" s="12" t="s">
        <v>1217</v>
      </c>
      <c r="B4398" s="30">
        <v>1</v>
      </c>
      <c r="C4398" s="24" t="s">
        <v>1171</v>
      </c>
      <c r="D4398" s="35">
        <f>D4389</f>
        <v>0</v>
      </c>
      <c r="E4398" s="31">
        <f t="shared" si="345"/>
        <v>0</v>
      </c>
      <c r="F4398" s="32"/>
    </row>
    <row r="4399" spans="1:6" ht="12.75" customHeight="1">
      <c r="A4399" s="12" t="s">
        <v>208</v>
      </c>
      <c r="B4399" s="30">
        <f>SUM(E4393:E4398)</f>
        <v>97.83</v>
      </c>
      <c r="C4399" s="24" t="s">
        <v>209</v>
      </c>
      <c r="D4399" s="35">
        <f>D4390</f>
        <v>1.4999999999999999E-2</v>
      </c>
      <c r="E4399" s="31">
        <f t="shared" si="345"/>
        <v>1.47</v>
      </c>
      <c r="F4399" s="32">
        <f>SUM(E4393:E4399)</f>
        <v>99.3</v>
      </c>
    </row>
    <row r="4400" spans="1:6" ht="12.75" customHeight="1">
      <c r="A4400" s="12"/>
      <c r="B4400" s="30"/>
      <c r="C4400" s="24"/>
      <c r="D4400" s="35"/>
      <c r="E4400" s="31"/>
      <c r="F4400" s="32"/>
    </row>
    <row r="4401" spans="1:6" ht="12.75" customHeight="1">
      <c r="A4401" s="12"/>
      <c r="B4401" s="30"/>
      <c r="C4401" s="24"/>
      <c r="D4401" s="35"/>
      <c r="E4401" s="31"/>
      <c r="F4401" s="32"/>
    </row>
    <row r="4402" spans="1:6" ht="12.75" customHeight="1">
      <c r="A4402" s="12"/>
      <c r="B4402" s="30"/>
      <c r="C4402" s="24"/>
      <c r="D4402" s="35"/>
      <c r="E4402" s="31"/>
      <c r="F4402" s="32"/>
    </row>
    <row r="4403" spans="1:6" ht="12.75" customHeight="1">
      <c r="A4403" s="12"/>
      <c r="B4403" s="30"/>
      <c r="C4403" s="24"/>
      <c r="D4403" s="35"/>
      <c r="E4403" s="31"/>
      <c r="F4403" s="32"/>
    </row>
    <row r="4404" spans="1:6" ht="12.75" customHeight="1">
      <c r="A4404" s="12"/>
      <c r="B4404" s="30"/>
      <c r="C4404" s="24"/>
      <c r="D4404" s="35"/>
      <c r="E4404" s="31"/>
      <c r="F4404" s="32"/>
    </row>
    <row r="4405" spans="1:6" ht="12.75" customHeight="1">
      <c r="A4405" s="12"/>
      <c r="B4405" s="30"/>
      <c r="C4405" s="24"/>
      <c r="D4405" s="35"/>
      <c r="E4405" s="31"/>
      <c r="F4405" s="32"/>
    </row>
    <row r="4406" spans="1:6" ht="12.75" customHeight="1">
      <c r="A4406" s="13" t="s">
        <v>67</v>
      </c>
      <c r="B4406" s="14"/>
      <c r="C4406" s="24"/>
      <c r="D4406" s="35"/>
      <c r="E4406" s="31"/>
      <c r="F4406" s="32"/>
    </row>
    <row r="4407" spans="1:6" ht="12.75" customHeight="1">
      <c r="A4407" s="12" t="s">
        <v>1216</v>
      </c>
      <c r="B4407" s="30">
        <v>1</v>
      </c>
      <c r="C4407" s="24" t="s">
        <v>1171</v>
      </c>
      <c r="D4407" s="35">
        <f>Prec.!C142</f>
        <v>58</v>
      </c>
      <c r="E4407" s="31">
        <f t="shared" ref="E4407:E4413" si="346">ROUND(B4407*D4407,2)</f>
        <v>58</v>
      </c>
      <c r="F4407" s="32"/>
    </row>
    <row r="4408" spans="1:6" ht="12.75" customHeight="1">
      <c r="A4408" s="12" t="s">
        <v>870</v>
      </c>
      <c r="B4408" s="30">
        <v>1</v>
      </c>
      <c r="C4408" s="24" t="s">
        <v>1171</v>
      </c>
      <c r="D4408" s="35">
        <f>D4394</f>
        <v>1.22</v>
      </c>
      <c r="E4408" s="31">
        <f t="shared" si="346"/>
        <v>1.22</v>
      </c>
      <c r="F4408" s="32"/>
    </row>
    <row r="4409" spans="1:6" ht="12.75" customHeight="1">
      <c r="A4409" s="12" t="s">
        <v>796</v>
      </c>
      <c r="B4409" s="30">
        <v>7.0000000000000001E-3</v>
      </c>
      <c r="C4409" s="24" t="s">
        <v>755</v>
      </c>
      <c r="D4409" s="35">
        <f>D4386</f>
        <v>250</v>
      </c>
      <c r="E4409" s="31">
        <f t="shared" si="346"/>
        <v>1.75</v>
      </c>
      <c r="F4409" s="32"/>
    </row>
    <row r="4410" spans="1:6" ht="12.75" customHeight="1">
      <c r="A4410" s="12" t="s">
        <v>1130</v>
      </c>
      <c r="B4410" s="30">
        <v>7.0000000000000001E-3</v>
      </c>
      <c r="C4410" s="24" t="s">
        <v>755</v>
      </c>
      <c r="D4410" s="35">
        <f>D4396</f>
        <v>12.04</v>
      </c>
      <c r="E4410" s="31">
        <f t="shared" si="346"/>
        <v>0.08</v>
      </c>
      <c r="F4410" s="32"/>
    </row>
    <row r="4411" spans="1:6" ht="12.75" customHeight="1">
      <c r="A4411" s="12" t="s">
        <v>1174</v>
      </c>
      <c r="B4411" s="30">
        <v>4.0000000000000001E-3</v>
      </c>
      <c r="C4411" s="24" t="s">
        <v>825</v>
      </c>
      <c r="D4411" s="35">
        <f>D4388</f>
        <v>6011.2699999999995</v>
      </c>
      <c r="E4411" s="31">
        <f t="shared" si="346"/>
        <v>24.05</v>
      </c>
      <c r="F4411" s="32"/>
    </row>
    <row r="4412" spans="1:6" ht="12.75" customHeight="1">
      <c r="A4412" s="12" t="s">
        <v>1217</v>
      </c>
      <c r="B4412" s="30">
        <v>1</v>
      </c>
      <c r="C4412" s="24" t="s">
        <v>1171</v>
      </c>
      <c r="D4412" s="35">
        <f>D4389</f>
        <v>0</v>
      </c>
      <c r="E4412" s="31">
        <f t="shared" si="346"/>
        <v>0</v>
      </c>
      <c r="F4412" s="32"/>
    </row>
    <row r="4413" spans="1:6" ht="12.75" customHeight="1">
      <c r="A4413" s="12" t="s">
        <v>208</v>
      </c>
      <c r="B4413" s="30">
        <f>SUM(E4407:E4412)</f>
        <v>85.1</v>
      </c>
      <c r="C4413" s="24" t="s">
        <v>209</v>
      </c>
      <c r="D4413" s="35">
        <f>D4399</f>
        <v>1.4999999999999999E-2</v>
      </c>
      <c r="E4413" s="31">
        <f t="shared" si="346"/>
        <v>1.28</v>
      </c>
      <c r="F4413" s="32">
        <f>SUM(E4407:E4413)</f>
        <v>86.38</v>
      </c>
    </row>
    <row r="4414" spans="1:6" ht="12.75" customHeight="1">
      <c r="A4414" s="13"/>
      <c r="B4414" s="14"/>
      <c r="C4414" s="24"/>
      <c r="D4414" s="35"/>
      <c r="E4414" s="31"/>
      <c r="F4414" s="32"/>
    </row>
    <row r="4415" spans="1:6" ht="12.75" customHeight="1">
      <c r="A4415" s="13" t="s">
        <v>1129</v>
      </c>
      <c r="B4415" s="14"/>
      <c r="C4415" s="24"/>
      <c r="D4415" s="35"/>
      <c r="E4415" s="31"/>
      <c r="F4415" s="32"/>
    </row>
    <row r="4416" spans="1:6" ht="12.75" customHeight="1">
      <c r="A4416" s="12" t="s">
        <v>66</v>
      </c>
      <c r="B4416" s="30">
        <v>1</v>
      </c>
      <c r="C4416" s="24" t="s">
        <v>1171</v>
      </c>
      <c r="D4416" s="35">
        <f>Prec.!C141</f>
        <v>78.3</v>
      </c>
      <c r="E4416" s="31">
        <f t="shared" ref="E4416:E4422" si="347">ROUND(B4416*D4416,2)</f>
        <v>78.3</v>
      </c>
      <c r="F4416" s="32"/>
    </row>
    <row r="4417" spans="1:6" ht="12.75" customHeight="1">
      <c r="A4417" s="12" t="s">
        <v>870</v>
      </c>
      <c r="B4417" s="30">
        <v>1</v>
      </c>
      <c r="C4417" s="24" t="s">
        <v>1171</v>
      </c>
      <c r="D4417" s="35">
        <f>D4408</f>
        <v>1.22</v>
      </c>
      <c r="E4417" s="31">
        <f t="shared" si="347"/>
        <v>1.22</v>
      </c>
      <c r="F4417" s="32"/>
    </row>
    <row r="4418" spans="1:6" ht="12.75" customHeight="1">
      <c r="A4418" s="12" t="s">
        <v>657</v>
      </c>
      <c r="B4418" s="30">
        <v>7.0000000000000001E-3</v>
      </c>
      <c r="C4418" s="24" t="s">
        <v>755</v>
      </c>
      <c r="D4418" s="35">
        <f>D4395</f>
        <v>250</v>
      </c>
      <c r="E4418" s="31">
        <f t="shared" si="347"/>
        <v>1.75</v>
      </c>
      <c r="F4418" s="32"/>
    </row>
    <row r="4419" spans="1:6" ht="12.75" customHeight="1">
      <c r="A4419" s="12" t="s">
        <v>1130</v>
      </c>
      <c r="B4419" s="30">
        <v>7.0000000000000001E-3</v>
      </c>
      <c r="C4419" s="24" t="s">
        <v>755</v>
      </c>
      <c r="D4419" s="35">
        <f>D4410</f>
        <v>12.04</v>
      </c>
      <c r="E4419" s="31">
        <f t="shared" si="347"/>
        <v>0.08</v>
      </c>
      <c r="F4419" s="32"/>
    </row>
    <row r="4420" spans="1:6" ht="12.75" customHeight="1">
      <c r="A4420" s="12" t="s">
        <v>1174</v>
      </c>
      <c r="B4420" s="30">
        <v>4.0000000000000001E-3</v>
      </c>
      <c r="C4420" s="24" t="s">
        <v>825</v>
      </c>
      <c r="D4420" s="35">
        <f>D4411</f>
        <v>6011.2699999999995</v>
      </c>
      <c r="E4420" s="31">
        <f t="shared" si="347"/>
        <v>24.05</v>
      </c>
      <c r="F4420" s="32"/>
    </row>
    <row r="4421" spans="1:6" ht="12.75" customHeight="1">
      <c r="A4421" s="4" t="s">
        <v>1217</v>
      </c>
      <c r="B4421" s="8">
        <v>1</v>
      </c>
      <c r="C4421" s="6" t="s">
        <v>1171</v>
      </c>
      <c r="D4421" s="37">
        <f>D4412</f>
        <v>0</v>
      </c>
      <c r="E4421" s="25">
        <f t="shared" si="347"/>
        <v>0</v>
      </c>
    </row>
    <row r="4422" spans="1:6" ht="12.75" customHeight="1">
      <c r="A4422" s="4" t="s">
        <v>208</v>
      </c>
      <c r="B4422" s="8">
        <f>SUM(E4416:E4421)</f>
        <v>105.39999999999999</v>
      </c>
      <c r="C4422" s="6" t="s">
        <v>209</v>
      </c>
      <c r="D4422" s="37">
        <f>D4413</f>
        <v>1.4999999999999999E-2</v>
      </c>
      <c r="E4422" s="25">
        <f t="shared" si="347"/>
        <v>1.58</v>
      </c>
      <c r="F4422" s="26">
        <f>SUM(E4416:E4422)</f>
        <v>106.97999999999999</v>
      </c>
    </row>
    <row r="4423" spans="1:6" ht="12.75" customHeight="1">
      <c r="B4423" s="7"/>
    </row>
    <row r="4424" spans="1:6" ht="12.75" customHeight="1">
      <c r="A4424" s="23" t="s">
        <v>662</v>
      </c>
      <c r="B4424" s="7"/>
    </row>
    <row r="4425" spans="1:6" ht="12.75" customHeight="1">
      <c r="A4425" s="2"/>
      <c r="B4425" s="7"/>
    </row>
    <row r="4426" spans="1:6" ht="12.75" customHeight="1">
      <c r="A4426" s="1" t="s">
        <v>1104</v>
      </c>
      <c r="B4426" s="11"/>
      <c r="C4426" s="2"/>
      <c r="E4426" s="27" t="s">
        <v>151</v>
      </c>
      <c r="F4426" s="28" t="s">
        <v>213</v>
      </c>
    </row>
    <row r="4427" spans="1:6" ht="12.75" customHeight="1">
      <c r="A4427" s="4" t="s">
        <v>421</v>
      </c>
      <c r="B4427" s="8">
        <v>8.4000000000000005E-2</v>
      </c>
      <c r="C4427" s="6" t="s">
        <v>825</v>
      </c>
      <c r="D4427" s="37">
        <f>horm.ymez.!F14</f>
        <v>5771.3299999999981</v>
      </c>
      <c r="E4427" s="25">
        <f>ROUND(B4427*D4427,2)</f>
        <v>484.79</v>
      </c>
    </row>
    <row r="4428" spans="1:6" ht="12.75" customHeight="1">
      <c r="A4428" s="4" t="s">
        <v>1168</v>
      </c>
      <c r="B4428" s="8">
        <v>1</v>
      </c>
      <c r="C4428" s="6" t="s">
        <v>213</v>
      </c>
      <c r="D4428" s="37">
        <f>Prec.!D450</f>
        <v>0</v>
      </c>
      <c r="E4428" s="25">
        <f>ROUND(B4428*D4428,2)</f>
        <v>0</v>
      </c>
    </row>
    <row r="4429" spans="1:6" ht="12.75" customHeight="1">
      <c r="A4429" s="4" t="s">
        <v>208</v>
      </c>
      <c r="B4429" s="7">
        <f>SUM(E4427:E4428)</f>
        <v>484.79</v>
      </c>
      <c r="C4429" s="6" t="s">
        <v>209</v>
      </c>
      <c r="D4429" s="37">
        <f>Prec.!C302</f>
        <v>1.4999999999999999E-2</v>
      </c>
      <c r="E4429" s="25">
        <f>ROUND(B4429*D4429,2)</f>
        <v>7.27</v>
      </c>
      <c r="F4429" s="26">
        <f>SUM(E4427:E4429)</f>
        <v>492.06</v>
      </c>
    </row>
    <row r="4430" spans="1:6" ht="12.75" customHeight="1">
      <c r="B4430" s="7"/>
    </row>
    <row r="4431" spans="1:6" ht="12.75" customHeight="1">
      <c r="A4431" s="13" t="s">
        <v>140</v>
      </c>
      <c r="B4431" s="42"/>
      <c r="C4431" s="29"/>
      <c r="D4431" s="35"/>
      <c r="E4431" s="43" t="s">
        <v>151</v>
      </c>
      <c r="F4431" s="44" t="s">
        <v>213</v>
      </c>
    </row>
    <row r="4432" spans="1:6" ht="12.75" customHeight="1">
      <c r="A4432" s="12" t="s">
        <v>421</v>
      </c>
      <c r="B4432" s="30">
        <v>8.4000000000000005E-2</v>
      </c>
      <c r="C4432" s="24" t="s">
        <v>825</v>
      </c>
      <c r="D4432" s="35">
        <f>D4427</f>
        <v>5771.3299999999981</v>
      </c>
      <c r="E4432" s="31">
        <f t="shared" ref="E4432:E4437" si="348">ROUND(B4432*D4432,2)</f>
        <v>484.79</v>
      </c>
      <c r="F4432" s="32"/>
    </row>
    <row r="4433" spans="1:6" ht="12.75" customHeight="1">
      <c r="A4433" s="12" t="s">
        <v>427</v>
      </c>
      <c r="B4433" s="30">
        <v>2.1999999999999999E-2</v>
      </c>
      <c r="C4433" s="24" t="s">
        <v>825</v>
      </c>
      <c r="D4433" s="35">
        <f>horm.ymez.!F8</f>
        <v>7163.99</v>
      </c>
      <c r="E4433" s="31">
        <f t="shared" si="348"/>
        <v>157.61000000000001</v>
      </c>
      <c r="F4433" s="32"/>
    </row>
    <row r="4434" spans="1:6" ht="12.75" customHeight="1">
      <c r="A4434" s="12" t="s">
        <v>183</v>
      </c>
      <c r="B4434" s="30">
        <v>8.7999999999999995E-2</v>
      </c>
      <c r="C4434" s="24" t="s">
        <v>211</v>
      </c>
      <c r="D4434" s="35">
        <f>D4192</f>
        <v>38</v>
      </c>
      <c r="E4434" s="31">
        <f t="shared" si="348"/>
        <v>3.34</v>
      </c>
      <c r="F4434" s="32"/>
    </row>
    <row r="4435" spans="1:6" ht="12.75" customHeight="1">
      <c r="A4435" s="12" t="s">
        <v>1170</v>
      </c>
      <c r="B4435" s="30">
        <v>0.8</v>
      </c>
      <c r="C4435" s="24" t="s">
        <v>1171</v>
      </c>
      <c r="D4435" s="35">
        <f>Prec.!$D$438</f>
        <v>0</v>
      </c>
      <c r="E4435" s="31">
        <f t="shared" si="348"/>
        <v>0</v>
      </c>
      <c r="F4435" s="32"/>
    </row>
    <row r="4436" spans="1:6" ht="12.75" customHeight="1">
      <c r="A4436" s="12" t="s">
        <v>1168</v>
      </c>
      <c r="B4436" s="30">
        <v>1</v>
      </c>
      <c r="C4436" s="24" t="s">
        <v>213</v>
      </c>
      <c r="D4436" s="35">
        <f>Prec.!$D$450</f>
        <v>0</v>
      </c>
      <c r="E4436" s="31">
        <f t="shared" si="348"/>
        <v>0</v>
      </c>
      <c r="F4436" s="32"/>
    </row>
    <row r="4437" spans="1:6" ht="12.75" customHeight="1">
      <c r="A4437" s="12" t="s">
        <v>208</v>
      </c>
      <c r="B4437" s="14">
        <f>SUM(E4432:E4436)</f>
        <v>645.74000000000012</v>
      </c>
      <c r="C4437" s="24" t="s">
        <v>209</v>
      </c>
      <c r="D4437" s="35">
        <f>Prec.!C302</f>
        <v>1.4999999999999999E-2</v>
      </c>
      <c r="E4437" s="31">
        <f t="shared" si="348"/>
        <v>9.69</v>
      </c>
      <c r="F4437" s="32">
        <f>SUM(E4432:E4437)</f>
        <v>655.43000000000018</v>
      </c>
    </row>
    <row r="4438" spans="1:6" ht="12.75" customHeight="1">
      <c r="B4438" s="7"/>
    </row>
    <row r="4439" spans="1:6" ht="12.75" customHeight="1">
      <c r="A4439" s="1" t="s">
        <v>141</v>
      </c>
      <c r="B4439" s="11"/>
      <c r="C4439" s="2"/>
      <c r="E4439" s="27" t="s">
        <v>151</v>
      </c>
      <c r="F4439" s="28" t="s">
        <v>213</v>
      </c>
    </row>
    <row r="4440" spans="1:6" ht="12.75" customHeight="1">
      <c r="A4440" s="4" t="s">
        <v>1</v>
      </c>
      <c r="B4440" s="8">
        <v>4.4999999999999998E-2</v>
      </c>
      <c r="C4440" s="6" t="s">
        <v>823</v>
      </c>
      <c r="D4440" s="36">
        <f>Prec.!$C$5</f>
        <v>425</v>
      </c>
      <c r="E4440" s="25">
        <f t="shared" ref="E4440:E4446" si="349">ROUND(B4440*D4440,2)</f>
        <v>19.13</v>
      </c>
    </row>
    <row r="4441" spans="1:6" ht="12.75" customHeight="1">
      <c r="A4441" s="4" t="s">
        <v>421</v>
      </c>
      <c r="B4441" s="8">
        <v>8.4000000000000005E-2</v>
      </c>
      <c r="C4441" s="6" t="s">
        <v>825</v>
      </c>
      <c r="D4441" s="37">
        <f>D4432</f>
        <v>5771.3299999999981</v>
      </c>
      <c r="E4441" s="25">
        <f t="shared" si="349"/>
        <v>484.79</v>
      </c>
    </row>
    <row r="4442" spans="1:6" ht="12.75" customHeight="1">
      <c r="A4442" s="4" t="s">
        <v>427</v>
      </c>
      <c r="B4442" s="8">
        <v>2.1999999999999999E-2</v>
      </c>
      <c r="C4442" s="6" t="s">
        <v>825</v>
      </c>
      <c r="D4442" s="37">
        <f>D4433</f>
        <v>7163.99</v>
      </c>
      <c r="E4442" s="25">
        <f t="shared" si="349"/>
        <v>157.61000000000001</v>
      </c>
    </row>
    <row r="4443" spans="1:6" ht="12.75" customHeight="1">
      <c r="A4443" s="4" t="s">
        <v>183</v>
      </c>
      <c r="B4443" s="8">
        <v>8.7999999999999995E-2</v>
      </c>
      <c r="C4443" s="6" t="s">
        <v>211</v>
      </c>
      <c r="D4443" s="37">
        <f>D4434</f>
        <v>38</v>
      </c>
      <c r="E4443" s="25">
        <f t="shared" si="349"/>
        <v>3.34</v>
      </c>
    </row>
    <row r="4444" spans="1:6" ht="12.75" customHeight="1">
      <c r="A4444" s="4" t="s">
        <v>1170</v>
      </c>
      <c r="B4444" s="8">
        <v>0.8</v>
      </c>
      <c r="C4444" s="6" t="s">
        <v>1171</v>
      </c>
      <c r="D4444" s="37">
        <f>Prec.!$D$438</f>
        <v>0</v>
      </c>
      <c r="E4444" s="25">
        <f t="shared" si="349"/>
        <v>0</v>
      </c>
    </row>
    <row r="4445" spans="1:6" ht="12.75" customHeight="1">
      <c r="A4445" s="4" t="s">
        <v>1168</v>
      </c>
      <c r="B4445" s="8">
        <v>1</v>
      </c>
      <c r="C4445" s="6" t="s">
        <v>213</v>
      </c>
      <c r="D4445" s="37">
        <f>Prec.!$D$452</f>
        <v>0</v>
      </c>
      <c r="E4445" s="25">
        <f t="shared" si="349"/>
        <v>0</v>
      </c>
    </row>
    <row r="4446" spans="1:6" ht="12.75" customHeight="1">
      <c r="A4446" s="4" t="s">
        <v>208</v>
      </c>
      <c r="B4446" s="7">
        <f>SUM(E4440:E4445)</f>
        <v>664.87</v>
      </c>
      <c r="C4446" s="6" t="s">
        <v>209</v>
      </c>
      <c r="D4446" s="37">
        <f>Prec.!C302</f>
        <v>1.4999999999999999E-2</v>
      </c>
      <c r="E4446" s="25">
        <f t="shared" si="349"/>
        <v>9.9700000000000006</v>
      </c>
      <c r="F4446" s="26">
        <f>SUM(E4440:E4446)</f>
        <v>674.84</v>
      </c>
    </row>
    <row r="4447" spans="1:6" ht="12.75" customHeight="1">
      <c r="B4447" s="7"/>
    </row>
    <row r="4448" spans="1:6" ht="12.75" customHeight="1">
      <c r="B4448" s="7"/>
    </row>
    <row r="4449" spans="1:6" ht="12.75" customHeight="1">
      <c r="B4449" s="7"/>
    </row>
    <row r="4450" spans="1:6" ht="12.75" customHeight="1">
      <c r="B4450" s="7"/>
    </row>
    <row r="4451" spans="1:6" ht="12.75" customHeight="1">
      <c r="B4451" s="7"/>
    </row>
    <row r="4452" spans="1:6" ht="12.75" customHeight="1">
      <c r="B4452" s="7"/>
    </row>
    <row r="4453" spans="1:6" ht="12.75" customHeight="1">
      <c r="B4453" s="7"/>
      <c r="D4453" s="37" t="s">
        <v>174</v>
      </c>
    </row>
    <row r="4454" spans="1:6" ht="12.75" customHeight="1">
      <c r="B4454" s="7"/>
    </row>
    <row r="4455" spans="1:6" ht="12.75" customHeight="1">
      <c r="B4455" s="7"/>
    </row>
    <row r="4456" spans="1:6" ht="12.75" customHeight="1">
      <c r="A4456" s="1" t="s">
        <v>142</v>
      </c>
      <c r="B4456" s="11"/>
      <c r="C4456" s="2"/>
      <c r="E4456" s="27" t="s">
        <v>151</v>
      </c>
      <c r="F4456" s="28" t="s">
        <v>213</v>
      </c>
    </row>
    <row r="4457" spans="1:6" ht="12.75" customHeight="1">
      <c r="A4457" s="4" t="s">
        <v>672</v>
      </c>
      <c r="B4457" s="8">
        <v>11.67</v>
      </c>
      <c r="C4457" s="6" t="s">
        <v>1017</v>
      </c>
      <c r="D4457" s="37">
        <f>Prec.!$C$102</f>
        <v>34.76</v>
      </c>
      <c r="E4457" s="25">
        <f t="shared" ref="E4457:E4466" si="350">ROUND(B4457*D4457,2)</f>
        <v>405.65</v>
      </c>
    </row>
    <row r="4458" spans="1:6" ht="12.75" customHeight="1">
      <c r="A4458" s="4" t="s">
        <v>673</v>
      </c>
      <c r="B4458" s="8">
        <v>7.0000000000000007E-2</v>
      </c>
      <c r="C4458" s="6" t="s">
        <v>1172</v>
      </c>
      <c r="D4458" s="37">
        <f>Prec.!$C$8</f>
        <v>250</v>
      </c>
      <c r="E4458" s="25">
        <f t="shared" si="350"/>
        <v>17.5</v>
      </c>
    </row>
    <row r="4459" spans="1:6" ht="12.75" customHeight="1">
      <c r="A4459" s="4" t="s">
        <v>1174</v>
      </c>
      <c r="B4459" s="8">
        <v>3.2000000000000001E-2</v>
      </c>
      <c r="C4459" s="6" t="s">
        <v>825</v>
      </c>
      <c r="D4459" s="37">
        <f>horm.ymez.!F9</f>
        <v>6160.53</v>
      </c>
      <c r="E4459" s="25">
        <f t="shared" si="350"/>
        <v>197.14</v>
      </c>
    </row>
    <row r="4460" spans="1:6" ht="12.75" customHeight="1">
      <c r="A4460" s="4" t="s">
        <v>1173</v>
      </c>
      <c r="B4460" s="8">
        <v>0.05</v>
      </c>
      <c r="C4460" s="6" t="s">
        <v>1018</v>
      </c>
      <c r="D4460" s="37">
        <f>Prec.!$C$82</f>
        <v>75</v>
      </c>
      <c r="E4460" s="25">
        <f t="shared" si="350"/>
        <v>3.75</v>
      </c>
    </row>
    <row r="4461" spans="1:6" ht="12.75" customHeight="1">
      <c r="A4461" s="4" t="s">
        <v>1015</v>
      </c>
      <c r="B4461" s="8">
        <v>3</v>
      </c>
      <c r="C4461" s="6" t="s">
        <v>1017</v>
      </c>
      <c r="D4461" s="37">
        <f>Prec.!D490</f>
        <v>11.93</v>
      </c>
      <c r="E4461" s="25">
        <f t="shared" si="350"/>
        <v>35.79</v>
      </c>
    </row>
    <row r="4462" spans="1:6" ht="12.75" customHeight="1">
      <c r="A4462" s="4" t="s">
        <v>674</v>
      </c>
      <c r="B4462" s="8">
        <v>1</v>
      </c>
      <c r="C4462" s="6" t="s">
        <v>213</v>
      </c>
      <c r="D4462" s="37">
        <f>Prec.!$D$458</f>
        <v>0</v>
      </c>
      <c r="E4462" s="25">
        <f t="shared" si="350"/>
        <v>0</v>
      </c>
    </row>
    <row r="4463" spans="1:6" ht="12.75" customHeight="1">
      <c r="A4463" s="4" t="s">
        <v>1016</v>
      </c>
      <c r="B4463" s="8">
        <v>1</v>
      </c>
      <c r="C4463" s="6" t="s">
        <v>213</v>
      </c>
      <c r="D4463" s="37">
        <f>Prec.!$D$444</f>
        <v>160.08000000000001</v>
      </c>
      <c r="E4463" s="25">
        <f t="shared" si="350"/>
        <v>160.08000000000001</v>
      </c>
    </row>
    <row r="4464" spans="1:6" ht="12.75" customHeight="1">
      <c r="A4464" s="4" t="s">
        <v>1155</v>
      </c>
      <c r="B4464" s="8">
        <v>1</v>
      </c>
      <c r="C4464" s="6" t="s">
        <v>213</v>
      </c>
      <c r="D4464" s="37">
        <f>Prec.!D551</f>
        <v>20.32</v>
      </c>
      <c r="E4464" s="25">
        <f t="shared" si="350"/>
        <v>20.32</v>
      </c>
    </row>
    <row r="4465" spans="1:6" ht="12.75" customHeight="1">
      <c r="A4465" s="4" t="s">
        <v>1154</v>
      </c>
      <c r="B4465" s="8">
        <v>7.0000000000000007E-2</v>
      </c>
      <c r="C4465" s="6" t="s">
        <v>1172</v>
      </c>
      <c r="D4465" s="37">
        <f>Prec.!D564</f>
        <v>15.58</v>
      </c>
      <c r="E4465" s="25">
        <f t="shared" si="350"/>
        <v>1.0900000000000001</v>
      </c>
    </row>
    <row r="4466" spans="1:6" ht="12.75" customHeight="1">
      <c r="A4466" s="4" t="s">
        <v>208</v>
      </c>
      <c r="B4466" s="7">
        <f>SUM(E4457:E4465)</f>
        <v>841.32</v>
      </c>
      <c r="C4466" s="6" t="s">
        <v>209</v>
      </c>
      <c r="D4466" s="37">
        <f>Prec.!C302</f>
        <v>1.4999999999999999E-2</v>
      </c>
      <c r="E4466" s="25">
        <f t="shared" si="350"/>
        <v>12.62</v>
      </c>
      <c r="F4466" s="26">
        <f>SUM(E4457:E4466)</f>
        <v>853.94</v>
      </c>
    </row>
    <row r="4467" spans="1:6" ht="12.75" customHeight="1">
      <c r="B4467" s="7"/>
    </row>
    <row r="4468" spans="1:6" ht="12.75" customHeight="1">
      <c r="A4468" s="13" t="s">
        <v>143</v>
      </c>
      <c r="B4468" s="42"/>
      <c r="C4468" s="29"/>
      <c r="D4468" s="35"/>
      <c r="E4468" s="43" t="s">
        <v>151</v>
      </c>
      <c r="F4468" s="44" t="s">
        <v>213</v>
      </c>
    </row>
    <row r="4469" spans="1:6" ht="12.75" customHeight="1">
      <c r="A4469" s="12" t="s">
        <v>672</v>
      </c>
      <c r="B4469" s="30">
        <v>11.67</v>
      </c>
      <c r="C4469" s="24" t="s">
        <v>1017</v>
      </c>
      <c r="D4469" s="35">
        <f>Prec.!$C$103</f>
        <v>59.27</v>
      </c>
      <c r="E4469" s="31">
        <f t="shared" ref="E4469:E4478" si="351">ROUND(B4469*D4469,2)</f>
        <v>691.68</v>
      </c>
      <c r="F4469" s="32"/>
    </row>
    <row r="4470" spans="1:6" ht="12.75" customHeight="1">
      <c r="A4470" s="12" t="s">
        <v>622</v>
      </c>
      <c r="B4470" s="30">
        <v>7.0000000000000007E-2</v>
      </c>
      <c r="C4470" s="24" t="s">
        <v>1172</v>
      </c>
      <c r="D4470" s="35">
        <f>Prec.!$C$7</f>
        <v>250</v>
      </c>
      <c r="E4470" s="31">
        <f t="shared" si="351"/>
        <v>17.5</v>
      </c>
      <c r="F4470" s="32"/>
    </row>
    <row r="4471" spans="1:6" ht="12.75" customHeight="1">
      <c r="A4471" s="12" t="s">
        <v>1174</v>
      </c>
      <c r="B4471" s="30">
        <v>3.2000000000000001E-2</v>
      </c>
      <c r="C4471" s="24" t="s">
        <v>825</v>
      </c>
      <c r="D4471" s="35">
        <f>D4459</f>
        <v>6160.53</v>
      </c>
      <c r="E4471" s="31">
        <f t="shared" si="351"/>
        <v>197.14</v>
      </c>
      <c r="F4471" s="32"/>
    </row>
    <row r="4472" spans="1:6" ht="12.75" customHeight="1">
      <c r="A4472" s="12" t="s">
        <v>1173</v>
      </c>
      <c r="B4472" s="30">
        <v>0.05</v>
      </c>
      <c r="C4472" s="24" t="s">
        <v>1018</v>
      </c>
      <c r="D4472" s="35">
        <f>Prec.!$C$82</f>
        <v>75</v>
      </c>
      <c r="E4472" s="31">
        <f t="shared" si="351"/>
        <v>3.75</v>
      </c>
      <c r="F4472" s="32"/>
    </row>
    <row r="4473" spans="1:6" ht="12.75" customHeight="1">
      <c r="A4473" s="12" t="s">
        <v>1015</v>
      </c>
      <c r="B4473" s="30">
        <v>3</v>
      </c>
      <c r="C4473" s="24" t="s">
        <v>1017</v>
      </c>
      <c r="D4473" s="35">
        <f>D4461</f>
        <v>11.93</v>
      </c>
      <c r="E4473" s="31">
        <f t="shared" si="351"/>
        <v>35.79</v>
      </c>
      <c r="F4473" s="32"/>
    </row>
    <row r="4474" spans="1:6" ht="12.75" customHeight="1">
      <c r="A4474" s="12" t="s">
        <v>674</v>
      </c>
      <c r="B4474" s="30">
        <v>1</v>
      </c>
      <c r="C4474" s="24" t="s">
        <v>213</v>
      </c>
      <c r="D4474" s="35">
        <f>Prec.!$D$458</f>
        <v>0</v>
      </c>
      <c r="E4474" s="31">
        <f t="shared" si="351"/>
        <v>0</v>
      </c>
      <c r="F4474" s="32"/>
    </row>
    <row r="4475" spans="1:6" ht="12.75" customHeight="1">
      <c r="A4475" s="12" t="s">
        <v>1016</v>
      </c>
      <c r="B4475" s="30">
        <v>1</v>
      </c>
      <c r="C4475" s="24" t="s">
        <v>213</v>
      </c>
      <c r="D4475" s="35">
        <f>Prec.!$D$444</f>
        <v>160.08000000000001</v>
      </c>
      <c r="E4475" s="31">
        <f t="shared" si="351"/>
        <v>160.08000000000001</v>
      </c>
      <c r="F4475" s="32"/>
    </row>
    <row r="4476" spans="1:6" ht="12.75" customHeight="1">
      <c r="A4476" s="12" t="s">
        <v>1155</v>
      </c>
      <c r="B4476" s="30">
        <v>1</v>
      </c>
      <c r="C4476" s="24" t="s">
        <v>213</v>
      </c>
      <c r="D4476" s="35">
        <f>D4464</f>
        <v>20.32</v>
      </c>
      <c r="E4476" s="31">
        <f t="shared" si="351"/>
        <v>20.32</v>
      </c>
      <c r="F4476" s="32"/>
    </row>
    <row r="4477" spans="1:6" ht="12.75" customHeight="1">
      <c r="A4477" s="12" t="s">
        <v>1154</v>
      </c>
      <c r="B4477" s="30">
        <v>7.0000000000000007E-2</v>
      </c>
      <c r="C4477" s="24" t="s">
        <v>1172</v>
      </c>
      <c r="D4477" s="35">
        <f>D4465</f>
        <v>15.58</v>
      </c>
      <c r="E4477" s="31">
        <f t="shared" si="351"/>
        <v>1.0900000000000001</v>
      </c>
      <c r="F4477" s="32"/>
    </row>
    <row r="4478" spans="1:6" ht="12.75" customHeight="1">
      <c r="A4478" s="12" t="s">
        <v>208</v>
      </c>
      <c r="B4478" s="14">
        <f>SUM(E4469:E4477)</f>
        <v>1127.3499999999997</v>
      </c>
      <c r="C4478" s="24" t="s">
        <v>209</v>
      </c>
      <c r="D4478" s="35">
        <v>0.02</v>
      </c>
      <c r="E4478" s="31">
        <f t="shared" si="351"/>
        <v>22.55</v>
      </c>
      <c r="F4478" s="32">
        <f>SUM(E4469:E4478)</f>
        <v>1149.8999999999996</v>
      </c>
    </row>
    <row r="4479" spans="1:6" ht="12.75" customHeight="1">
      <c r="A4479" s="12"/>
      <c r="B4479" s="14"/>
      <c r="C4479" s="24"/>
      <c r="D4479" s="35"/>
      <c r="E4479" s="31"/>
      <c r="F4479" s="32"/>
    </row>
    <row r="4480" spans="1:6" ht="12.75" customHeight="1">
      <c r="A4480" s="1530" t="s">
        <v>1105</v>
      </c>
      <c r="B4480" s="1531"/>
      <c r="C4480" s="1532"/>
      <c r="D4480" s="1533"/>
      <c r="E4480" s="1534" t="s">
        <v>151</v>
      </c>
      <c r="F4480" s="1535" t="s">
        <v>213</v>
      </c>
    </row>
    <row r="4481" spans="1:6" ht="12.75" customHeight="1">
      <c r="A4481" s="1536" t="s">
        <v>672</v>
      </c>
      <c r="B4481" s="1537">
        <v>6.56</v>
      </c>
      <c r="C4481" s="1538" t="s">
        <v>1017</v>
      </c>
      <c r="D4481" s="1533">
        <f>Prec.!C104</f>
        <v>107.65</v>
      </c>
      <c r="E4481" s="1539">
        <f t="shared" ref="E4481:E4490" si="352">ROUND(B4481*D4481,2)</f>
        <v>706.18</v>
      </c>
      <c r="F4481" s="1540"/>
    </row>
    <row r="4482" spans="1:6" ht="12.75" customHeight="1">
      <c r="A4482" s="1536" t="s">
        <v>673</v>
      </c>
      <c r="B4482" s="1537">
        <v>7.0000000000000007E-2</v>
      </c>
      <c r="C4482" s="1538" t="s">
        <v>1172</v>
      </c>
      <c r="D4482" s="1533">
        <f>Prec.!$C$8</f>
        <v>250</v>
      </c>
      <c r="E4482" s="1539">
        <f t="shared" si="352"/>
        <v>17.5</v>
      </c>
      <c r="F4482" s="1540"/>
    </row>
    <row r="4483" spans="1:6" ht="12.75" customHeight="1">
      <c r="A4483" s="1536" t="s">
        <v>1174</v>
      </c>
      <c r="B4483" s="1537">
        <v>3.2000000000000001E-2</v>
      </c>
      <c r="C4483" s="1538" t="s">
        <v>825</v>
      </c>
      <c r="D4483" s="1533">
        <f>D4471</f>
        <v>6160.53</v>
      </c>
      <c r="E4483" s="1539">
        <f t="shared" si="352"/>
        <v>197.14</v>
      </c>
      <c r="F4483" s="1540"/>
    </row>
    <row r="4484" spans="1:6" ht="12.75" customHeight="1">
      <c r="A4484" s="1536" t="s">
        <v>1173</v>
      </c>
      <c r="B4484" s="1537">
        <v>0.05</v>
      </c>
      <c r="C4484" s="1538" t="s">
        <v>1018</v>
      </c>
      <c r="D4484" s="1533">
        <f>Prec.!$C$82</f>
        <v>75</v>
      </c>
      <c r="E4484" s="1539">
        <f t="shared" si="352"/>
        <v>3.75</v>
      </c>
      <c r="F4484" s="1540"/>
    </row>
    <row r="4485" spans="1:6" ht="12.75" customHeight="1">
      <c r="A4485" s="1536" t="s">
        <v>1015</v>
      </c>
      <c r="B4485" s="1537">
        <v>3</v>
      </c>
      <c r="C4485" s="1538" t="s">
        <v>1017</v>
      </c>
      <c r="D4485" s="1533">
        <f>Prec.!D491</f>
        <v>11.93</v>
      </c>
      <c r="E4485" s="1539">
        <f t="shared" si="352"/>
        <v>35.79</v>
      </c>
      <c r="F4485" s="1540"/>
    </row>
    <row r="4486" spans="1:6" ht="12.75" customHeight="1">
      <c r="A4486" s="1536" t="s">
        <v>674</v>
      </c>
      <c r="B4486" s="1537">
        <v>1</v>
      </c>
      <c r="C4486" s="1538" t="s">
        <v>213</v>
      </c>
      <c r="D4486" s="1533">
        <f>Prec.!C457</f>
        <v>296.23</v>
      </c>
      <c r="E4486" s="1539">
        <f t="shared" si="352"/>
        <v>296.23</v>
      </c>
      <c r="F4486" s="1540"/>
    </row>
    <row r="4487" spans="1:6" ht="12.75" customHeight="1">
      <c r="A4487" s="1536" t="s">
        <v>1016</v>
      </c>
      <c r="B4487" s="1537">
        <v>1</v>
      </c>
      <c r="C4487" s="1538" t="s">
        <v>213</v>
      </c>
      <c r="D4487" s="1533">
        <f>Prec.!$D$444</f>
        <v>160.08000000000001</v>
      </c>
      <c r="E4487" s="1539">
        <f t="shared" si="352"/>
        <v>160.08000000000001</v>
      </c>
      <c r="F4487" s="1540"/>
    </row>
    <row r="4488" spans="1:6" ht="12.75" customHeight="1">
      <c r="A4488" s="1536" t="s">
        <v>1155</v>
      </c>
      <c r="B4488" s="1537">
        <v>1</v>
      </c>
      <c r="C4488" s="1538" t="s">
        <v>213</v>
      </c>
      <c r="D4488" s="1533">
        <f>D4476</f>
        <v>20.32</v>
      </c>
      <c r="E4488" s="1539">
        <f t="shared" si="352"/>
        <v>20.32</v>
      </c>
      <c r="F4488" s="1540"/>
    </row>
    <row r="4489" spans="1:6" ht="12.75" customHeight="1">
      <c r="A4489" s="1536" t="s">
        <v>1154</v>
      </c>
      <c r="B4489" s="1537">
        <v>7.0000000000000007E-2</v>
      </c>
      <c r="C4489" s="1538" t="s">
        <v>1172</v>
      </c>
      <c r="D4489" s="1533">
        <f>D4477</f>
        <v>15.58</v>
      </c>
      <c r="E4489" s="1539">
        <f t="shared" si="352"/>
        <v>1.0900000000000001</v>
      </c>
      <c r="F4489" s="1540"/>
    </row>
    <row r="4490" spans="1:6" ht="12.75" customHeight="1">
      <c r="A4490" s="1536" t="s">
        <v>208</v>
      </c>
      <c r="B4490" s="1541">
        <f>SUM(E4481:E4489)</f>
        <v>1438.0799999999997</v>
      </c>
      <c r="C4490" s="1538" t="s">
        <v>209</v>
      </c>
      <c r="D4490" s="1533">
        <f>D4478</f>
        <v>0.02</v>
      </c>
      <c r="E4490" s="1539">
        <f t="shared" si="352"/>
        <v>28.76</v>
      </c>
      <c r="F4490" s="1540">
        <f>SUM(E4481:E4490)</f>
        <v>1466.8399999999997</v>
      </c>
    </row>
    <row r="4491" spans="1:6" ht="12.75" customHeight="1">
      <c r="A4491" s="12"/>
      <c r="B4491" s="14"/>
      <c r="C4491" s="24"/>
      <c r="D4491" s="35"/>
      <c r="E4491" s="31"/>
      <c r="F4491" s="32"/>
    </row>
    <row r="4492" spans="1:6" ht="12.75" customHeight="1">
      <c r="A4492" s="13" t="s">
        <v>245</v>
      </c>
      <c r="B4492" s="42"/>
      <c r="C4492" s="29"/>
      <c r="D4492" s="35"/>
      <c r="E4492" s="43" t="s">
        <v>151</v>
      </c>
      <c r="F4492" s="44" t="s">
        <v>213</v>
      </c>
    </row>
    <row r="4493" spans="1:6" ht="12.75" customHeight="1">
      <c r="A4493" s="12" t="s">
        <v>649</v>
      </c>
      <c r="B4493" s="30">
        <v>6.56</v>
      </c>
      <c r="C4493" s="24" t="s">
        <v>1017</v>
      </c>
      <c r="D4493" s="35">
        <f>Prec.!C105</f>
        <v>62.63</v>
      </c>
      <c r="E4493" s="31">
        <f t="shared" ref="E4493:E4502" si="353">ROUND(B4493*D4493,2)</f>
        <v>410.85</v>
      </c>
      <c r="F4493" s="32"/>
    </row>
    <row r="4494" spans="1:6" ht="12.75" customHeight="1">
      <c r="A4494" s="12" t="s">
        <v>622</v>
      </c>
      <c r="B4494" s="30">
        <v>7.0000000000000007E-2</v>
      </c>
      <c r="C4494" s="24" t="s">
        <v>1172</v>
      </c>
      <c r="D4494" s="35">
        <f>Prec.!$C$7</f>
        <v>250</v>
      </c>
      <c r="E4494" s="31">
        <f t="shared" si="353"/>
        <v>17.5</v>
      </c>
      <c r="F4494" s="32"/>
    </row>
    <row r="4495" spans="1:6" ht="12.75" customHeight="1">
      <c r="A4495" s="12" t="s">
        <v>1174</v>
      </c>
      <c r="B4495" s="30">
        <v>3.2000000000000001E-2</v>
      </c>
      <c r="C4495" s="24" t="s">
        <v>825</v>
      </c>
      <c r="D4495" s="35">
        <f>D4483</f>
        <v>6160.53</v>
      </c>
      <c r="E4495" s="31">
        <f t="shared" si="353"/>
        <v>197.14</v>
      </c>
      <c r="F4495" s="32"/>
    </row>
    <row r="4496" spans="1:6" ht="12.75" customHeight="1">
      <c r="A4496" s="12" t="s">
        <v>1173</v>
      </c>
      <c r="B4496" s="30">
        <v>0.05</v>
      </c>
      <c r="C4496" s="24" t="s">
        <v>1018</v>
      </c>
      <c r="D4496" s="35">
        <f>Prec.!$C$82</f>
        <v>75</v>
      </c>
      <c r="E4496" s="31">
        <f t="shared" si="353"/>
        <v>3.75</v>
      </c>
      <c r="F4496" s="32"/>
    </row>
    <row r="4497" spans="1:6" ht="12.75" customHeight="1">
      <c r="A4497" s="12" t="s">
        <v>1015</v>
      </c>
      <c r="B4497" s="30">
        <v>3</v>
      </c>
      <c r="C4497" s="24" t="s">
        <v>1017</v>
      </c>
      <c r="D4497" s="35">
        <f>D4485</f>
        <v>11.93</v>
      </c>
      <c r="E4497" s="31">
        <f t="shared" si="353"/>
        <v>35.79</v>
      </c>
      <c r="F4497" s="32"/>
    </row>
    <row r="4498" spans="1:6" ht="12.75" customHeight="1">
      <c r="A4498" s="12" t="s">
        <v>674</v>
      </c>
      <c r="B4498" s="30">
        <v>1</v>
      </c>
      <c r="C4498" s="24" t="s">
        <v>213</v>
      </c>
      <c r="D4498" s="35">
        <f>Prec.!D457</f>
        <v>0</v>
      </c>
      <c r="E4498" s="31">
        <f t="shared" si="353"/>
        <v>0</v>
      </c>
      <c r="F4498" s="32"/>
    </row>
    <row r="4499" spans="1:6" ht="12.75" customHeight="1">
      <c r="A4499" s="12" t="s">
        <v>1016</v>
      </c>
      <c r="B4499" s="30">
        <v>1</v>
      </c>
      <c r="C4499" s="24" t="s">
        <v>213</v>
      </c>
      <c r="D4499" s="35">
        <f>Prec.!$D$444</f>
        <v>160.08000000000001</v>
      </c>
      <c r="E4499" s="31">
        <f t="shared" si="353"/>
        <v>160.08000000000001</v>
      </c>
      <c r="F4499" s="32"/>
    </row>
    <row r="4500" spans="1:6" ht="12.75" customHeight="1">
      <c r="A4500" s="12" t="s">
        <v>1155</v>
      </c>
      <c r="B4500" s="30">
        <v>1</v>
      </c>
      <c r="C4500" s="24" t="s">
        <v>213</v>
      </c>
      <c r="D4500" s="35">
        <f>D4488</f>
        <v>20.32</v>
      </c>
      <c r="E4500" s="31">
        <f t="shared" si="353"/>
        <v>20.32</v>
      </c>
      <c r="F4500" s="32"/>
    </row>
    <row r="4501" spans="1:6" ht="12.75" customHeight="1">
      <c r="A4501" s="12" t="s">
        <v>1154</v>
      </c>
      <c r="B4501" s="30">
        <v>7.0000000000000007E-2</v>
      </c>
      <c r="C4501" s="24" t="s">
        <v>1172</v>
      </c>
      <c r="D4501" s="35">
        <f>D4489</f>
        <v>15.58</v>
      </c>
      <c r="E4501" s="31">
        <f t="shared" si="353"/>
        <v>1.0900000000000001</v>
      </c>
      <c r="F4501" s="32"/>
    </row>
    <row r="4502" spans="1:6" ht="12.75" customHeight="1">
      <c r="A4502" s="12" t="s">
        <v>208</v>
      </c>
      <c r="B4502" s="14">
        <f>SUM(E4493:E4501)</f>
        <v>846.5200000000001</v>
      </c>
      <c r="C4502" s="24" t="s">
        <v>209</v>
      </c>
      <c r="D4502" s="35">
        <f>D4490</f>
        <v>0.02</v>
      </c>
      <c r="E4502" s="31">
        <f t="shared" si="353"/>
        <v>16.93</v>
      </c>
      <c r="F4502" s="32">
        <f>SUM(E4493:E4502)</f>
        <v>863.45</v>
      </c>
    </row>
    <row r="4503" spans="1:6" ht="12.75" customHeight="1">
      <c r="A4503" s="12"/>
      <c r="B4503" s="14"/>
      <c r="C4503" s="24"/>
      <c r="D4503" s="35"/>
      <c r="E4503" s="31"/>
      <c r="F4503" s="32"/>
    </row>
    <row r="4504" spans="1:6" ht="12.75" customHeight="1">
      <c r="A4504" s="12"/>
      <c r="B4504" s="14"/>
      <c r="C4504" s="24"/>
      <c r="D4504" s="35"/>
      <c r="E4504" s="31"/>
      <c r="F4504" s="32"/>
    </row>
    <row r="4505" spans="1:6" ht="12.75" customHeight="1">
      <c r="A4505" s="12"/>
      <c r="B4505" s="14"/>
      <c r="C4505" s="24"/>
      <c r="D4505" s="35"/>
      <c r="E4505" s="31"/>
      <c r="F4505" s="32"/>
    </row>
    <row r="4506" spans="1:6" ht="12.75" customHeight="1">
      <c r="A4506" s="13" t="s">
        <v>1125</v>
      </c>
      <c r="B4506" s="42"/>
      <c r="C4506" s="29"/>
      <c r="D4506" s="35"/>
      <c r="E4506" s="43" t="s">
        <v>151</v>
      </c>
      <c r="F4506" s="44" t="s">
        <v>213</v>
      </c>
    </row>
    <row r="4507" spans="1:6" ht="12.75" customHeight="1">
      <c r="A4507" s="12" t="s">
        <v>892</v>
      </c>
      <c r="B4507" s="30">
        <v>1.05</v>
      </c>
      <c r="C4507" s="24" t="s">
        <v>213</v>
      </c>
      <c r="D4507" s="35">
        <f>Prec.!C117</f>
        <v>410</v>
      </c>
      <c r="E4507" s="31">
        <f t="shared" ref="E4507:E4516" si="354">ROUND(B4507*D4507,2)</f>
        <v>430.5</v>
      </c>
      <c r="F4507" s="32"/>
    </row>
    <row r="4508" spans="1:6" ht="12.75" customHeight="1">
      <c r="A4508" s="12" t="s">
        <v>673</v>
      </c>
      <c r="B4508" s="30">
        <v>7.0000000000000007E-2</v>
      </c>
      <c r="C4508" s="24" t="s">
        <v>1172</v>
      </c>
      <c r="D4508" s="35">
        <f>Prec.!$C$8</f>
        <v>250</v>
      </c>
      <c r="E4508" s="31">
        <f t="shared" si="354"/>
        <v>17.5</v>
      </c>
      <c r="F4508" s="32"/>
    </row>
    <row r="4509" spans="1:6" ht="12.75" customHeight="1">
      <c r="A4509" s="12" t="s">
        <v>1174</v>
      </c>
      <c r="B4509" s="30">
        <v>3.3000000000000002E-2</v>
      </c>
      <c r="C4509" s="24" t="s">
        <v>825</v>
      </c>
      <c r="D4509" s="35">
        <f>horm.ymez.!F9</f>
        <v>6160.53</v>
      </c>
      <c r="E4509" s="31">
        <f t="shared" si="354"/>
        <v>203.3</v>
      </c>
      <c r="F4509" s="32"/>
    </row>
    <row r="4510" spans="1:6" ht="12.75" customHeight="1">
      <c r="A4510" s="12" t="s">
        <v>1173</v>
      </c>
      <c r="B4510" s="30">
        <v>0.05</v>
      </c>
      <c r="C4510" s="24" t="s">
        <v>1018</v>
      </c>
      <c r="D4510" s="35">
        <f>Prec.!$C$82</f>
        <v>75</v>
      </c>
      <c r="E4510" s="31">
        <f t="shared" si="354"/>
        <v>3.75</v>
      </c>
      <c r="F4510" s="32"/>
    </row>
    <row r="4511" spans="1:6" ht="12.75" customHeight="1">
      <c r="A4511" s="12" t="s">
        <v>1117</v>
      </c>
      <c r="B4511" s="30">
        <v>0.1</v>
      </c>
      <c r="C4511" s="24" t="s">
        <v>1172</v>
      </c>
      <c r="D4511" s="35">
        <f>Prec.!C10</f>
        <v>250</v>
      </c>
      <c r="E4511" s="31">
        <f t="shared" si="354"/>
        <v>25</v>
      </c>
      <c r="F4511" s="32"/>
    </row>
    <row r="4512" spans="1:6" ht="12.75" customHeight="1">
      <c r="A4512" s="12" t="s">
        <v>623</v>
      </c>
      <c r="B4512" s="30">
        <v>3</v>
      </c>
      <c r="C4512" s="24" t="s">
        <v>1017</v>
      </c>
      <c r="D4512" s="35">
        <f>Prec.!D490</f>
        <v>11.93</v>
      </c>
      <c r="E4512" s="31">
        <f t="shared" si="354"/>
        <v>35.79</v>
      </c>
      <c r="F4512" s="32"/>
    </row>
    <row r="4513" spans="1:6" ht="12.75" customHeight="1">
      <c r="A4513" s="12" t="s">
        <v>674</v>
      </c>
      <c r="B4513" s="30">
        <v>1</v>
      </c>
      <c r="C4513" s="24" t="s">
        <v>213</v>
      </c>
      <c r="D4513" s="35">
        <f>Prec.!C460</f>
        <v>594.73</v>
      </c>
      <c r="E4513" s="31">
        <f t="shared" si="354"/>
        <v>594.73</v>
      </c>
      <c r="F4513" s="32"/>
    </row>
    <row r="4514" spans="1:6" ht="12.75" customHeight="1">
      <c r="A4514" s="12" t="s">
        <v>1155</v>
      </c>
      <c r="B4514" s="30">
        <v>1</v>
      </c>
      <c r="C4514" s="24" t="s">
        <v>213</v>
      </c>
      <c r="D4514" s="35">
        <f>Prec.!D551</f>
        <v>20.32</v>
      </c>
      <c r="E4514" s="31">
        <f t="shared" si="354"/>
        <v>20.32</v>
      </c>
      <c r="F4514" s="32"/>
    </row>
    <row r="4515" spans="1:6" ht="12.75" customHeight="1">
      <c r="A4515" s="12" t="s">
        <v>1154</v>
      </c>
      <c r="B4515" s="30">
        <v>7.0000000000000007E-2</v>
      </c>
      <c r="C4515" s="24" t="s">
        <v>1172</v>
      </c>
      <c r="D4515" s="35">
        <f>Prec.!D564</f>
        <v>15.58</v>
      </c>
      <c r="E4515" s="31">
        <f t="shared" si="354"/>
        <v>1.0900000000000001</v>
      </c>
      <c r="F4515" s="32"/>
    </row>
    <row r="4516" spans="1:6" ht="12.75" customHeight="1">
      <c r="A4516" s="12" t="s">
        <v>208</v>
      </c>
      <c r="B4516" s="14">
        <f>SUM(E4507:E4515)</f>
        <v>1331.9799999999998</v>
      </c>
      <c r="C4516" s="24" t="s">
        <v>209</v>
      </c>
      <c r="D4516" s="35">
        <v>0.02</v>
      </c>
      <c r="E4516" s="31">
        <f t="shared" si="354"/>
        <v>26.64</v>
      </c>
      <c r="F4516" s="32">
        <f>SUM(E4507:E4516)</f>
        <v>1358.62</v>
      </c>
    </row>
    <row r="4517" spans="1:6" ht="12.75" customHeight="1">
      <c r="A4517" s="12"/>
      <c r="B4517" s="14"/>
      <c r="C4517" s="24"/>
      <c r="D4517" s="35"/>
      <c r="E4517" s="31"/>
      <c r="F4517" s="32"/>
    </row>
    <row r="4518" spans="1:6" ht="12.75" customHeight="1">
      <c r="A4518" s="13" t="s">
        <v>956</v>
      </c>
      <c r="B4518" s="42"/>
      <c r="C4518" s="29"/>
      <c r="D4518" s="35"/>
      <c r="E4518" s="43" t="s">
        <v>151</v>
      </c>
      <c r="F4518" s="44" t="s">
        <v>213</v>
      </c>
    </row>
    <row r="4519" spans="1:6" ht="12.75" customHeight="1">
      <c r="A4519" s="12" t="s">
        <v>1146</v>
      </c>
      <c r="B4519" s="30">
        <v>1.05</v>
      </c>
      <c r="C4519" s="24" t="s">
        <v>213</v>
      </c>
      <c r="D4519" s="35">
        <f>Prec.!$C$112</f>
        <v>295</v>
      </c>
      <c r="E4519" s="31">
        <f t="shared" ref="E4519:E4528" si="355">ROUND(B4519*D4519,2)</f>
        <v>309.75</v>
      </c>
      <c r="F4519" s="32"/>
    </row>
    <row r="4520" spans="1:6" ht="12.75" customHeight="1">
      <c r="A4520" s="12" t="s">
        <v>673</v>
      </c>
      <c r="B4520" s="30">
        <v>7.0000000000000007E-2</v>
      </c>
      <c r="C4520" s="24" t="s">
        <v>1172</v>
      </c>
      <c r="D4520" s="35">
        <f>Prec.!$C$8</f>
        <v>250</v>
      </c>
      <c r="E4520" s="31">
        <f t="shared" si="355"/>
        <v>17.5</v>
      </c>
      <c r="F4520" s="32"/>
    </row>
    <row r="4521" spans="1:6" ht="12.75" customHeight="1">
      <c r="A4521" s="12" t="s">
        <v>1174</v>
      </c>
      <c r="B4521" s="30">
        <v>3.3000000000000002E-2</v>
      </c>
      <c r="C4521" s="24" t="s">
        <v>825</v>
      </c>
      <c r="D4521" s="35">
        <f>D4509</f>
        <v>6160.53</v>
      </c>
      <c r="E4521" s="31">
        <f t="shared" si="355"/>
        <v>203.3</v>
      </c>
      <c r="F4521" s="32"/>
    </row>
    <row r="4522" spans="1:6" ht="12.75" customHeight="1">
      <c r="A4522" s="12" t="s">
        <v>1173</v>
      </c>
      <c r="B4522" s="30">
        <v>0.05</v>
      </c>
      <c r="C4522" s="24" t="s">
        <v>1018</v>
      </c>
      <c r="D4522" s="35">
        <f>Prec.!$C$82</f>
        <v>75</v>
      </c>
      <c r="E4522" s="31">
        <f t="shared" si="355"/>
        <v>3.75</v>
      </c>
      <c r="F4522" s="32"/>
    </row>
    <row r="4523" spans="1:6" ht="12.75" customHeight="1">
      <c r="A4523" s="12" t="s">
        <v>1117</v>
      </c>
      <c r="B4523" s="30">
        <v>0.1</v>
      </c>
      <c r="C4523" s="24" t="s">
        <v>1172</v>
      </c>
      <c r="D4523" s="35">
        <f>D4511</f>
        <v>250</v>
      </c>
      <c r="E4523" s="31">
        <f t="shared" si="355"/>
        <v>25</v>
      </c>
      <c r="F4523" s="32"/>
    </row>
    <row r="4524" spans="1:6" ht="12.75" customHeight="1">
      <c r="A4524" s="12" t="s">
        <v>623</v>
      </c>
      <c r="B4524" s="30">
        <v>3</v>
      </c>
      <c r="C4524" s="24" t="s">
        <v>1017</v>
      </c>
      <c r="D4524" s="35">
        <f>D4512</f>
        <v>11.93</v>
      </c>
      <c r="E4524" s="31">
        <f t="shared" si="355"/>
        <v>35.79</v>
      </c>
      <c r="F4524" s="32"/>
    </row>
    <row r="4525" spans="1:6" ht="12.75" customHeight="1">
      <c r="A4525" s="12" t="s">
        <v>674</v>
      </c>
      <c r="B4525" s="30">
        <v>1</v>
      </c>
      <c r="C4525" s="24" t="s">
        <v>213</v>
      </c>
      <c r="D4525" s="35">
        <f>Prec.!$D$459</f>
        <v>0</v>
      </c>
      <c r="E4525" s="31">
        <f t="shared" si="355"/>
        <v>0</v>
      </c>
      <c r="F4525" s="32"/>
    </row>
    <row r="4526" spans="1:6" ht="12.75" customHeight="1">
      <c r="A4526" s="12" t="s">
        <v>1155</v>
      </c>
      <c r="B4526" s="30">
        <v>1</v>
      </c>
      <c r="C4526" s="24" t="s">
        <v>213</v>
      </c>
      <c r="D4526" s="35">
        <f>D4514</f>
        <v>20.32</v>
      </c>
      <c r="E4526" s="31">
        <f t="shared" si="355"/>
        <v>20.32</v>
      </c>
      <c r="F4526" s="32"/>
    </row>
    <row r="4527" spans="1:6" ht="12.75" customHeight="1">
      <c r="A4527" s="12" t="s">
        <v>1154</v>
      </c>
      <c r="B4527" s="30">
        <v>7.0000000000000007E-2</v>
      </c>
      <c r="C4527" s="24" t="s">
        <v>1172</v>
      </c>
      <c r="D4527" s="35">
        <f>D4515</f>
        <v>15.58</v>
      </c>
      <c r="E4527" s="31">
        <f t="shared" si="355"/>
        <v>1.0900000000000001</v>
      </c>
      <c r="F4527" s="32"/>
    </row>
    <row r="4528" spans="1:6" ht="12.75" customHeight="1">
      <c r="A4528" s="12" t="s">
        <v>208</v>
      </c>
      <c r="B4528" s="14">
        <f>SUM(E4519:E4527)</f>
        <v>616.5</v>
      </c>
      <c r="C4528" s="24" t="s">
        <v>209</v>
      </c>
      <c r="D4528" s="35">
        <f>Prec.!C302</f>
        <v>1.4999999999999999E-2</v>
      </c>
      <c r="E4528" s="31">
        <f t="shared" si="355"/>
        <v>9.25</v>
      </c>
      <c r="F4528" s="32">
        <f>SUM(E4519:E4528)</f>
        <v>625.75</v>
      </c>
    </row>
    <row r="4529" spans="1:6" ht="12.75" customHeight="1">
      <c r="A4529" s="12"/>
      <c r="B4529" s="14"/>
      <c r="C4529" s="24"/>
      <c r="D4529" s="35"/>
      <c r="E4529" s="31"/>
      <c r="F4529" s="32"/>
    </row>
    <row r="4530" spans="1:6" ht="12.75" customHeight="1">
      <c r="A4530" s="13" t="s">
        <v>799</v>
      </c>
      <c r="B4530" s="42"/>
      <c r="C4530" s="29"/>
      <c r="D4530" s="35"/>
      <c r="E4530" s="43" t="s">
        <v>151</v>
      </c>
      <c r="F4530" s="44" t="s">
        <v>213</v>
      </c>
    </row>
    <row r="4531" spans="1:6" ht="12.75" customHeight="1">
      <c r="A4531" s="12" t="s">
        <v>1147</v>
      </c>
      <c r="B4531" s="30">
        <v>1.05</v>
      </c>
      <c r="C4531" s="24" t="s">
        <v>213</v>
      </c>
      <c r="D4531" s="35">
        <f>Prec.!$C$114</f>
        <v>285</v>
      </c>
      <c r="E4531" s="31">
        <f t="shared" ref="E4531:E4540" si="356">ROUND(B4531*D4531,2)</f>
        <v>299.25</v>
      </c>
      <c r="F4531" s="32"/>
    </row>
    <row r="4532" spans="1:6" ht="12.75" customHeight="1">
      <c r="A4532" s="12" t="s">
        <v>673</v>
      </c>
      <c r="B4532" s="30">
        <v>7.0000000000000007E-2</v>
      </c>
      <c r="C4532" s="24" t="s">
        <v>1172</v>
      </c>
      <c r="D4532" s="35">
        <f>Prec.!$C$8</f>
        <v>250</v>
      </c>
      <c r="E4532" s="31">
        <f t="shared" si="356"/>
        <v>17.5</v>
      </c>
      <c r="F4532" s="32"/>
    </row>
    <row r="4533" spans="1:6" ht="12.75" customHeight="1">
      <c r="A4533" s="12" t="s">
        <v>1174</v>
      </c>
      <c r="B4533" s="30">
        <v>3.3000000000000002E-2</v>
      </c>
      <c r="C4533" s="24" t="s">
        <v>825</v>
      </c>
      <c r="D4533" s="35">
        <f>D4521</f>
        <v>6160.53</v>
      </c>
      <c r="E4533" s="31">
        <f t="shared" si="356"/>
        <v>203.3</v>
      </c>
      <c r="F4533" s="32"/>
    </row>
    <row r="4534" spans="1:6" ht="12.75" customHeight="1">
      <c r="A4534" s="12" t="s">
        <v>1173</v>
      </c>
      <c r="B4534" s="30">
        <v>0.05</v>
      </c>
      <c r="C4534" s="24" t="s">
        <v>1018</v>
      </c>
      <c r="D4534" s="35">
        <f>Prec.!$C$82</f>
        <v>75</v>
      </c>
      <c r="E4534" s="31">
        <f t="shared" si="356"/>
        <v>3.75</v>
      </c>
      <c r="F4534" s="32"/>
    </row>
    <row r="4535" spans="1:6" ht="12.75" customHeight="1">
      <c r="A4535" s="12" t="s">
        <v>1117</v>
      </c>
      <c r="B4535" s="30">
        <v>0.1</v>
      </c>
      <c r="C4535" s="24" t="s">
        <v>1172</v>
      </c>
      <c r="D4535" s="35">
        <f>D4523</f>
        <v>250</v>
      </c>
      <c r="E4535" s="31">
        <f>ROUND(B4535*D4535,2)</f>
        <v>25</v>
      </c>
      <c r="F4535" s="32"/>
    </row>
    <row r="4536" spans="1:6" ht="12.75" customHeight="1">
      <c r="A4536" s="12" t="s">
        <v>623</v>
      </c>
      <c r="B4536" s="30">
        <v>3</v>
      </c>
      <c r="C4536" s="24" t="s">
        <v>1017</v>
      </c>
      <c r="D4536" s="35">
        <f>Prec.!D488</f>
        <v>5.97</v>
      </c>
      <c r="E4536" s="31">
        <f t="shared" si="356"/>
        <v>17.91</v>
      </c>
      <c r="F4536" s="32"/>
    </row>
    <row r="4537" spans="1:6" ht="12.75" customHeight="1">
      <c r="A4537" s="12" t="s">
        <v>674</v>
      </c>
      <c r="B4537" s="30">
        <v>1</v>
      </c>
      <c r="C4537" s="24" t="s">
        <v>213</v>
      </c>
      <c r="D4537" s="35">
        <f>Prec.!$D$462</f>
        <v>311.49</v>
      </c>
      <c r="E4537" s="31">
        <f t="shared" si="356"/>
        <v>311.49</v>
      </c>
      <c r="F4537" s="32"/>
    </row>
    <row r="4538" spans="1:6" ht="12.75" customHeight="1">
      <c r="A4538" s="12" t="s">
        <v>1155</v>
      </c>
      <c r="B4538" s="30">
        <v>1</v>
      </c>
      <c r="C4538" s="24" t="s">
        <v>213</v>
      </c>
      <c r="D4538" s="35">
        <f>D4526</f>
        <v>20.32</v>
      </c>
      <c r="E4538" s="31">
        <f t="shared" si="356"/>
        <v>20.32</v>
      </c>
      <c r="F4538" s="32"/>
    </row>
    <row r="4539" spans="1:6" ht="12.75" customHeight="1">
      <c r="A4539" s="12" t="s">
        <v>1154</v>
      </c>
      <c r="B4539" s="30">
        <v>7.0000000000000007E-2</v>
      </c>
      <c r="C4539" s="24" t="s">
        <v>1172</v>
      </c>
      <c r="D4539" s="35">
        <f>D4527</f>
        <v>15.58</v>
      </c>
      <c r="E4539" s="31">
        <f t="shared" si="356"/>
        <v>1.0900000000000001</v>
      </c>
      <c r="F4539" s="32"/>
    </row>
    <row r="4540" spans="1:6" ht="12.75" customHeight="1">
      <c r="A4540" s="12" t="s">
        <v>208</v>
      </c>
      <c r="B4540" s="14">
        <f>SUM(E4531:E4539)</f>
        <v>899.61</v>
      </c>
      <c r="C4540" s="24" t="s">
        <v>209</v>
      </c>
      <c r="D4540" s="35">
        <f>Prec.!C302</f>
        <v>1.4999999999999999E-2</v>
      </c>
      <c r="E4540" s="31">
        <f t="shared" si="356"/>
        <v>13.49</v>
      </c>
      <c r="F4540" s="32">
        <f>SUM(E4531:E4540)</f>
        <v>913.1</v>
      </c>
    </row>
    <row r="4541" spans="1:6" ht="12.75" customHeight="1">
      <c r="A4541" s="12"/>
      <c r="B4541" s="14"/>
      <c r="C4541" s="24"/>
      <c r="D4541" s="35"/>
      <c r="E4541" s="31"/>
      <c r="F4541" s="32"/>
    </row>
    <row r="4542" spans="1:6" ht="12.75" customHeight="1">
      <c r="A4542" s="13" t="s">
        <v>800</v>
      </c>
      <c r="B4542" s="42"/>
      <c r="C4542" s="29"/>
      <c r="D4542" s="35"/>
      <c r="E4542" s="43" t="s">
        <v>151</v>
      </c>
      <c r="F4542" s="44" t="s">
        <v>213</v>
      </c>
    </row>
    <row r="4543" spans="1:6" ht="12.75" customHeight="1">
      <c r="A4543" s="12" t="s">
        <v>1312</v>
      </c>
      <c r="B4543" s="30">
        <v>1.05</v>
      </c>
      <c r="C4543" s="24" t="s">
        <v>213</v>
      </c>
      <c r="D4543" s="35">
        <f>Prec.!$C$107</f>
        <v>1986</v>
      </c>
      <c r="E4543" s="31">
        <f t="shared" ref="E4543:E4551" si="357">ROUND(B4543*D4543,2)</f>
        <v>2085.3000000000002</v>
      </c>
      <c r="F4543" s="32"/>
    </row>
    <row r="4544" spans="1:6" ht="12.75" customHeight="1">
      <c r="A4544" s="12" t="s">
        <v>673</v>
      </c>
      <c r="B4544" s="30">
        <v>7.0000000000000007E-2</v>
      </c>
      <c r="C4544" s="24" t="s">
        <v>1172</v>
      </c>
      <c r="D4544" s="35">
        <f>Prec.!$C$8</f>
        <v>250</v>
      </c>
      <c r="E4544" s="31">
        <f t="shared" si="357"/>
        <v>17.5</v>
      </c>
      <c r="F4544" s="32"/>
    </row>
    <row r="4545" spans="1:6" ht="12.75" customHeight="1">
      <c r="A4545" s="12" t="s">
        <v>1174</v>
      </c>
      <c r="B4545" s="30">
        <v>3.3000000000000002E-2</v>
      </c>
      <c r="C4545" s="24" t="s">
        <v>825</v>
      </c>
      <c r="D4545" s="35">
        <f>D4533</f>
        <v>6160.53</v>
      </c>
      <c r="E4545" s="31">
        <f t="shared" si="357"/>
        <v>203.3</v>
      </c>
      <c r="F4545" s="32"/>
    </row>
    <row r="4546" spans="1:6" ht="12.75" customHeight="1">
      <c r="A4546" s="12" t="s">
        <v>1173</v>
      </c>
      <c r="B4546" s="30">
        <v>0.05</v>
      </c>
      <c r="C4546" s="24" t="s">
        <v>1018</v>
      </c>
      <c r="D4546" s="35">
        <f>Prec.!$C$82</f>
        <v>75</v>
      </c>
      <c r="E4546" s="31">
        <f t="shared" si="357"/>
        <v>3.75</v>
      </c>
      <c r="F4546" s="32"/>
    </row>
    <row r="4547" spans="1:6" ht="12.75" customHeight="1">
      <c r="A4547" s="12" t="s">
        <v>688</v>
      </c>
      <c r="B4547" s="30">
        <v>3</v>
      </c>
      <c r="C4547" s="24" t="s">
        <v>1017</v>
      </c>
      <c r="D4547" s="35">
        <f>Prec.!D491</f>
        <v>11.93</v>
      </c>
      <c r="E4547" s="31">
        <f t="shared" si="357"/>
        <v>35.79</v>
      </c>
      <c r="F4547" s="32"/>
    </row>
    <row r="4548" spans="1:6" ht="12.75" customHeight="1">
      <c r="A4548" s="12" t="s">
        <v>674</v>
      </c>
      <c r="B4548" s="30">
        <v>1</v>
      </c>
      <c r="C4548" s="24" t="s">
        <v>213</v>
      </c>
      <c r="D4548" s="35">
        <f>Prec.!$D$464</f>
        <v>0</v>
      </c>
      <c r="E4548" s="31">
        <f t="shared" si="357"/>
        <v>0</v>
      </c>
      <c r="F4548" s="32"/>
    </row>
    <row r="4549" spans="1:6" ht="12.75" customHeight="1">
      <c r="A4549" s="12" t="s">
        <v>685</v>
      </c>
      <c r="B4549" s="30">
        <v>1</v>
      </c>
      <c r="C4549" s="24" t="s">
        <v>213</v>
      </c>
      <c r="D4549" s="35">
        <f>Prec.!$D$446</f>
        <v>261</v>
      </c>
      <c r="E4549" s="31">
        <f t="shared" si="357"/>
        <v>261</v>
      </c>
      <c r="F4549" s="32"/>
    </row>
    <row r="4550" spans="1:6" ht="12.75" customHeight="1">
      <c r="A4550" s="12" t="s">
        <v>1155</v>
      </c>
      <c r="B4550" s="30">
        <v>1</v>
      </c>
      <c r="C4550" s="24" t="s">
        <v>213</v>
      </c>
      <c r="D4550" s="35">
        <f>D4538</f>
        <v>20.32</v>
      </c>
      <c r="E4550" s="31">
        <f t="shared" si="357"/>
        <v>20.32</v>
      </c>
      <c r="F4550" s="32"/>
    </row>
    <row r="4551" spans="1:6" ht="12.75" customHeight="1">
      <c r="A4551" s="12" t="s">
        <v>1154</v>
      </c>
      <c r="B4551" s="30">
        <v>7.0000000000000007E-2</v>
      </c>
      <c r="C4551" s="24" t="s">
        <v>1172</v>
      </c>
      <c r="D4551" s="35">
        <f>D4539</f>
        <v>15.58</v>
      </c>
      <c r="E4551" s="31">
        <f t="shared" si="357"/>
        <v>1.0900000000000001</v>
      </c>
      <c r="F4551" s="32"/>
    </row>
    <row r="4552" spans="1:6" ht="12.75" customHeight="1">
      <c r="A4552" s="12" t="s">
        <v>208</v>
      </c>
      <c r="B4552" s="14">
        <f>SUM(E4543:E4551)</f>
        <v>2628.0500000000006</v>
      </c>
      <c r="C4552" s="24" t="s">
        <v>209</v>
      </c>
      <c r="D4552" s="35">
        <f>Prec.!C302</f>
        <v>1.4999999999999999E-2</v>
      </c>
      <c r="E4552" s="31">
        <f>ROUND(B4552*D4552,2)</f>
        <v>39.42</v>
      </c>
      <c r="F4552" s="32">
        <f>SUM(E4543:E4552)</f>
        <v>2667.4700000000007</v>
      </c>
    </row>
    <row r="4553" spans="1:6" ht="12.75" customHeight="1">
      <c r="A4553" s="12"/>
      <c r="B4553" s="14"/>
      <c r="C4553" s="24"/>
      <c r="D4553" s="35"/>
      <c r="E4553" s="31"/>
      <c r="F4553" s="32"/>
    </row>
    <row r="4554" spans="1:6" ht="12.75" customHeight="1">
      <c r="A4554" s="12"/>
      <c r="B4554" s="14"/>
      <c r="C4554" s="24"/>
      <c r="D4554" s="35"/>
      <c r="E4554" s="31"/>
      <c r="F4554" s="32"/>
    </row>
    <row r="4555" spans="1:6" ht="12.75" customHeight="1">
      <c r="A4555" s="12"/>
      <c r="B4555" s="14"/>
      <c r="C4555" s="24"/>
      <c r="D4555" s="35"/>
      <c r="E4555" s="31"/>
      <c r="F4555" s="32"/>
    </row>
    <row r="4556" spans="1:6" ht="12.75" customHeight="1">
      <c r="A4556" s="13" t="s">
        <v>63</v>
      </c>
      <c r="B4556" s="42"/>
      <c r="C4556" s="29"/>
      <c r="D4556" s="35"/>
      <c r="E4556" s="43" t="s">
        <v>151</v>
      </c>
      <c r="F4556" s="44" t="s">
        <v>1171</v>
      </c>
    </row>
    <row r="4557" spans="1:6" ht="12.75" customHeight="1">
      <c r="A4557" s="12" t="s">
        <v>748</v>
      </c>
      <c r="B4557" s="30">
        <v>1.05</v>
      </c>
      <c r="C4557" s="24" t="s">
        <v>1171</v>
      </c>
      <c r="D4557" s="35">
        <f>Prec.!$C$139</f>
        <v>70.73</v>
      </c>
      <c r="E4557" s="31">
        <f t="shared" ref="E4557:E4564" si="358">ROUND(B4557*D4557,2)</f>
        <v>74.27</v>
      </c>
      <c r="F4557" s="32"/>
    </row>
    <row r="4558" spans="1:6" ht="12.75" customHeight="1">
      <c r="A4558" s="12" t="s">
        <v>673</v>
      </c>
      <c r="B4558" s="30">
        <v>2.1999999999999999E-2</v>
      </c>
      <c r="C4558" s="24" t="s">
        <v>1172</v>
      </c>
      <c r="D4558" s="35">
        <f>Prec.!$C$8</f>
        <v>250</v>
      </c>
      <c r="E4558" s="31">
        <f t="shared" si="358"/>
        <v>5.5</v>
      </c>
      <c r="F4558" s="32"/>
    </row>
    <row r="4559" spans="1:6" ht="12.75" customHeight="1">
      <c r="A4559" s="12" t="s">
        <v>1174</v>
      </c>
      <c r="B4559" s="30">
        <v>2E-3</v>
      </c>
      <c r="C4559" s="24" t="s">
        <v>825</v>
      </c>
      <c r="D4559" s="35">
        <f>D4545</f>
        <v>6160.53</v>
      </c>
      <c r="E4559" s="31">
        <f t="shared" si="358"/>
        <v>12.32</v>
      </c>
      <c r="F4559" s="32"/>
    </row>
    <row r="4560" spans="1:6" ht="12.75" customHeight="1">
      <c r="A4560" s="12" t="s">
        <v>1015</v>
      </c>
      <c r="B4560" s="30">
        <v>1</v>
      </c>
      <c r="C4560" s="24" t="s">
        <v>1017</v>
      </c>
      <c r="D4560" s="35">
        <f>Prec.!D490</f>
        <v>11.93</v>
      </c>
      <c r="E4560" s="31">
        <f t="shared" si="358"/>
        <v>11.93</v>
      </c>
      <c r="F4560" s="32"/>
    </row>
    <row r="4561" spans="1:6" ht="12.75" customHeight="1">
      <c r="A4561" s="12" t="s">
        <v>674</v>
      </c>
      <c r="B4561" s="30">
        <v>1</v>
      </c>
      <c r="C4561" s="24" t="s">
        <v>1171</v>
      </c>
      <c r="D4561" s="35">
        <f>Prec.!$D$497</f>
        <v>0</v>
      </c>
      <c r="E4561" s="31">
        <f t="shared" si="358"/>
        <v>0</v>
      </c>
      <c r="F4561" s="32"/>
    </row>
    <row r="4562" spans="1:6" ht="12.75" customHeight="1">
      <c r="A4562" s="12" t="s">
        <v>1156</v>
      </c>
      <c r="B4562" s="30">
        <v>1</v>
      </c>
      <c r="C4562" s="24" t="s">
        <v>1171</v>
      </c>
      <c r="D4562" s="35">
        <f>Prec.!D558</f>
        <v>1.81</v>
      </c>
      <c r="E4562" s="31">
        <f t="shared" si="358"/>
        <v>1.81</v>
      </c>
      <c r="F4562" s="32"/>
    </row>
    <row r="4563" spans="1:6" ht="12.75" customHeight="1">
      <c r="A4563" s="12" t="s">
        <v>1154</v>
      </c>
      <c r="B4563" s="30">
        <v>2.1999999999999999E-2</v>
      </c>
      <c r="C4563" s="24" t="s">
        <v>1172</v>
      </c>
      <c r="D4563" s="35">
        <f>D4551</f>
        <v>15.58</v>
      </c>
      <c r="E4563" s="31">
        <f t="shared" si="358"/>
        <v>0.34</v>
      </c>
      <c r="F4563" s="32"/>
    </row>
    <row r="4564" spans="1:6" ht="12.75" customHeight="1">
      <c r="A4564" s="12" t="s">
        <v>208</v>
      </c>
      <c r="B4564" s="14">
        <f>SUM(E4557:E4563)</f>
        <v>106.17000000000002</v>
      </c>
      <c r="C4564" s="24" t="s">
        <v>209</v>
      </c>
      <c r="D4564" s="35">
        <f>Prec.!C302</f>
        <v>1.4999999999999999E-2</v>
      </c>
      <c r="E4564" s="31">
        <f t="shared" si="358"/>
        <v>1.59</v>
      </c>
      <c r="F4564" s="32">
        <f>SUM(E4557:E4564)</f>
        <v>107.76000000000002</v>
      </c>
    </row>
    <row r="4565" spans="1:6" ht="12.75" customHeight="1">
      <c r="A4565" s="12"/>
      <c r="B4565" s="14"/>
      <c r="C4565" s="24"/>
      <c r="D4565" s="35"/>
      <c r="E4565" s="31"/>
      <c r="F4565" s="32"/>
    </row>
    <row r="4566" spans="1:6" ht="12.75" customHeight="1">
      <c r="A4566" s="13" t="s">
        <v>848</v>
      </c>
      <c r="B4566" s="42"/>
      <c r="C4566" s="29"/>
      <c r="D4566" s="35"/>
      <c r="E4566" s="43" t="s">
        <v>151</v>
      </c>
      <c r="F4566" s="44" t="s">
        <v>1171</v>
      </c>
    </row>
    <row r="4567" spans="1:6" ht="12.75" customHeight="1">
      <c r="A4567" s="12" t="s">
        <v>749</v>
      </c>
      <c r="B4567" s="30">
        <v>1.05</v>
      </c>
      <c r="C4567" s="24" t="s">
        <v>1171</v>
      </c>
      <c r="D4567" s="35">
        <f>Prec.!$C$140</f>
        <v>90</v>
      </c>
      <c r="E4567" s="31">
        <f t="shared" ref="E4567:E4574" si="359">ROUND(B4567*D4567,2)</f>
        <v>94.5</v>
      </c>
      <c r="F4567" s="32"/>
    </row>
    <row r="4568" spans="1:6" ht="12.75" customHeight="1">
      <c r="A4568" s="12" t="s">
        <v>622</v>
      </c>
      <c r="B4568" s="30">
        <v>2.1999999999999999E-2</v>
      </c>
      <c r="C4568" s="24" t="s">
        <v>1172</v>
      </c>
      <c r="D4568" s="35">
        <f>Prec.!$C$7</f>
        <v>250</v>
      </c>
      <c r="E4568" s="31">
        <f t="shared" si="359"/>
        <v>5.5</v>
      </c>
      <c r="F4568" s="32"/>
    </row>
    <row r="4569" spans="1:6" ht="12.75" customHeight="1">
      <c r="A4569" s="12" t="s">
        <v>1174</v>
      </c>
      <c r="B4569" s="30">
        <v>2E-3</v>
      </c>
      <c r="C4569" s="24" t="s">
        <v>825</v>
      </c>
      <c r="D4569" s="35">
        <f>D4559</f>
        <v>6160.53</v>
      </c>
      <c r="E4569" s="31">
        <f t="shared" si="359"/>
        <v>12.32</v>
      </c>
      <c r="F4569" s="32"/>
    </row>
    <row r="4570" spans="1:6" ht="12.75" customHeight="1">
      <c r="A4570" s="12" t="s">
        <v>1015</v>
      </c>
      <c r="B4570" s="30">
        <v>1</v>
      </c>
      <c r="C4570" s="24" t="s">
        <v>1017</v>
      </c>
      <c r="D4570" s="35">
        <f>D4560</f>
        <v>11.93</v>
      </c>
      <c r="E4570" s="31">
        <f t="shared" si="359"/>
        <v>11.93</v>
      </c>
      <c r="F4570" s="32"/>
    </row>
    <row r="4571" spans="1:6" ht="12.75" customHeight="1">
      <c r="A4571" s="12" t="s">
        <v>674</v>
      </c>
      <c r="B4571" s="30">
        <v>1</v>
      </c>
      <c r="C4571" s="24" t="s">
        <v>1171</v>
      </c>
      <c r="D4571" s="35">
        <f>Prec.!$D$497</f>
        <v>0</v>
      </c>
      <c r="E4571" s="31">
        <f t="shared" si="359"/>
        <v>0</v>
      </c>
      <c r="F4571" s="32"/>
    </row>
    <row r="4572" spans="1:6" ht="12.75" customHeight="1">
      <c r="A4572" s="12" t="s">
        <v>1156</v>
      </c>
      <c r="B4572" s="30">
        <v>1</v>
      </c>
      <c r="C4572" s="24" t="s">
        <v>1171</v>
      </c>
      <c r="D4572" s="35">
        <f>D4562</f>
        <v>1.81</v>
      </c>
      <c r="E4572" s="31">
        <f t="shared" si="359"/>
        <v>1.81</v>
      </c>
      <c r="F4572" s="32"/>
    </row>
    <row r="4573" spans="1:6" ht="12.75" customHeight="1">
      <c r="A4573" s="12" t="s">
        <v>1154</v>
      </c>
      <c r="B4573" s="30">
        <v>2.1999999999999999E-2</v>
      </c>
      <c r="C4573" s="24" t="s">
        <v>1172</v>
      </c>
      <c r="D4573" s="35">
        <f>D4563</f>
        <v>15.58</v>
      </c>
      <c r="E4573" s="31">
        <f t="shared" si="359"/>
        <v>0.34</v>
      </c>
      <c r="F4573" s="32"/>
    </row>
    <row r="4574" spans="1:6" ht="12.75" customHeight="1">
      <c r="A4574" s="12" t="s">
        <v>208</v>
      </c>
      <c r="B4574" s="14">
        <f>SUM(E4567:E4573)</f>
        <v>126.4</v>
      </c>
      <c r="C4574" s="24" t="s">
        <v>209</v>
      </c>
      <c r="D4574" s="35">
        <v>0.02</v>
      </c>
      <c r="E4574" s="31">
        <f t="shared" si="359"/>
        <v>2.5299999999999998</v>
      </c>
      <c r="F4574" s="32">
        <f>SUM(E4567:E4574)</f>
        <v>128.93</v>
      </c>
    </row>
    <row r="4575" spans="1:6" ht="12.75" customHeight="1">
      <c r="A4575" s="12"/>
      <c r="B4575" s="14"/>
      <c r="C4575" s="24"/>
      <c r="D4575" s="35"/>
      <c r="E4575" s="31"/>
      <c r="F4575" s="32"/>
    </row>
    <row r="4576" spans="1:6" ht="12.75" customHeight="1">
      <c r="A4576" s="13" t="s">
        <v>371</v>
      </c>
      <c r="B4576" s="42"/>
      <c r="C4576" s="29"/>
      <c r="D4576" s="35"/>
      <c r="E4576" s="43" t="s">
        <v>151</v>
      </c>
      <c r="F4576" s="44" t="s">
        <v>1171</v>
      </c>
    </row>
    <row r="4577" spans="1:6" ht="12.75" customHeight="1">
      <c r="A4577" s="12" t="s">
        <v>748</v>
      </c>
      <c r="B4577" s="30">
        <v>1.05</v>
      </c>
      <c r="C4577" s="24" t="s">
        <v>1171</v>
      </c>
      <c r="D4577" s="35">
        <f>Prec.!C141</f>
        <v>78.3</v>
      </c>
      <c r="E4577" s="31">
        <f t="shared" ref="E4577:E4584" si="360">ROUND(B4577*D4577,2)</f>
        <v>82.22</v>
      </c>
      <c r="F4577" s="32"/>
    </row>
    <row r="4578" spans="1:6" ht="12.75" customHeight="1">
      <c r="A4578" s="12" t="s">
        <v>673</v>
      </c>
      <c r="B4578" s="30">
        <v>2.1999999999999999E-2</v>
      </c>
      <c r="C4578" s="24" t="s">
        <v>1172</v>
      </c>
      <c r="D4578" s="35">
        <f>Prec.!$C$8</f>
        <v>250</v>
      </c>
      <c r="E4578" s="31">
        <f t="shared" si="360"/>
        <v>5.5</v>
      </c>
      <c r="F4578" s="32"/>
    </row>
    <row r="4579" spans="1:6" ht="12.75" customHeight="1">
      <c r="A4579" s="12" t="s">
        <v>1174</v>
      </c>
      <c r="B4579" s="30">
        <v>2E-3</v>
      </c>
      <c r="C4579" s="24" t="s">
        <v>825</v>
      </c>
      <c r="D4579" s="35">
        <f>D4569</f>
        <v>6160.53</v>
      </c>
      <c r="E4579" s="31">
        <f t="shared" si="360"/>
        <v>12.32</v>
      </c>
      <c r="F4579" s="32"/>
    </row>
    <row r="4580" spans="1:6" ht="12.75" customHeight="1">
      <c r="A4580" s="12" t="s">
        <v>1015</v>
      </c>
      <c r="B4580" s="30">
        <v>1</v>
      </c>
      <c r="C4580" s="24" t="s">
        <v>1017</v>
      </c>
      <c r="D4580" s="35">
        <f>Prec.!D491</f>
        <v>11.93</v>
      </c>
      <c r="E4580" s="31">
        <f t="shared" si="360"/>
        <v>11.93</v>
      </c>
      <c r="F4580" s="32"/>
    </row>
    <row r="4581" spans="1:6" ht="12.75" customHeight="1">
      <c r="A4581" s="12" t="s">
        <v>674</v>
      </c>
      <c r="B4581" s="30">
        <v>1</v>
      </c>
      <c r="C4581" s="24" t="s">
        <v>1171</v>
      </c>
      <c r="D4581" s="35">
        <f>Prec.!C497</f>
        <v>108.15</v>
      </c>
      <c r="E4581" s="31">
        <f t="shared" si="360"/>
        <v>108.15</v>
      </c>
      <c r="F4581" s="32"/>
    </row>
    <row r="4582" spans="1:6" ht="12.75" customHeight="1">
      <c r="A4582" s="12" t="s">
        <v>1156</v>
      </c>
      <c r="B4582" s="30">
        <v>1</v>
      </c>
      <c r="C4582" s="24" t="s">
        <v>1171</v>
      </c>
      <c r="D4582" s="35">
        <f>D4572</f>
        <v>1.81</v>
      </c>
      <c r="E4582" s="31">
        <f t="shared" si="360"/>
        <v>1.81</v>
      </c>
      <c r="F4582" s="32"/>
    </row>
    <row r="4583" spans="1:6" ht="12.75" customHeight="1">
      <c r="A4583" s="12" t="s">
        <v>1154</v>
      </c>
      <c r="B4583" s="30">
        <v>2.1999999999999999E-2</v>
      </c>
      <c r="C4583" s="24" t="s">
        <v>1172</v>
      </c>
      <c r="D4583" s="35">
        <f>D4573</f>
        <v>15.58</v>
      </c>
      <c r="E4583" s="31">
        <f t="shared" si="360"/>
        <v>0.34</v>
      </c>
      <c r="F4583" s="32"/>
    </row>
    <row r="4584" spans="1:6" ht="12.75" customHeight="1">
      <c r="A4584" s="12" t="s">
        <v>208</v>
      </c>
      <c r="B4584" s="14">
        <f>SUM(E4577:E4583)</f>
        <v>222.27</v>
      </c>
      <c r="C4584" s="24" t="s">
        <v>209</v>
      </c>
      <c r="D4584" s="35">
        <f>D4574</f>
        <v>0.02</v>
      </c>
      <c r="E4584" s="31">
        <f t="shared" si="360"/>
        <v>4.45</v>
      </c>
      <c r="F4584" s="32">
        <f>SUM(E4577:E4584)</f>
        <v>226.72</v>
      </c>
    </row>
    <row r="4585" spans="1:6" ht="12.75" customHeight="1">
      <c r="A4585" s="12"/>
      <c r="B4585" s="14"/>
      <c r="C4585" s="24"/>
      <c r="D4585" s="35"/>
      <c r="E4585" s="31"/>
      <c r="F4585" s="32"/>
    </row>
    <row r="4586" spans="1:6" ht="12.75" customHeight="1">
      <c r="A4586" s="13" t="s">
        <v>372</v>
      </c>
      <c r="B4586" s="42"/>
      <c r="C4586" s="29"/>
      <c r="D4586" s="35"/>
      <c r="E4586" s="43" t="s">
        <v>151</v>
      </c>
      <c r="F4586" s="44" t="s">
        <v>1171</v>
      </c>
    </row>
    <row r="4587" spans="1:6" ht="12.75" customHeight="1">
      <c r="A4587" s="12" t="s">
        <v>749</v>
      </c>
      <c r="B4587" s="30">
        <v>1.05</v>
      </c>
      <c r="C4587" s="24" t="s">
        <v>1171</v>
      </c>
      <c r="D4587" s="35">
        <f>Prec.!C142</f>
        <v>58</v>
      </c>
      <c r="E4587" s="31">
        <f t="shared" ref="E4587:E4594" si="361">ROUND(B4587*D4587,2)</f>
        <v>60.9</v>
      </c>
      <c r="F4587" s="32"/>
    </row>
    <row r="4588" spans="1:6" ht="12.75" customHeight="1">
      <c r="A4588" s="12" t="s">
        <v>622</v>
      </c>
      <c r="B4588" s="30">
        <v>2.1999999999999999E-2</v>
      </c>
      <c r="C4588" s="24" t="s">
        <v>1172</v>
      </c>
      <c r="D4588" s="35">
        <f>Prec.!$C$7</f>
        <v>250</v>
      </c>
      <c r="E4588" s="31">
        <f t="shared" si="361"/>
        <v>5.5</v>
      </c>
      <c r="F4588" s="32"/>
    </row>
    <row r="4589" spans="1:6" ht="12.75" customHeight="1">
      <c r="A4589" s="12" t="s">
        <v>1174</v>
      </c>
      <c r="B4589" s="30">
        <v>2E-3</v>
      </c>
      <c r="C4589" s="24" t="s">
        <v>825</v>
      </c>
      <c r="D4589" s="35">
        <f>D4579</f>
        <v>6160.53</v>
      </c>
      <c r="E4589" s="31">
        <f t="shared" si="361"/>
        <v>12.32</v>
      </c>
      <c r="F4589" s="32"/>
    </row>
    <row r="4590" spans="1:6" ht="12.75" customHeight="1">
      <c r="A4590" s="12" t="s">
        <v>1015</v>
      </c>
      <c r="B4590" s="30">
        <v>1</v>
      </c>
      <c r="C4590" s="24" t="s">
        <v>1017</v>
      </c>
      <c r="D4590" s="35">
        <f>D4580</f>
        <v>11.93</v>
      </c>
      <c r="E4590" s="31">
        <f t="shared" si="361"/>
        <v>11.93</v>
      </c>
      <c r="F4590" s="32"/>
    </row>
    <row r="4591" spans="1:6" ht="12.75" customHeight="1">
      <c r="A4591" s="12" t="s">
        <v>674</v>
      </c>
      <c r="B4591" s="30">
        <v>1</v>
      </c>
      <c r="C4591" s="24" t="s">
        <v>1171</v>
      </c>
      <c r="D4591" s="35">
        <f>Prec.!$D$497</f>
        <v>0</v>
      </c>
      <c r="E4591" s="31">
        <f t="shared" si="361"/>
        <v>0</v>
      </c>
      <c r="F4591" s="32"/>
    </row>
    <row r="4592" spans="1:6" ht="12.75" customHeight="1">
      <c r="A4592" s="12" t="s">
        <v>1156</v>
      </c>
      <c r="B4592" s="30">
        <v>1</v>
      </c>
      <c r="C4592" s="24" t="s">
        <v>1171</v>
      </c>
      <c r="D4592" s="35">
        <f>D4582</f>
        <v>1.81</v>
      </c>
      <c r="E4592" s="31">
        <f t="shared" si="361"/>
        <v>1.81</v>
      </c>
      <c r="F4592" s="32"/>
    </row>
    <row r="4593" spans="1:13" ht="12.75" customHeight="1">
      <c r="A4593" s="12" t="s">
        <v>1154</v>
      </c>
      <c r="B4593" s="30">
        <v>2.1999999999999999E-2</v>
      </c>
      <c r="C4593" s="24" t="s">
        <v>1172</v>
      </c>
      <c r="D4593" s="35">
        <f>D4583</f>
        <v>15.58</v>
      </c>
      <c r="E4593" s="31">
        <f t="shared" si="361"/>
        <v>0.34</v>
      </c>
      <c r="F4593" s="32"/>
    </row>
    <row r="4594" spans="1:13" ht="12.75" customHeight="1">
      <c r="A4594" s="12" t="s">
        <v>208</v>
      </c>
      <c r="B4594" s="14">
        <f>SUM(E4587:E4593)</f>
        <v>92.800000000000011</v>
      </c>
      <c r="C4594" s="24" t="s">
        <v>209</v>
      </c>
      <c r="D4594" s="35">
        <f>D4584</f>
        <v>0.02</v>
      </c>
      <c r="E4594" s="31">
        <f t="shared" si="361"/>
        <v>1.86</v>
      </c>
      <c r="F4594" s="32">
        <f>SUM(E4587:E4594)</f>
        <v>94.660000000000011</v>
      </c>
    </row>
    <row r="4595" spans="1:13" ht="12.75" customHeight="1">
      <c r="A4595" s="12"/>
      <c r="B4595" s="14"/>
      <c r="C4595" s="24"/>
      <c r="D4595" s="35"/>
      <c r="E4595" s="31"/>
      <c r="F4595" s="32"/>
    </row>
    <row r="4596" spans="1:13" ht="12.75" customHeight="1">
      <c r="A4596" s="13" t="s">
        <v>707</v>
      </c>
      <c r="B4596" s="42"/>
      <c r="C4596" s="29"/>
      <c r="D4596" s="35"/>
      <c r="E4596" s="43" t="s">
        <v>151</v>
      </c>
      <c r="F4596" s="44" t="s">
        <v>1171</v>
      </c>
    </row>
    <row r="4597" spans="1:13" ht="12.75" customHeight="1">
      <c r="A4597" s="12" t="s">
        <v>818</v>
      </c>
      <c r="B4597" s="30">
        <v>1.05</v>
      </c>
      <c r="C4597" s="24" t="s">
        <v>1017</v>
      </c>
      <c r="D4597" s="35">
        <f>Prec.!C113</f>
        <v>32.14</v>
      </c>
      <c r="E4597" s="31">
        <f t="shared" ref="E4597:E4605" si="362">ROUND(B4597*D4597,2)</f>
        <v>33.75</v>
      </c>
      <c r="F4597" s="32"/>
    </row>
    <row r="4598" spans="1:13" ht="12.75" customHeight="1">
      <c r="A4598" s="12" t="s">
        <v>673</v>
      </c>
      <c r="B4598" s="30">
        <v>7.0000000000000001E-3</v>
      </c>
      <c r="C4598" s="24" t="s">
        <v>1172</v>
      </c>
      <c r="D4598" s="35">
        <f>Prec.!$C$8</f>
        <v>250</v>
      </c>
      <c r="E4598" s="31">
        <f t="shared" si="362"/>
        <v>1.75</v>
      </c>
      <c r="F4598" s="32"/>
    </row>
    <row r="4599" spans="1:13" ht="12.75" customHeight="1">
      <c r="A4599" s="12" t="s">
        <v>1173</v>
      </c>
      <c r="B4599" s="30">
        <v>5.0000000000000001E-3</v>
      </c>
      <c r="C4599" s="24" t="s">
        <v>1018</v>
      </c>
      <c r="D4599" s="35">
        <f>Prec.!$C$82</f>
        <v>75</v>
      </c>
      <c r="E4599" s="31">
        <f t="shared" si="362"/>
        <v>0.38</v>
      </c>
      <c r="F4599" s="32"/>
    </row>
    <row r="4600" spans="1:13" ht="12.75" customHeight="1">
      <c r="A4600" s="12" t="s">
        <v>1174</v>
      </c>
      <c r="B4600" s="30">
        <v>1E-3</v>
      </c>
      <c r="C4600" s="24" t="s">
        <v>825</v>
      </c>
      <c r="D4600" s="35">
        <f>D4589</f>
        <v>6160.53</v>
      </c>
      <c r="E4600" s="31">
        <f t="shared" si="362"/>
        <v>6.16</v>
      </c>
      <c r="F4600" s="32"/>
    </row>
    <row r="4601" spans="1:13" s="12" customFormat="1" ht="12.75" customHeight="1">
      <c r="A4601" s="12" t="s">
        <v>1015</v>
      </c>
      <c r="B4601" s="30">
        <v>4</v>
      </c>
      <c r="C4601" s="24" t="s">
        <v>1017</v>
      </c>
      <c r="D4601" s="35">
        <f>Prec.!D490</f>
        <v>11.93</v>
      </c>
      <c r="E4601" s="31">
        <f t="shared" si="362"/>
        <v>47.72</v>
      </c>
      <c r="F4601" s="32"/>
      <c r="G4601" s="20"/>
      <c r="H4601" s="22"/>
      <c r="I4601" s="20"/>
      <c r="J4601" s="20"/>
      <c r="K4601" s="20"/>
      <c r="L4601" s="22"/>
      <c r="M4601" s="20"/>
    </row>
    <row r="4602" spans="1:13" ht="12.75" customHeight="1">
      <c r="A4602" s="12" t="s">
        <v>674</v>
      </c>
      <c r="B4602" s="30">
        <v>1</v>
      </c>
      <c r="C4602" s="24" t="s">
        <v>1171</v>
      </c>
      <c r="D4602" s="35">
        <f>Prec.!$D$498</f>
        <v>0</v>
      </c>
      <c r="E4602" s="31">
        <f t="shared" si="362"/>
        <v>0</v>
      </c>
      <c r="F4602" s="32"/>
    </row>
    <row r="4603" spans="1:13" ht="12.75" customHeight="1">
      <c r="A4603" s="12" t="s">
        <v>870</v>
      </c>
      <c r="B4603" s="30">
        <v>1</v>
      </c>
      <c r="C4603" s="24" t="s">
        <v>1171</v>
      </c>
      <c r="D4603" s="35">
        <f>Prec.!D558</f>
        <v>1.81</v>
      </c>
      <c r="E4603" s="31">
        <f t="shared" si="362"/>
        <v>1.81</v>
      </c>
      <c r="F4603" s="32"/>
    </row>
    <row r="4604" spans="1:13" ht="12.75" customHeight="1">
      <c r="A4604" s="12" t="s">
        <v>1154</v>
      </c>
      <c r="B4604" s="30">
        <v>7.0000000000000001E-3</v>
      </c>
      <c r="C4604" s="24" t="s">
        <v>1172</v>
      </c>
      <c r="D4604" s="35">
        <f>D4593</f>
        <v>15.58</v>
      </c>
      <c r="E4604" s="31">
        <f t="shared" si="362"/>
        <v>0.11</v>
      </c>
      <c r="F4604" s="32"/>
    </row>
    <row r="4605" spans="1:13" ht="12.75" customHeight="1">
      <c r="A4605" s="12" t="s">
        <v>208</v>
      </c>
      <c r="B4605" s="14">
        <f>SUM(E4597:E4604)</f>
        <v>91.68</v>
      </c>
      <c r="C4605" s="24" t="s">
        <v>209</v>
      </c>
      <c r="D4605" s="35">
        <f>Prec.!C302</f>
        <v>1.4999999999999999E-2</v>
      </c>
      <c r="E4605" s="31">
        <f t="shared" si="362"/>
        <v>1.38</v>
      </c>
      <c r="F4605" s="32">
        <f>SUM(E4597:E4605)</f>
        <v>93.06</v>
      </c>
    </row>
    <row r="4606" spans="1:13" ht="12.75" customHeight="1">
      <c r="A4606" s="13" t="s">
        <v>252</v>
      </c>
      <c r="B4606" s="42"/>
      <c r="C4606" s="29"/>
      <c r="D4606" s="35"/>
      <c r="E4606" s="43" t="s">
        <v>151</v>
      </c>
      <c r="F4606" s="44" t="s">
        <v>1171</v>
      </c>
    </row>
    <row r="4607" spans="1:13" ht="12.75" customHeight="1">
      <c r="A4607" s="12" t="s">
        <v>819</v>
      </c>
      <c r="B4607" s="30">
        <v>1.05</v>
      </c>
      <c r="C4607" s="24" t="s">
        <v>1017</v>
      </c>
      <c r="D4607" s="35">
        <f>Prec.!C118</f>
        <v>67.540000000000006</v>
      </c>
      <c r="E4607" s="31">
        <f t="shared" ref="E4607:E4615" si="363">ROUND(B4607*D4607,2)</f>
        <v>70.92</v>
      </c>
      <c r="F4607" s="32"/>
    </row>
    <row r="4608" spans="1:13" ht="12.75" customHeight="1">
      <c r="A4608" s="12" t="s">
        <v>673</v>
      </c>
      <c r="B4608" s="30">
        <f>B4598</f>
        <v>7.0000000000000001E-3</v>
      </c>
      <c r="C4608" s="24" t="s">
        <v>1172</v>
      </c>
      <c r="D4608" s="35">
        <f>Prec.!$C$8</f>
        <v>250</v>
      </c>
      <c r="E4608" s="31">
        <f t="shared" si="363"/>
        <v>1.75</v>
      </c>
      <c r="F4608" s="32"/>
    </row>
    <row r="4609" spans="1:6" ht="12.75" customHeight="1">
      <c r="A4609" s="12" t="s">
        <v>1173</v>
      </c>
      <c r="B4609" s="30">
        <v>5.0000000000000001E-3</v>
      </c>
      <c r="C4609" s="24" t="s">
        <v>1018</v>
      </c>
      <c r="D4609" s="35">
        <f>Prec.!$C$82</f>
        <v>75</v>
      </c>
      <c r="E4609" s="31">
        <f t="shared" si="363"/>
        <v>0.38</v>
      </c>
      <c r="F4609" s="32"/>
    </row>
    <row r="4610" spans="1:6" ht="12.75" customHeight="1">
      <c r="A4610" s="12" t="s">
        <v>1174</v>
      </c>
      <c r="B4610" s="30">
        <v>1E-3</v>
      </c>
      <c r="C4610" s="24" t="s">
        <v>825</v>
      </c>
      <c r="D4610" s="35">
        <f>D4600</f>
        <v>6160.53</v>
      </c>
      <c r="E4610" s="31">
        <f t="shared" si="363"/>
        <v>6.16</v>
      </c>
      <c r="F4610" s="32"/>
    </row>
    <row r="4611" spans="1:6" ht="12.75" customHeight="1">
      <c r="A4611" s="12" t="s">
        <v>1015</v>
      </c>
      <c r="B4611" s="30">
        <v>4</v>
      </c>
      <c r="C4611" s="24" t="s">
        <v>1017</v>
      </c>
      <c r="D4611" s="35">
        <f>D4601</f>
        <v>11.93</v>
      </c>
      <c r="E4611" s="31">
        <f t="shared" si="363"/>
        <v>47.72</v>
      </c>
      <c r="F4611" s="32"/>
    </row>
    <row r="4612" spans="1:6" ht="12.75" customHeight="1">
      <c r="A4612" s="12" t="s">
        <v>674</v>
      </c>
      <c r="B4612" s="30">
        <v>1</v>
      </c>
      <c r="C4612" s="24" t="s">
        <v>1171</v>
      </c>
      <c r="D4612" s="35">
        <f>Prec.!$D$498</f>
        <v>0</v>
      </c>
      <c r="E4612" s="31">
        <f t="shared" si="363"/>
        <v>0</v>
      </c>
      <c r="F4612" s="32"/>
    </row>
    <row r="4613" spans="1:6" ht="12.75" customHeight="1">
      <c r="A4613" s="12" t="s">
        <v>870</v>
      </c>
      <c r="B4613" s="30">
        <v>1</v>
      </c>
      <c r="C4613" s="24" t="s">
        <v>1171</v>
      </c>
      <c r="D4613" s="35">
        <f>D4603</f>
        <v>1.81</v>
      </c>
      <c r="E4613" s="31">
        <f t="shared" si="363"/>
        <v>1.81</v>
      </c>
      <c r="F4613" s="32"/>
    </row>
    <row r="4614" spans="1:6" ht="12.75" customHeight="1">
      <c r="A4614" s="12" t="s">
        <v>1154</v>
      </c>
      <c r="B4614" s="30">
        <f>B4608</f>
        <v>7.0000000000000001E-3</v>
      </c>
      <c r="C4614" s="24" t="s">
        <v>1172</v>
      </c>
      <c r="D4614" s="35">
        <f>D4604</f>
        <v>15.58</v>
      </c>
      <c r="E4614" s="31">
        <f t="shared" si="363"/>
        <v>0.11</v>
      </c>
      <c r="F4614" s="32"/>
    </row>
    <row r="4615" spans="1:6" ht="12.75" customHeight="1">
      <c r="A4615" s="12" t="s">
        <v>208</v>
      </c>
      <c r="B4615" s="14">
        <f>SUM(E4607:E4614)</f>
        <v>128.85</v>
      </c>
      <c r="C4615" s="24" t="s">
        <v>209</v>
      </c>
      <c r="D4615" s="35">
        <f>Prec.!C302</f>
        <v>1.4999999999999999E-2</v>
      </c>
      <c r="E4615" s="31">
        <f t="shared" si="363"/>
        <v>1.93</v>
      </c>
      <c r="F4615" s="32">
        <f>SUM(E4607:E4615)</f>
        <v>130.78</v>
      </c>
    </row>
    <row r="4616" spans="1:6" ht="12.75" customHeight="1">
      <c r="A4616" s="12"/>
      <c r="B4616" s="14"/>
      <c r="C4616" s="24"/>
      <c r="D4616" s="35"/>
      <c r="E4616" s="31"/>
      <c r="F4616" s="32"/>
    </row>
    <row r="4617" spans="1:6" ht="12.75" customHeight="1">
      <c r="A4617" s="13" t="s">
        <v>708</v>
      </c>
      <c r="B4617" s="42"/>
      <c r="C4617" s="29"/>
      <c r="D4617" s="35"/>
      <c r="E4617" s="43" t="s">
        <v>151</v>
      </c>
      <c r="F4617" s="44" t="s">
        <v>1171</v>
      </c>
    </row>
    <row r="4618" spans="1:6" ht="12.75" customHeight="1">
      <c r="A4618" s="12" t="s">
        <v>820</v>
      </c>
      <c r="B4618" s="30">
        <v>1.05</v>
      </c>
      <c r="C4618" s="24" t="s">
        <v>1171</v>
      </c>
      <c r="D4618" s="35">
        <f>Prec.!C143</f>
        <v>348</v>
      </c>
      <c r="E4618" s="31">
        <f t="shared" ref="E4618:E4626" si="364">ROUND(B4618*D4618,2)</f>
        <v>365.4</v>
      </c>
      <c r="F4618" s="32"/>
    </row>
    <row r="4619" spans="1:6" ht="12.75" customHeight="1">
      <c r="A4619" s="12" t="s">
        <v>673</v>
      </c>
      <c r="B4619" s="30">
        <v>2.1999999999999999E-2</v>
      </c>
      <c r="C4619" s="24" t="s">
        <v>1172</v>
      </c>
      <c r="D4619" s="35">
        <f>Prec.!$C$8</f>
        <v>250</v>
      </c>
      <c r="E4619" s="31">
        <f t="shared" si="364"/>
        <v>5.5</v>
      </c>
      <c r="F4619" s="32"/>
    </row>
    <row r="4620" spans="1:6" ht="12.75" customHeight="1">
      <c r="A4620" s="12" t="s">
        <v>1173</v>
      </c>
      <c r="B4620" s="30">
        <v>5.0000000000000001E-3</v>
      </c>
      <c r="C4620" s="24" t="s">
        <v>1018</v>
      </c>
      <c r="D4620" s="35">
        <f>Prec.!$C$82</f>
        <v>75</v>
      </c>
      <c r="E4620" s="31">
        <f t="shared" si="364"/>
        <v>0.38</v>
      </c>
      <c r="F4620" s="32"/>
    </row>
    <row r="4621" spans="1:6" ht="12.75" customHeight="1">
      <c r="A4621" s="12" t="s">
        <v>1174</v>
      </c>
      <c r="B4621" s="30">
        <v>1E-3</v>
      </c>
      <c r="C4621" s="24" t="s">
        <v>825</v>
      </c>
      <c r="D4621" s="35">
        <f>D4610</f>
        <v>6160.53</v>
      </c>
      <c r="E4621" s="31">
        <f t="shared" si="364"/>
        <v>6.16</v>
      </c>
      <c r="F4621" s="32"/>
    </row>
    <row r="4622" spans="1:6" ht="12.75" customHeight="1">
      <c r="A4622" s="12" t="s">
        <v>1015</v>
      </c>
      <c r="B4622" s="30">
        <v>1</v>
      </c>
      <c r="C4622" s="24" t="s">
        <v>1017</v>
      </c>
      <c r="D4622" s="35">
        <f>Prec.!D491</f>
        <v>11.93</v>
      </c>
      <c r="E4622" s="31">
        <f t="shared" si="364"/>
        <v>11.93</v>
      </c>
      <c r="F4622" s="32"/>
    </row>
    <row r="4623" spans="1:6" ht="12.75" customHeight="1">
      <c r="A4623" s="12" t="s">
        <v>674</v>
      </c>
      <c r="B4623" s="30">
        <v>1</v>
      </c>
      <c r="C4623" s="24" t="s">
        <v>1171</v>
      </c>
      <c r="D4623" s="35">
        <f>Prec.!D499</f>
        <v>93.25</v>
      </c>
      <c r="E4623" s="31">
        <f t="shared" si="364"/>
        <v>93.25</v>
      </c>
      <c r="F4623" s="32"/>
    </row>
    <row r="4624" spans="1:6" ht="12.75" customHeight="1">
      <c r="A4624" s="12" t="s">
        <v>870</v>
      </c>
      <c r="B4624" s="30">
        <v>1</v>
      </c>
      <c r="C4624" s="24" t="s">
        <v>1171</v>
      </c>
      <c r="D4624" s="35">
        <f>D4592</f>
        <v>1.81</v>
      </c>
      <c r="E4624" s="31">
        <f t="shared" si="364"/>
        <v>1.81</v>
      </c>
      <c r="F4624" s="32"/>
    </row>
    <row r="4625" spans="1:6" ht="12.75" customHeight="1">
      <c r="A4625" s="12" t="s">
        <v>1154</v>
      </c>
      <c r="B4625" s="30">
        <v>2.1999999999999999E-2</v>
      </c>
      <c r="C4625" s="24" t="s">
        <v>1172</v>
      </c>
      <c r="D4625" s="35">
        <f>D4614</f>
        <v>15.58</v>
      </c>
      <c r="E4625" s="31">
        <f t="shared" si="364"/>
        <v>0.34</v>
      </c>
      <c r="F4625" s="32"/>
    </row>
    <row r="4626" spans="1:6" ht="12.75" customHeight="1">
      <c r="A4626" s="12" t="s">
        <v>208</v>
      </c>
      <c r="B4626" s="14">
        <f>SUM(E4618:E4625)</f>
        <v>484.77</v>
      </c>
      <c r="C4626" s="24" t="s">
        <v>209</v>
      </c>
      <c r="D4626" s="35">
        <f>Prec.!C302</f>
        <v>1.4999999999999999E-2</v>
      </c>
      <c r="E4626" s="31">
        <f t="shared" si="364"/>
        <v>7.27</v>
      </c>
      <c r="F4626" s="32">
        <f>SUM(E4618:E4626)</f>
        <v>492.03999999999996</v>
      </c>
    </row>
    <row r="4627" spans="1:6" ht="12.75" customHeight="1">
      <c r="A4627" s="12"/>
      <c r="B4627" s="14"/>
      <c r="C4627" s="24"/>
      <c r="D4627" s="35"/>
      <c r="E4627" s="31"/>
      <c r="F4627" s="32"/>
    </row>
    <row r="4628" spans="1:6" ht="12.75" customHeight="1">
      <c r="A4628" s="13" t="s">
        <v>709</v>
      </c>
      <c r="B4628" s="42"/>
      <c r="C4628" s="29"/>
      <c r="D4628" s="35"/>
      <c r="E4628" s="43" t="s">
        <v>151</v>
      </c>
      <c r="F4628" s="44" t="s">
        <v>1171</v>
      </c>
    </row>
    <row r="4629" spans="1:6" ht="12.75" customHeight="1">
      <c r="A4629" s="12" t="s">
        <v>427</v>
      </c>
      <c r="B4629" s="30">
        <v>8.0000000000000002E-3</v>
      </c>
      <c r="C4629" s="24" t="s">
        <v>825</v>
      </c>
      <c r="D4629" s="35">
        <f>horm.ymez.!F8</f>
        <v>7163.99</v>
      </c>
      <c r="E4629" s="31">
        <f>ROUND(B4629*D4629,2)</f>
        <v>57.31</v>
      </c>
      <c r="F4629" s="32"/>
    </row>
    <row r="4630" spans="1:6" ht="12.75" customHeight="1">
      <c r="A4630" s="12" t="s">
        <v>1168</v>
      </c>
      <c r="B4630" s="30">
        <v>1</v>
      </c>
      <c r="C4630" s="24" t="s">
        <v>1171</v>
      </c>
      <c r="D4630" s="35">
        <f>Prec.!$D$486</f>
        <v>0</v>
      </c>
      <c r="E4630" s="31">
        <f>ROUND(B4630*D4630,2)</f>
        <v>0</v>
      </c>
      <c r="F4630" s="32"/>
    </row>
    <row r="4631" spans="1:6" ht="12.75" customHeight="1">
      <c r="A4631" s="12" t="s">
        <v>208</v>
      </c>
      <c r="B4631" s="14">
        <f>SUM(E4629:E4630)</f>
        <v>57.31</v>
      </c>
      <c r="C4631" s="24" t="s">
        <v>209</v>
      </c>
      <c r="D4631" s="35">
        <f>Prec.!C302</f>
        <v>1.4999999999999999E-2</v>
      </c>
      <c r="E4631" s="31">
        <f>ROUND(B4631*D4631,2)</f>
        <v>0.86</v>
      </c>
      <c r="F4631" s="32">
        <f>SUM(E4629:E4631)</f>
        <v>58.17</v>
      </c>
    </row>
    <row r="4632" spans="1:6" ht="12.75" customHeight="1">
      <c r="A4632" s="12"/>
      <c r="B4632" s="14"/>
      <c r="C4632" s="24"/>
      <c r="D4632" s="35"/>
      <c r="E4632" s="31"/>
      <c r="F4632" s="32"/>
    </row>
    <row r="4633" spans="1:6" ht="12.75" customHeight="1">
      <c r="A4633" s="13" t="s">
        <v>1219</v>
      </c>
      <c r="B4633" s="14"/>
      <c r="C4633" s="24"/>
      <c r="D4633" s="35"/>
      <c r="E4633" s="31"/>
      <c r="F4633" s="32"/>
    </row>
    <row r="4634" spans="1:6" ht="12.75" customHeight="1">
      <c r="A4634" s="12" t="s">
        <v>1216</v>
      </c>
      <c r="B4634" s="30">
        <v>1</v>
      </c>
      <c r="C4634" s="24" t="s">
        <v>1171</v>
      </c>
      <c r="D4634" s="35">
        <f>Prec.!C140</f>
        <v>90</v>
      </c>
      <c r="E4634" s="31">
        <f t="shared" ref="E4634:E4640" si="365">ROUND(B4634*D4634,2)</f>
        <v>90</v>
      </c>
      <c r="F4634" s="32"/>
    </row>
    <row r="4635" spans="1:6" ht="12.75" customHeight="1">
      <c r="A4635" s="12" t="s">
        <v>870</v>
      </c>
      <c r="B4635" s="30">
        <v>1</v>
      </c>
      <c r="C4635" s="24" t="s">
        <v>1171</v>
      </c>
      <c r="D4635" s="35">
        <f>D4624</f>
        <v>1.81</v>
      </c>
      <c r="E4635" s="31">
        <f t="shared" si="365"/>
        <v>1.81</v>
      </c>
      <c r="F4635" s="32"/>
    </row>
    <row r="4636" spans="1:6" ht="12.75" customHeight="1">
      <c r="A4636" s="12" t="s">
        <v>796</v>
      </c>
      <c r="B4636" s="30">
        <v>7.0000000000000001E-3</v>
      </c>
      <c r="C4636" s="24" t="s">
        <v>755</v>
      </c>
      <c r="D4636" s="35">
        <f>Prec.!C7</f>
        <v>250</v>
      </c>
      <c r="E4636" s="31">
        <f t="shared" si="365"/>
        <v>1.75</v>
      </c>
      <c r="F4636" s="32"/>
    </row>
    <row r="4637" spans="1:6" ht="12.75" customHeight="1">
      <c r="A4637" s="12" t="s">
        <v>1130</v>
      </c>
      <c r="B4637" s="30">
        <v>7.0000000000000001E-3</v>
      </c>
      <c r="C4637" s="24" t="s">
        <v>755</v>
      </c>
      <c r="D4637" s="35">
        <f>D4625</f>
        <v>15.58</v>
      </c>
      <c r="E4637" s="31">
        <f t="shared" si="365"/>
        <v>0.11</v>
      </c>
      <c r="F4637" s="32"/>
    </row>
    <row r="4638" spans="1:6" ht="12.75" customHeight="1">
      <c r="A4638" s="12" t="s">
        <v>1174</v>
      </c>
      <c r="B4638" s="30">
        <v>4.0000000000000001E-3</v>
      </c>
      <c r="C4638" s="24" t="s">
        <v>825</v>
      </c>
      <c r="D4638" s="35">
        <f>horm.ymez.!F9</f>
        <v>6160.53</v>
      </c>
      <c r="E4638" s="31">
        <f t="shared" si="365"/>
        <v>24.64</v>
      </c>
      <c r="F4638" s="32"/>
    </row>
    <row r="4639" spans="1:6" ht="12.75" customHeight="1">
      <c r="A4639" s="12" t="s">
        <v>1217</v>
      </c>
      <c r="B4639" s="30">
        <v>1</v>
      </c>
      <c r="C4639" s="24" t="s">
        <v>1171</v>
      </c>
      <c r="D4639" s="35">
        <f>Prec.!D467</f>
        <v>0</v>
      </c>
      <c r="E4639" s="31">
        <f t="shared" si="365"/>
        <v>0</v>
      </c>
      <c r="F4639" s="32"/>
    </row>
    <row r="4640" spans="1:6" ht="12.75" customHeight="1">
      <c r="A4640" s="12" t="s">
        <v>208</v>
      </c>
      <c r="B4640" s="30">
        <f>SUM(E4634:E4639)</f>
        <v>118.31</v>
      </c>
      <c r="C4640" s="24" t="s">
        <v>209</v>
      </c>
      <c r="D4640" s="35">
        <f>D4631</f>
        <v>1.4999999999999999E-2</v>
      </c>
      <c r="E4640" s="31">
        <f t="shared" si="365"/>
        <v>1.77</v>
      </c>
      <c r="F4640" s="32">
        <f>SUM(E4634:E4640)</f>
        <v>120.08</v>
      </c>
    </row>
    <row r="4641" spans="1:6" ht="12.75" customHeight="1">
      <c r="A4641" s="13"/>
      <c r="B4641" s="14"/>
      <c r="C4641" s="24"/>
      <c r="D4641" s="35"/>
      <c r="E4641" s="31"/>
      <c r="F4641" s="32"/>
    </row>
    <row r="4642" spans="1:6" ht="12.75" customHeight="1">
      <c r="A4642" s="13" t="s">
        <v>1220</v>
      </c>
      <c r="B4642" s="14"/>
      <c r="C4642" s="24"/>
      <c r="D4642" s="35"/>
      <c r="E4642" s="31"/>
      <c r="F4642" s="32"/>
    </row>
    <row r="4643" spans="1:6" ht="12.75" customHeight="1">
      <c r="A4643" s="12" t="s">
        <v>66</v>
      </c>
      <c r="B4643" s="30">
        <v>1</v>
      </c>
      <c r="C4643" s="24" t="s">
        <v>1171</v>
      </c>
      <c r="D4643" s="35">
        <f>Prec.!C139</f>
        <v>70.73</v>
      </c>
      <c r="E4643" s="31">
        <f t="shared" ref="E4643:E4649" si="366">ROUND(B4643*D4643,2)</f>
        <v>70.73</v>
      </c>
      <c r="F4643" s="32"/>
    </row>
    <row r="4644" spans="1:6" ht="12.75" customHeight="1">
      <c r="A4644" s="12" t="s">
        <v>870</v>
      </c>
      <c r="B4644" s="30">
        <v>1</v>
      </c>
      <c r="C4644" s="24" t="s">
        <v>1171</v>
      </c>
      <c r="D4644" s="35">
        <f>D4635</f>
        <v>1.81</v>
      </c>
      <c r="E4644" s="31">
        <f t="shared" si="366"/>
        <v>1.81</v>
      </c>
      <c r="F4644" s="32"/>
    </row>
    <row r="4645" spans="1:6" ht="12.75" customHeight="1">
      <c r="A4645" s="12" t="s">
        <v>657</v>
      </c>
      <c r="B4645" s="30">
        <v>7.0000000000000001E-3</v>
      </c>
      <c r="C4645" s="24" t="s">
        <v>755</v>
      </c>
      <c r="D4645" s="35">
        <f>Prec.!C8</f>
        <v>250</v>
      </c>
      <c r="E4645" s="31">
        <f t="shared" si="366"/>
        <v>1.75</v>
      </c>
      <c r="F4645" s="32"/>
    </row>
    <row r="4646" spans="1:6" ht="12.75" customHeight="1">
      <c r="A4646" s="12" t="s">
        <v>1130</v>
      </c>
      <c r="B4646" s="30">
        <v>7.0000000000000001E-3</v>
      </c>
      <c r="C4646" s="24" t="s">
        <v>755</v>
      </c>
      <c r="D4646" s="35">
        <f>D4637</f>
        <v>15.58</v>
      </c>
      <c r="E4646" s="31">
        <f t="shared" si="366"/>
        <v>0.11</v>
      </c>
      <c r="F4646" s="32"/>
    </row>
    <row r="4647" spans="1:6" ht="12.75" customHeight="1">
      <c r="A4647" s="12" t="s">
        <v>1174</v>
      </c>
      <c r="B4647" s="30">
        <v>4.0000000000000001E-3</v>
      </c>
      <c r="C4647" s="24" t="s">
        <v>825</v>
      </c>
      <c r="D4647" s="35">
        <f>D4638</f>
        <v>6160.53</v>
      </c>
      <c r="E4647" s="31">
        <f t="shared" si="366"/>
        <v>24.64</v>
      </c>
      <c r="F4647" s="32"/>
    </row>
    <row r="4648" spans="1:6" ht="12.75" customHeight="1">
      <c r="A4648" s="12" t="s">
        <v>1217</v>
      </c>
      <c r="B4648" s="30">
        <v>1</v>
      </c>
      <c r="C4648" s="24" t="s">
        <v>1171</v>
      </c>
      <c r="D4648" s="35">
        <f>D4639</f>
        <v>0</v>
      </c>
      <c r="E4648" s="31">
        <f t="shared" si="366"/>
        <v>0</v>
      </c>
      <c r="F4648" s="32"/>
    </row>
    <row r="4649" spans="1:6" ht="12.75" customHeight="1">
      <c r="A4649" s="12" t="s">
        <v>208</v>
      </c>
      <c r="B4649" s="30">
        <f>SUM(E4643:E4648)</f>
        <v>99.04</v>
      </c>
      <c r="C4649" s="24" t="s">
        <v>209</v>
      </c>
      <c r="D4649" s="35">
        <f>D4640</f>
        <v>1.4999999999999999E-2</v>
      </c>
      <c r="E4649" s="31">
        <f t="shared" si="366"/>
        <v>1.49</v>
      </c>
      <c r="F4649" s="32">
        <f>SUM(E4643:E4649)</f>
        <v>100.53</v>
      </c>
    </row>
    <row r="4650" spans="1:6" ht="12.75" customHeight="1">
      <c r="A4650" s="12"/>
      <c r="B4650" s="30"/>
      <c r="C4650" s="24"/>
      <c r="D4650" s="35"/>
      <c r="E4650" s="31"/>
      <c r="F4650" s="32"/>
    </row>
    <row r="4651" spans="1:6" ht="12.75" customHeight="1">
      <c r="A4651" s="12"/>
      <c r="B4651" s="30"/>
      <c r="C4651" s="24"/>
      <c r="D4651" s="35"/>
      <c r="E4651" s="31"/>
      <c r="F4651" s="32"/>
    </row>
    <row r="4652" spans="1:6" ht="12.75" customHeight="1">
      <c r="A4652" s="12"/>
      <c r="B4652" s="30"/>
      <c r="C4652" s="24"/>
      <c r="D4652" s="35"/>
      <c r="E4652" s="31"/>
      <c r="F4652" s="32"/>
    </row>
    <row r="4653" spans="1:6" ht="12.75" customHeight="1">
      <c r="A4653" s="12"/>
      <c r="B4653" s="30"/>
      <c r="C4653" s="24"/>
      <c r="D4653" s="35"/>
      <c r="E4653" s="31"/>
      <c r="F4653" s="32"/>
    </row>
    <row r="4654" spans="1:6" ht="12.75" customHeight="1">
      <c r="A4654" s="12"/>
      <c r="B4654" s="30"/>
      <c r="C4654" s="24"/>
      <c r="D4654" s="35"/>
      <c r="E4654" s="31"/>
      <c r="F4654" s="32"/>
    </row>
    <row r="4655" spans="1:6" ht="12.75" customHeight="1">
      <c r="A4655" s="12"/>
      <c r="B4655" s="30"/>
      <c r="C4655" s="24"/>
      <c r="D4655" s="35"/>
      <c r="E4655" s="31"/>
      <c r="F4655" s="32"/>
    </row>
    <row r="4656" spans="1:6" ht="12.75" customHeight="1">
      <c r="A4656" s="13" t="s">
        <v>67</v>
      </c>
      <c r="B4656" s="14"/>
      <c r="C4656" s="24"/>
      <c r="D4656" s="35"/>
      <c r="E4656" s="31"/>
      <c r="F4656" s="32"/>
    </row>
    <row r="4657" spans="1:6" ht="12.75" customHeight="1">
      <c r="A4657" s="12" t="s">
        <v>1216</v>
      </c>
      <c r="B4657" s="30">
        <v>1</v>
      </c>
      <c r="C4657" s="24" t="s">
        <v>1171</v>
      </c>
      <c r="D4657" s="35">
        <f>Prec.!C142</f>
        <v>58</v>
      </c>
      <c r="E4657" s="31">
        <f t="shared" ref="E4657:E4663" si="367">ROUND(B4657*D4657,2)</f>
        <v>58</v>
      </c>
      <c r="F4657" s="32"/>
    </row>
    <row r="4658" spans="1:6" ht="12.75" customHeight="1">
      <c r="A4658" s="12" t="s">
        <v>870</v>
      </c>
      <c r="B4658" s="30">
        <v>1</v>
      </c>
      <c r="C4658" s="24" t="s">
        <v>1171</v>
      </c>
      <c r="D4658" s="35">
        <f>D4644</f>
        <v>1.81</v>
      </c>
      <c r="E4658" s="31">
        <f t="shared" si="367"/>
        <v>1.81</v>
      </c>
      <c r="F4658" s="32"/>
    </row>
    <row r="4659" spans="1:6" ht="12.75" customHeight="1">
      <c r="A4659" s="12" t="s">
        <v>796</v>
      </c>
      <c r="B4659" s="30">
        <v>7.0000000000000001E-3</v>
      </c>
      <c r="C4659" s="24" t="s">
        <v>755</v>
      </c>
      <c r="D4659" s="35">
        <f>D4636</f>
        <v>250</v>
      </c>
      <c r="E4659" s="31">
        <f t="shared" si="367"/>
        <v>1.75</v>
      </c>
      <c r="F4659" s="32"/>
    </row>
    <row r="4660" spans="1:6" ht="12.75" customHeight="1">
      <c r="A4660" s="12" t="s">
        <v>1130</v>
      </c>
      <c r="B4660" s="30">
        <v>7.0000000000000001E-3</v>
      </c>
      <c r="C4660" s="24" t="s">
        <v>755</v>
      </c>
      <c r="D4660" s="35">
        <f>D4646</f>
        <v>15.58</v>
      </c>
      <c r="E4660" s="31">
        <f t="shared" si="367"/>
        <v>0.11</v>
      </c>
      <c r="F4660" s="32"/>
    </row>
    <row r="4661" spans="1:6" ht="12.75" customHeight="1">
      <c r="A4661" s="12" t="s">
        <v>1174</v>
      </c>
      <c r="B4661" s="30">
        <v>4.0000000000000001E-3</v>
      </c>
      <c r="C4661" s="24" t="s">
        <v>825</v>
      </c>
      <c r="D4661" s="35">
        <f>D4638</f>
        <v>6160.53</v>
      </c>
      <c r="E4661" s="31">
        <f t="shared" si="367"/>
        <v>24.64</v>
      </c>
      <c r="F4661" s="32"/>
    </row>
    <row r="4662" spans="1:6" ht="12.75" customHeight="1">
      <c r="A4662" s="12" t="s">
        <v>1217</v>
      </c>
      <c r="B4662" s="30">
        <v>1</v>
      </c>
      <c r="C4662" s="24" t="s">
        <v>1171</v>
      </c>
      <c r="D4662" s="35">
        <f>D4639</f>
        <v>0</v>
      </c>
      <c r="E4662" s="31">
        <f t="shared" si="367"/>
        <v>0</v>
      </c>
      <c r="F4662" s="32"/>
    </row>
    <row r="4663" spans="1:6" ht="12.75" customHeight="1">
      <c r="A4663" s="12" t="s">
        <v>208</v>
      </c>
      <c r="B4663" s="30">
        <f>SUM(E4657:E4662)</f>
        <v>86.31</v>
      </c>
      <c r="C4663" s="24" t="s">
        <v>209</v>
      </c>
      <c r="D4663" s="35">
        <f>D4649</f>
        <v>1.4999999999999999E-2</v>
      </c>
      <c r="E4663" s="31">
        <f t="shared" si="367"/>
        <v>1.29</v>
      </c>
      <c r="F4663" s="32">
        <f>SUM(E4657:E4663)</f>
        <v>87.600000000000009</v>
      </c>
    </row>
    <row r="4664" spans="1:6" ht="12.75" customHeight="1">
      <c r="A4664" s="13"/>
      <c r="B4664" s="14"/>
      <c r="C4664" s="24"/>
      <c r="D4664" s="35"/>
      <c r="E4664" s="31"/>
      <c r="F4664" s="32"/>
    </row>
    <row r="4665" spans="1:6" ht="12.75" customHeight="1">
      <c r="A4665" s="13" t="s">
        <v>1129</v>
      </c>
      <c r="B4665" s="14"/>
      <c r="C4665" s="24"/>
      <c r="D4665" s="35"/>
      <c r="E4665" s="31"/>
      <c r="F4665" s="32"/>
    </row>
    <row r="4666" spans="1:6" ht="12.75" customHeight="1">
      <c r="A4666" s="12" t="s">
        <v>66</v>
      </c>
      <c r="B4666" s="30">
        <v>1</v>
      </c>
      <c r="C4666" s="24" t="s">
        <v>1171</v>
      </c>
      <c r="D4666" s="35">
        <f>Prec.!C141</f>
        <v>78.3</v>
      </c>
      <c r="E4666" s="31">
        <f t="shared" ref="E4666:E4672" si="368">ROUND(B4666*D4666,2)</f>
        <v>78.3</v>
      </c>
      <c r="F4666" s="32"/>
    </row>
    <row r="4667" spans="1:6" ht="12.75" customHeight="1">
      <c r="A4667" s="12" t="s">
        <v>870</v>
      </c>
      <c r="B4667" s="30">
        <v>1</v>
      </c>
      <c r="C4667" s="24" t="s">
        <v>1171</v>
      </c>
      <c r="D4667" s="35">
        <f>D4658</f>
        <v>1.81</v>
      </c>
      <c r="E4667" s="31">
        <f t="shared" si="368"/>
        <v>1.81</v>
      </c>
      <c r="F4667" s="32"/>
    </row>
    <row r="4668" spans="1:6" ht="12.75" customHeight="1">
      <c r="A4668" s="12" t="s">
        <v>657</v>
      </c>
      <c r="B4668" s="30">
        <v>7.0000000000000001E-3</v>
      </c>
      <c r="C4668" s="24" t="s">
        <v>755</v>
      </c>
      <c r="D4668" s="35">
        <f>D4645</f>
        <v>250</v>
      </c>
      <c r="E4668" s="31">
        <f t="shared" si="368"/>
        <v>1.75</v>
      </c>
      <c r="F4668" s="32"/>
    </row>
    <row r="4669" spans="1:6" ht="12.75" customHeight="1">
      <c r="A4669" s="12" t="s">
        <v>1130</v>
      </c>
      <c r="B4669" s="30">
        <v>7.0000000000000001E-3</v>
      </c>
      <c r="C4669" s="24" t="s">
        <v>755</v>
      </c>
      <c r="D4669" s="35">
        <f>D4660</f>
        <v>15.58</v>
      </c>
      <c r="E4669" s="31">
        <f t="shared" si="368"/>
        <v>0.11</v>
      </c>
      <c r="F4669" s="32"/>
    </row>
    <row r="4670" spans="1:6" ht="12.75" customHeight="1">
      <c r="A4670" s="12" t="s">
        <v>1174</v>
      </c>
      <c r="B4670" s="30">
        <v>4.0000000000000001E-3</v>
      </c>
      <c r="C4670" s="24" t="s">
        <v>825</v>
      </c>
      <c r="D4670" s="35">
        <f>D4661</f>
        <v>6160.53</v>
      </c>
      <c r="E4670" s="31">
        <f t="shared" si="368"/>
        <v>24.64</v>
      </c>
      <c r="F4670" s="32"/>
    </row>
    <row r="4671" spans="1:6" ht="12.75" customHeight="1">
      <c r="A4671" s="12" t="s">
        <v>1217</v>
      </c>
      <c r="B4671" s="30">
        <v>1</v>
      </c>
      <c r="C4671" s="24" t="s">
        <v>1171</v>
      </c>
      <c r="D4671" s="35">
        <f>D4662</f>
        <v>0</v>
      </c>
      <c r="E4671" s="31">
        <f t="shared" si="368"/>
        <v>0</v>
      </c>
      <c r="F4671" s="32"/>
    </row>
    <row r="4672" spans="1:6" ht="12.75" customHeight="1">
      <c r="A4672" s="12" t="s">
        <v>208</v>
      </c>
      <c r="B4672" s="30">
        <f>SUM(E4666:E4671)</f>
        <v>106.61</v>
      </c>
      <c r="C4672" s="24" t="s">
        <v>209</v>
      </c>
      <c r="D4672" s="35">
        <f>D4663</f>
        <v>1.4999999999999999E-2</v>
      </c>
      <c r="E4672" s="31">
        <f t="shared" si="368"/>
        <v>1.6</v>
      </c>
      <c r="F4672" s="32">
        <f>SUM(E4666:E4672)</f>
        <v>108.21</v>
      </c>
    </row>
    <row r="4673" spans="1:6" ht="12.75" customHeight="1">
      <c r="A4673" s="12"/>
      <c r="B4673" s="14"/>
      <c r="C4673" s="24"/>
      <c r="D4673" s="35"/>
      <c r="E4673" s="31"/>
      <c r="F4673" s="32"/>
    </row>
    <row r="4674" spans="1:6" ht="12.75" customHeight="1">
      <c r="A4674" s="23" t="s">
        <v>745</v>
      </c>
      <c r="B4674" s="7"/>
    </row>
    <row r="4675" spans="1:6" ht="12.75" customHeight="1">
      <c r="A4675" s="2"/>
      <c r="B4675" s="7"/>
    </row>
    <row r="4676" spans="1:6" ht="12.75" customHeight="1">
      <c r="A4676" s="1" t="s">
        <v>1006</v>
      </c>
      <c r="B4676" s="11"/>
      <c r="C4676" s="2"/>
      <c r="E4676" s="27" t="s">
        <v>151</v>
      </c>
      <c r="F4676" s="28" t="s">
        <v>213</v>
      </c>
    </row>
    <row r="4677" spans="1:6" ht="12.75" customHeight="1">
      <c r="A4677" s="4" t="s">
        <v>421</v>
      </c>
      <c r="B4677" s="8">
        <v>8.4000000000000005E-2</v>
      </c>
      <c r="C4677" s="6" t="s">
        <v>825</v>
      </c>
      <c r="D4677" s="37">
        <f>horm.ymez.!G14</f>
        <v>5976.1900000000005</v>
      </c>
      <c r="E4677" s="25">
        <f>ROUND(B4677*D4677,2)</f>
        <v>502</v>
      </c>
    </row>
    <row r="4678" spans="1:6" ht="12.75" customHeight="1">
      <c r="A4678" s="4" t="s">
        <v>1168</v>
      </c>
      <c r="B4678" s="8">
        <v>1</v>
      </c>
      <c r="C4678" s="6" t="s">
        <v>213</v>
      </c>
      <c r="D4678" s="37">
        <f>D4428</f>
        <v>0</v>
      </c>
      <c r="E4678" s="25">
        <f>ROUND(B4678*D4678,2)</f>
        <v>0</v>
      </c>
    </row>
    <row r="4679" spans="1:6" ht="12.75" customHeight="1">
      <c r="A4679" s="4" t="s">
        <v>208</v>
      </c>
      <c r="B4679" s="7">
        <f>SUM(E4677:E4678)</f>
        <v>502</v>
      </c>
      <c r="C4679" s="6" t="s">
        <v>209</v>
      </c>
      <c r="D4679" s="37">
        <f>Prec.!C302</f>
        <v>1.4999999999999999E-2</v>
      </c>
      <c r="E4679" s="25">
        <f>ROUND(B4679*D4679,2)</f>
        <v>7.53</v>
      </c>
      <c r="F4679" s="26">
        <f>SUM(E4677:E4679)</f>
        <v>509.53</v>
      </c>
    </row>
    <row r="4680" spans="1:6" ht="12.75" customHeight="1">
      <c r="B4680" s="7"/>
    </row>
    <row r="4681" spans="1:6" ht="12.75" customHeight="1">
      <c r="A4681" s="1" t="s">
        <v>1077</v>
      </c>
      <c r="B4681" s="11"/>
      <c r="C4681" s="2"/>
      <c r="E4681" s="27" t="s">
        <v>151</v>
      </c>
      <c r="F4681" s="28" t="s">
        <v>213</v>
      </c>
    </row>
    <row r="4682" spans="1:6" ht="12.75" customHeight="1">
      <c r="A4682" s="4" t="s">
        <v>421</v>
      </c>
      <c r="B4682" s="8">
        <v>8.4000000000000005E-2</v>
      </c>
      <c r="C4682" s="6" t="s">
        <v>825</v>
      </c>
      <c r="D4682" s="37">
        <f>D4677</f>
        <v>5976.1900000000005</v>
      </c>
      <c r="E4682" s="25">
        <f t="shared" ref="E4682:E4687" si="369">ROUND(B4682*D4682,2)</f>
        <v>502</v>
      </c>
    </row>
    <row r="4683" spans="1:6" ht="12.75" customHeight="1">
      <c r="A4683" s="4" t="s">
        <v>427</v>
      </c>
      <c r="B4683" s="8">
        <v>2.1999999999999999E-2</v>
      </c>
      <c r="C4683" s="6" t="s">
        <v>825</v>
      </c>
      <c r="D4683" s="37">
        <f>horm.ymez.!G8</f>
        <v>7343.1500000000005</v>
      </c>
      <c r="E4683" s="25">
        <f t="shared" si="369"/>
        <v>161.55000000000001</v>
      </c>
    </row>
    <row r="4684" spans="1:6" ht="12.75" customHeight="1">
      <c r="A4684" s="4" t="s">
        <v>183</v>
      </c>
      <c r="B4684" s="8">
        <v>8.7999999999999995E-2</v>
      </c>
      <c r="C4684" s="6" t="s">
        <v>211</v>
      </c>
      <c r="D4684" s="37">
        <f>D4192</f>
        <v>38</v>
      </c>
      <c r="E4684" s="25">
        <f t="shared" si="369"/>
        <v>3.34</v>
      </c>
    </row>
    <row r="4685" spans="1:6" ht="12.75" customHeight="1">
      <c r="A4685" s="4" t="s">
        <v>1170</v>
      </c>
      <c r="B4685" s="8">
        <v>0.8</v>
      </c>
      <c r="C4685" s="6" t="s">
        <v>1171</v>
      </c>
      <c r="D4685" s="37">
        <f>Prec.!$D$438</f>
        <v>0</v>
      </c>
      <c r="E4685" s="25">
        <f t="shared" si="369"/>
        <v>0</v>
      </c>
    </row>
    <row r="4686" spans="1:6" ht="12.75" customHeight="1">
      <c r="A4686" s="4" t="s">
        <v>1168</v>
      </c>
      <c r="B4686" s="8">
        <v>1</v>
      </c>
      <c r="C4686" s="6" t="s">
        <v>213</v>
      </c>
      <c r="D4686" s="37">
        <f>Prec.!$D$450</f>
        <v>0</v>
      </c>
      <c r="E4686" s="25">
        <f t="shared" si="369"/>
        <v>0</v>
      </c>
    </row>
    <row r="4687" spans="1:6" ht="12.75" customHeight="1">
      <c r="A4687" s="4" t="s">
        <v>208</v>
      </c>
      <c r="B4687" s="7">
        <f>SUM(E4682:E4686)</f>
        <v>666.89</v>
      </c>
      <c r="C4687" s="6" t="s">
        <v>209</v>
      </c>
      <c r="D4687" s="37">
        <f>Prec.!C302</f>
        <v>1.4999999999999999E-2</v>
      </c>
      <c r="E4687" s="25">
        <f t="shared" si="369"/>
        <v>10</v>
      </c>
      <c r="F4687" s="26">
        <f>SUM(E4682:E4687)</f>
        <v>676.89</v>
      </c>
    </row>
    <row r="4688" spans="1:6" ht="12.75" customHeight="1">
      <c r="B4688" s="7"/>
    </row>
    <row r="4689" spans="1:6" ht="12.75" customHeight="1">
      <c r="A4689" s="1" t="s">
        <v>1078</v>
      </c>
      <c r="B4689" s="11"/>
      <c r="C4689" s="2"/>
      <c r="E4689" s="27" t="s">
        <v>151</v>
      </c>
      <c r="F4689" s="28" t="s">
        <v>213</v>
      </c>
    </row>
    <row r="4690" spans="1:6" ht="12.75" customHeight="1">
      <c r="A4690" s="4" t="s">
        <v>1</v>
      </c>
      <c r="B4690" s="8">
        <v>4.4999999999999998E-2</v>
      </c>
      <c r="C4690" s="6" t="s">
        <v>823</v>
      </c>
      <c r="D4690" s="36">
        <f>Prec.!$C$5</f>
        <v>425</v>
      </c>
      <c r="E4690" s="25">
        <f t="shared" ref="E4690:E4696" si="370">ROUND(B4690*D4690,2)</f>
        <v>19.13</v>
      </c>
    </row>
    <row r="4691" spans="1:6" ht="12.75" customHeight="1">
      <c r="A4691" s="4" t="s">
        <v>421</v>
      </c>
      <c r="B4691" s="8">
        <v>8.4000000000000005E-2</v>
      </c>
      <c r="C4691" s="6" t="s">
        <v>825</v>
      </c>
      <c r="D4691" s="37">
        <f>D4682</f>
        <v>5976.1900000000005</v>
      </c>
      <c r="E4691" s="25">
        <f t="shared" si="370"/>
        <v>502</v>
      </c>
    </row>
    <row r="4692" spans="1:6" ht="12.75" customHeight="1">
      <c r="A4692" s="4" t="s">
        <v>427</v>
      </c>
      <c r="B4692" s="8">
        <v>2.1999999999999999E-2</v>
      </c>
      <c r="C4692" s="6" t="s">
        <v>825</v>
      </c>
      <c r="D4692" s="37">
        <f>D4683</f>
        <v>7343.1500000000005</v>
      </c>
      <c r="E4692" s="25">
        <f t="shared" si="370"/>
        <v>161.55000000000001</v>
      </c>
    </row>
    <row r="4693" spans="1:6" ht="12.75" customHeight="1">
      <c r="A4693" s="4" t="s">
        <v>183</v>
      </c>
      <c r="B4693" s="8">
        <v>8.7999999999999995E-2</v>
      </c>
      <c r="C4693" s="6" t="s">
        <v>211</v>
      </c>
      <c r="D4693" s="37">
        <f>D4684</f>
        <v>38</v>
      </c>
      <c r="E4693" s="25">
        <f t="shared" si="370"/>
        <v>3.34</v>
      </c>
    </row>
    <row r="4694" spans="1:6" ht="12.75" customHeight="1">
      <c r="A4694" s="4" t="s">
        <v>1170</v>
      </c>
      <c r="B4694" s="8">
        <v>0.8</v>
      </c>
      <c r="C4694" s="6" t="s">
        <v>1171</v>
      </c>
      <c r="D4694" s="37">
        <f>Prec.!$D$438</f>
        <v>0</v>
      </c>
      <c r="E4694" s="25">
        <f t="shared" si="370"/>
        <v>0</v>
      </c>
    </row>
    <row r="4695" spans="1:6" ht="12.75" customHeight="1">
      <c r="A4695" s="4" t="s">
        <v>1168</v>
      </c>
      <c r="B4695" s="8">
        <v>1</v>
      </c>
      <c r="C4695" s="6" t="s">
        <v>213</v>
      </c>
      <c r="D4695" s="37">
        <f>Prec.!$D$452</f>
        <v>0</v>
      </c>
      <c r="E4695" s="25">
        <f t="shared" si="370"/>
        <v>0</v>
      </c>
    </row>
    <row r="4696" spans="1:6" ht="12.75" customHeight="1">
      <c r="A4696" s="4" t="s">
        <v>208</v>
      </c>
      <c r="B4696" s="7">
        <f>SUM(E4690:E4695)</f>
        <v>686.0200000000001</v>
      </c>
      <c r="C4696" s="6" t="s">
        <v>209</v>
      </c>
      <c r="D4696" s="37">
        <f>Prec.!C302</f>
        <v>1.4999999999999999E-2</v>
      </c>
      <c r="E4696" s="25">
        <f t="shared" si="370"/>
        <v>10.29</v>
      </c>
      <c r="F4696" s="26">
        <f>SUM(E4690:E4696)</f>
        <v>696.31000000000006</v>
      </c>
    </row>
    <row r="4697" spans="1:6" ht="12.75" customHeight="1">
      <c r="B4697" s="7"/>
    </row>
    <row r="4698" spans="1:6" ht="12.75" customHeight="1">
      <c r="B4698" s="7"/>
    </row>
    <row r="4699" spans="1:6" ht="12.75" customHeight="1">
      <c r="B4699" s="7"/>
    </row>
    <row r="4700" spans="1:6" ht="12.75" customHeight="1">
      <c r="B4700" s="7"/>
    </row>
    <row r="4701" spans="1:6" ht="12.75" customHeight="1">
      <c r="B4701" s="7"/>
    </row>
    <row r="4702" spans="1:6" ht="12.75" customHeight="1">
      <c r="B4702" s="7"/>
    </row>
    <row r="4703" spans="1:6" ht="12.75" customHeight="1">
      <c r="B4703" s="7"/>
    </row>
    <row r="4704" spans="1:6" ht="12.75" customHeight="1">
      <c r="B4704" s="7"/>
    </row>
    <row r="4705" spans="1:6" ht="12.75" customHeight="1">
      <c r="B4705" s="7"/>
    </row>
    <row r="4706" spans="1:6" ht="12.75" customHeight="1">
      <c r="A4706" s="1" t="s">
        <v>1079</v>
      </c>
      <c r="B4706" s="11"/>
      <c r="C4706" s="2"/>
      <c r="E4706" s="27" t="s">
        <v>151</v>
      </c>
      <c r="F4706" s="28" t="s">
        <v>213</v>
      </c>
    </row>
    <row r="4707" spans="1:6" ht="12.75" customHeight="1">
      <c r="A4707" s="4" t="s">
        <v>672</v>
      </c>
      <c r="B4707" s="8">
        <v>11.67</v>
      </c>
      <c r="C4707" s="6" t="s">
        <v>1017</v>
      </c>
      <c r="D4707" s="37">
        <f>Prec.!$C$102</f>
        <v>34.76</v>
      </c>
      <c r="E4707" s="25">
        <f t="shared" ref="E4707:E4716" si="371">ROUND(B4707*D4707,2)</f>
        <v>405.65</v>
      </c>
    </row>
    <row r="4708" spans="1:6" ht="12.75" customHeight="1">
      <c r="A4708" s="4" t="s">
        <v>673</v>
      </c>
      <c r="B4708" s="8">
        <v>7.0000000000000007E-2</v>
      </c>
      <c r="C4708" s="6" t="s">
        <v>1172</v>
      </c>
      <c r="D4708" s="37">
        <f>Prec.!$C$8</f>
        <v>250</v>
      </c>
      <c r="E4708" s="25">
        <f t="shared" si="371"/>
        <v>17.5</v>
      </c>
    </row>
    <row r="4709" spans="1:6" ht="12.75" customHeight="1">
      <c r="A4709" s="4" t="s">
        <v>1174</v>
      </c>
      <c r="B4709" s="8">
        <v>3.2000000000000001E-2</v>
      </c>
      <c r="C4709" s="6" t="s">
        <v>825</v>
      </c>
      <c r="D4709" s="37">
        <f>horm.ymez.!G9</f>
        <v>6334.35</v>
      </c>
      <c r="E4709" s="25">
        <f t="shared" si="371"/>
        <v>202.7</v>
      </c>
    </row>
    <row r="4710" spans="1:6" ht="12.75" customHeight="1">
      <c r="A4710" s="4" t="s">
        <v>1173</v>
      </c>
      <c r="B4710" s="8">
        <v>0.05</v>
      </c>
      <c r="C4710" s="6" t="s">
        <v>1018</v>
      </c>
      <c r="D4710" s="37">
        <f>Prec.!$C$82</f>
        <v>75</v>
      </c>
      <c r="E4710" s="25">
        <f t="shared" si="371"/>
        <v>3.75</v>
      </c>
    </row>
    <row r="4711" spans="1:6" ht="12.75" customHeight="1">
      <c r="A4711" s="4" t="s">
        <v>1015</v>
      </c>
      <c r="B4711" s="8">
        <v>3</v>
      </c>
      <c r="C4711" s="6" t="s">
        <v>1017</v>
      </c>
      <c r="D4711" s="37">
        <f>Prec.!D490</f>
        <v>11.93</v>
      </c>
      <c r="E4711" s="25">
        <f t="shared" si="371"/>
        <v>35.79</v>
      </c>
    </row>
    <row r="4712" spans="1:6" ht="12.75" customHeight="1">
      <c r="A4712" s="4" t="s">
        <v>674</v>
      </c>
      <c r="B4712" s="8">
        <v>1</v>
      </c>
      <c r="C4712" s="6" t="s">
        <v>213</v>
      </c>
      <c r="D4712" s="37">
        <f>Prec.!$D$458</f>
        <v>0</v>
      </c>
      <c r="E4712" s="25">
        <f t="shared" si="371"/>
        <v>0</v>
      </c>
    </row>
    <row r="4713" spans="1:6" ht="12.75" customHeight="1">
      <c r="A4713" s="4" t="s">
        <v>1016</v>
      </c>
      <c r="B4713" s="8">
        <v>1</v>
      </c>
      <c r="C4713" s="6" t="s">
        <v>213</v>
      </c>
      <c r="D4713" s="37">
        <f>Prec.!$D$444</f>
        <v>160.08000000000001</v>
      </c>
      <c r="E4713" s="25">
        <f t="shared" si="371"/>
        <v>160.08000000000001</v>
      </c>
    </row>
    <row r="4714" spans="1:6" ht="12.75" customHeight="1">
      <c r="A4714" s="4" t="s">
        <v>1155</v>
      </c>
      <c r="B4714" s="8">
        <v>1</v>
      </c>
      <c r="C4714" s="6" t="s">
        <v>213</v>
      </c>
      <c r="D4714" s="37">
        <f>Prec.!D552</f>
        <v>27.85</v>
      </c>
      <c r="E4714" s="25">
        <f t="shared" si="371"/>
        <v>27.85</v>
      </c>
    </row>
    <row r="4715" spans="1:6" ht="12.75" customHeight="1">
      <c r="A4715" s="4" t="s">
        <v>1154</v>
      </c>
      <c r="B4715" s="8">
        <v>7.0000000000000007E-2</v>
      </c>
      <c r="C4715" s="6" t="s">
        <v>1172</v>
      </c>
      <c r="D4715" s="37">
        <f>Prec.!D565</f>
        <v>20.38</v>
      </c>
      <c r="E4715" s="25">
        <f t="shared" si="371"/>
        <v>1.43</v>
      </c>
    </row>
    <row r="4716" spans="1:6" ht="12.75" customHeight="1">
      <c r="A4716" s="4" t="s">
        <v>208</v>
      </c>
      <c r="B4716" s="7">
        <f>SUM(E4707:E4715)</f>
        <v>854.74999999999989</v>
      </c>
      <c r="C4716" s="6" t="s">
        <v>209</v>
      </c>
      <c r="D4716" s="37">
        <f>Prec.!C302</f>
        <v>1.4999999999999999E-2</v>
      </c>
      <c r="E4716" s="25">
        <f t="shared" si="371"/>
        <v>12.82</v>
      </c>
      <c r="F4716" s="26">
        <f>SUM(E4707:E4716)</f>
        <v>867.56999999999994</v>
      </c>
    </row>
    <row r="4717" spans="1:6" ht="12.75" customHeight="1">
      <c r="B4717" s="7"/>
    </row>
    <row r="4718" spans="1:6" ht="12.75" customHeight="1">
      <c r="A4718" s="1" t="s">
        <v>1080</v>
      </c>
      <c r="B4718" s="11"/>
      <c r="C4718" s="2"/>
      <c r="E4718" s="27" t="s">
        <v>151</v>
      </c>
      <c r="F4718" s="28" t="s">
        <v>213</v>
      </c>
    </row>
    <row r="4719" spans="1:6" ht="12.75" customHeight="1">
      <c r="A4719" s="4" t="s">
        <v>672</v>
      </c>
      <c r="B4719" s="8">
        <v>11.67</v>
      </c>
      <c r="C4719" s="6" t="s">
        <v>1017</v>
      </c>
      <c r="D4719" s="37">
        <f>Prec.!$C$103</f>
        <v>59.27</v>
      </c>
      <c r="E4719" s="25">
        <f t="shared" ref="E4719:E4728" si="372">ROUND(B4719*D4719,2)</f>
        <v>691.68</v>
      </c>
    </row>
    <row r="4720" spans="1:6" ht="12.75" customHeight="1">
      <c r="A4720" s="4" t="s">
        <v>622</v>
      </c>
      <c r="B4720" s="8">
        <v>7.0000000000000007E-2</v>
      </c>
      <c r="C4720" s="6" t="s">
        <v>1172</v>
      </c>
      <c r="D4720" s="37">
        <f>Prec.!$C$7</f>
        <v>250</v>
      </c>
      <c r="E4720" s="25">
        <f t="shared" si="372"/>
        <v>17.5</v>
      </c>
    </row>
    <row r="4721" spans="1:6" ht="12.75" customHeight="1">
      <c r="A4721" s="4" t="s">
        <v>1174</v>
      </c>
      <c r="B4721" s="8">
        <v>3.2000000000000001E-2</v>
      </c>
      <c r="C4721" s="6" t="s">
        <v>825</v>
      </c>
      <c r="D4721" s="37">
        <f>D4709</f>
        <v>6334.35</v>
      </c>
      <c r="E4721" s="25">
        <f t="shared" si="372"/>
        <v>202.7</v>
      </c>
    </row>
    <row r="4722" spans="1:6" ht="12.75" customHeight="1">
      <c r="A4722" s="4" t="s">
        <v>1173</v>
      </c>
      <c r="B4722" s="8">
        <v>0.05</v>
      </c>
      <c r="C4722" s="6" t="s">
        <v>1018</v>
      </c>
      <c r="D4722" s="37">
        <f>Prec.!$C$82</f>
        <v>75</v>
      </c>
      <c r="E4722" s="25">
        <f t="shared" si="372"/>
        <v>3.75</v>
      </c>
    </row>
    <row r="4723" spans="1:6" ht="12.75" customHeight="1">
      <c r="A4723" s="4" t="s">
        <v>1015</v>
      </c>
      <c r="B4723" s="8">
        <v>3</v>
      </c>
      <c r="C4723" s="6" t="s">
        <v>1017</v>
      </c>
      <c r="D4723" s="37">
        <f>D4711</f>
        <v>11.93</v>
      </c>
      <c r="E4723" s="25">
        <f t="shared" si="372"/>
        <v>35.79</v>
      </c>
    </row>
    <row r="4724" spans="1:6" ht="12.75" customHeight="1">
      <c r="A4724" s="4" t="s">
        <v>674</v>
      </c>
      <c r="B4724" s="8">
        <v>1</v>
      </c>
      <c r="C4724" s="6" t="s">
        <v>213</v>
      </c>
      <c r="D4724" s="37">
        <f>Prec.!$D$458</f>
        <v>0</v>
      </c>
      <c r="E4724" s="25">
        <f t="shared" si="372"/>
        <v>0</v>
      </c>
    </row>
    <row r="4725" spans="1:6" ht="12.75" customHeight="1">
      <c r="A4725" s="4" t="s">
        <v>1016</v>
      </c>
      <c r="B4725" s="8">
        <v>1</v>
      </c>
      <c r="C4725" s="6" t="s">
        <v>213</v>
      </c>
      <c r="D4725" s="37">
        <f>Prec.!$D$444</f>
        <v>160.08000000000001</v>
      </c>
      <c r="E4725" s="25">
        <f t="shared" si="372"/>
        <v>160.08000000000001</v>
      </c>
    </row>
    <row r="4726" spans="1:6" ht="12.75" customHeight="1">
      <c r="A4726" s="4" t="s">
        <v>1155</v>
      </c>
      <c r="B4726" s="8">
        <v>1</v>
      </c>
      <c r="C4726" s="6" t="s">
        <v>213</v>
      </c>
      <c r="D4726" s="37">
        <f>D4714</f>
        <v>27.85</v>
      </c>
      <c r="E4726" s="25">
        <f t="shared" si="372"/>
        <v>27.85</v>
      </c>
    </row>
    <row r="4727" spans="1:6" ht="12.75" customHeight="1">
      <c r="A4727" s="4" t="s">
        <v>1154</v>
      </c>
      <c r="B4727" s="8">
        <v>7.0000000000000007E-2</v>
      </c>
      <c r="C4727" s="6" t="s">
        <v>1172</v>
      </c>
      <c r="D4727" s="37">
        <f>D4715</f>
        <v>20.38</v>
      </c>
      <c r="E4727" s="25">
        <f t="shared" si="372"/>
        <v>1.43</v>
      </c>
    </row>
    <row r="4728" spans="1:6" ht="12.75" customHeight="1">
      <c r="A4728" s="4" t="s">
        <v>208</v>
      </c>
      <c r="B4728" s="7">
        <f>SUM(E4719:E4727)</f>
        <v>1140.7799999999997</v>
      </c>
      <c r="C4728" s="6" t="s">
        <v>209</v>
      </c>
      <c r="D4728" s="37">
        <f>Prec.!C302</f>
        <v>1.4999999999999999E-2</v>
      </c>
      <c r="E4728" s="25">
        <f t="shared" si="372"/>
        <v>17.11</v>
      </c>
      <c r="F4728" s="26">
        <f>SUM(E4719:E4728)</f>
        <v>1157.8899999999996</v>
      </c>
    </row>
    <row r="4729" spans="1:6" ht="12.75" customHeight="1">
      <c r="B4729" s="7"/>
    </row>
    <row r="4730" spans="1:6" ht="12.75" customHeight="1">
      <c r="A4730" s="1" t="s">
        <v>612</v>
      </c>
      <c r="B4730" s="11"/>
      <c r="C4730" s="2"/>
      <c r="E4730" s="27" t="s">
        <v>151</v>
      </c>
      <c r="F4730" s="28" t="s">
        <v>213</v>
      </c>
    </row>
    <row r="4731" spans="1:6" ht="12.75" customHeight="1">
      <c r="A4731" s="4" t="s">
        <v>672</v>
      </c>
      <c r="B4731" s="8">
        <v>6.56</v>
      </c>
      <c r="C4731" s="6" t="s">
        <v>1017</v>
      </c>
      <c r="D4731" s="37">
        <f>Prec.!C104</f>
        <v>107.65</v>
      </c>
      <c r="E4731" s="25">
        <f t="shared" ref="E4731:E4740" si="373">ROUND(B4731*D4731,2)</f>
        <v>706.18</v>
      </c>
    </row>
    <row r="4732" spans="1:6" ht="12.75" customHeight="1">
      <c r="A4732" s="4" t="s">
        <v>673</v>
      </c>
      <c r="B4732" s="8">
        <v>7.0000000000000007E-2</v>
      </c>
      <c r="C4732" s="6" t="s">
        <v>1172</v>
      </c>
      <c r="D4732" s="37">
        <f>Prec.!$C$8</f>
        <v>250</v>
      </c>
      <c r="E4732" s="25">
        <f t="shared" si="373"/>
        <v>17.5</v>
      </c>
    </row>
    <row r="4733" spans="1:6" ht="12.75" customHeight="1">
      <c r="A4733" s="4" t="s">
        <v>1174</v>
      </c>
      <c r="B4733" s="8">
        <v>3.2000000000000001E-2</v>
      </c>
      <c r="C4733" s="6" t="s">
        <v>825</v>
      </c>
      <c r="D4733" s="37">
        <f>D4721</f>
        <v>6334.35</v>
      </c>
      <c r="E4733" s="25">
        <f t="shared" si="373"/>
        <v>202.7</v>
      </c>
    </row>
    <row r="4734" spans="1:6" ht="12.75" customHeight="1">
      <c r="A4734" s="4" t="s">
        <v>1173</v>
      </c>
      <c r="B4734" s="8">
        <v>0.05</v>
      </c>
      <c r="C4734" s="6" t="s">
        <v>1018</v>
      </c>
      <c r="D4734" s="37">
        <f>Prec.!$C$82</f>
        <v>75</v>
      </c>
      <c r="E4734" s="25">
        <f t="shared" si="373"/>
        <v>3.75</v>
      </c>
    </row>
    <row r="4735" spans="1:6" ht="12.75" customHeight="1">
      <c r="A4735" s="4" t="s">
        <v>1015</v>
      </c>
      <c r="B4735" s="8">
        <v>3</v>
      </c>
      <c r="C4735" s="6" t="s">
        <v>1017</v>
      </c>
      <c r="D4735" s="37">
        <f>Prec.!D491</f>
        <v>11.93</v>
      </c>
      <c r="E4735" s="25">
        <f t="shared" si="373"/>
        <v>35.79</v>
      </c>
    </row>
    <row r="4736" spans="1:6" ht="12.75" customHeight="1">
      <c r="A4736" s="4" t="s">
        <v>674</v>
      </c>
      <c r="B4736" s="8">
        <v>1</v>
      </c>
      <c r="C4736" s="6" t="s">
        <v>213</v>
      </c>
      <c r="D4736" s="37">
        <f>Prec.!D457</f>
        <v>0</v>
      </c>
      <c r="E4736" s="25">
        <f t="shared" si="373"/>
        <v>0</v>
      </c>
    </row>
    <row r="4737" spans="1:6" ht="12.75" customHeight="1">
      <c r="A4737" s="4" t="s">
        <v>1016</v>
      </c>
      <c r="B4737" s="8">
        <v>1</v>
      </c>
      <c r="C4737" s="6" t="s">
        <v>213</v>
      </c>
      <c r="D4737" s="37">
        <f>Prec.!$D$444</f>
        <v>160.08000000000001</v>
      </c>
      <c r="E4737" s="25">
        <f t="shared" si="373"/>
        <v>160.08000000000001</v>
      </c>
    </row>
    <row r="4738" spans="1:6" ht="12.75" customHeight="1">
      <c r="A4738" s="4" t="s">
        <v>1155</v>
      </c>
      <c r="B4738" s="8">
        <v>1</v>
      </c>
      <c r="C4738" s="6" t="s">
        <v>213</v>
      </c>
      <c r="D4738" s="37">
        <f>D4726</f>
        <v>27.85</v>
      </c>
      <c r="E4738" s="25">
        <f t="shared" si="373"/>
        <v>27.85</v>
      </c>
    </row>
    <row r="4739" spans="1:6" ht="12.75" customHeight="1">
      <c r="A4739" s="4" t="s">
        <v>1154</v>
      </c>
      <c r="B4739" s="8">
        <v>7.0000000000000007E-2</v>
      </c>
      <c r="C4739" s="6" t="s">
        <v>1172</v>
      </c>
      <c r="D4739" s="37">
        <f>D4727</f>
        <v>20.38</v>
      </c>
      <c r="E4739" s="25">
        <f t="shared" si="373"/>
        <v>1.43</v>
      </c>
    </row>
    <row r="4740" spans="1:6" ht="12.75" customHeight="1">
      <c r="A4740" s="4" t="s">
        <v>208</v>
      </c>
      <c r="B4740" s="7">
        <f>SUM(E4731:E4739)</f>
        <v>1155.2799999999997</v>
      </c>
      <c r="C4740" s="6" t="s">
        <v>209</v>
      </c>
      <c r="D4740" s="37">
        <f>D4728</f>
        <v>1.4999999999999999E-2</v>
      </c>
      <c r="E4740" s="25">
        <f t="shared" si="373"/>
        <v>17.329999999999998</v>
      </c>
      <c r="F4740" s="26">
        <f>SUM(E4731:E4740)</f>
        <v>1172.6099999999997</v>
      </c>
    </row>
    <row r="4741" spans="1:6" ht="12.75" customHeight="1">
      <c r="B4741" s="7"/>
    </row>
    <row r="4742" spans="1:6" ht="12.75" customHeight="1">
      <c r="A4742" s="1" t="s">
        <v>502</v>
      </c>
      <c r="B4742" s="11"/>
      <c r="C4742" s="2"/>
      <c r="E4742" s="27" t="s">
        <v>151</v>
      </c>
      <c r="F4742" s="28" t="s">
        <v>213</v>
      </c>
    </row>
    <row r="4743" spans="1:6" ht="12.75" customHeight="1">
      <c r="A4743" s="4" t="s">
        <v>649</v>
      </c>
      <c r="B4743" s="8">
        <v>6.56</v>
      </c>
      <c r="C4743" s="6" t="s">
        <v>1017</v>
      </c>
      <c r="D4743" s="37">
        <f>Prec.!C105</f>
        <v>62.63</v>
      </c>
      <c r="E4743" s="25">
        <f t="shared" ref="E4743:E4752" si="374">ROUND(B4743*D4743,2)</f>
        <v>410.85</v>
      </c>
    </row>
    <row r="4744" spans="1:6" ht="12.75" customHeight="1">
      <c r="A4744" s="4" t="s">
        <v>622</v>
      </c>
      <c r="B4744" s="8">
        <v>7.0000000000000007E-2</v>
      </c>
      <c r="C4744" s="6" t="s">
        <v>1172</v>
      </c>
      <c r="D4744" s="37">
        <f>Prec.!$C$7</f>
        <v>250</v>
      </c>
      <c r="E4744" s="25">
        <f t="shared" si="374"/>
        <v>17.5</v>
      </c>
    </row>
    <row r="4745" spans="1:6" ht="12.75" customHeight="1">
      <c r="A4745" s="4" t="s">
        <v>1174</v>
      </c>
      <c r="B4745" s="8">
        <v>3.2000000000000001E-2</v>
      </c>
      <c r="C4745" s="6" t="s">
        <v>825</v>
      </c>
      <c r="D4745" s="37">
        <f>D4733</f>
        <v>6334.35</v>
      </c>
      <c r="E4745" s="25">
        <f t="shared" si="374"/>
        <v>202.7</v>
      </c>
    </row>
    <row r="4746" spans="1:6" ht="12.75" customHeight="1">
      <c r="A4746" s="4" t="s">
        <v>1173</v>
      </c>
      <c r="B4746" s="8">
        <v>0.05</v>
      </c>
      <c r="C4746" s="6" t="s">
        <v>1018</v>
      </c>
      <c r="D4746" s="37">
        <f>Prec.!$C$82</f>
        <v>75</v>
      </c>
      <c r="E4746" s="25">
        <f t="shared" si="374"/>
        <v>3.75</v>
      </c>
    </row>
    <row r="4747" spans="1:6" ht="12.75" customHeight="1">
      <c r="A4747" s="4" t="s">
        <v>1015</v>
      </c>
      <c r="B4747" s="8">
        <v>3</v>
      </c>
      <c r="C4747" s="6" t="s">
        <v>1017</v>
      </c>
      <c r="D4747" s="37">
        <f>D4735</f>
        <v>11.93</v>
      </c>
      <c r="E4747" s="25">
        <f t="shared" si="374"/>
        <v>35.79</v>
      </c>
    </row>
    <row r="4748" spans="1:6" ht="12.75" customHeight="1">
      <c r="A4748" s="4" t="s">
        <v>674</v>
      </c>
      <c r="B4748" s="8">
        <v>1</v>
      </c>
      <c r="C4748" s="6" t="s">
        <v>213</v>
      </c>
      <c r="D4748" s="37">
        <f>Prec.!D457</f>
        <v>0</v>
      </c>
      <c r="E4748" s="25">
        <f t="shared" si="374"/>
        <v>0</v>
      </c>
    </row>
    <row r="4749" spans="1:6" ht="12.75" customHeight="1">
      <c r="A4749" s="4" t="s">
        <v>1016</v>
      </c>
      <c r="B4749" s="8">
        <v>1</v>
      </c>
      <c r="C4749" s="6" t="s">
        <v>213</v>
      </c>
      <c r="D4749" s="37">
        <f>Prec.!$D$444</f>
        <v>160.08000000000001</v>
      </c>
      <c r="E4749" s="25">
        <f t="shared" si="374"/>
        <v>160.08000000000001</v>
      </c>
    </row>
    <row r="4750" spans="1:6" ht="12.75" customHeight="1">
      <c r="A4750" s="4" t="s">
        <v>1155</v>
      </c>
      <c r="B4750" s="8">
        <v>1</v>
      </c>
      <c r="C4750" s="6" t="s">
        <v>213</v>
      </c>
      <c r="D4750" s="37">
        <f>D4738</f>
        <v>27.85</v>
      </c>
      <c r="E4750" s="25">
        <f t="shared" si="374"/>
        <v>27.85</v>
      </c>
    </row>
    <row r="4751" spans="1:6" ht="12.75" customHeight="1">
      <c r="A4751" s="4" t="s">
        <v>1154</v>
      </c>
      <c r="B4751" s="8">
        <v>7.0000000000000007E-2</v>
      </c>
      <c r="C4751" s="6" t="s">
        <v>1172</v>
      </c>
      <c r="D4751" s="37">
        <f>D4739</f>
        <v>20.38</v>
      </c>
      <c r="E4751" s="25">
        <f t="shared" si="374"/>
        <v>1.43</v>
      </c>
    </row>
    <row r="4752" spans="1:6" ht="12.75" customHeight="1">
      <c r="A4752" s="4" t="s">
        <v>208</v>
      </c>
      <c r="B4752" s="7">
        <f>SUM(E4743:E4751)</f>
        <v>859.94999999999993</v>
      </c>
      <c r="C4752" s="6" t="s">
        <v>209</v>
      </c>
      <c r="D4752" s="37">
        <f>D4740</f>
        <v>1.4999999999999999E-2</v>
      </c>
      <c r="E4752" s="25">
        <f t="shared" si="374"/>
        <v>12.9</v>
      </c>
      <c r="F4752" s="26">
        <f>SUM(E4743:E4752)</f>
        <v>872.84999999999991</v>
      </c>
    </row>
    <row r="4753" spans="1:6" ht="12.75" customHeight="1">
      <c r="B4753" s="7"/>
    </row>
    <row r="4754" spans="1:6" ht="12.75" customHeight="1">
      <c r="B4754" s="7"/>
    </row>
    <row r="4755" spans="1:6" ht="12.75" customHeight="1">
      <c r="B4755" s="7"/>
    </row>
    <row r="4756" spans="1:6" ht="12.75" customHeight="1">
      <c r="A4756" s="1" t="s">
        <v>503</v>
      </c>
      <c r="B4756" s="11"/>
      <c r="C4756" s="2"/>
      <c r="E4756" s="27" t="s">
        <v>151</v>
      </c>
      <c r="F4756" s="28" t="s">
        <v>213</v>
      </c>
    </row>
    <row r="4757" spans="1:6" ht="12.75" customHeight="1">
      <c r="A4757" s="4" t="s">
        <v>1148</v>
      </c>
      <c r="B4757" s="8">
        <v>1.05</v>
      </c>
      <c r="C4757" s="6" t="s">
        <v>213</v>
      </c>
      <c r="D4757" s="37">
        <f>Prec.!C117</f>
        <v>410</v>
      </c>
      <c r="E4757" s="25">
        <f t="shared" ref="E4757:E4766" si="375">ROUND(B4757*D4757,2)</f>
        <v>430.5</v>
      </c>
    </row>
    <row r="4758" spans="1:6" ht="12.75" customHeight="1">
      <c r="A4758" s="4" t="s">
        <v>673</v>
      </c>
      <c r="B4758" s="8">
        <v>7.0000000000000007E-2</v>
      </c>
      <c r="C4758" s="6" t="s">
        <v>1172</v>
      </c>
      <c r="D4758" s="37">
        <f>Prec.!$C$8</f>
        <v>250</v>
      </c>
      <c r="E4758" s="25">
        <f t="shared" si="375"/>
        <v>17.5</v>
      </c>
    </row>
    <row r="4759" spans="1:6" ht="12.75" customHeight="1">
      <c r="A4759" s="4" t="s">
        <v>1174</v>
      </c>
      <c r="B4759" s="8">
        <v>3.3000000000000002E-2</v>
      </c>
      <c r="C4759" s="6" t="s">
        <v>825</v>
      </c>
      <c r="D4759" s="37">
        <f>D4721</f>
        <v>6334.35</v>
      </c>
      <c r="E4759" s="25">
        <f t="shared" si="375"/>
        <v>209.03</v>
      </c>
    </row>
    <row r="4760" spans="1:6" ht="12.75" customHeight="1">
      <c r="A4760" s="4" t="s">
        <v>1117</v>
      </c>
      <c r="B4760" s="8">
        <v>0.1</v>
      </c>
      <c r="C4760" s="6" t="s">
        <v>1172</v>
      </c>
      <c r="D4760" s="37">
        <f>Prec.!C10</f>
        <v>250</v>
      </c>
      <c r="E4760" s="25">
        <f>ROUND(B4760*D4760,2)</f>
        <v>25</v>
      </c>
    </row>
    <row r="4761" spans="1:6" ht="12.75" customHeight="1">
      <c r="A4761" s="4" t="s">
        <v>1173</v>
      </c>
      <c r="B4761" s="8">
        <v>0.05</v>
      </c>
      <c r="C4761" s="6" t="s">
        <v>1018</v>
      </c>
      <c r="D4761" s="37">
        <f>Prec.!$C$82</f>
        <v>75</v>
      </c>
      <c r="E4761" s="25">
        <f t="shared" si="375"/>
        <v>3.75</v>
      </c>
    </row>
    <row r="4762" spans="1:6" ht="12.75" customHeight="1">
      <c r="A4762" s="4" t="s">
        <v>623</v>
      </c>
      <c r="B4762" s="8">
        <v>3</v>
      </c>
      <c r="C4762" s="6" t="s">
        <v>1017</v>
      </c>
      <c r="D4762" s="37">
        <f>Prec.!D490</f>
        <v>11.93</v>
      </c>
      <c r="E4762" s="25">
        <f t="shared" si="375"/>
        <v>35.79</v>
      </c>
    </row>
    <row r="4763" spans="1:6" ht="12.75" customHeight="1">
      <c r="A4763" s="4" t="s">
        <v>674</v>
      </c>
      <c r="B4763" s="8">
        <v>1</v>
      </c>
      <c r="C4763" s="6" t="s">
        <v>213</v>
      </c>
      <c r="D4763" s="37">
        <f>Prec.!D460</f>
        <v>0</v>
      </c>
      <c r="E4763" s="25">
        <f t="shared" si="375"/>
        <v>0</v>
      </c>
    </row>
    <row r="4764" spans="1:6" ht="12.75" customHeight="1">
      <c r="A4764" s="4" t="s">
        <v>1155</v>
      </c>
      <c r="B4764" s="8">
        <v>1</v>
      </c>
      <c r="C4764" s="6" t="s">
        <v>213</v>
      </c>
      <c r="D4764" s="37">
        <f>D4726</f>
        <v>27.85</v>
      </c>
      <c r="E4764" s="25">
        <f t="shared" si="375"/>
        <v>27.85</v>
      </c>
    </row>
    <row r="4765" spans="1:6" ht="12.75" customHeight="1">
      <c r="A4765" s="4" t="s">
        <v>1154</v>
      </c>
      <c r="B4765" s="8">
        <v>7.0000000000000007E-2</v>
      </c>
      <c r="C4765" s="6" t="s">
        <v>1172</v>
      </c>
      <c r="D4765" s="37">
        <f>D4727</f>
        <v>20.38</v>
      </c>
      <c r="E4765" s="25">
        <f t="shared" si="375"/>
        <v>1.43</v>
      </c>
    </row>
    <row r="4766" spans="1:6" ht="12.75" customHeight="1">
      <c r="A4766" s="4" t="s">
        <v>208</v>
      </c>
      <c r="B4766" s="7">
        <f>SUM(E4757:E4765)</f>
        <v>750.84999999999991</v>
      </c>
      <c r="C4766" s="6" t="s">
        <v>209</v>
      </c>
      <c r="D4766" s="37">
        <f>Prec.!C302</f>
        <v>1.4999999999999999E-2</v>
      </c>
      <c r="E4766" s="25">
        <f t="shared" si="375"/>
        <v>11.26</v>
      </c>
      <c r="F4766" s="26">
        <f>SUM(E4757:E4766)</f>
        <v>762.1099999999999</v>
      </c>
    </row>
    <row r="4767" spans="1:6" ht="12.75" customHeight="1">
      <c r="B4767" s="7"/>
    </row>
    <row r="4768" spans="1:6" ht="12.75" customHeight="1">
      <c r="A4768" s="1" t="s">
        <v>621</v>
      </c>
      <c r="B4768" s="11"/>
      <c r="C4768" s="2"/>
      <c r="E4768" s="27" t="s">
        <v>151</v>
      </c>
      <c r="F4768" s="28" t="s">
        <v>213</v>
      </c>
    </row>
    <row r="4769" spans="1:6" ht="12.75" customHeight="1">
      <c r="A4769" s="4" t="s">
        <v>1146</v>
      </c>
      <c r="B4769" s="8">
        <v>1.05</v>
      </c>
      <c r="C4769" s="6" t="s">
        <v>213</v>
      </c>
      <c r="D4769" s="37">
        <f>Prec.!$C$112</f>
        <v>295</v>
      </c>
      <c r="E4769" s="25">
        <f t="shared" ref="E4769:E4778" si="376">ROUND(B4769*D4769,2)</f>
        <v>309.75</v>
      </c>
    </row>
    <row r="4770" spans="1:6" ht="12.75" customHeight="1">
      <c r="A4770" s="4" t="s">
        <v>673</v>
      </c>
      <c r="B4770" s="8">
        <v>7.0000000000000007E-2</v>
      </c>
      <c r="C4770" s="6" t="s">
        <v>1172</v>
      </c>
      <c r="D4770" s="37">
        <f>Prec.!$C$8</f>
        <v>250</v>
      </c>
      <c r="E4770" s="25">
        <f t="shared" si="376"/>
        <v>17.5</v>
      </c>
    </row>
    <row r="4771" spans="1:6" ht="12.75" customHeight="1">
      <c r="A4771" s="4" t="s">
        <v>1174</v>
      </c>
      <c r="B4771" s="8">
        <v>3.3000000000000002E-2</v>
      </c>
      <c r="C4771" s="6" t="s">
        <v>825</v>
      </c>
      <c r="D4771" s="37">
        <f>D4759</f>
        <v>6334.35</v>
      </c>
      <c r="E4771" s="25">
        <f t="shared" si="376"/>
        <v>209.03</v>
      </c>
    </row>
    <row r="4772" spans="1:6" ht="12.75" customHeight="1">
      <c r="A4772" s="4" t="s">
        <v>1117</v>
      </c>
      <c r="B4772" s="8">
        <v>0.1</v>
      </c>
      <c r="C4772" s="6" t="s">
        <v>1172</v>
      </c>
      <c r="D4772" s="37">
        <f>D4760</f>
        <v>250</v>
      </c>
      <c r="E4772" s="25">
        <f>ROUND(B4772*D4772,2)</f>
        <v>25</v>
      </c>
    </row>
    <row r="4773" spans="1:6" ht="12.75" customHeight="1">
      <c r="A4773" s="4" t="s">
        <v>1173</v>
      </c>
      <c r="B4773" s="8">
        <v>0.05</v>
      </c>
      <c r="C4773" s="6" t="s">
        <v>1018</v>
      </c>
      <c r="D4773" s="37">
        <f>Prec.!$C$82</f>
        <v>75</v>
      </c>
      <c r="E4773" s="25">
        <f t="shared" si="376"/>
        <v>3.75</v>
      </c>
    </row>
    <row r="4774" spans="1:6" ht="12.75" customHeight="1">
      <c r="A4774" s="4" t="s">
        <v>623</v>
      </c>
      <c r="B4774" s="8">
        <v>3</v>
      </c>
      <c r="C4774" s="6" t="s">
        <v>1017</v>
      </c>
      <c r="D4774" s="37">
        <f>D4762</f>
        <v>11.93</v>
      </c>
      <c r="E4774" s="25">
        <f t="shared" si="376"/>
        <v>35.79</v>
      </c>
    </row>
    <row r="4775" spans="1:6" ht="12.75" customHeight="1">
      <c r="A4775" s="4" t="s">
        <v>674</v>
      </c>
      <c r="B4775" s="8">
        <v>1</v>
      </c>
      <c r="C4775" s="6" t="s">
        <v>213</v>
      </c>
      <c r="D4775" s="37">
        <f>Prec.!$D$459</f>
        <v>0</v>
      </c>
      <c r="E4775" s="25">
        <f t="shared" si="376"/>
        <v>0</v>
      </c>
    </row>
    <row r="4776" spans="1:6" ht="12.75" customHeight="1">
      <c r="A4776" s="4" t="s">
        <v>1155</v>
      </c>
      <c r="B4776" s="8">
        <v>1</v>
      </c>
      <c r="C4776" s="6" t="s">
        <v>213</v>
      </c>
      <c r="D4776" s="37">
        <f>D4764</f>
        <v>27.85</v>
      </c>
      <c r="E4776" s="25">
        <f t="shared" si="376"/>
        <v>27.85</v>
      </c>
    </row>
    <row r="4777" spans="1:6" ht="12.75" customHeight="1">
      <c r="A4777" s="4" t="s">
        <v>1154</v>
      </c>
      <c r="B4777" s="8">
        <v>7.0000000000000007E-2</v>
      </c>
      <c r="C4777" s="6" t="s">
        <v>1172</v>
      </c>
      <c r="D4777" s="37">
        <f>D4765</f>
        <v>20.38</v>
      </c>
      <c r="E4777" s="25">
        <f t="shared" si="376"/>
        <v>1.43</v>
      </c>
    </row>
    <row r="4778" spans="1:6" ht="12.75" customHeight="1">
      <c r="A4778" s="4" t="s">
        <v>208</v>
      </c>
      <c r="B4778" s="7">
        <f>SUM(E4769:E4777)</f>
        <v>630.09999999999991</v>
      </c>
      <c r="C4778" s="6" t="s">
        <v>209</v>
      </c>
      <c r="D4778" s="37">
        <f>Prec.!C302</f>
        <v>1.4999999999999999E-2</v>
      </c>
      <c r="E4778" s="25">
        <f t="shared" si="376"/>
        <v>9.4499999999999993</v>
      </c>
      <c r="F4778" s="26">
        <f>SUM(E4769:E4778)</f>
        <v>639.54999999999995</v>
      </c>
    </row>
    <row r="4779" spans="1:6" ht="12.75" customHeight="1">
      <c r="B4779" s="7"/>
    </row>
    <row r="4780" spans="1:6" ht="12.75" customHeight="1">
      <c r="A4780" s="1" t="s">
        <v>1039</v>
      </c>
      <c r="B4780" s="11"/>
      <c r="C4780" s="2"/>
      <c r="E4780" s="27" t="s">
        <v>151</v>
      </c>
      <c r="F4780" s="28" t="s">
        <v>213</v>
      </c>
    </row>
    <row r="4781" spans="1:6" ht="12.75" customHeight="1">
      <c r="A4781" s="4" t="s">
        <v>1147</v>
      </c>
      <c r="B4781" s="8">
        <v>1.05</v>
      </c>
      <c r="C4781" s="6" t="s">
        <v>213</v>
      </c>
      <c r="D4781" s="37">
        <f>Prec.!$C$114</f>
        <v>285</v>
      </c>
      <c r="E4781" s="25">
        <f t="shared" ref="E4781:E4790" si="377">ROUND(B4781*D4781,2)</f>
        <v>299.25</v>
      </c>
    </row>
    <row r="4782" spans="1:6" ht="12.75" customHeight="1">
      <c r="A4782" s="4" t="s">
        <v>673</v>
      </c>
      <c r="B4782" s="8">
        <v>7.0000000000000007E-2</v>
      </c>
      <c r="C4782" s="6" t="s">
        <v>1172</v>
      </c>
      <c r="D4782" s="37">
        <f>Prec.!$C$8</f>
        <v>250</v>
      </c>
      <c r="E4782" s="25">
        <f t="shared" si="377"/>
        <v>17.5</v>
      </c>
    </row>
    <row r="4783" spans="1:6" ht="12.75" customHeight="1">
      <c r="A4783" s="4" t="s">
        <v>1174</v>
      </c>
      <c r="B4783" s="8">
        <v>3.3000000000000002E-2</v>
      </c>
      <c r="C4783" s="6" t="s">
        <v>825</v>
      </c>
      <c r="D4783" s="37">
        <f>D4771</f>
        <v>6334.35</v>
      </c>
      <c r="E4783" s="25">
        <f t="shared" si="377"/>
        <v>209.03</v>
      </c>
    </row>
    <row r="4784" spans="1:6" ht="12.75" customHeight="1">
      <c r="A4784" s="4" t="s">
        <v>1117</v>
      </c>
      <c r="B4784" s="8">
        <v>0.1</v>
      </c>
      <c r="C4784" s="6" t="s">
        <v>1172</v>
      </c>
      <c r="D4784" s="37">
        <f>D4772</f>
        <v>250</v>
      </c>
      <c r="E4784" s="25">
        <f>ROUND(B4784*D4784,2)</f>
        <v>25</v>
      </c>
    </row>
    <row r="4785" spans="1:6" ht="12.75" customHeight="1">
      <c r="A4785" s="4" t="s">
        <v>1173</v>
      </c>
      <c r="B4785" s="8">
        <v>0.05</v>
      </c>
      <c r="C4785" s="6" t="s">
        <v>1018</v>
      </c>
      <c r="D4785" s="37">
        <f>Prec.!$C$82</f>
        <v>75</v>
      </c>
      <c r="E4785" s="25">
        <f t="shared" si="377"/>
        <v>3.75</v>
      </c>
    </row>
    <row r="4786" spans="1:6" ht="12.75" customHeight="1">
      <c r="A4786" s="4" t="s">
        <v>623</v>
      </c>
      <c r="B4786" s="8">
        <v>3</v>
      </c>
      <c r="C4786" s="6" t="s">
        <v>1017</v>
      </c>
      <c r="D4786" s="37">
        <f>Prec.!D488</f>
        <v>5.97</v>
      </c>
      <c r="E4786" s="25">
        <f t="shared" si="377"/>
        <v>17.91</v>
      </c>
    </row>
    <row r="4787" spans="1:6" ht="12.75" customHeight="1">
      <c r="A4787" s="4" t="s">
        <v>674</v>
      </c>
      <c r="B4787" s="8">
        <v>1</v>
      </c>
      <c r="C4787" s="6" t="s">
        <v>213</v>
      </c>
      <c r="D4787" s="37">
        <f>Prec.!$D$462</f>
        <v>311.49</v>
      </c>
      <c r="E4787" s="25">
        <f t="shared" si="377"/>
        <v>311.49</v>
      </c>
    </row>
    <row r="4788" spans="1:6" ht="12.75" customHeight="1">
      <c r="A4788" s="4" t="s">
        <v>1155</v>
      </c>
      <c r="B4788" s="8">
        <v>1</v>
      </c>
      <c r="C4788" s="6" t="s">
        <v>213</v>
      </c>
      <c r="D4788" s="37">
        <f>D4776</f>
        <v>27.85</v>
      </c>
      <c r="E4788" s="25">
        <f t="shared" si="377"/>
        <v>27.85</v>
      </c>
    </row>
    <row r="4789" spans="1:6" ht="12.75" customHeight="1">
      <c r="A4789" s="4" t="s">
        <v>1154</v>
      </c>
      <c r="B4789" s="8">
        <v>7.0000000000000007E-2</v>
      </c>
      <c r="C4789" s="6" t="s">
        <v>1172</v>
      </c>
      <c r="D4789" s="37">
        <f>D4777</f>
        <v>20.38</v>
      </c>
      <c r="E4789" s="25">
        <f t="shared" si="377"/>
        <v>1.43</v>
      </c>
    </row>
    <row r="4790" spans="1:6" ht="12.75" customHeight="1">
      <c r="A4790" s="4" t="s">
        <v>208</v>
      </c>
      <c r="B4790" s="7">
        <f>SUM(E4781:E4789)</f>
        <v>913.20999999999992</v>
      </c>
      <c r="C4790" s="6" t="s">
        <v>209</v>
      </c>
      <c r="D4790" s="37">
        <f>Prec.!C302</f>
        <v>1.4999999999999999E-2</v>
      </c>
      <c r="E4790" s="25">
        <f t="shared" si="377"/>
        <v>13.7</v>
      </c>
      <c r="F4790" s="26">
        <f>SUM(E4781:E4790)</f>
        <v>926.91</v>
      </c>
    </row>
    <row r="4791" spans="1:6" ht="12.75" customHeight="1">
      <c r="B4791" s="7"/>
    </row>
    <row r="4792" spans="1:6" ht="12.75" customHeight="1">
      <c r="A4792" s="13" t="s">
        <v>1040</v>
      </c>
      <c r="B4792" s="11"/>
      <c r="C4792" s="2"/>
      <c r="E4792" s="27" t="s">
        <v>151</v>
      </c>
      <c r="F4792" s="28" t="s">
        <v>213</v>
      </c>
    </row>
    <row r="4793" spans="1:6" ht="12.75" customHeight="1">
      <c r="A4793" s="4" t="s">
        <v>1312</v>
      </c>
      <c r="B4793" s="8">
        <v>1.05</v>
      </c>
      <c r="C4793" s="6" t="s">
        <v>213</v>
      </c>
      <c r="D4793" s="37">
        <f>Prec.!$C$107</f>
        <v>1986</v>
      </c>
      <c r="E4793" s="25">
        <f t="shared" ref="E4793:E4801" si="378">ROUND(B4793*D4793,2)</f>
        <v>2085.3000000000002</v>
      </c>
    </row>
    <row r="4794" spans="1:6" ht="12.75" customHeight="1">
      <c r="A4794" s="4" t="s">
        <v>673</v>
      </c>
      <c r="B4794" s="8">
        <v>7.0000000000000007E-2</v>
      </c>
      <c r="C4794" s="6" t="s">
        <v>1172</v>
      </c>
      <c r="D4794" s="37">
        <f>Prec.!$C$8</f>
        <v>250</v>
      </c>
      <c r="E4794" s="25">
        <f t="shared" si="378"/>
        <v>17.5</v>
      </c>
    </row>
    <row r="4795" spans="1:6" ht="12.75" customHeight="1">
      <c r="A4795" s="4" t="s">
        <v>1174</v>
      </c>
      <c r="B4795" s="8">
        <v>3.3000000000000002E-2</v>
      </c>
      <c r="C4795" s="6" t="s">
        <v>825</v>
      </c>
      <c r="D4795" s="37">
        <f>D4783</f>
        <v>6334.35</v>
      </c>
      <c r="E4795" s="25">
        <f t="shared" si="378"/>
        <v>209.03</v>
      </c>
    </row>
    <row r="4796" spans="1:6" ht="12.75" customHeight="1">
      <c r="A4796" s="4" t="s">
        <v>1173</v>
      </c>
      <c r="B4796" s="8">
        <v>0.05</v>
      </c>
      <c r="C4796" s="6" t="s">
        <v>1018</v>
      </c>
      <c r="D4796" s="37">
        <f>Prec.!$C$82</f>
        <v>75</v>
      </c>
      <c r="E4796" s="25">
        <f t="shared" si="378"/>
        <v>3.75</v>
      </c>
    </row>
    <row r="4797" spans="1:6" ht="12.75" customHeight="1">
      <c r="A4797" s="4" t="s">
        <v>688</v>
      </c>
      <c r="B4797" s="8">
        <v>3</v>
      </c>
      <c r="C4797" s="6" t="s">
        <v>1017</v>
      </c>
      <c r="D4797" s="37">
        <f>Prec.!D491</f>
        <v>11.93</v>
      </c>
      <c r="E4797" s="25">
        <f t="shared" si="378"/>
        <v>35.79</v>
      </c>
    </row>
    <row r="4798" spans="1:6" ht="12.75" customHeight="1">
      <c r="A4798" s="4" t="s">
        <v>674</v>
      </c>
      <c r="B4798" s="8">
        <v>1</v>
      </c>
      <c r="C4798" s="6" t="s">
        <v>213</v>
      </c>
      <c r="D4798" s="37">
        <f>Prec.!$D$464</f>
        <v>0</v>
      </c>
      <c r="E4798" s="25">
        <f t="shared" si="378"/>
        <v>0</v>
      </c>
    </row>
    <row r="4799" spans="1:6" ht="12.75" customHeight="1">
      <c r="A4799" s="4" t="s">
        <v>685</v>
      </c>
      <c r="B4799" s="8">
        <v>1</v>
      </c>
      <c r="C4799" s="6" t="s">
        <v>213</v>
      </c>
      <c r="D4799" s="37">
        <f>Prec.!$D$446</f>
        <v>261</v>
      </c>
      <c r="E4799" s="25">
        <f t="shared" si="378"/>
        <v>261</v>
      </c>
    </row>
    <row r="4800" spans="1:6" ht="12.75" customHeight="1">
      <c r="A4800" s="4" t="s">
        <v>1155</v>
      </c>
      <c r="B4800" s="8">
        <v>1</v>
      </c>
      <c r="C4800" s="6" t="s">
        <v>213</v>
      </c>
      <c r="D4800" s="37">
        <f>D4788</f>
        <v>27.85</v>
      </c>
      <c r="E4800" s="25">
        <f t="shared" si="378"/>
        <v>27.85</v>
      </c>
    </row>
    <row r="4801" spans="1:6" ht="12.75" customHeight="1">
      <c r="A4801" s="4" t="s">
        <v>1154</v>
      </c>
      <c r="B4801" s="8">
        <v>7.0000000000000007E-2</v>
      </c>
      <c r="C4801" s="6" t="s">
        <v>1172</v>
      </c>
      <c r="D4801" s="37">
        <f>D4789</f>
        <v>20.38</v>
      </c>
      <c r="E4801" s="25">
        <f t="shared" si="378"/>
        <v>1.43</v>
      </c>
    </row>
    <row r="4802" spans="1:6" ht="12.75" customHeight="1">
      <c r="A4802" s="4" t="s">
        <v>208</v>
      </c>
      <c r="B4802" s="7">
        <f>SUM(E4793:E4801)</f>
        <v>2641.65</v>
      </c>
      <c r="C4802" s="6" t="s">
        <v>209</v>
      </c>
      <c r="D4802" s="37">
        <f>Prec.!C302</f>
        <v>1.4999999999999999E-2</v>
      </c>
      <c r="E4802" s="25">
        <f>ROUND(B4802*D4802,2)</f>
        <v>39.619999999999997</v>
      </c>
      <c r="F4802" s="26">
        <f>SUM(E4793:E4802)</f>
        <v>2681.27</v>
      </c>
    </row>
    <row r="4803" spans="1:6" ht="12.75" customHeight="1">
      <c r="B4803" s="7"/>
    </row>
    <row r="4804" spans="1:6" ht="12.75" customHeight="1">
      <c r="B4804" s="7"/>
    </row>
    <row r="4805" spans="1:6" ht="12.75" customHeight="1">
      <c r="B4805" s="7"/>
    </row>
    <row r="4806" spans="1:6" ht="12.75" customHeight="1">
      <c r="A4806" s="1" t="s">
        <v>719</v>
      </c>
      <c r="B4806" s="11"/>
      <c r="C4806" s="2"/>
      <c r="E4806" s="27" t="s">
        <v>151</v>
      </c>
      <c r="F4806" s="28" t="s">
        <v>1171</v>
      </c>
    </row>
    <row r="4807" spans="1:6" ht="12.75" customHeight="1">
      <c r="A4807" s="4" t="s">
        <v>748</v>
      </c>
      <c r="B4807" s="8">
        <v>1.05</v>
      </c>
      <c r="C4807" s="6" t="s">
        <v>1171</v>
      </c>
      <c r="D4807" s="37">
        <f>Prec.!$C$139</f>
        <v>70.73</v>
      </c>
      <c r="E4807" s="25">
        <f t="shared" ref="E4807:E4814" si="379">ROUND(B4807*D4807,2)</f>
        <v>74.27</v>
      </c>
    </row>
    <row r="4808" spans="1:6" ht="12.75" customHeight="1">
      <c r="A4808" s="4" t="s">
        <v>673</v>
      </c>
      <c r="B4808" s="8">
        <v>2.1999999999999999E-2</v>
      </c>
      <c r="C4808" s="6" t="s">
        <v>1172</v>
      </c>
      <c r="D4808" s="37">
        <f>Prec.!$C$8</f>
        <v>250</v>
      </c>
      <c r="E4808" s="25">
        <f t="shared" si="379"/>
        <v>5.5</v>
      </c>
    </row>
    <row r="4809" spans="1:6" ht="12.75" customHeight="1">
      <c r="A4809" s="4" t="s">
        <v>1174</v>
      </c>
      <c r="B4809" s="8">
        <v>2E-3</v>
      </c>
      <c r="C4809" s="6" t="s">
        <v>825</v>
      </c>
      <c r="D4809" s="37">
        <f>D4795</f>
        <v>6334.35</v>
      </c>
      <c r="E4809" s="25">
        <f t="shared" si="379"/>
        <v>12.67</v>
      </c>
    </row>
    <row r="4810" spans="1:6" ht="12.75" customHeight="1">
      <c r="A4810" s="4" t="s">
        <v>1015</v>
      </c>
      <c r="B4810" s="8">
        <v>1</v>
      </c>
      <c r="C4810" s="6" t="s">
        <v>1017</v>
      </c>
      <c r="D4810" s="37">
        <f>Prec.!D490</f>
        <v>11.93</v>
      </c>
      <c r="E4810" s="25">
        <f t="shared" si="379"/>
        <v>11.93</v>
      </c>
    </row>
    <row r="4811" spans="1:6" ht="12.75" customHeight="1">
      <c r="A4811" s="4" t="s">
        <v>674</v>
      </c>
      <c r="B4811" s="8">
        <v>1</v>
      </c>
      <c r="C4811" s="6" t="s">
        <v>1171</v>
      </c>
      <c r="D4811" s="37">
        <f>Prec.!$D$497</f>
        <v>0</v>
      </c>
      <c r="E4811" s="25">
        <f t="shared" si="379"/>
        <v>0</v>
      </c>
    </row>
    <row r="4812" spans="1:6" ht="12.75" customHeight="1">
      <c r="A4812" s="4" t="s">
        <v>1156</v>
      </c>
      <c r="B4812" s="8">
        <v>1</v>
      </c>
      <c r="C4812" s="6" t="s">
        <v>1171</v>
      </c>
      <c r="D4812" s="37">
        <f>Prec.!D559</f>
        <v>2.78</v>
      </c>
      <c r="E4812" s="25">
        <f t="shared" si="379"/>
        <v>2.78</v>
      </c>
    </row>
    <row r="4813" spans="1:6" ht="12.75" customHeight="1">
      <c r="A4813" s="4" t="s">
        <v>1154</v>
      </c>
      <c r="B4813" s="8">
        <v>2.1999999999999999E-2</v>
      </c>
      <c r="C4813" s="6" t="s">
        <v>1172</v>
      </c>
      <c r="D4813" s="37">
        <f>D4801</f>
        <v>20.38</v>
      </c>
      <c r="E4813" s="25">
        <f t="shared" si="379"/>
        <v>0.45</v>
      </c>
    </row>
    <row r="4814" spans="1:6" ht="12.75" customHeight="1">
      <c r="A4814" s="4" t="s">
        <v>208</v>
      </c>
      <c r="B4814" s="7">
        <f>SUM(E4807:E4813)</f>
        <v>107.60000000000001</v>
      </c>
      <c r="C4814" s="6" t="s">
        <v>209</v>
      </c>
      <c r="D4814" s="37">
        <f>Prec.!C302</f>
        <v>1.4999999999999999E-2</v>
      </c>
      <c r="E4814" s="25">
        <f t="shared" si="379"/>
        <v>1.61</v>
      </c>
      <c r="F4814" s="26">
        <f>SUM(E4807:E4814)</f>
        <v>109.21000000000001</v>
      </c>
    </row>
    <row r="4815" spans="1:6" ht="12.75" customHeight="1">
      <c r="B4815" s="7"/>
    </row>
    <row r="4816" spans="1:6" ht="12.75" customHeight="1">
      <c r="A4816" s="1" t="s">
        <v>720</v>
      </c>
      <c r="B4816" s="11"/>
      <c r="C4816" s="2"/>
      <c r="E4816" s="27" t="s">
        <v>151</v>
      </c>
      <c r="F4816" s="28" t="s">
        <v>1171</v>
      </c>
    </row>
    <row r="4817" spans="1:6" ht="12.75" customHeight="1">
      <c r="A4817" s="4" t="s">
        <v>749</v>
      </c>
      <c r="B4817" s="8">
        <v>1.05</v>
      </c>
      <c r="C4817" s="6" t="s">
        <v>1171</v>
      </c>
      <c r="D4817" s="37">
        <f>Prec.!$C$140</f>
        <v>90</v>
      </c>
      <c r="E4817" s="25">
        <f t="shared" ref="E4817:E4824" si="380">ROUND(B4817*D4817,2)</f>
        <v>94.5</v>
      </c>
    </row>
    <row r="4818" spans="1:6" ht="12.75" customHeight="1">
      <c r="A4818" s="4" t="s">
        <v>622</v>
      </c>
      <c r="B4818" s="8">
        <v>2.1999999999999999E-2</v>
      </c>
      <c r="C4818" s="6" t="s">
        <v>1172</v>
      </c>
      <c r="D4818" s="37">
        <f>Prec.!$C$7</f>
        <v>250</v>
      </c>
      <c r="E4818" s="25">
        <f t="shared" si="380"/>
        <v>5.5</v>
      </c>
    </row>
    <row r="4819" spans="1:6" ht="12.75" customHeight="1">
      <c r="A4819" s="4" t="s">
        <v>1174</v>
      </c>
      <c r="B4819" s="8">
        <v>2E-3</v>
      </c>
      <c r="C4819" s="6" t="s">
        <v>825</v>
      </c>
      <c r="D4819" s="37">
        <f>D4809</f>
        <v>6334.35</v>
      </c>
      <c r="E4819" s="25">
        <f t="shared" si="380"/>
        <v>12.67</v>
      </c>
    </row>
    <row r="4820" spans="1:6" ht="12.75" customHeight="1">
      <c r="A4820" s="4" t="s">
        <v>1015</v>
      </c>
      <c r="B4820" s="8">
        <v>1</v>
      </c>
      <c r="C4820" s="6" t="s">
        <v>1017</v>
      </c>
      <c r="D4820" s="37">
        <f>D4810</f>
        <v>11.93</v>
      </c>
      <c r="E4820" s="25">
        <f t="shared" si="380"/>
        <v>11.93</v>
      </c>
    </row>
    <row r="4821" spans="1:6" ht="12.75" customHeight="1">
      <c r="A4821" s="4" t="s">
        <v>674</v>
      </c>
      <c r="B4821" s="8">
        <v>1</v>
      </c>
      <c r="C4821" s="6" t="s">
        <v>1171</v>
      </c>
      <c r="D4821" s="37">
        <f>Prec.!$D$497</f>
        <v>0</v>
      </c>
      <c r="E4821" s="25">
        <f t="shared" si="380"/>
        <v>0</v>
      </c>
    </row>
    <row r="4822" spans="1:6" ht="12.75" customHeight="1">
      <c r="A4822" s="4" t="s">
        <v>1156</v>
      </c>
      <c r="B4822" s="8">
        <v>1</v>
      </c>
      <c r="C4822" s="6" t="s">
        <v>1171</v>
      </c>
      <c r="D4822" s="37">
        <f>Prec.!D559</f>
        <v>2.78</v>
      </c>
      <c r="E4822" s="25">
        <f t="shared" si="380"/>
        <v>2.78</v>
      </c>
    </row>
    <row r="4823" spans="1:6" ht="12.75" customHeight="1">
      <c r="A4823" s="4" t="s">
        <v>1154</v>
      </c>
      <c r="B4823" s="8">
        <v>2.1999999999999999E-2</v>
      </c>
      <c r="C4823" s="6" t="s">
        <v>1172</v>
      </c>
      <c r="D4823" s="37">
        <f>D4813</f>
        <v>20.38</v>
      </c>
      <c r="E4823" s="25">
        <f t="shared" si="380"/>
        <v>0.45</v>
      </c>
    </row>
    <row r="4824" spans="1:6" ht="12.75" customHeight="1">
      <c r="A4824" s="4" t="s">
        <v>208</v>
      </c>
      <c r="B4824" s="7">
        <f>SUM(E4817:E4823)</f>
        <v>127.83</v>
      </c>
      <c r="C4824" s="6" t="s">
        <v>209</v>
      </c>
      <c r="D4824" s="37">
        <f>Prec.!C302</f>
        <v>1.4999999999999999E-2</v>
      </c>
      <c r="E4824" s="25">
        <f t="shared" si="380"/>
        <v>1.92</v>
      </c>
      <c r="F4824" s="26">
        <f>SUM(E4817:E4824)</f>
        <v>129.75</v>
      </c>
    </row>
    <row r="4825" spans="1:6" ht="12.75" customHeight="1">
      <c r="B4825" s="7"/>
    </row>
    <row r="4826" spans="1:6" ht="12.75" customHeight="1">
      <c r="A4826" s="1" t="s">
        <v>504</v>
      </c>
      <c r="B4826" s="11"/>
      <c r="C4826" s="2"/>
      <c r="E4826" s="27" t="s">
        <v>151</v>
      </c>
      <c r="F4826" s="28" t="s">
        <v>1171</v>
      </c>
    </row>
    <row r="4827" spans="1:6" ht="12.75" customHeight="1">
      <c r="A4827" s="4" t="s">
        <v>748</v>
      </c>
      <c r="B4827" s="8">
        <v>1.05</v>
      </c>
      <c r="C4827" s="6" t="s">
        <v>1171</v>
      </c>
      <c r="D4827" s="37">
        <f>Prec.!C141</f>
        <v>78.3</v>
      </c>
      <c r="E4827" s="25">
        <f t="shared" ref="E4827:E4834" si="381">ROUND(B4827*D4827,2)</f>
        <v>82.22</v>
      </c>
    </row>
    <row r="4828" spans="1:6" ht="12.75" customHeight="1">
      <c r="A4828" s="4" t="s">
        <v>673</v>
      </c>
      <c r="B4828" s="8">
        <v>2.1999999999999999E-2</v>
      </c>
      <c r="C4828" s="6" t="s">
        <v>1172</v>
      </c>
      <c r="D4828" s="37">
        <f>Prec.!$C$8</f>
        <v>250</v>
      </c>
      <c r="E4828" s="25">
        <f t="shared" si="381"/>
        <v>5.5</v>
      </c>
    </row>
    <row r="4829" spans="1:6" ht="12.75" customHeight="1">
      <c r="A4829" s="4" t="s">
        <v>1174</v>
      </c>
      <c r="B4829" s="8">
        <v>2E-3</v>
      </c>
      <c r="C4829" s="6" t="s">
        <v>825</v>
      </c>
      <c r="D4829" s="37">
        <f>D4819</f>
        <v>6334.35</v>
      </c>
      <c r="E4829" s="25">
        <f t="shared" si="381"/>
        <v>12.67</v>
      </c>
    </row>
    <row r="4830" spans="1:6" ht="12.75" customHeight="1">
      <c r="A4830" s="4" t="s">
        <v>1015</v>
      </c>
      <c r="B4830" s="8">
        <v>1</v>
      </c>
      <c r="C4830" s="6" t="s">
        <v>1017</v>
      </c>
      <c r="D4830" s="37">
        <f>Prec.!D491</f>
        <v>11.93</v>
      </c>
      <c r="E4830" s="25">
        <f t="shared" si="381"/>
        <v>11.93</v>
      </c>
    </row>
    <row r="4831" spans="1:6" ht="12.75" customHeight="1">
      <c r="A4831" s="4" t="s">
        <v>674</v>
      </c>
      <c r="B4831" s="8">
        <v>1</v>
      </c>
      <c r="C4831" s="6" t="s">
        <v>1171</v>
      </c>
      <c r="D4831" s="37">
        <f>Prec.!$D$497</f>
        <v>0</v>
      </c>
      <c r="E4831" s="25">
        <f t="shared" si="381"/>
        <v>0</v>
      </c>
    </row>
    <row r="4832" spans="1:6" ht="12.75" customHeight="1">
      <c r="A4832" s="4" t="s">
        <v>1156</v>
      </c>
      <c r="B4832" s="8">
        <v>1</v>
      </c>
      <c r="C4832" s="6" t="s">
        <v>1171</v>
      </c>
      <c r="D4832" s="37">
        <f>D4822</f>
        <v>2.78</v>
      </c>
      <c r="E4832" s="25">
        <f t="shared" si="381"/>
        <v>2.78</v>
      </c>
    </row>
    <row r="4833" spans="1:6" ht="12.75" customHeight="1">
      <c r="A4833" s="4" t="s">
        <v>1154</v>
      </c>
      <c r="B4833" s="8">
        <v>2.1999999999999999E-2</v>
      </c>
      <c r="C4833" s="6" t="s">
        <v>1172</v>
      </c>
      <c r="D4833" s="37">
        <f>D4823</f>
        <v>20.38</v>
      </c>
      <c r="E4833" s="25">
        <f t="shared" si="381"/>
        <v>0.45</v>
      </c>
    </row>
    <row r="4834" spans="1:6" ht="12.75" customHeight="1">
      <c r="A4834" s="4" t="s">
        <v>208</v>
      </c>
      <c r="B4834" s="7">
        <f>SUM(E4827:E4833)</f>
        <v>115.55</v>
      </c>
      <c r="C4834" s="6" t="s">
        <v>209</v>
      </c>
      <c r="D4834" s="37">
        <f>D4824</f>
        <v>1.4999999999999999E-2</v>
      </c>
      <c r="E4834" s="25">
        <f t="shared" si="381"/>
        <v>1.73</v>
      </c>
      <c r="F4834" s="26">
        <f>SUM(E4827:E4834)</f>
        <v>117.28</v>
      </c>
    </row>
    <row r="4835" spans="1:6" ht="12.75" customHeight="1">
      <c r="B4835" s="7"/>
    </row>
    <row r="4836" spans="1:6" ht="12.75" customHeight="1">
      <c r="A4836" s="1" t="s">
        <v>562</v>
      </c>
      <c r="B4836" s="11"/>
      <c r="C4836" s="2"/>
      <c r="E4836" s="27" t="s">
        <v>151</v>
      </c>
      <c r="F4836" s="28" t="s">
        <v>1171</v>
      </c>
    </row>
    <row r="4837" spans="1:6" ht="12.75" customHeight="1">
      <c r="A4837" s="4" t="s">
        <v>749</v>
      </c>
      <c r="B4837" s="8">
        <v>1.05</v>
      </c>
      <c r="C4837" s="6" t="s">
        <v>1171</v>
      </c>
      <c r="D4837" s="37">
        <f>Prec.!C142</f>
        <v>58</v>
      </c>
      <c r="E4837" s="25">
        <f t="shared" ref="E4837:E4844" si="382">ROUND(B4837*D4837,2)</f>
        <v>60.9</v>
      </c>
    </row>
    <row r="4838" spans="1:6" ht="12.75" customHeight="1">
      <c r="A4838" s="4" t="s">
        <v>622</v>
      </c>
      <c r="B4838" s="8">
        <v>2.1999999999999999E-2</v>
      </c>
      <c r="C4838" s="6" t="s">
        <v>1172</v>
      </c>
      <c r="D4838" s="37">
        <f>Prec.!$C$7</f>
        <v>250</v>
      </c>
      <c r="E4838" s="25">
        <f t="shared" si="382"/>
        <v>5.5</v>
      </c>
    </row>
    <row r="4839" spans="1:6" ht="12.75" customHeight="1">
      <c r="A4839" s="4" t="s">
        <v>1174</v>
      </c>
      <c r="B4839" s="8">
        <v>2E-3</v>
      </c>
      <c r="C4839" s="6" t="s">
        <v>825</v>
      </c>
      <c r="D4839" s="37">
        <f>D4829</f>
        <v>6334.35</v>
      </c>
      <c r="E4839" s="25">
        <f t="shared" si="382"/>
        <v>12.67</v>
      </c>
    </row>
    <row r="4840" spans="1:6" ht="12.75" customHeight="1">
      <c r="A4840" s="4" t="s">
        <v>1015</v>
      </c>
      <c r="B4840" s="8">
        <v>1</v>
      </c>
      <c r="C4840" s="6" t="s">
        <v>1017</v>
      </c>
      <c r="D4840" s="37">
        <f>D4830</f>
        <v>11.93</v>
      </c>
      <c r="E4840" s="25">
        <f t="shared" si="382"/>
        <v>11.93</v>
      </c>
    </row>
    <row r="4841" spans="1:6" ht="12.75" customHeight="1">
      <c r="A4841" s="4" t="s">
        <v>674</v>
      </c>
      <c r="B4841" s="8">
        <v>1</v>
      </c>
      <c r="C4841" s="6" t="s">
        <v>1171</v>
      </c>
      <c r="D4841" s="37">
        <f>Prec.!$D$497</f>
        <v>0</v>
      </c>
      <c r="E4841" s="25">
        <f t="shared" si="382"/>
        <v>0</v>
      </c>
    </row>
    <row r="4842" spans="1:6" ht="12.75" customHeight="1">
      <c r="A4842" s="4" t="s">
        <v>1156</v>
      </c>
      <c r="B4842" s="8">
        <v>1</v>
      </c>
      <c r="C4842" s="6" t="s">
        <v>1171</v>
      </c>
      <c r="D4842" s="37">
        <f>D4832</f>
        <v>2.78</v>
      </c>
      <c r="E4842" s="25">
        <f t="shared" si="382"/>
        <v>2.78</v>
      </c>
    </row>
    <row r="4843" spans="1:6" ht="12.75" customHeight="1">
      <c r="A4843" s="4" t="s">
        <v>1154</v>
      </c>
      <c r="B4843" s="8">
        <v>2.1999999999999999E-2</v>
      </c>
      <c r="C4843" s="6" t="s">
        <v>1172</v>
      </c>
      <c r="D4843" s="37">
        <f>D4833</f>
        <v>20.38</v>
      </c>
      <c r="E4843" s="25">
        <f t="shared" si="382"/>
        <v>0.45</v>
      </c>
    </row>
    <row r="4844" spans="1:6" ht="12.75" customHeight="1">
      <c r="A4844" s="4" t="s">
        <v>208</v>
      </c>
      <c r="B4844" s="7">
        <f>SUM(E4837:E4843)</f>
        <v>94.23</v>
      </c>
      <c r="C4844" s="6" t="s">
        <v>209</v>
      </c>
      <c r="D4844" s="37">
        <f>D4834</f>
        <v>1.4999999999999999E-2</v>
      </c>
      <c r="E4844" s="25">
        <f t="shared" si="382"/>
        <v>1.41</v>
      </c>
      <c r="F4844" s="26">
        <f>SUM(E4837:E4844)</f>
        <v>95.64</v>
      </c>
    </row>
    <row r="4845" spans="1:6" ht="12.75" customHeight="1">
      <c r="B4845" s="7"/>
    </row>
    <row r="4846" spans="1:6" ht="12.75" customHeight="1">
      <c r="A4846" s="13" t="s">
        <v>834</v>
      </c>
      <c r="B4846" s="11"/>
      <c r="C4846" s="2"/>
      <c r="E4846" s="27" t="s">
        <v>151</v>
      </c>
      <c r="F4846" s="28" t="s">
        <v>1171</v>
      </c>
    </row>
    <row r="4847" spans="1:6" ht="12.75" customHeight="1">
      <c r="A4847" s="4" t="s">
        <v>818</v>
      </c>
      <c r="B4847" s="8">
        <v>1.05</v>
      </c>
      <c r="C4847" s="6" t="s">
        <v>1017</v>
      </c>
      <c r="D4847" s="37">
        <f>Prec.!C113</f>
        <v>32.14</v>
      </c>
      <c r="E4847" s="25">
        <f t="shared" ref="E4847:E4855" si="383">ROUND(B4847*D4847,2)</f>
        <v>33.75</v>
      </c>
    </row>
    <row r="4848" spans="1:6" ht="12.75" customHeight="1">
      <c r="A4848" s="4" t="s">
        <v>673</v>
      </c>
      <c r="B4848" s="8">
        <v>7.0000000000000001E-3</v>
      </c>
      <c r="C4848" s="6" t="s">
        <v>1172</v>
      </c>
      <c r="D4848" s="37">
        <f>Prec.!$C$8</f>
        <v>250</v>
      </c>
      <c r="E4848" s="25">
        <f t="shared" si="383"/>
        <v>1.75</v>
      </c>
    </row>
    <row r="4849" spans="1:6" ht="12.75" customHeight="1">
      <c r="A4849" s="4" t="s">
        <v>1173</v>
      </c>
      <c r="B4849" s="8">
        <v>5.0000000000000001E-3</v>
      </c>
      <c r="C4849" s="6" t="s">
        <v>1018</v>
      </c>
      <c r="D4849" s="37">
        <f>Prec.!$C$82</f>
        <v>75</v>
      </c>
      <c r="E4849" s="25">
        <f t="shared" si="383"/>
        <v>0.38</v>
      </c>
    </row>
    <row r="4850" spans="1:6" ht="12.75" customHeight="1">
      <c r="A4850" s="4" t="s">
        <v>1174</v>
      </c>
      <c r="B4850" s="8">
        <v>1E-3</v>
      </c>
      <c r="C4850" s="6" t="s">
        <v>825</v>
      </c>
      <c r="D4850" s="37">
        <f>D4819</f>
        <v>6334.35</v>
      </c>
      <c r="E4850" s="25">
        <f t="shared" si="383"/>
        <v>6.33</v>
      </c>
    </row>
    <row r="4851" spans="1:6" ht="12.75" customHeight="1">
      <c r="A4851" s="4" t="s">
        <v>1015</v>
      </c>
      <c r="B4851" s="8">
        <v>4</v>
      </c>
      <c r="C4851" s="6" t="s">
        <v>1017</v>
      </c>
      <c r="D4851" s="37">
        <f>D4810</f>
        <v>11.93</v>
      </c>
      <c r="E4851" s="25">
        <f t="shared" si="383"/>
        <v>47.72</v>
      </c>
    </row>
    <row r="4852" spans="1:6" ht="12.75" customHeight="1">
      <c r="A4852" s="4" t="s">
        <v>674</v>
      </c>
      <c r="B4852" s="8">
        <v>1</v>
      </c>
      <c r="C4852" s="6" t="s">
        <v>1171</v>
      </c>
      <c r="D4852" s="37">
        <f>Prec.!$D$498</f>
        <v>0</v>
      </c>
      <c r="E4852" s="25">
        <f t="shared" si="383"/>
        <v>0</v>
      </c>
    </row>
    <row r="4853" spans="1:6" ht="12.75" customHeight="1">
      <c r="A4853" s="4" t="s">
        <v>870</v>
      </c>
      <c r="B4853" s="8">
        <v>1</v>
      </c>
      <c r="C4853" s="6" t="s">
        <v>1171</v>
      </c>
      <c r="D4853" s="37">
        <f>Prec.!D559</f>
        <v>2.78</v>
      </c>
      <c r="E4853" s="25">
        <f t="shared" si="383"/>
        <v>2.78</v>
      </c>
    </row>
    <row r="4854" spans="1:6" ht="12.75" customHeight="1">
      <c r="A4854" s="4" t="s">
        <v>1154</v>
      </c>
      <c r="B4854" s="8">
        <f>B4848</f>
        <v>7.0000000000000001E-3</v>
      </c>
      <c r="C4854" s="6" t="s">
        <v>1172</v>
      </c>
      <c r="D4854" s="37">
        <f>D4823</f>
        <v>20.38</v>
      </c>
      <c r="E4854" s="25">
        <f t="shared" si="383"/>
        <v>0.14000000000000001</v>
      </c>
    </row>
    <row r="4855" spans="1:6" ht="12.75" customHeight="1">
      <c r="A4855" s="4" t="s">
        <v>208</v>
      </c>
      <c r="B4855" s="7">
        <f>SUM(E4847:E4854)</f>
        <v>92.850000000000009</v>
      </c>
      <c r="C4855" s="6" t="s">
        <v>209</v>
      </c>
      <c r="D4855" s="37">
        <f>Prec.!C302</f>
        <v>1.4999999999999999E-2</v>
      </c>
      <c r="E4855" s="25">
        <f t="shared" si="383"/>
        <v>1.39</v>
      </c>
      <c r="F4855" s="26">
        <f>SUM(E4847:E4855)</f>
        <v>94.240000000000009</v>
      </c>
    </row>
    <row r="4856" spans="1:6" ht="12.75" customHeight="1">
      <c r="A4856" s="13" t="s">
        <v>523</v>
      </c>
      <c r="B4856" s="11"/>
      <c r="C4856" s="2"/>
      <c r="E4856" s="27" t="s">
        <v>151</v>
      </c>
      <c r="F4856" s="28" t="s">
        <v>1171</v>
      </c>
    </row>
    <row r="4857" spans="1:6" ht="12.75" customHeight="1">
      <c r="A4857" s="4" t="s">
        <v>819</v>
      </c>
      <c r="B4857" s="8">
        <v>1.05</v>
      </c>
      <c r="C4857" s="6" t="s">
        <v>1017</v>
      </c>
      <c r="D4857" s="37">
        <f>Prec.!C118</f>
        <v>67.540000000000006</v>
      </c>
      <c r="E4857" s="25">
        <f t="shared" ref="E4857:E4865" si="384">ROUND(B4857*D4857,2)</f>
        <v>70.92</v>
      </c>
    </row>
    <row r="4858" spans="1:6" ht="12.75" customHeight="1">
      <c r="A4858" s="4" t="s">
        <v>673</v>
      </c>
      <c r="B4858" s="8">
        <f>B4848</f>
        <v>7.0000000000000001E-3</v>
      </c>
      <c r="C4858" s="6" t="s">
        <v>1172</v>
      </c>
      <c r="D4858" s="37">
        <f>Prec.!$C$8</f>
        <v>250</v>
      </c>
      <c r="E4858" s="25">
        <f t="shared" si="384"/>
        <v>1.75</v>
      </c>
    </row>
    <row r="4859" spans="1:6" ht="12.75" customHeight="1">
      <c r="A4859" s="4" t="s">
        <v>1173</v>
      </c>
      <c r="B4859" s="8">
        <v>5.0000000000000001E-3</v>
      </c>
      <c r="C4859" s="6" t="s">
        <v>1018</v>
      </c>
      <c r="D4859" s="37">
        <f>Prec.!$C$82</f>
        <v>75</v>
      </c>
      <c r="E4859" s="25">
        <f t="shared" si="384"/>
        <v>0.38</v>
      </c>
    </row>
    <row r="4860" spans="1:6" ht="12.75" customHeight="1">
      <c r="A4860" s="4" t="s">
        <v>1174</v>
      </c>
      <c r="B4860" s="8">
        <v>1E-3</v>
      </c>
      <c r="C4860" s="6" t="s">
        <v>825</v>
      </c>
      <c r="D4860" s="37">
        <f>D4850</f>
        <v>6334.35</v>
      </c>
      <c r="E4860" s="25">
        <f t="shared" si="384"/>
        <v>6.33</v>
      </c>
    </row>
    <row r="4861" spans="1:6" ht="12.75" customHeight="1">
      <c r="A4861" s="4" t="s">
        <v>1015</v>
      </c>
      <c r="B4861" s="8">
        <v>4</v>
      </c>
      <c r="C4861" s="6" t="s">
        <v>1017</v>
      </c>
      <c r="D4861" s="37">
        <f>D4851</f>
        <v>11.93</v>
      </c>
      <c r="E4861" s="25">
        <f t="shared" si="384"/>
        <v>47.72</v>
      </c>
    </row>
    <row r="4862" spans="1:6" ht="12.75" customHeight="1">
      <c r="A4862" s="4" t="s">
        <v>674</v>
      </c>
      <c r="B4862" s="8">
        <v>1</v>
      </c>
      <c r="C4862" s="6" t="str">
        <f>C4873</f>
        <v>ml</v>
      </c>
      <c r="D4862" s="37">
        <f>Prec.!$D$498</f>
        <v>0</v>
      </c>
      <c r="E4862" s="25">
        <f t="shared" si="384"/>
        <v>0</v>
      </c>
    </row>
    <row r="4863" spans="1:6" ht="12.75" customHeight="1">
      <c r="A4863" s="4" t="s">
        <v>870</v>
      </c>
      <c r="B4863" s="8">
        <v>1</v>
      </c>
      <c r="C4863" s="6" t="s">
        <v>1171</v>
      </c>
      <c r="D4863" s="37">
        <f>Prec.!D559</f>
        <v>2.78</v>
      </c>
      <c r="E4863" s="25">
        <f t="shared" si="384"/>
        <v>2.78</v>
      </c>
    </row>
    <row r="4864" spans="1:6" ht="12.75" customHeight="1">
      <c r="A4864" s="4" t="s">
        <v>1154</v>
      </c>
      <c r="B4864" s="8">
        <f>B4858</f>
        <v>7.0000000000000001E-3</v>
      </c>
      <c r="C4864" s="6" t="s">
        <v>1172</v>
      </c>
      <c r="D4864" s="37">
        <f>D4854</f>
        <v>20.38</v>
      </c>
      <c r="E4864" s="25">
        <f t="shared" si="384"/>
        <v>0.14000000000000001</v>
      </c>
    </row>
    <row r="4865" spans="1:6" ht="12.75" customHeight="1">
      <c r="A4865" s="4" t="s">
        <v>208</v>
      </c>
      <c r="B4865" s="7">
        <f>SUM(E4857:E4864)</f>
        <v>130.01999999999998</v>
      </c>
      <c r="C4865" s="6" t="s">
        <v>209</v>
      </c>
      <c r="D4865" s="37">
        <f>Prec.!C302</f>
        <v>1.4999999999999999E-2</v>
      </c>
      <c r="E4865" s="25">
        <f t="shared" si="384"/>
        <v>1.95</v>
      </c>
      <c r="F4865" s="26">
        <f>SUM(E4857:E4865)</f>
        <v>131.96999999999997</v>
      </c>
    </row>
    <row r="4866" spans="1:6" ht="12.75" customHeight="1">
      <c r="B4866" s="7"/>
    </row>
    <row r="4867" spans="1:6" ht="12.75" customHeight="1">
      <c r="A4867" s="13" t="s">
        <v>1010</v>
      </c>
      <c r="B4867" s="11"/>
      <c r="C4867" s="2"/>
      <c r="E4867" s="27" t="s">
        <v>151</v>
      </c>
      <c r="F4867" s="28" t="s">
        <v>1171</v>
      </c>
    </row>
    <row r="4868" spans="1:6" ht="12.75" customHeight="1">
      <c r="A4868" s="4" t="s">
        <v>820</v>
      </c>
      <c r="B4868" s="8">
        <v>1.05</v>
      </c>
      <c r="C4868" s="6" t="s">
        <v>1171</v>
      </c>
      <c r="D4868" s="37">
        <f>Prec.!C143</f>
        <v>348</v>
      </c>
      <c r="E4868" s="25">
        <f t="shared" ref="E4868:E4876" si="385">ROUND(B4868*D4868,2)</f>
        <v>365.4</v>
      </c>
    </row>
    <row r="4869" spans="1:6" ht="12.75" customHeight="1">
      <c r="A4869" s="4" t="s">
        <v>673</v>
      </c>
      <c r="B4869" s="8">
        <v>2.1999999999999999E-2</v>
      </c>
      <c r="C4869" s="6" t="s">
        <v>1172</v>
      </c>
      <c r="D4869" s="37">
        <f>Prec.!$C$8</f>
        <v>250</v>
      </c>
      <c r="E4869" s="25">
        <f t="shared" si="385"/>
        <v>5.5</v>
      </c>
    </row>
    <row r="4870" spans="1:6" ht="12.75" customHeight="1">
      <c r="A4870" s="4" t="s">
        <v>1173</v>
      </c>
      <c r="B4870" s="8">
        <v>5.0000000000000001E-3</v>
      </c>
      <c r="C4870" s="6" t="s">
        <v>1018</v>
      </c>
      <c r="D4870" s="37">
        <f>Prec.!$C$82</f>
        <v>75</v>
      </c>
      <c r="E4870" s="25">
        <f t="shared" si="385"/>
        <v>0.38</v>
      </c>
    </row>
    <row r="4871" spans="1:6" ht="12.75" customHeight="1">
      <c r="A4871" s="4" t="s">
        <v>1174</v>
      </c>
      <c r="B4871" s="8">
        <v>1E-3</v>
      </c>
      <c r="C4871" s="6" t="s">
        <v>825</v>
      </c>
      <c r="D4871" s="37">
        <f>D4860</f>
        <v>6334.35</v>
      </c>
      <c r="E4871" s="25">
        <f t="shared" si="385"/>
        <v>6.33</v>
      </c>
    </row>
    <row r="4872" spans="1:6" ht="12.75" customHeight="1">
      <c r="A4872" s="4" t="s">
        <v>1015</v>
      </c>
      <c r="B4872" s="8">
        <v>1</v>
      </c>
      <c r="C4872" s="6" t="s">
        <v>1017</v>
      </c>
      <c r="D4872" s="37">
        <f>Prec.!D491</f>
        <v>11.93</v>
      </c>
      <c r="E4872" s="25">
        <f t="shared" si="385"/>
        <v>11.93</v>
      </c>
    </row>
    <row r="4873" spans="1:6" ht="12.75" customHeight="1">
      <c r="A4873" s="4" t="s">
        <v>674</v>
      </c>
      <c r="B4873" s="8">
        <v>1</v>
      </c>
      <c r="C4873" s="6" t="s">
        <v>1171</v>
      </c>
      <c r="D4873" s="37">
        <f>Prec.!D499</f>
        <v>93.25</v>
      </c>
      <c r="E4873" s="25">
        <f t="shared" si="385"/>
        <v>93.25</v>
      </c>
    </row>
    <row r="4874" spans="1:6" ht="12.75" customHeight="1">
      <c r="A4874" s="4" t="s">
        <v>870</v>
      </c>
      <c r="B4874" s="8">
        <v>1</v>
      </c>
      <c r="C4874" s="6" t="s">
        <v>1171</v>
      </c>
      <c r="D4874" s="37">
        <f>D4842</f>
        <v>2.78</v>
      </c>
      <c r="E4874" s="25">
        <f t="shared" si="385"/>
        <v>2.78</v>
      </c>
    </row>
    <row r="4875" spans="1:6" ht="12.75" customHeight="1">
      <c r="A4875" s="4" t="s">
        <v>1154</v>
      </c>
      <c r="B4875" s="8">
        <v>2.1999999999999999E-2</v>
      </c>
      <c r="C4875" s="6" t="s">
        <v>1172</v>
      </c>
      <c r="D4875" s="37">
        <f>D4864</f>
        <v>20.38</v>
      </c>
      <c r="E4875" s="25">
        <f t="shared" si="385"/>
        <v>0.45</v>
      </c>
    </row>
    <row r="4876" spans="1:6" ht="12.75" customHeight="1">
      <c r="A4876" s="4" t="s">
        <v>208</v>
      </c>
      <c r="B4876" s="7">
        <f>SUM(E4868:E4875)</f>
        <v>486.01999999999992</v>
      </c>
      <c r="C4876" s="6" t="s">
        <v>209</v>
      </c>
      <c r="D4876" s="37">
        <f>Prec.!C302</f>
        <v>1.4999999999999999E-2</v>
      </c>
      <c r="E4876" s="25">
        <f t="shared" si="385"/>
        <v>7.29</v>
      </c>
      <c r="F4876" s="26">
        <f>SUM(E4868:E4876)</f>
        <v>493.30999999999995</v>
      </c>
    </row>
    <row r="4877" spans="1:6" ht="12.75" customHeight="1">
      <c r="B4877" s="7"/>
    </row>
    <row r="4878" spans="1:6" ht="12.75" customHeight="1">
      <c r="A4878" s="1" t="s">
        <v>1011</v>
      </c>
      <c r="B4878" s="11"/>
      <c r="C4878" s="2"/>
      <c r="E4878" s="27" t="s">
        <v>151</v>
      </c>
      <c r="F4878" s="28" t="s">
        <v>1171</v>
      </c>
    </row>
    <row r="4879" spans="1:6" ht="12.75" customHeight="1">
      <c r="A4879" s="4" t="s">
        <v>427</v>
      </c>
      <c r="B4879" s="8">
        <v>8.0000000000000002E-3</v>
      </c>
      <c r="C4879" s="6" t="s">
        <v>825</v>
      </c>
      <c r="D4879" s="37">
        <f>horm.ymez.!G8</f>
        <v>7343.1500000000005</v>
      </c>
      <c r="E4879" s="25">
        <f>ROUND(B4879*D4879,2)</f>
        <v>58.75</v>
      </c>
    </row>
    <row r="4880" spans="1:6" ht="12.75" customHeight="1">
      <c r="A4880" s="4" t="s">
        <v>1168</v>
      </c>
      <c r="B4880" s="8">
        <v>1</v>
      </c>
      <c r="C4880" s="6" t="s">
        <v>1171</v>
      </c>
      <c r="D4880" s="37">
        <f>Prec.!$D$486</f>
        <v>0</v>
      </c>
      <c r="E4880" s="25">
        <f>ROUND(B4880*D4880,2)</f>
        <v>0</v>
      </c>
    </row>
    <row r="4881" spans="1:6" ht="12.75" customHeight="1">
      <c r="A4881" s="4" t="s">
        <v>208</v>
      </c>
      <c r="B4881" s="7">
        <f>SUM(E4879:E4880)</f>
        <v>58.75</v>
      </c>
      <c r="C4881" s="6" t="s">
        <v>209</v>
      </c>
      <c r="D4881" s="37">
        <f>Prec.!C302</f>
        <v>1.4999999999999999E-2</v>
      </c>
      <c r="E4881" s="25">
        <f>ROUND(B4881*D4881,2)</f>
        <v>0.88</v>
      </c>
      <c r="F4881" s="26">
        <f>SUM(E4879:E4881)</f>
        <v>59.63</v>
      </c>
    </row>
    <row r="4882" spans="1:6" ht="12.75" customHeight="1">
      <c r="B4882" s="7"/>
    </row>
    <row r="4883" spans="1:6" ht="12.75" customHeight="1">
      <c r="A4883" s="1" t="s">
        <v>1219</v>
      </c>
      <c r="B4883" s="7"/>
    </row>
    <row r="4884" spans="1:6" ht="12.75" customHeight="1">
      <c r="A4884" s="4" t="s">
        <v>1216</v>
      </c>
      <c r="B4884" s="8">
        <v>1</v>
      </c>
      <c r="C4884" s="6" t="s">
        <v>1171</v>
      </c>
      <c r="D4884" s="37">
        <f>Prec.!C140</f>
        <v>90</v>
      </c>
      <c r="E4884" s="25">
        <f t="shared" ref="E4884:E4890" si="386">ROUND(B4884*D4884,2)</f>
        <v>90</v>
      </c>
    </row>
    <row r="4885" spans="1:6" ht="12.75" customHeight="1">
      <c r="A4885" s="4" t="s">
        <v>870</v>
      </c>
      <c r="B4885" s="8">
        <v>1</v>
      </c>
      <c r="C4885" s="6" t="s">
        <v>1171</v>
      </c>
      <c r="D4885" s="37">
        <f>Prec.!D559</f>
        <v>2.78</v>
      </c>
      <c r="E4885" s="25">
        <f t="shared" si="386"/>
        <v>2.78</v>
      </c>
    </row>
    <row r="4886" spans="1:6" ht="12.75" customHeight="1">
      <c r="A4886" s="4" t="s">
        <v>796</v>
      </c>
      <c r="B4886" s="8">
        <v>7.0000000000000001E-3</v>
      </c>
      <c r="C4886" s="6" t="s">
        <v>755</v>
      </c>
      <c r="D4886" s="37">
        <f>Prec.!C7</f>
        <v>250</v>
      </c>
      <c r="E4886" s="25">
        <f t="shared" si="386"/>
        <v>1.75</v>
      </c>
    </row>
    <row r="4887" spans="1:6" ht="12.75" customHeight="1">
      <c r="A4887" s="4" t="s">
        <v>1130</v>
      </c>
      <c r="B4887" s="8">
        <v>7.0000000000000001E-3</v>
      </c>
      <c r="C4887" s="6" t="s">
        <v>755</v>
      </c>
      <c r="D4887" s="37">
        <f>D4875</f>
        <v>20.38</v>
      </c>
      <c r="E4887" s="25">
        <f t="shared" si="386"/>
        <v>0.14000000000000001</v>
      </c>
    </row>
    <row r="4888" spans="1:6" ht="12.75" customHeight="1">
      <c r="A4888" s="4" t="s">
        <v>1174</v>
      </c>
      <c r="B4888" s="8">
        <v>4.0000000000000001E-3</v>
      </c>
      <c r="C4888" s="6" t="s">
        <v>825</v>
      </c>
      <c r="D4888" s="37">
        <f>horm.ymez.!G9</f>
        <v>6334.35</v>
      </c>
      <c r="E4888" s="25">
        <f t="shared" si="386"/>
        <v>25.34</v>
      </c>
    </row>
    <row r="4889" spans="1:6" ht="12.75" customHeight="1">
      <c r="A4889" s="4" t="s">
        <v>1217</v>
      </c>
      <c r="B4889" s="8">
        <v>1</v>
      </c>
      <c r="C4889" s="6" t="s">
        <v>1171</v>
      </c>
      <c r="D4889" s="37">
        <f>Prec.!D467</f>
        <v>0</v>
      </c>
      <c r="E4889" s="25">
        <f t="shared" si="386"/>
        <v>0</v>
      </c>
    </row>
    <row r="4890" spans="1:6" ht="12.75" customHeight="1">
      <c r="A4890" s="4" t="s">
        <v>208</v>
      </c>
      <c r="B4890" s="8">
        <f>SUM(E4884:E4889)</f>
        <v>120.01</v>
      </c>
      <c r="C4890" s="6" t="s">
        <v>209</v>
      </c>
      <c r="D4890" s="37">
        <f>D4881</f>
        <v>1.4999999999999999E-2</v>
      </c>
      <c r="E4890" s="25">
        <f t="shared" si="386"/>
        <v>1.8</v>
      </c>
      <c r="F4890" s="26">
        <f>SUM(E4884:E4890)</f>
        <v>121.81</v>
      </c>
    </row>
    <row r="4891" spans="1:6" ht="12.75" customHeight="1">
      <c r="A4891" s="1"/>
      <c r="B4891" s="7"/>
    </row>
    <row r="4892" spans="1:6" ht="12.75" customHeight="1">
      <c r="A4892" s="1" t="s">
        <v>1220</v>
      </c>
      <c r="B4892" s="7"/>
    </row>
    <row r="4893" spans="1:6" ht="12.75" customHeight="1">
      <c r="A4893" s="4" t="s">
        <v>66</v>
      </c>
      <c r="B4893" s="8">
        <v>1</v>
      </c>
      <c r="C4893" s="6" t="s">
        <v>1171</v>
      </c>
      <c r="D4893" s="37">
        <f>Prec.!C139</f>
        <v>70.73</v>
      </c>
      <c r="E4893" s="25">
        <f t="shared" ref="E4893:E4899" si="387">ROUND(B4893*D4893,2)</f>
        <v>70.73</v>
      </c>
    </row>
    <row r="4894" spans="1:6" ht="12.75" customHeight="1">
      <c r="A4894" s="4" t="s">
        <v>870</v>
      </c>
      <c r="B4894" s="8">
        <v>1</v>
      </c>
      <c r="C4894" s="6" t="s">
        <v>1171</v>
      </c>
      <c r="D4894" s="37">
        <f>D4885</f>
        <v>2.78</v>
      </c>
      <c r="E4894" s="25">
        <f t="shared" si="387"/>
        <v>2.78</v>
      </c>
    </row>
    <row r="4895" spans="1:6" ht="12.75" customHeight="1">
      <c r="A4895" s="4" t="s">
        <v>657</v>
      </c>
      <c r="B4895" s="8">
        <v>7.0000000000000001E-3</v>
      </c>
      <c r="C4895" s="6" t="s">
        <v>755</v>
      </c>
      <c r="D4895" s="37">
        <f>Prec.!C8</f>
        <v>250</v>
      </c>
      <c r="E4895" s="25">
        <f t="shared" si="387"/>
        <v>1.75</v>
      </c>
    </row>
    <row r="4896" spans="1:6" ht="12.75" customHeight="1">
      <c r="A4896" s="4" t="s">
        <v>1130</v>
      </c>
      <c r="B4896" s="8">
        <v>7.0000000000000001E-3</v>
      </c>
      <c r="C4896" s="6" t="s">
        <v>755</v>
      </c>
      <c r="D4896" s="37">
        <f>D4887</f>
        <v>20.38</v>
      </c>
      <c r="E4896" s="25">
        <f t="shared" si="387"/>
        <v>0.14000000000000001</v>
      </c>
    </row>
    <row r="4897" spans="1:6" ht="12.75" customHeight="1">
      <c r="A4897" s="4" t="s">
        <v>1174</v>
      </c>
      <c r="B4897" s="8">
        <v>4.0000000000000001E-3</v>
      </c>
      <c r="C4897" s="6" t="s">
        <v>825</v>
      </c>
      <c r="D4897" s="37">
        <f>D4888</f>
        <v>6334.35</v>
      </c>
      <c r="E4897" s="25">
        <f t="shared" si="387"/>
        <v>25.34</v>
      </c>
    </row>
    <row r="4898" spans="1:6" ht="12.75" customHeight="1">
      <c r="A4898" s="4" t="s">
        <v>1217</v>
      </c>
      <c r="B4898" s="8">
        <v>1</v>
      </c>
      <c r="C4898" s="6" t="s">
        <v>1171</v>
      </c>
      <c r="D4898" s="37">
        <f>Prec.!D467</f>
        <v>0</v>
      </c>
      <c r="E4898" s="25">
        <f t="shared" si="387"/>
        <v>0</v>
      </c>
    </row>
    <row r="4899" spans="1:6" ht="12.75" customHeight="1">
      <c r="A4899" s="4" t="s">
        <v>208</v>
      </c>
      <c r="B4899" s="8">
        <f>SUM(E4893:E4898)</f>
        <v>100.74000000000001</v>
      </c>
      <c r="C4899" s="6" t="s">
        <v>209</v>
      </c>
      <c r="D4899" s="37">
        <f>D4890</f>
        <v>1.4999999999999999E-2</v>
      </c>
      <c r="E4899" s="25">
        <f t="shared" si="387"/>
        <v>1.51</v>
      </c>
      <c r="F4899" s="26">
        <f>SUM(E4893:E4899)</f>
        <v>102.25000000000001</v>
      </c>
    </row>
    <row r="4906" spans="1:6" ht="12.75" customHeight="1">
      <c r="A4906" s="1" t="s">
        <v>67</v>
      </c>
      <c r="B4906" s="7"/>
    </row>
    <row r="4907" spans="1:6" ht="12.75" customHeight="1">
      <c r="A4907" s="4" t="s">
        <v>1216</v>
      </c>
      <c r="B4907" s="8">
        <v>1</v>
      </c>
      <c r="C4907" s="6" t="s">
        <v>1171</v>
      </c>
      <c r="D4907" s="37">
        <f>Prec.!C142</f>
        <v>58</v>
      </c>
      <c r="E4907" s="25">
        <f t="shared" ref="E4907:E4913" si="388">ROUND(B4907*D4907,2)</f>
        <v>58</v>
      </c>
    </row>
    <row r="4908" spans="1:6" ht="12.75" customHeight="1">
      <c r="A4908" s="4" t="s">
        <v>870</v>
      </c>
      <c r="B4908" s="8">
        <v>1</v>
      </c>
      <c r="C4908" s="6" t="s">
        <v>1171</v>
      </c>
      <c r="D4908" s="37">
        <f>D4894</f>
        <v>2.78</v>
      </c>
      <c r="E4908" s="25">
        <f t="shared" si="388"/>
        <v>2.78</v>
      </c>
    </row>
    <row r="4909" spans="1:6" ht="12.75" customHeight="1">
      <c r="A4909" s="4" t="s">
        <v>796</v>
      </c>
      <c r="B4909" s="8">
        <v>7.0000000000000001E-3</v>
      </c>
      <c r="C4909" s="6" t="s">
        <v>755</v>
      </c>
      <c r="D4909" s="37">
        <f>D4886</f>
        <v>250</v>
      </c>
      <c r="E4909" s="25">
        <f t="shared" si="388"/>
        <v>1.75</v>
      </c>
    </row>
    <row r="4910" spans="1:6" ht="12.75" customHeight="1">
      <c r="A4910" s="4" t="s">
        <v>1130</v>
      </c>
      <c r="B4910" s="8">
        <v>7.0000000000000001E-3</v>
      </c>
      <c r="C4910" s="6" t="s">
        <v>755</v>
      </c>
      <c r="D4910" s="37">
        <f>D4896</f>
        <v>20.38</v>
      </c>
      <c r="E4910" s="25">
        <f t="shared" si="388"/>
        <v>0.14000000000000001</v>
      </c>
    </row>
    <row r="4911" spans="1:6" ht="12.75" customHeight="1">
      <c r="A4911" s="4" t="s">
        <v>1174</v>
      </c>
      <c r="B4911" s="8">
        <v>4.0000000000000001E-3</v>
      </c>
      <c r="C4911" s="6" t="s">
        <v>825</v>
      </c>
      <c r="D4911" s="37">
        <f>D4888</f>
        <v>6334.35</v>
      </c>
      <c r="E4911" s="25">
        <f t="shared" si="388"/>
        <v>25.34</v>
      </c>
    </row>
    <row r="4912" spans="1:6" ht="12.75" customHeight="1">
      <c r="A4912" s="4" t="s">
        <v>1217</v>
      </c>
      <c r="B4912" s="8">
        <v>1</v>
      </c>
      <c r="C4912" s="6" t="s">
        <v>1171</v>
      </c>
      <c r="D4912" s="37">
        <f>D4889</f>
        <v>0</v>
      </c>
      <c r="E4912" s="25">
        <f t="shared" si="388"/>
        <v>0</v>
      </c>
    </row>
    <row r="4913" spans="1:6" ht="12.75" customHeight="1">
      <c r="A4913" s="4" t="s">
        <v>208</v>
      </c>
      <c r="B4913" s="8">
        <f>SUM(E4907:E4912)</f>
        <v>88.01</v>
      </c>
      <c r="C4913" s="6" t="s">
        <v>209</v>
      </c>
      <c r="D4913" s="37">
        <f>D4899</f>
        <v>1.4999999999999999E-2</v>
      </c>
      <c r="E4913" s="25">
        <f t="shared" si="388"/>
        <v>1.32</v>
      </c>
      <c r="F4913" s="26">
        <f>SUM(E4907:E4913)</f>
        <v>89.33</v>
      </c>
    </row>
    <row r="4914" spans="1:6" ht="12.75" customHeight="1">
      <c r="A4914" s="1"/>
      <c r="B4914" s="7"/>
    </row>
    <row r="4915" spans="1:6" ht="12.75" customHeight="1">
      <c r="A4915" s="1" t="s">
        <v>1129</v>
      </c>
      <c r="B4915" s="7"/>
    </row>
    <row r="4916" spans="1:6" ht="12.75" customHeight="1">
      <c r="A4916" s="4" t="s">
        <v>66</v>
      </c>
      <c r="B4916" s="8">
        <v>1</v>
      </c>
      <c r="C4916" s="6" t="s">
        <v>1171</v>
      </c>
      <c r="D4916" s="37">
        <f>Prec.!C141</f>
        <v>78.3</v>
      </c>
      <c r="E4916" s="25">
        <f t="shared" ref="E4916:E4922" si="389">ROUND(B4916*D4916,2)</f>
        <v>78.3</v>
      </c>
    </row>
    <row r="4917" spans="1:6" ht="12.75" customHeight="1">
      <c r="A4917" s="4" t="s">
        <v>870</v>
      </c>
      <c r="B4917" s="8">
        <v>1</v>
      </c>
      <c r="C4917" s="6" t="s">
        <v>1171</v>
      </c>
      <c r="D4917" s="37">
        <f>D4908</f>
        <v>2.78</v>
      </c>
      <c r="E4917" s="25">
        <f t="shared" si="389"/>
        <v>2.78</v>
      </c>
    </row>
    <row r="4918" spans="1:6" ht="12.75" customHeight="1">
      <c r="A4918" s="4" t="s">
        <v>657</v>
      </c>
      <c r="B4918" s="8">
        <v>7.0000000000000001E-3</v>
      </c>
      <c r="C4918" s="6" t="s">
        <v>755</v>
      </c>
      <c r="D4918" s="37">
        <f>D4895</f>
        <v>250</v>
      </c>
      <c r="E4918" s="25">
        <f t="shared" si="389"/>
        <v>1.75</v>
      </c>
    </row>
    <row r="4919" spans="1:6" ht="12.75" customHeight="1">
      <c r="A4919" s="4" t="s">
        <v>1130</v>
      </c>
      <c r="B4919" s="8">
        <v>7.0000000000000001E-3</v>
      </c>
      <c r="C4919" s="6" t="s">
        <v>755</v>
      </c>
      <c r="D4919" s="37">
        <f>D4910</f>
        <v>20.38</v>
      </c>
      <c r="E4919" s="25">
        <f t="shared" si="389"/>
        <v>0.14000000000000001</v>
      </c>
    </row>
    <row r="4920" spans="1:6" ht="12.75" customHeight="1">
      <c r="A4920" s="4" t="s">
        <v>1174</v>
      </c>
      <c r="B4920" s="8">
        <v>4.0000000000000001E-3</v>
      </c>
      <c r="C4920" s="6" t="s">
        <v>825</v>
      </c>
      <c r="D4920" s="37">
        <f>D4911</f>
        <v>6334.35</v>
      </c>
      <c r="E4920" s="25">
        <f t="shared" si="389"/>
        <v>25.34</v>
      </c>
    </row>
    <row r="4921" spans="1:6" ht="12.75" customHeight="1">
      <c r="A4921" s="4" t="s">
        <v>1217</v>
      </c>
      <c r="B4921" s="8">
        <v>1</v>
      </c>
      <c r="C4921" s="6" t="s">
        <v>1171</v>
      </c>
      <c r="D4921" s="37">
        <f>D4912</f>
        <v>0</v>
      </c>
      <c r="E4921" s="25">
        <f t="shared" si="389"/>
        <v>0</v>
      </c>
    </row>
    <row r="4922" spans="1:6" ht="12.75" customHeight="1">
      <c r="A4922" s="4" t="s">
        <v>208</v>
      </c>
      <c r="B4922" s="8">
        <f>SUM(E4916:E4921)</f>
        <v>108.31</v>
      </c>
      <c r="C4922" s="6" t="s">
        <v>209</v>
      </c>
      <c r="D4922" s="37">
        <f>D4913</f>
        <v>1.4999999999999999E-2</v>
      </c>
      <c r="E4922" s="25">
        <f t="shared" si="389"/>
        <v>1.62</v>
      </c>
      <c r="F4922" s="26">
        <f>SUM(E4916:E4922)</f>
        <v>109.93</v>
      </c>
    </row>
    <row r="4923" spans="1:6" ht="12.75" customHeight="1">
      <c r="B4923" s="7"/>
    </row>
    <row r="4924" spans="1:6" ht="12.75" customHeight="1">
      <c r="A4924" s="23" t="s">
        <v>1189</v>
      </c>
      <c r="B4924" s="7"/>
    </row>
    <row r="4925" spans="1:6" ht="12.75" customHeight="1">
      <c r="A4925" s="2"/>
      <c r="B4925" s="7"/>
    </row>
    <row r="4926" spans="1:6" ht="12.75" customHeight="1">
      <c r="A4926" s="1" t="s">
        <v>8</v>
      </c>
      <c r="B4926" s="11"/>
      <c r="C4926" s="2"/>
      <c r="E4926" s="27" t="s">
        <v>151</v>
      </c>
      <c r="F4926" s="28" t="s">
        <v>213</v>
      </c>
    </row>
    <row r="4927" spans="1:6" ht="12.75" customHeight="1">
      <c r="A4927" s="4" t="s">
        <v>421</v>
      </c>
      <c r="B4927" s="8">
        <f>B4932</f>
        <v>8.4000000000000005E-2</v>
      </c>
      <c r="C4927" s="6" t="s">
        <v>825</v>
      </c>
      <c r="D4927" s="37">
        <f>horm.ymez.!H14</f>
        <v>5466.17</v>
      </c>
      <c r="E4927" s="25">
        <f>ROUND(B4927*D4927,2)</f>
        <v>459.16</v>
      </c>
    </row>
    <row r="4928" spans="1:6" ht="12.75" customHeight="1">
      <c r="A4928" s="4" t="s">
        <v>1168</v>
      </c>
      <c r="B4928" s="8">
        <v>1</v>
      </c>
      <c r="C4928" s="6" t="s">
        <v>213</v>
      </c>
      <c r="D4928" s="37">
        <f>D4678</f>
        <v>0</v>
      </c>
      <c r="E4928" s="25">
        <f>ROUND(B4928*D4928,2)</f>
        <v>0</v>
      </c>
    </row>
    <row r="4929" spans="1:6" ht="12.75" customHeight="1">
      <c r="A4929" s="4" t="s">
        <v>208</v>
      </c>
      <c r="B4929" s="7">
        <f>SUM(E4927:E4928)</f>
        <v>459.16</v>
      </c>
      <c r="C4929" s="6" t="s">
        <v>209</v>
      </c>
      <c r="D4929" s="37">
        <f>D4922</f>
        <v>1.4999999999999999E-2</v>
      </c>
      <c r="E4929" s="25">
        <f>ROUND(B4929*D4929,2)</f>
        <v>6.89</v>
      </c>
      <c r="F4929" s="26">
        <f>SUM(E4927:E4929)</f>
        <v>466.05</v>
      </c>
    </row>
    <row r="4930" spans="1:6" ht="12.75" customHeight="1">
      <c r="B4930" s="7"/>
    </row>
    <row r="4931" spans="1:6" ht="12.75" customHeight="1">
      <c r="A4931" s="1" t="s">
        <v>9</v>
      </c>
      <c r="B4931" s="11"/>
      <c r="C4931" s="2"/>
      <c r="E4931" s="27" t="s">
        <v>151</v>
      </c>
      <c r="F4931" s="28" t="s">
        <v>213</v>
      </c>
    </row>
    <row r="4932" spans="1:6" ht="12.75" customHeight="1">
      <c r="A4932" s="4" t="s">
        <v>421</v>
      </c>
      <c r="B4932" s="8">
        <v>8.4000000000000005E-2</v>
      </c>
      <c r="C4932" s="6" t="s">
        <v>825</v>
      </c>
      <c r="D4932" s="37">
        <f>D4927</f>
        <v>5466.17</v>
      </c>
      <c r="E4932" s="25">
        <f t="shared" ref="E4932:E4937" si="390">ROUND(B4932*D4932,2)</f>
        <v>459.16</v>
      </c>
    </row>
    <row r="4933" spans="1:6" ht="12.75" customHeight="1">
      <c r="A4933" s="4" t="s">
        <v>427</v>
      </c>
      <c r="B4933" s="8">
        <v>2.1999999999999999E-2</v>
      </c>
      <c r="C4933" s="6" t="s">
        <v>825</v>
      </c>
      <c r="D4933" s="37">
        <f>horm.ymez.!H8</f>
        <v>6795.98</v>
      </c>
      <c r="E4933" s="25">
        <f t="shared" si="390"/>
        <v>149.51</v>
      </c>
    </row>
    <row r="4934" spans="1:6" ht="12.75" customHeight="1">
      <c r="A4934" s="4" t="s">
        <v>183</v>
      </c>
      <c r="B4934" s="8">
        <v>8.7999999999999995E-2</v>
      </c>
      <c r="C4934" s="6" t="s">
        <v>211</v>
      </c>
      <c r="D4934" s="37">
        <f>D4443</f>
        <v>38</v>
      </c>
      <c r="E4934" s="25">
        <f t="shared" si="390"/>
        <v>3.34</v>
      </c>
    </row>
    <row r="4935" spans="1:6" ht="12.75" customHeight="1">
      <c r="A4935" s="4" t="s">
        <v>1170</v>
      </c>
      <c r="B4935" s="8">
        <v>0.8</v>
      </c>
      <c r="C4935" s="6" t="s">
        <v>1171</v>
      </c>
      <c r="D4935" s="37">
        <f>Prec.!$D$438</f>
        <v>0</v>
      </c>
      <c r="E4935" s="25">
        <f t="shared" si="390"/>
        <v>0</v>
      </c>
    </row>
    <row r="4936" spans="1:6" ht="12.75" customHeight="1">
      <c r="A4936" s="4" t="s">
        <v>1168</v>
      </c>
      <c r="B4936" s="8">
        <v>1</v>
      </c>
      <c r="C4936" s="6" t="s">
        <v>213</v>
      </c>
      <c r="D4936" s="37">
        <f>Prec.!$D$450</f>
        <v>0</v>
      </c>
      <c r="E4936" s="25">
        <f t="shared" si="390"/>
        <v>0</v>
      </c>
    </row>
    <row r="4937" spans="1:6" ht="12.75" customHeight="1">
      <c r="A4937" s="4" t="s">
        <v>208</v>
      </c>
      <c r="B4937" s="7">
        <f>SUM(E4932:E4936)</f>
        <v>612.0100000000001</v>
      </c>
      <c r="C4937" s="6" t="s">
        <v>209</v>
      </c>
      <c r="D4937" s="37">
        <f>D4929</f>
        <v>1.4999999999999999E-2</v>
      </c>
      <c r="E4937" s="25">
        <f t="shared" si="390"/>
        <v>9.18</v>
      </c>
      <c r="F4937" s="26">
        <f>SUM(E4932:E4937)</f>
        <v>621.19000000000005</v>
      </c>
    </row>
    <row r="4938" spans="1:6" ht="12.75" customHeight="1">
      <c r="B4938" s="7"/>
    </row>
    <row r="4939" spans="1:6" ht="12.75" customHeight="1">
      <c r="A4939" s="1" t="s">
        <v>10</v>
      </c>
      <c r="B4939" s="11"/>
      <c r="C4939" s="2"/>
      <c r="E4939" s="27" t="s">
        <v>151</v>
      </c>
      <c r="F4939" s="28" t="s">
        <v>213</v>
      </c>
    </row>
    <row r="4940" spans="1:6" ht="12.75" customHeight="1">
      <c r="A4940" s="4" t="s">
        <v>1</v>
      </c>
      <c r="B4940" s="8">
        <v>4.4999999999999998E-2</v>
      </c>
      <c r="C4940" s="6" t="s">
        <v>823</v>
      </c>
      <c r="D4940" s="36">
        <f>Prec.!$C$5</f>
        <v>425</v>
      </c>
      <c r="E4940" s="25">
        <f t="shared" ref="E4940:E4946" si="391">ROUND(B4940*D4940,2)</f>
        <v>19.13</v>
      </c>
    </row>
    <row r="4941" spans="1:6" ht="12.75" customHeight="1">
      <c r="A4941" s="4" t="s">
        <v>421</v>
      </c>
      <c r="B4941" s="8">
        <v>8.4000000000000005E-2</v>
      </c>
      <c r="C4941" s="6" t="s">
        <v>825</v>
      </c>
      <c r="D4941" s="37">
        <f>D4932</f>
        <v>5466.17</v>
      </c>
      <c r="E4941" s="25">
        <f t="shared" si="391"/>
        <v>459.16</v>
      </c>
    </row>
    <row r="4942" spans="1:6" ht="12.75" customHeight="1">
      <c r="A4942" s="4" t="s">
        <v>427</v>
      </c>
      <c r="B4942" s="8">
        <v>2.1999999999999999E-2</v>
      </c>
      <c r="C4942" s="6" t="s">
        <v>825</v>
      </c>
      <c r="D4942" s="37">
        <f>D4933</f>
        <v>6795.98</v>
      </c>
      <c r="E4942" s="25">
        <f t="shared" si="391"/>
        <v>149.51</v>
      </c>
    </row>
    <row r="4943" spans="1:6" ht="12.75" customHeight="1">
      <c r="A4943" s="4" t="s">
        <v>183</v>
      </c>
      <c r="B4943" s="8">
        <v>8.7999999999999995E-2</v>
      </c>
      <c r="C4943" s="6" t="s">
        <v>211</v>
      </c>
      <c r="D4943" s="37">
        <f>D4934</f>
        <v>38</v>
      </c>
      <c r="E4943" s="25">
        <f t="shared" si="391"/>
        <v>3.34</v>
      </c>
    </row>
    <row r="4944" spans="1:6" ht="12.75" customHeight="1">
      <c r="A4944" s="4" t="s">
        <v>1170</v>
      </c>
      <c r="B4944" s="8">
        <v>0.8</v>
      </c>
      <c r="C4944" s="6" t="s">
        <v>1171</v>
      </c>
      <c r="D4944" s="37">
        <f>Prec.!$D$438</f>
        <v>0</v>
      </c>
      <c r="E4944" s="25">
        <f t="shared" si="391"/>
        <v>0</v>
      </c>
    </row>
    <row r="4945" spans="1:6" ht="12.75" customHeight="1">
      <c r="A4945" s="4" t="s">
        <v>1168</v>
      </c>
      <c r="B4945" s="8">
        <v>1</v>
      </c>
      <c r="C4945" s="6" t="s">
        <v>213</v>
      </c>
      <c r="D4945" s="37">
        <f>Prec.!$D$452</f>
        <v>0</v>
      </c>
      <c r="E4945" s="25">
        <f t="shared" si="391"/>
        <v>0</v>
      </c>
    </row>
    <row r="4946" spans="1:6" ht="12.75" customHeight="1">
      <c r="A4946" s="4" t="s">
        <v>208</v>
      </c>
      <c r="B4946" s="7">
        <f>SUM(E4940:E4945)</f>
        <v>631.14</v>
      </c>
      <c r="C4946" s="6" t="s">
        <v>209</v>
      </c>
      <c r="D4946" s="37">
        <f>D4937</f>
        <v>1.4999999999999999E-2</v>
      </c>
      <c r="E4946" s="25">
        <f t="shared" si="391"/>
        <v>9.4700000000000006</v>
      </c>
      <c r="F4946" s="26">
        <f>SUM(E4940:E4946)</f>
        <v>640.61</v>
      </c>
    </row>
    <row r="4947" spans="1:6" ht="12.75" customHeight="1">
      <c r="B4947" s="7"/>
    </row>
    <row r="4948" spans="1:6" ht="12.75" customHeight="1">
      <c r="B4948" s="7"/>
    </row>
    <row r="4949" spans="1:6" ht="12.75" customHeight="1">
      <c r="B4949" s="7"/>
    </row>
    <row r="4950" spans="1:6" ht="12.75" customHeight="1">
      <c r="B4950" s="7"/>
    </row>
    <row r="4951" spans="1:6" ht="12.75" customHeight="1">
      <c r="B4951" s="7"/>
    </row>
    <row r="4952" spans="1:6" ht="12.75" customHeight="1">
      <c r="B4952" s="7"/>
    </row>
    <row r="4953" spans="1:6" ht="12.75" customHeight="1">
      <c r="B4953" s="7"/>
    </row>
    <row r="4954" spans="1:6" ht="12.75" customHeight="1">
      <c r="B4954" s="7"/>
    </row>
    <row r="4955" spans="1:6" ht="12.75" customHeight="1">
      <c r="B4955" s="7"/>
    </row>
    <row r="4956" spans="1:6" ht="12.75" customHeight="1">
      <c r="A4956" s="1" t="s">
        <v>11</v>
      </c>
      <c r="B4956" s="11"/>
      <c r="C4956" s="2"/>
      <c r="E4956" s="27" t="s">
        <v>151</v>
      </c>
      <c r="F4956" s="28" t="s">
        <v>213</v>
      </c>
    </row>
    <row r="4957" spans="1:6" ht="12.75" customHeight="1">
      <c r="A4957" s="4" t="s">
        <v>672</v>
      </c>
      <c r="B4957" s="8">
        <v>11.67</v>
      </c>
      <c r="C4957" s="6" t="s">
        <v>1017</v>
      </c>
      <c r="D4957" s="37">
        <f>Prec.!$C$102</f>
        <v>34.76</v>
      </c>
      <c r="E4957" s="25">
        <f t="shared" ref="E4957:E4966" si="392">ROUND(B4957*D4957,2)</f>
        <v>405.65</v>
      </c>
    </row>
    <row r="4958" spans="1:6" ht="12.75" customHeight="1">
      <c r="A4958" s="4" t="s">
        <v>673</v>
      </c>
      <c r="B4958" s="8">
        <v>7.0000000000000007E-2</v>
      </c>
      <c r="C4958" s="6" t="s">
        <v>1172</v>
      </c>
      <c r="D4958" s="37">
        <f>Prec.!$C$8</f>
        <v>250</v>
      </c>
      <c r="E4958" s="25">
        <f t="shared" si="392"/>
        <v>17.5</v>
      </c>
    </row>
    <row r="4959" spans="1:6" ht="12.75" customHeight="1">
      <c r="A4959" s="4" t="s">
        <v>1174</v>
      </c>
      <c r="B4959" s="8">
        <v>3.2000000000000001E-2</v>
      </c>
      <c r="C4959" s="6" t="s">
        <v>825</v>
      </c>
      <c r="D4959" s="37">
        <f>horm.ymez.!H9</f>
        <v>5783.9699999999993</v>
      </c>
      <c r="E4959" s="25">
        <f t="shared" si="392"/>
        <v>185.09</v>
      </c>
    </row>
    <row r="4960" spans="1:6" ht="12.75" customHeight="1">
      <c r="A4960" s="4" t="s">
        <v>1173</v>
      </c>
      <c r="B4960" s="8">
        <v>0.05</v>
      </c>
      <c r="C4960" s="6" t="s">
        <v>1018</v>
      </c>
      <c r="D4960" s="37">
        <f>Prec.!$C$82</f>
        <v>75</v>
      </c>
      <c r="E4960" s="25">
        <f t="shared" si="392"/>
        <v>3.75</v>
      </c>
    </row>
    <row r="4961" spans="1:6" ht="12.75" customHeight="1">
      <c r="A4961" s="4" t="s">
        <v>1015</v>
      </c>
      <c r="B4961" s="8">
        <v>3</v>
      </c>
      <c r="C4961" s="6" t="s">
        <v>1017</v>
      </c>
      <c r="D4961" s="37">
        <f>Prec.!D490</f>
        <v>11.93</v>
      </c>
      <c r="E4961" s="25">
        <f t="shared" si="392"/>
        <v>35.79</v>
      </c>
    </row>
    <row r="4962" spans="1:6" ht="12.75" customHeight="1">
      <c r="A4962" s="4" t="s">
        <v>674</v>
      </c>
      <c r="B4962" s="8">
        <v>1</v>
      </c>
      <c r="C4962" s="6" t="s">
        <v>213</v>
      </c>
      <c r="D4962" s="37">
        <f>Prec.!$D$458</f>
        <v>0</v>
      </c>
      <c r="E4962" s="25">
        <f t="shared" si="392"/>
        <v>0</v>
      </c>
    </row>
    <row r="4963" spans="1:6" ht="12.75" customHeight="1">
      <c r="A4963" s="4" t="s">
        <v>1016</v>
      </c>
      <c r="B4963" s="8">
        <v>1</v>
      </c>
      <c r="C4963" s="6" t="s">
        <v>213</v>
      </c>
      <c r="D4963" s="37">
        <f>Prec.!$D$444</f>
        <v>160.08000000000001</v>
      </c>
      <c r="E4963" s="25">
        <f t="shared" si="392"/>
        <v>160.08000000000001</v>
      </c>
    </row>
    <row r="4964" spans="1:6" ht="12.75" customHeight="1">
      <c r="A4964" s="4" t="s">
        <v>1155</v>
      </c>
      <c r="B4964" s="8">
        <v>1</v>
      </c>
      <c r="C4964" s="6" t="s">
        <v>213</v>
      </c>
      <c r="D4964" s="37">
        <f>Prec.!D553</f>
        <v>35.369999999999997</v>
      </c>
      <c r="E4964" s="25">
        <f t="shared" si="392"/>
        <v>35.369999999999997</v>
      </c>
    </row>
    <row r="4965" spans="1:6" ht="12.75" customHeight="1">
      <c r="A4965" s="4" t="s">
        <v>1154</v>
      </c>
      <c r="B4965" s="8">
        <v>7.0000000000000007E-2</v>
      </c>
      <c r="C4965" s="6" t="s">
        <v>1172</v>
      </c>
      <c r="D4965" s="37">
        <f>Prec.!D566</f>
        <v>26.49</v>
      </c>
      <c r="E4965" s="25">
        <f t="shared" si="392"/>
        <v>1.85</v>
      </c>
    </row>
    <row r="4966" spans="1:6" ht="12.75" customHeight="1">
      <c r="A4966" s="4" t="s">
        <v>208</v>
      </c>
      <c r="B4966" s="7">
        <f>SUM(E4957:E4965)</f>
        <v>845.08</v>
      </c>
      <c r="C4966" s="6" t="s">
        <v>209</v>
      </c>
      <c r="D4966" s="37">
        <f>D4946</f>
        <v>1.4999999999999999E-2</v>
      </c>
      <c r="E4966" s="25">
        <f t="shared" si="392"/>
        <v>12.68</v>
      </c>
      <c r="F4966" s="26">
        <f>SUM(E4957:E4966)</f>
        <v>857.76</v>
      </c>
    </row>
    <row r="4967" spans="1:6" ht="12.75" customHeight="1">
      <c r="A4967" s="12"/>
      <c r="B4967" s="7"/>
    </row>
    <row r="4968" spans="1:6" ht="12.75" customHeight="1">
      <c r="A4968" s="1" t="s">
        <v>911</v>
      </c>
      <c r="B4968" s="11"/>
      <c r="C4968" s="2"/>
      <c r="E4968" s="27" t="s">
        <v>151</v>
      </c>
      <c r="F4968" s="28" t="s">
        <v>213</v>
      </c>
    </row>
    <row r="4969" spans="1:6" ht="12.75" customHeight="1">
      <c r="A4969" s="4" t="s">
        <v>672</v>
      </c>
      <c r="B4969" s="8">
        <v>11.67</v>
      </c>
      <c r="C4969" s="6" t="s">
        <v>1017</v>
      </c>
      <c r="D4969" s="37">
        <f>Prec.!$C$103</f>
        <v>59.27</v>
      </c>
      <c r="E4969" s="25">
        <f t="shared" ref="E4969:E4978" si="393">ROUND(B4969*D4969,2)</f>
        <v>691.68</v>
      </c>
    </row>
    <row r="4970" spans="1:6" ht="12.75" customHeight="1">
      <c r="A4970" s="4" t="s">
        <v>622</v>
      </c>
      <c r="B4970" s="8">
        <v>7.0000000000000007E-2</v>
      </c>
      <c r="C4970" s="6" t="s">
        <v>1172</v>
      </c>
      <c r="D4970" s="37">
        <f>Prec.!$C$7</f>
        <v>250</v>
      </c>
      <c r="E4970" s="25">
        <f t="shared" si="393"/>
        <v>17.5</v>
      </c>
    </row>
    <row r="4971" spans="1:6" ht="12.75" customHeight="1">
      <c r="A4971" s="4" t="s">
        <v>1174</v>
      </c>
      <c r="B4971" s="8">
        <v>3.2000000000000001E-2</v>
      </c>
      <c r="C4971" s="6" t="s">
        <v>825</v>
      </c>
      <c r="D4971" s="37">
        <f>D4959</f>
        <v>5783.9699999999993</v>
      </c>
      <c r="E4971" s="25">
        <f t="shared" si="393"/>
        <v>185.09</v>
      </c>
    </row>
    <row r="4972" spans="1:6" ht="12.75" customHeight="1">
      <c r="A4972" s="4" t="s">
        <v>1173</v>
      </c>
      <c r="B4972" s="8">
        <v>0.05</v>
      </c>
      <c r="C4972" s="6" t="s">
        <v>1018</v>
      </c>
      <c r="D4972" s="37">
        <f>Prec.!$C$82</f>
        <v>75</v>
      </c>
      <c r="E4972" s="25">
        <f t="shared" si="393"/>
        <v>3.75</v>
      </c>
    </row>
    <row r="4973" spans="1:6" ht="12.75" customHeight="1">
      <c r="A4973" s="4" t="s">
        <v>1015</v>
      </c>
      <c r="B4973" s="8">
        <v>3</v>
      </c>
      <c r="C4973" s="6" t="s">
        <v>1017</v>
      </c>
      <c r="D4973" s="37">
        <f>D4961</f>
        <v>11.93</v>
      </c>
      <c r="E4973" s="25">
        <f t="shared" si="393"/>
        <v>35.79</v>
      </c>
    </row>
    <row r="4974" spans="1:6" ht="12.75" customHeight="1">
      <c r="A4974" s="4" t="s">
        <v>674</v>
      </c>
      <c r="B4974" s="8">
        <v>1</v>
      </c>
      <c r="C4974" s="6" t="s">
        <v>213</v>
      </c>
      <c r="D4974" s="37">
        <f>Prec.!$D$458</f>
        <v>0</v>
      </c>
      <c r="E4974" s="25">
        <f t="shared" si="393"/>
        <v>0</v>
      </c>
    </row>
    <row r="4975" spans="1:6" ht="12.75" customHeight="1">
      <c r="A4975" s="4" t="s">
        <v>1016</v>
      </c>
      <c r="B4975" s="8">
        <v>1</v>
      </c>
      <c r="C4975" s="6" t="s">
        <v>213</v>
      </c>
      <c r="D4975" s="37">
        <f>Prec.!$D$444</f>
        <v>160.08000000000001</v>
      </c>
      <c r="E4975" s="25">
        <f t="shared" si="393"/>
        <v>160.08000000000001</v>
      </c>
    </row>
    <row r="4976" spans="1:6" ht="12.75" customHeight="1">
      <c r="A4976" s="4" t="s">
        <v>1155</v>
      </c>
      <c r="B4976" s="8">
        <v>1</v>
      </c>
      <c r="C4976" s="6" t="s">
        <v>213</v>
      </c>
      <c r="D4976" s="37">
        <f>D4964</f>
        <v>35.369999999999997</v>
      </c>
      <c r="E4976" s="25">
        <f t="shared" si="393"/>
        <v>35.369999999999997</v>
      </c>
    </row>
    <row r="4977" spans="1:6" ht="12.75" customHeight="1">
      <c r="A4977" s="4" t="s">
        <v>1154</v>
      </c>
      <c r="B4977" s="8">
        <v>7.0000000000000007E-2</v>
      </c>
      <c r="C4977" s="6" t="s">
        <v>1172</v>
      </c>
      <c r="D4977" s="37">
        <f>D4965</f>
        <v>26.49</v>
      </c>
      <c r="E4977" s="25">
        <f t="shared" si="393"/>
        <v>1.85</v>
      </c>
    </row>
    <row r="4978" spans="1:6" ht="12.75" customHeight="1">
      <c r="A4978" s="4" t="s">
        <v>208</v>
      </c>
      <c r="B4978" s="7">
        <f>SUM(E4969:E4977)</f>
        <v>1131.1099999999997</v>
      </c>
      <c r="C4978" s="6" t="s">
        <v>209</v>
      </c>
      <c r="D4978" s="37">
        <f>D4966</f>
        <v>1.4999999999999999E-2</v>
      </c>
      <c r="E4978" s="25">
        <f t="shared" si="393"/>
        <v>16.97</v>
      </c>
      <c r="F4978" s="26">
        <f>SUM(E4969:E4978)</f>
        <v>1148.0799999999997</v>
      </c>
    </row>
    <row r="4979" spans="1:6" ht="12.75" customHeight="1">
      <c r="B4979" s="7"/>
    </row>
    <row r="4980" spans="1:6" ht="12.75" customHeight="1">
      <c r="A4980" s="1" t="s">
        <v>64</v>
      </c>
      <c r="B4980" s="11"/>
      <c r="C4980" s="2"/>
      <c r="E4980" s="27" t="s">
        <v>151</v>
      </c>
      <c r="F4980" s="28" t="s">
        <v>213</v>
      </c>
    </row>
    <row r="4981" spans="1:6" ht="12.75" customHeight="1">
      <c r="A4981" s="4" t="s">
        <v>672</v>
      </c>
      <c r="B4981" s="8">
        <v>6.56</v>
      </c>
      <c r="C4981" s="6" t="s">
        <v>1017</v>
      </c>
      <c r="D4981" s="37">
        <f>Prec.!C104</f>
        <v>107.65</v>
      </c>
      <c r="E4981" s="25">
        <f t="shared" ref="E4981:E4990" si="394">ROUND(B4981*D4981,2)</f>
        <v>706.18</v>
      </c>
    </row>
    <row r="4982" spans="1:6" ht="12.75" customHeight="1">
      <c r="A4982" s="4" t="s">
        <v>673</v>
      </c>
      <c r="B4982" s="8">
        <v>7.0000000000000007E-2</v>
      </c>
      <c r="C4982" s="6" t="s">
        <v>1172</v>
      </c>
      <c r="D4982" s="37">
        <f>Prec.!$C$8</f>
        <v>250</v>
      </c>
      <c r="E4982" s="25">
        <f t="shared" si="394"/>
        <v>17.5</v>
      </c>
    </row>
    <row r="4983" spans="1:6" ht="12.75" customHeight="1">
      <c r="A4983" s="4" t="s">
        <v>1174</v>
      </c>
      <c r="B4983" s="8">
        <v>3.2000000000000001E-2</v>
      </c>
      <c r="C4983" s="6" t="s">
        <v>825</v>
      </c>
      <c r="D4983" s="37">
        <f>D4971</f>
        <v>5783.9699999999993</v>
      </c>
      <c r="E4983" s="25">
        <f t="shared" si="394"/>
        <v>185.09</v>
      </c>
    </row>
    <row r="4984" spans="1:6" ht="12.75" customHeight="1">
      <c r="A4984" s="4" t="s">
        <v>1173</v>
      </c>
      <c r="B4984" s="8">
        <v>0.05</v>
      </c>
      <c r="C4984" s="6" t="s">
        <v>1018</v>
      </c>
      <c r="D4984" s="37">
        <f>Prec.!$C$82</f>
        <v>75</v>
      </c>
      <c r="E4984" s="25">
        <f t="shared" si="394"/>
        <v>3.75</v>
      </c>
    </row>
    <row r="4985" spans="1:6" ht="12.75" customHeight="1">
      <c r="A4985" s="4" t="s">
        <v>1015</v>
      </c>
      <c r="B4985" s="8">
        <v>3</v>
      </c>
      <c r="C4985" s="6" t="s">
        <v>1017</v>
      </c>
      <c r="D4985" s="37">
        <f>Prec.!D491</f>
        <v>11.93</v>
      </c>
      <c r="E4985" s="25">
        <f t="shared" si="394"/>
        <v>35.79</v>
      </c>
    </row>
    <row r="4986" spans="1:6" ht="12.75" customHeight="1">
      <c r="A4986" s="4" t="s">
        <v>674</v>
      </c>
      <c r="B4986" s="8">
        <v>1</v>
      </c>
      <c r="C4986" s="6" t="s">
        <v>213</v>
      </c>
      <c r="D4986" s="37">
        <f>Prec.!D457</f>
        <v>0</v>
      </c>
      <c r="E4986" s="25">
        <f t="shared" si="394"/>
        <v>0</v>
      </c>
    </row>
    <row r="4987" spans="1:6" ht="12.75" customHeight="1">
      <c r="A4987" s="4" t="s">
        <v>1016</v>
      </c>
      <c r="B4987" s="8">
        <v>1</v>
      </c>
      <c r="C4987" s="6" t="s">
        <v>213</v>
      </c>
      <c r="D4987" s="37">
        <f>Prec.!$D$444</f>
        <v>160.08000000000001</v>
      </c>
      <c r="E4987" s="25">
        <f t="shared" si="394"/>
        <v>160.08000000000001</v>
      </c>
    </row>
    <row r="4988" spans="1:6" ht="12.75" customHeight="1">
      <c r="A4988" s="4" t="s">
        <v>1155</v>
      </c>
      <c r="B4988" s="8">
        <v>1</v>
      </c>
      <c r="C4988" s="6" t="s">
        <v>213</v>
      </c>
      <c r="D4988" s="37">
        <f>D4976</f>
        <v>35.369999999999997</v>
      </c>
      <c r="E4988" s="25">
        <f t="shared" si="394"/>
        <v>35.369999999999997</v>
      </c>
    </row>
    <row r="4989" spans="1:6" ht="12.75" customHeight="1">
      <c r="A4989" s="4" t="s">
        <v>1154</v>
      </c>
      <c r="B4989" s="8">
        <v>7.0000000000000007E-2</v>
      </c>
      <c r="C4989" s="6" t="s">
        <v>1172</v>
      </c>
      <c r="D4989" s="37">
        <f>D4977</f>
        <v>26.49</v>
      </c>
      <c r="E4989" s="25">
        <f t="shared" si="394"/>
        <v>1.85</v>
      </c>
    </row>
    <row r="4990" spans="1:6" ht="12.75" customHeight="1">
      <c r="A4990" s="4" t="s">
        <v>208</v>
      </c>
      <c r="B4990" s="7">
        <f>SUM(E4981:E4989)</f>
        <v>1145.6099999999997</v>
      </c>
      <c r="C4990" s="6" t="s">
        <v>209</v>
      </c>
      <c r="D4990" s="37">
        <f>D4978</f>
        <v>1.4999999999999999E-2</v>
      </c>
      <c r="E4990" s="25">
        <f t="shared" si="394"/>
        <v>17.18</v>
      </c>
      <c r="F4990" s="26">
        <f>SUM(E4981:E4990)</f>
        <v>1162.7899999999997</v>
      </c>
    </row>
    <row r="4991" spans="1:6" ht="12.75" customHeight="1">
      <c r="B4991" s="7"/>
    </row>
    <row r="4992" spans="1:6" ht="12.75" customHeight="1">
      <c r="A4992" s="1" t="s">
        <v>65</v>
      </c>
      <c r="B4992" s="11"/>
      <c r="C4992" s="2"/>
      <c r="E4992" s="27" t="s">
        <v>151</v>
      </c>
      <c r="F4992" s="28" t="s">
        <v>213</v>
      </c>
    </row>
    <row r="4993" spans="1:6" ht="12.75" customHeight="1">
      <c r="A4993" s="4" t="s">
        <v>649</v>
      </c>
      <c r="B4993" s="8">
        <v>6.56</v>
      </c>
      <c r="C4993" s="6" t="s">
        <v>1017</v>
      </c>
      <c r="D4993" s="37">
        <f>Prec.!C105</f>
        <v>62.63</v>
      </c>
      <c r="E4993" s="25">
        <f t="shared" ref="E4993:E5002" si="395">ROUND(B4993*D4993,2)</f>
        <v>410.85</v>
      </c>
    </row>
    <row r="4994" spans="1:6" ht="12.75" customHeight="1">
      <c r="A4994" s="4" t="s">
        <v>622</v>
      </c>
      <c r="B4994" s="8">
        <v>7.0000000000000007E-2</v>
      </c>
      <c r="C4994" s="6" t="s">
        <v>1172</v>
      </c>
      <c r="D4994" s="37">
        <f>Prec.!$C$7</f>
        <v>250</v>
      </c>
      <c r="E4994" s="25">
        <f t="shared" si="395"/>
        <v>17.5</v>
      </c>
    </row>
    <row r="4995" spans="1:6" ht="12.75" customHeight="1">
      <c r="A4995" s="4" t="s">
        <v>1174</v>
      </c>
      <c r="B4995" s="8">
        <v>3.2000000000000001E-2</v>
      </c>
      <c r="C4995" s="6" t="s">
        <v>825</v>
      </c>
      <c r="D4995" s="37">
        <f>D4983</f>
        <v>5783.9699999999993</v>
      </c>
      <c r="E4995" s="25">
        <f t="shared" si="395"/>
        <v>185.09</v>
      </c>
    </row>
    <row r="4996" spans="1:6" ht="12.75" customHeight="1">
      <c r="A4996" s="4" t="s">
        <v>1173</v>
      </c>
      <c r="B4996" s="8">
        <v>0.05</v>
      </c>
      <c r="C4996" s="6" t="s">
        <v>1018</v>
      </c>
      <c r="D4996" s="37">
        <f>Prec.!$C$82</f>
        <v>75</v>
      </c>
      <c r="E4996" s="25">
        <f t="shared" si="395"/>
        <v>3.75</v>
      </c>
    </row>
    <row r="4997" spans="1:6" ht="12.75" customHeight="1">
      <c r="A4997" s="4" t="s">
        <v>1015</v>
      </c>
      <c r="B4997" s="8">
        <v>3</v>
      </c>
      <c r="C4997" s="6" t="s">
        <v>1017</v>
      </c>
      <c r="D4997" s="37">
        <f>D4985</f>
        <v>11.93</v>
      </c>
      <c r="E4997" s="25">
        <f t="shared" si="395"/>
        <v>35.79</v>
      </c>
    </row>
    <row r="4998" spans="1:6" ht="12.75" customHeight="1">
      <c r="A4998" s="4" t="s">
        <v>674</v>
      </c>
      <c r="B4998" s="8">
        <v>1</v>
      </c>
      <c r="C4998" s="6" t="s">
        <v>213</v>
      </c>
      <c r="D4998" s="37">
        <f>Prec.!D457</f>
        <v>0</v>
      </c>
      <c r="E4998" s="25">
        <f t="shared" si="395"/>
        <v>0</v>
      </c>
    </row>
    <row r="4999" spans="1:6" ht="12.75" customHeight="1">
      <c r="A4999" s="4" t="s">
        <v>1016</v>
      </c>
      <c r="B4999" s="8">
        <v>1</v>
      </c>
      <c r="C4999" s="6" t="s">
        <v>213</v>
      </c>
      <c r="D4999" s="37">
        <f>Prec.!$D$444</f>
        <v>160.08000000000001</v>
      </c>
      <c r="E4999" s="25">
        <f t="shared" si="395"/>
        <v>160.08000000000001</v>
      </c>
    </row>
    <row r="5000" spans="1:6" ht="12.75" customHeight="1">
      <c r="A5000" s="4" t="s">
        <v>1155</v>
      </c>
      <c r="B5000" s="8">
        <v>1</v>
      </c>
      <c r="C5000" s="6" t="s">
        <v>213</v>
      </c>
      <c r="D5000" s="37">
        <f>D4988</f>
        <v>35.369999999999997</v>
      </c>
      <c r="E5000" s="25">
        <f t="shared" si="395"/>
        <v>35.369999999999997</v>
      </c>
    </row>
    <row r="5001" spans="1:6" ht="12.75" customHeight="1">
      <c r="A5001" s="4" t="s">
        <v>1154</v>
      </c>
      <c r="B5001" s="8">
        <v>7.0000000000000007E-2</v>
      </c>
      <c r="C5001" s="6" t="s">
        <v>1172</v>
      </c>
      <c r="D5001" s="37">
        <f>D4989</f>
        <v>26.49</v>
      </c>
      <c r="E5001" s="25">
        <f t="shared" si="395"/>
        <v>1.85</v>
      </c>
    </row>
    <row r="5002" spans="1:6" ht="12.75" customHeight="1">
      <c r="A5002" s="4" t="s">
        <v>208</v>
      </c>
      <c r="B5002" s="7">
        <f>SUM(E4993:E5001)</f>
        <v>850.28000000000009</v>
      </c>
      <c r="C5002" s="6" t="s">
        <v>209</v>
      </c>
      <c r="D5002" s="37">
        <f>D4990</f>
        <v>1.4999999999999999E-2</v>
      </c>
      <c r="E5002" s="25">
        <f t="shared" si="395"/>
        <v>12.75</v>
      </c>
      <c r="F5002" s="26">
        <f>SUM(E4993:E5002)</f>
        <v>863.03000000000009</v>
      </c>
    </row>
    <row r="5003" spans="1:6" ht="12.75" customHeight="1">
      <c r="B5003" s="7"/>
    </row>
    <row r="5004" spans="1:6" ht="12.75" customHeight="1">
      <c r="B5004" s="7"/>
    </row>
    <row r="5005" spans="1:6" ht="12.75" customHeight="1">
      <c r="B5005" s="7"/>
    </row>
    <row r="5006" spans="1:6" ht="12.75" customHeight="1">
      <c r="A5006" s="13" t="s">
        <v>332</v>
      </c>
      <c r="B5006" s="11"/>
      <c r="C5006" s="2"/>
      <c r="E5006" s="27" t="s">
        <v>151</v>
      </c>
      <c r="F5006" s="28" t="s">
        <v>213</v>
      </c>
    </row>
    <row r="5007" spans="1:6" ht="12.75" customHeight="1">
      <c r="A5007" s="4" t="s">
        <v>892</v>
      </c>
      <c r="B5007" s="8">
        <v>1.05</v>
      </c>
      <c r="C5007" s="6" t="s">
        <v>213</v>
      </c>
      <c r="D5007" s="37">
        <f>Prec.!C117</f>
        <v>410</v>
      </c>
      <c r="E5007" s="25">
        <f t="shared" ref="E5007:E5016" si="396">ROUND(B5007*D5007,2)</f>
        <v>430.5</v>
      </c>
    </row>
    <row r="5008" spans="1:6" ht="12.75" customHeight="1">
      <c r="A5008" s="4" t="s">
        <v>673</v>
      </c>
      <c r="B5008" s="8">
        <v>7.0000000000000007E-2</v>
      </c>
      <c r="C5008" s="6" t="s">
        <v>1172</v>
      </c>
      <c r="D5008" s="37">
        <f>Prec.!$C$8</f>
        <v>250</v>
      </c>
      <c r="E5008" s="25">
        <f t="shared" si="396"/>
        <v>17.5</v>
      </c>
    </row>
    <row r="5009" spans="1:6" ht="12.75" customHeight="1">
      <c r="A5009" s="4" t="s">
        <v>1174</v>
      </c>
      <c r="B5009" s="8">
        <v>3.3000000000000002E-2</v>
      </c>
      <c r="C5009" s="6" t="s">
        <v>825</v>
      </c>
      <c r="D5009" s="37">
        <f>D4971</f>
        <v>5783.9699999999993</v>
      </c>
      <c r="E5009" s="25">
        <f t="shared" si="396"/>
        <v>190.87</v>
      </c>
    </row>
    <row r="5010" spans="1:6" ht="12.75" customHeight="1">
      <c r="A5010" s="4" t="s">
        <v>1173</v>
      </c>
      <c r="B5010" s="8">
        <v>0.05</v>
      </c>
      <c r="C5010" s="6" t="s">
        <v>1018</v>
      </c>
      <c r="D5010" s="37">
        <f>Prec.!$C$82</f>
        <v>75</v>
      </c>
      <c r="E5010" s="25">
        <f t="shared" si="396"/>
        <v>3.75</v>
      </c>
    </row>
    <row r="5011" spans="1:6" ht="12.75" customHeight="1">
      <c r="A5011" s="4" t="s">
        <v>1117</v>
      </c>
      <c r="B5011" s="8">
        <v>0.1</v>
      </c>
      <c r="C5011" s="6" t="s">
        <v>1172</v>
      </c>
      <c r="D5011" s="37">
        <f>Prec.!C10</f>
        <v>250</v>
      </c>
      <c r="E5011" s="25">
        <f>ROUND(B5011*D5011,2)</f>
        <v>25</v>
      </c>
    </row>
    <row r="5012" spans="1:6" ht="12.75" customHeight="1">
      <c r="A5012" s="4" t="s">
        <v>623</v>
      </c>
      <c r="B5012" s="8">
        <v>3</v>
      </c>
      <c r="C5012" s="6" t="s">
        <v>1017</v>
      </c>
      <c r="D5012" s="37">
        <f>D4973</f>
        <v>11.93</v>
      </c>
      <c r="E5012" s="25">
        <f t="shared" si="396"/>
        <v>35.79</v>
      </c>
    </row>
    <row r="5013" spans="1:6" ht="12.75" customHeight="1">
      <c r="A5013" s="4" t="s">
        <v>674</v>
      </c>
      <c r="B5013" s="8">
        <v>1</v>
      </c>
      <c r="C5013" s="6" t="s">
        <v>213</v>
      </c>
      <c r="D5013" s="37">
        <f>Prec.!D460</f>
        <v>0</v>
      </c>
      <c r="E5013" s="25">
        <f t="shared" si="396"/>
        <v>0</v>
      </c>
    </row>
    <row r="5014" spans="1:6" ht="12.75" customHeight="1">
      <c r="A5014" s="4" t="s">
        <v>1155</v>
      </c>
      <c r="B5014" s="8">
        <v>1</v>
      </c>
      <c r="C5014" s="6" t="s">
        <v>213</v>
      </c>
      <c r="D5014" s="37">
        <f>D4976</f>
        <v>35.369999999999997</v>
      </c>
      <c r="E5014" s="25">
        <f t="shared" si="396"/>
        <v>35.369999999999997</v>
      </c>
    </row>
    <row r="5015" spans="1:6" ht="12.75" customHeight="1">
      <c r="A5015" s="4" t="s">
        <v>1154</v>
      </c>
      <c r="B5015" s="8">
        <v>7.0000000000000007E-2</v>
      </c>
      <c r="C5015" s="6" t="s">
        <v>1172</v>
      </c>
      <c r="D5015" s="37">
        <f>D4977</f>
        <v>26.49</v>
      </c>
      <c r="E5015" s="25">
        <f t="shared" si="396"/>
        <v>1.85</v>
      </c>
    </row>
    <row r="5016" spans="1:6" ht="12.75" customHeight="1">
      <c r="A5016" s="4" t="s">
        <v>208</v>
      </c>
      <c r="B5016" s="7">
        <f>SUM(E5007:E5015)</f>
        <v>740.63</v>
      </c>
      <c r="C5016" s="6" t="s">
        <v>209</v>
      </c>
      <c r="D5016" s="37">
        <f>D5002</f>
        <v>1.4999999999999999E-2</v>
      </c>
      <c r="E5016" s="25">
        <f t="shared" si="396"/>
        <v>11.11</v>
      </c>
      <c r="F5016" s="26">
        <f>SUM(E5007:E5016)</f>
        <v>751.74</v>
      </c>
    </row>
    <row r="5017" spans="1:6" ht="12.75" customHeight="1">
      <c r="B5017" s="7"/>
    </row>
    <row r="5018" spans="1:6" ht="12.75" customHeight="1">
      <c r="A5018" s="13" t="s">
        <v>333</v>
      </c>
      <c r="B5018" s="11"/>
      <c r="C5018" s="2"/>
      <c r="E5018" s="27" t="s">
        <v>151</v>
      </c>
      <c r="F5018" s="28" t="s">
        <v>213</v>
      </c>
    </row>
    <row r="5019" spans="1:6" ht="12.75" customHeight="1">
      <c r="A5019" s="4" t="s">
        <v>1146</v>
      </c>
      <c r="B5019" s="8">
        <v>1.05</v>
      </c>
      <c r="C5019" s="6" t="s">
        <v>213</v>
      </c>
      <c r="D5019" s="37">
        <f>Prec.!$C$112</f>
        <v>295</v>
      </c>
      <c r="E5019" s="25">
        <f t="shared" ref="E5019:E5028" si="397">ROUND(B5019*D5019,2)</f>
        <v>309.75</v>
      </c>
    </row>
    <row r="5020" spans="1:6" ht="12.75" customHeight="1">
      <c r="A5020" s="4" t="s">
        <v>673</v>
      </c>
      <c r="B5020" s="8">
        <v>7.0000000000000007E-2</v>
      </c>
      <c r="C5020" s="6" t="s">
        <v>1172</v>
      </c>
      <c r="D5020" s="37">
        <f>Prec.!$C$8</f>
        <v>250</v>
      </c>
      <c r="E5020" s="25">
        <f t="shared" si="397"/>
        <v>17.5</v>
      </c>
    </row>
    <row r="5021" spans="1:6" ht="12.75" customHeight="1">
      <c r="A5021" s="4" t="s">
        <v>1174</v>
      </c>
      <c r="B5021" s="8">
        <v>3.3000000000000002E-2</v>
      </c>
      <c r="C5021" s="6" t="s">
        <v>825</v>
      </c>
      <c r="D5021" s="37">
        <f>D5009</f>
        <v>5783.9699999999993</v>
      </c>
      <c r="E5021" s="25">
        <f t="shared" si="397"/>
        <v>190.87</v>
      </c>
    </row>
    <row r="5022" spans="1:6" ht="12.75" customHeight="1">
      <c r="A5022" s="4" t="s">
        <v>1173</v>
      </c>
      <c r="B5022" s="8">
        <v>0.05</v>
      </c>
      <c r="C5022" s="6" t="s">
        <v>1018</v>
      </c>
      <c r="D5022" s="37">
        <f>Prec.!$C$82</f>
        <v>75</v>
      </c>
      <c r="E5022" s="25">
        <f t="shared" si="397"/>
        <v>3.75</v>
      </c>
    </row>
    <row r="5023" spans="1:6" ht="12.75" customHeight="1">
      <c r="A5023" s="4" t="s">
        <v>1117</v>
      </c>
      <c r="B5023" s="8">
        <v>0.1</v>
      </c>
      <c r="C5023" s="6" t="s">
        <v>1172</v>
      </c>
      <c r="D5023" s="37">
        <f>D5011</f>
        <v>250</v>
      </c>
      <c r="E5023" s="25">
        <f>ROUND(B5023*D5023,2)</f>
        <v>25</v>
      </c>
    </row>
    <row r="5024" spans="1:6" ht="12.75" customHeight="1">
      <c r="A5024" s="4" t="s">
        <v>623</v>
      </c>
      <c r="B5024" s="8">
        <v>3</v>
      </c>
      <c r="C5024" s="6" t="s">
        <v>1017</v>
      </c>
      <c r="D5024" s="37">
        <f>D5012</f>
        <v>11.93</v>
      </c>
      <c r="E5024" s="25">
        <f t="shared" si="397"/>
        <v>35.79</v>
      </c>
    </row>
    <row r="5025" spans="1:6" ht="12.75" customHeight="1">
      <c r="A5025" s="4" t="s">
        <v>674</v>
      </c>
      <c r="B5025" s="8">
        <v>1</v>
      </c>
      <c r="C5025" s="6" t="s">
        <v>213</v>
      </c>
      <c r="D5025" s="37">
        <f>Prec.!$D$459</f>
        <v>0</v>
      </c>
      <c r="E5025" s="25">
        <f t="shared" si="397"/>
        <v>0</v>
      </c>
    </row>
    <row r="5026" spans="1:6" ht="12.75" customHeight="1">
      <c r="A5026" s="4" t="s">
        <v>1155</v>
      </c>
      <c r="B5026" s="8">
        <v>1</v>
      </c>
      <c r="C5026" s="6" t="s">
        <v>213</v>
      </c>
      <c r="D5026" s="37">
        <f>D5014</f>
        <v>35.369999999999997</v>
      </c>
      <c r="E5026" s="25">
        <f t="shared" si="397"/>
        <v>35.369999999999997</v>
      </c>
    </row>
    <row r="5027" spans="1:6" ht="12.75" customHeight="1">
      <c r="A5027" s="4" t="s">
        <v>1154</v>
      </c>
      <c r="B5027" s="8">
        <v>7.0000000000000007E-2</v>
      </c>
      <c r="C5027" s="6" t="s">
        <v>1172</v>
      </c>
      <c r="D5027" s="37">
        <f>D5015</f>
        <v>26.49</v>
      </c>
      <c r="E5027" s="25">
        <f t="shared" si="397"/>
        <v>1.85</v>
      </c>
    </row>
    <row r="5028" spans="1:6" ht="12.75" customHeight="1">
      <c r="A5028" s="4" t="s">
        <v>208</v>
      </c>
      <c r="B5028" s="7">
        <f>SUM(E5019:E5027)</f>
        <v>619.88</v>
      </c>
      <c r="C5028" s="6" t="s">
        <v>209</v>
      </c>
      <c r="D5028" s="37">
        <f>D5016</f>
        <v>1.4999999999999999E-2</v>
      </c>
      <c r="E5028" s="25">
        <f t="shared" si="397"/>
        <v>9.3000000000000007</v>
      </c>
      <c r="F5028" s="26">
        <f>SUM(E5019:E5028)</f>
        <v>629.17999999999995</v>
      </c>
    </row>
    <row r="5029" spans="1:6" ht="12.75" customHeight="1">
      <c r="B5029" s="7"/>
    </row>
    <row r="5030" spans="1:6" ht="12.75" customHeight="1">
      <c r="A5030" s="1" t="s">
        <v>334</v>
      </c>
      <c r="B5030" s="11"/>
      <c r="C5030" s="2"/>
      <c r="E5030" s="27" t="s">
        <v>151</v>
      </c>
      <c r="F5030" s="28" t="s">
        <v>213</v>
      </c>
    </row>
    <row r="5031" spans="1:6" ht="12.75" customHeight="1">
      <c r="A5031" s="4" t="s">
        <v>1147</v>
      </c>
      <c r="B5031" s="8">
        <v>1.05</v>
      </c>
      <c r="C5031" s="6" t="s">
        <v>213</v>
      </c>
      <c r="D5031" s="37">
        <f>Prec.!$C$114</f>
        <v>285</v>
      </c>
      <c r="E5031" s="25">
        <f t="shared" ref="E5031:E5040" si="398">ROUND(B5031*D5031,2)</f>
        <v>299.25</v>
      </c>
    </row>
    <row r="5032" spans="1:6" ht="12.75" customHeight="1">
      <c r="A5032" s="4" t="s">
        <v>673</v>
      </c>
      <c r="B5032" s="8">
        <v>7.0000000000000007E-2</v>
      </c>
      <c r="C5032" s="6" t="s">
        <v>1172</v>
      </c>
      <c r="D5032" s="37">
        <f>Prec.!$C$8</f>
        <v>250</v>
      </c>
      <c r="E5032" s="25">
        <f t="shared" si="398"/>
        <v>17.5</v>
      </c>
    </row>
    <row r="5033" spans="1:6" ht="12.75" customHeight="1">
      <c r="A5033" s="4" t="s">
        <v>1174</v>
      </c>
      <c r="B5033" s="8">
        <v>3.3000000000000002E-2</v>
      </c>
      <c r="C5033" s="6" t="s">
        <v>825</v>
      </c>
      <c r="D5033" s="37">
        <f>D5021</f>
        <v>5783.9699999999993</v>
      </c>
      <c r="E5033" s="25">
        <f t="shared" si="398"/>
        <v>190.87</v>
      </c>
    </row>
    <row r="5034" spans="1:6" ht="12.75" customHeight="1">
      <c r="A5034" s="4" t="s">
        <v>1117</v>
      </c>
      <c r="B5034" s="8">
        <v>0.1</v>
      </c>
      <c r="C5034" s="6" t="s">
        <v>1172</v>
      </c>
      <c r="D5034" s="37">
        <f>D5023</f>
        <v>250</v>
      </c>
      <c r="E5034" s="25">
        <f>ROUND(B5034*D5034,2)</f>
        <v>25</v>
      </c>
    </row>
    <row r="5035" spans="1:6" ht="12.75" customHeight="1">
      <c r="A5035" s="4" t="s">
        <v>1173</v>
      </c>
      <c r="B5035" s="8">
        <v>0.05</v>
      </c>
      <c r="C5035" s="6" t="s">
        <v>1018</v>
      </c>
      <c r="D5035" s="37">
        <f>Prec.!$C$82</f>
        <v>75</v>
      </c>
      <c r="E5035" s="25">
        <f t="shared" si="398"/>
        <v>3.75</v>
      </c>
    </row>
    <row r="5036" spans="1:6" ht="12.75" customHeight="1">
      <c r="A5036" s="4" t="s">
        <v>623</v>
      </c>
      <c r="B5036" s="8">
        <v>3</v>
      </c>
      <c r="C5036" s="6" t="s">
        <v>1017</v>
      </c>
      <c r="D5036" s="37">
        <f>Prec.!D488</f>
        <v>5.97</v>
      </c>
      <c r="E5036" s="25">
        <f t="shared" si="398"/>
        <v>17.91</v>
      </c>
    </row>
    <row r="5037" spans="1:6" ht="12.75" customHeight="1">
      <c r="A5037" s="4" t="s">
        <v>674</v>
      </c>
      <c r="B5037" s="8">
        <v>1</v>
      </c>
      <c r="C5037" s="6" t="s">
        <v>213</v>
      </c>
      <c r="D5037" s="37">
        <f>Prec.!$D$462</f>
        <v>311.49</v>
      </c>
      <c r="E5037" s="25">
        <f t="shared" si="398"/>
        <v>311.49</v>
      </c>
    </row>
    <row r="5038" spans="1:6" ht="12.75" customHeight="1">
      <c r="A5038" s="4" t="s">
        <v>1155</v>
      </c>
      <c r="B5038" s="8">
        <v>1</v>
      </c>
      <c r="C5038" s="6" t="s">
        <v>213</v>
      </c>
      <c r="D5038" s="37">
        <f>D5026</f>
        <v>35.369999999999997</v>
      </c>
      <c r="E5038" s="25">
        <f t="shared" si="398"/>
        <v>35.369999999999997</v>
      </c>
    </row>
    <row r="5039" spans="1:6" ht="12.75" customHeight="1">
      <c r="A5039" s="4" t="s">
        <v>1154</v>
      </c>
      <c r="B5039" s="8">
        <v>7.0000000000000007E-2</v>
      </c>
      <c r="C5039" s="6" t="s">
        <v>1172</v>
      </c>
      <c r="D5039" s="37">
        <f>D5027</f>
        <v>26.49</v>
      </c>
      <c r="E5039" s="25">
        <f t="shared" si="398"/>
        <v>1.85</v>
      </c>
    </row>
    <row r="5040" spans="1:6" ht="12.75" customHeight="1">
      <c r="A5040" s="4" t="s">
        <v>208</v>
      </c>
      <c r="B5040" s="7">
        <f>SUM(E5031:E5039)</f>
        <v>902.99</v>
      </c>
      <c r="C5040" s="6" t="s">
        <v>209</v>
      </c>
      <c r="D5040" s="37">
        <f>D5028</f>
        <v>1.4999999999999999E-2</v>
      </c>
      <c r="E5040" s="25">
        <f t="shared" si="398"/>
        <v>13.54</v>
      </c>
      <c r="F5040" s="26">
        <f>SUM(E5031:E5040)</f>
        <v>916.53</v>
      </c>
    </row>
    <row r="5041" spans="1:6" ht="12.75" customHeight="1">
      <c r="B5041" s="7"/>
    </row>
    <row r="5042" spans="1:6" ht="12.75" customHeight="1">
      <c r="A5042" s="13" t="s">
        <v>335</v>
      </c>
      <c r="B5042" s="11"/>
      <c r="C5042" s="2"/>
      <c r="E5042" s="27" t="s">
        <v>151</v>
      </c>
      <c r="F5042" s="28" t="s">
        <v>213</v>
      </c>
    </row>
    <row r="5043" spans="1:6" ht="12.75" customHeight="1">
      <c r="A5043" s="4" t="s">
        <v>1312</v>
      </c>
      <c r="B5043" s="8">
        <v>1.05</v>
      </c>
      <c r="C5043" s="6" t="s">
        <v>213</v>
      </c>
      <c r="D5043" s="37">
        <f>Prec.!$C$107</f>
        <v>1986</v>
      </c>
      <c r="E5043" s="25">
        <f t="shared" ref="E5043:E5051" si="399">ROUND(B5043*D5043,2)</f>
        <v>2085.3000000000002</v>
      </c>
    </row>
    <row r="5044" spans="1:6" ht="12.75" customHeight="1">
      <c r="A5044" s="4" t="s">
        <v>673</v>
      </c>
      <c r="B5044" s="8">
        <v>7.0000000000000007E-2</v>
      </c>
      <c r="C5044" s="6" t="s">
        <v>1172</v>
      </c>
      <c r="D5044" s="37">
        <f>Prec.!$C$8</f>
        <v>250</v>
      </c>
      <c r="E5044" s="25">
        <f t="shared" si="399"/>
        <v>17.5</v>
      </c>
    </row>
    <row r="5045" spans="1:6" ht="12.75" customHeight="1">
      <c r="A5045" s="4" t="s">
        <v>1174</v>
      </c>
      <c r="B5045" s="8">
        <v>3.3000000000000002E-2</v>
      </c>
      <c r="C5045" s="6" t="s">
        <v>825</v>
      </c>
      <c r="D5045" s="37">
        <f>D5033</f>
        <v>5783.9699999999993</v>
      </c>
      <c r="E5045" s="25">
        <f t="shared" si="399"/>
        <v>190.87</v>
      </c>
    </row>
    <row r="5046" spans="1:6" ht="12.75" customHeight="1">
      <c r="A5046" s="4" t="s">
        <v>1173</v>
      </c>
      <c r="B5046" s="8">
        <v>0.05</v>
      </c>
      <c r="C5046" s="6" t="s">
        <v>1018</v>
      </c>
      <c r="D5046" s="37">
        <f>Prec.!$C$82</f>
        <v>75</v>
      </c>
      <c r="E5046" s="25">
        <f t="shared" si="399"/>
        <v>3.75</v>
      </c>
    </row>
    <row r="5047" spans="1:6" ht="12.75" customHeight="1">
      <c r="A5047" s="4" t="s">
        <v>688</v>
      </c>
      <c r="B5047" s="8">
        <v>3</v>
      </c>
      <c r="C5047" s="6" t="s">
        <v>1017</v>
      </c>
      <c r="D5047" s="37">
        <f>Prec.!D491</f>
        <v>11.93</v>
      </c>
      <c r="E5047" s="25">
        <f t="shared" si="399"/>
        <v>35.79</v>
      </c>
    </row>
    <row r="5048" spans="1:6" ht="12.75" customHeight="1">
      <c r="A5048" s="4" t="s">
        <v>674</v>
      </c>
      <c r="B5048" s="8">
        <v>1</v>
      </c>
      <c r="C5048" s="6" t="s">
        <v>213</v>
      </c>
      <c r="D5048" s="37">
        <f>Prec.!$D$464</f>
        <v>0</v>
      </c>
      <c r="E5048" s="25">
        <f t="shared" si="399"/>
        <v>0</v>
      </c>
    </row>
    <row r="5049" spans="1:6" ht="12.75" customHeight="1">
      <c r="A5049" s="4" t="s">
        <v>685</v>
      </c>
      <c r="B5049" s="8">
        <v>1</v>
      </c>
      <c r="C5049" s="6" t="s">
        <v>213</v>
      </c>
      <c r="D5049" s="37">
        <f>Prec.!$D$446</f>
        <v>261</v>
      </c>
      <c r="E5049" s="25">
        <f t="shared" si="399"/>
        <v>261</v>
      </c>
    </row>
    <row r="5050" spans="1:6" ht="12.75" customHeight="1">
      <c r="A5050" s="4" t="s">
        <v>1155</v>
      </c>
      <c r="B5050" s="8">
        <v>1</v>
      </c>
      <c r="C5050" s="6" t="s">
        <v>213</v>
      </c>
      <c r="D5050" s="37">
        <f>D5038</f>
        <v>35.369999999999997</v>
      </c>
      <c r="E5050" s="25">
        <f t="shared" si="399"/>
        <v>35.369999999999997</v>
      </c>
    </row>
    <row r="5051" spans="1:6" ht="12.75" customHeight="1">
      <c r="A5051" s="4" t="s">
        <v>1154</v>
      </c>
      <c r="B5051" s="8">
        <v>7.0000000000000007E-2</v>
      </c>
      <c r="C5051" s="6" t="s">
        <v>1172</v>
      </c>
      <c r="D5051" s="37">
        <f>D5039</f>
        <v>26.49</v>
      </c>
      <c r="E5051" s="25">
        <f t="shared" si="399"/>
        <v>1.85</v>
      </c>
    </row>
    <row r="5052" spans="1:6" ht="12.75" customHeight="1">
      <c r="A5052" s="4" t="s">
        <v>208</v>
      </c>
      <c r="B5052" s="7">
        <f>SUM(E5043:E5051)</f>
        <v>2631.43</v>
      </c>
      <c r="C5052" s="6" t="s">
        <v>209</v>
      </c>
      <c r="D5052" s="37">
        <f>D5040</f>
        <v>1.4999999999999999E-2</v>
      </c>
      <c r="E5052" s="25">
        <f>ROUND(B5052*D5052,2)</f>
        <v>39.47</v>
      </c>
      <c r="F5052" s="26">
        <f>SUM(E5043:E5052)</f>
        <v>2670.8999999999996</v>
      </c>
    </row>
    <row r="5053" spans="1:6" ht="12.75" customHeight="1">
      <c r="B5053" s="7"/>
    </row>
    <row r="5054" spans="1:6" ht="12.75" customHeight="1">
      <c r="B5054" s="7"/>
    </row>
    <row r="5055" spans="1:6" ht="12.75" customHeight="1">
      <c r="B5055" s="7"/>
    </row>
    <row r="5056" spans="1:6" ht="12.75" customHeight="1">
      <c r="A5056" s="1" t="s">
        <v>597</v>
      </c>
      <c r="B5056" s="11"/>
      <c r="C5056" s="2"/>
      <c r="E5056" s="27" t="s">
        <v>151</v>
      </c>
      <c r="F5056" s="28" t="s">
        <v>1171</v>
      </c>
    </row>
    <row r="5057" spans="1:6" ht="12.75" customHeight="1">
      <c r="A5057" s="4" t="s">
        <v>748</v>
      </c>
      <c r="B5057" s="8">
        <v>1.05</v>
      </c>
      <c r="C5057" s="6" t="s">
        <v>1171</v>
      </c>
      <c r="D5057" s="37">
        <f>Prec.!$C$139</f>
        <v>70.73</v>
      </c>
      <c r="E5057" s="25">
        <f t="shared" ref="E5057:E5064" si="400">ROUND(B5057*D5057,2)</f>
        <v>74.27</v>
      </c>
    </row>
    <row r="5058" spans="1:6" ht="12.75" customHeight="1">
      <c r="A5058" s="4" t="s">
        <v>673</v>
      </c>
      <c r="B5058" s="8">
        <v>2.1999999999999999E-2</v>
      </c>
      <c r="C5058" s="6" t="s">
        <v>1172</v>
      </c>
      <c r="D5058" s="37">
        <f>Prec.!$C$8</f>
        <v>250</v>
      </c>
      <c r="E5058" s="25">
        <f t="shared" si="400"/>
        <v>5.5</v>
      </c>
    </row>
    <row r="5059" spans="1:6" ht="12.75" customHeight="1">
      <c r="A5059" s="4" t="s">
        <v>1174</v>
      </c>
      <c r="B5059" s="8">
        <v>2E-3</v>
      </c>
      <c r="C5059" s="6" t="s">
        <v>825</v>
      </c>
      <c r="D5059" s="37">
        <f>D5045</f>
        <v>5783.9699999999993</v>
      </c>
      <c r="E5059" s="25">
        <f t="shared" si="400"/>
        <v>11.57</v>
      </c>
    </row>
    <row r="5060" spans="1:6" ht="12.75" customHeight="1">
      <c r="A5060" s="4" t="s">
        <v>1015</v>
      </c>
      <c r="B5060" s="8">
        <v>1</v>
      </c>
      <c r="C5060" s="6" t="s">
        <v>1017</v>
      </c>
      <c r="D5060" s="37">
        <f>Prec.!D490</f>
        <v>11.93</v>
      </c>
      <c r="E5060" s="25">
        <f t="shared" si="400"/>
        <v>11.93</v>
      </c>
    </row>
    <row r="5061" spans="1:6" ht="12.75" customHeight="1">
      <c r="A5061" s="4" t="s">
        <v>674</v>
      </c>
      <c r="B5061" s="8">
        <v>1</v>
      </c>
      <c r="C5061" s="6" t="s">
        <v>1171</v>
      </c>
      <c r="D5061" s="37">
        <f>Prec.!$D$497</f>
        <v>0</v>
      </c>
      <c r="E5061" s="25">
        <f t="shared" si="400"/>
        <v>0</v>
      </c>
    </row>
    <row r="5062" spans="1:6" ht="12.75" customHeight="1">
      <c r="A5062" s="4" t="s">
        <v>1156</v>
      </c>
      <c r="B5062" s="8">
        <v>1</v>
      </c>
      <c r="C5062" s="6" t="s">
        <v>1171</v>
      </c>
      <c r="D5062" s="37">
        <f>Prec.!D560</f>
        <v>3.77</v>
      </c>
      <c r="E5062" s="25">
        <f t="shared" si="400"/>
        <v>3.77</v>
      </c>
    </row>
    <row r="5063" spans="1:6" ht="12.75" customHeight="1">
      <c r="A5063" s="4" t="s">
        <v>1154</v>
      </c>
      <c r="B5063" s="8">
        <v>2.1999999999999999E-2</v>
      </c>
      <c r="C5063" s="6" t="s">
        <v>1172</v>
      </c>
      <c r="D5063" s="37">
        <f>D5051</f>
        <v>26.49</v>
      </c>
      <c r="E5063" s="25">
        <f t="shared" si="400"/>
        <v>0.57999999999999996</v>
      </c>
    </row>
    <row r="5064" spans="1:6" ht="12.75" customHeight="1">
      <c r="A5064" s="4" t="s">
        <v>208</v>
      </c>
      <c r="B5064" s="7">
        <f>SUM(E5057:E5063)</f>
        <v>107.62</v>
      </c>
      <c r="C5064" s="6" t="s">
        <v>209</v>
      </c>
      <c r="D5064" s="37">
        <f>D5052</f>
        <v>1.4999999999999999E-2</v>
      </c>
      <c r="E5064" s="25">
        <f t="shared" si="400"/>
        <v>1.61</v>
      </c>
      <c r="F5064" s="26">
        <f>SUM(E5057:E5064)</f>
        <v>109.23</v>
      </c>
    </row>
    <row r="5065" spans="1:6" ht="12.75" customHeight="1">
      <c r="B5065" s="7"/>
    </row>
    <row r="5066" spans="1:6" ht="12.75" customHeight="1">
      <c r="A5066" s="1" t="s">
        <v>598</v>
      </c>
      <c r="B5066" s="11"/>
      <c r="C5066" s="2"/>
      <c r="E5066" s="27" t="s">
        <v>151</v>
      </c>
      <c r="F5066" s="28" t="s">
        <v>1171</v>
      </c>
    </row>
    <row r="5067" spans="1:6" ht="12.75" customHeight="1">
      <c r="A5067" s="4" t="s">
        <v>749</v>
      </c>
      <c r="B5067" s="8">
        <v>1.05</v>
      </c>
      <c r="C5067" s="6" t="s">
        <v>1171</v>
      </c>
      <c r="D5067" s="37">
        <f>Prec.!$C$140</f>
        <v>90</v>
      </c>
      <c r="E5067" s="25">
        <f t="shared" ref="E5067:E5074" si="401">ROUND(B5067*D5067,2)</f>
        <v>94.5</v>
      </c>
    </row>
    <row r="5068" spans="1:6" ht="12.75" customHeight="1">
      <c r="A5068" s="4" t="s">
        <v>622</v>
      </c>
      <c r="B5068" s="8">
        <v>2.1999999999999999E-2</v>
      </c>
      <c r="C5068" s="6" t="s">
        <v>1172</v>
      </c>
      <c r="D5068" s="37">
        <f>Prec.!$C$7</f>
        <v>250</v>
      </c>
      <c r="E5068" s="25">
        <f t="shared" si="401"/>
        <v>5.5</v>
      </c>
    </row>
    <row r="5069" spans="1:6" ht="12.75" customHeight="1">
      <c r="A5069" s="4" t="s">
        <v>1174</v>
      </c>
      <c r="B5069" s="8">
        <v>2E-3</v>
      </c>
      <c r="C5069" s="6" t="s">
        <v>825</v>
      </c>
      <c r="D5069" s="37">
        <f>D5059</f>
        <v>5783.9699999999993</v>
      </c>
      <c r="E5069" s="25">
        <f t="shared" si="401"/>
        <v>11.57</v>
      </c>
    </row>
    <row r="5070" spans="1:6" ht="12.75" customHeight="1">
      <c r="A5070" s="4" t="s">
        <v>1015</v>
      </c>
      <c r="B5070" s="8">
        <v>1</v>
      </c>
      <c r="C5070" s="6" t="s">
        <v>1017</v>
      </c>
      <c r="D5070" s="37">
        <f>D5060</f>
        <v>11.93</v>
      </c>
      <c r="E5070" s="25">
        <f t="shared" si="401"/>
        <v>11.93</v>
      </c>
    </row>
    <row r="5071" spans="1:6" ht="12.75" customHeight="1">
      <c r="A5071" s="4" t="s">
        <v>674</v>
      </c>
      <c r="B5071" s="8">
        <v>1</v>
      </c>
      <c r="C5071" s="6" t="s">
        <v>1171</v>
      </c>
      <c r="D5071" s="37">
        <f>Prec.!$D$497</f>
        <v>0</v>
      </c>
      <c r="E5071" s="25">
        <f t="shared" si="401"/>
        <v>0</v>
      </c>
    </row>
    <row r="5072" spans="1:6" ht="12.75" customHeight="1">
      <c r="A5072" s="4" t="s">
        <v>1156</v>
      </c>
      <c r="B5072" s="8">
        <v>1</v>
      </c>
      <c r="C5072" s="6" t="s">
        <v>1171</v>
      </c>
      <c r="D5072" s="37">
        <f>D5062</f>
        <v>3.77</v>
      </c>
      <c r="E5072" s="25">
        <f t="shared" si="401"/>
        <v>3.77</v>
      </c>
    </row>
    <row r="5073" spans="1:6" ht="12.75" customHeight="1">
      <c r="A5073" s="4" t="s">
        <v>1154</v>
      </c>
      <c r="B5073" s="8">
        <v>2.1999999999999999E-2</v>
      </c>
      <c r="C5073" s="6" t="s">
        <v>1172</v>
      </c>
      <c r="D5073" s="37">
        <f>D5063</f>
        <v>26.49</v>
      </c>
      <c r="E5073" s="25">
        <f t="shared" si="401"/>
        <v>0.57999999999999996</v>
      </c>
    </row>
    <row r="5074" spans="1:6" ht="12.75" customHeight="1">
      <c r="A5074" s="4" t="s">
        <v>208</v>
      </c>
      <c r="B5074" s="7">
        <f>SUM(E5067:E5073)</f>
        <v>127.85</v>
      </c>
      <c r="C5074" s="6" t="s">
        <v>209</v>
      </c>
      <c r="D5074" s="37">
        <f>D5064</f>
        <v>1.4999999999999999E-2</v>
      </c>
      <c r="E5074" s="25">
        <f t="shared" si="401"/>
        <v>1.92</v>
      </c>
      <c r="F5074" s="26">
        <f>SUM(E5067:E5074)</f>
        <v>129.76999999999998</v>
      </c>
    </row>
    <row r="5075" spans="1:6" ht="12.75" customHeight="1">
      <c r="B5075" s="7"/>
    </row>
    <row r="5076" spans="1:6" ht="12.75" customHeight="1">
      <c r="A5076" s="1" t="s">
        <v>24</v>
      </c>
      <c r="B5076" s="11"/>
      <c r="C5076" s="2"/>
      <c r="E5076" s="27" t="s">
        <v>151</v>
      </c>
      <c r="F5076" s="28" t="s">
        <v>1171</v>
      </c>
    </row>
    <row r="5077" spans="1:6" ht="12.75" customHeight="1">
      <c r="A5077" s="4" t="s">
        <v>748</v>
      </c>
      <c r="B5077" s="8">
        <v>1.05</v>
      </c>
      <c r="C5077" s="6" t="s">
        <v>1171</v>
      </c>
      <c r="D5077" s="37">
        <f>Prec.!C141</f>
        <v>78.3</v>
      </c>
      <c r="E5077" s="25">
        <f t="shared" ref="E5077:E5084" si="402">ROUND(B5077*D5077,2)</f>
        <v>82.22</v>
      </c>
    </row>
    <row r="5078" spans="1:6" ht="12.75" customHeight="1">
      <c r="A5078" s="4" t="s">
        <v>673</v>
      </c>
      <c r="B5078" s="8">
        <v>2.1999999999999999E-2</v>
      </c>
      <c r="C5078" s="6" t="s">
        <v>1172</v>
      </c>
      <c r="D5078" s="37">
        <f>Prec.!$C$8</f>
        <v>250</v>
      </c>
      <c r="E5078" s="25">
        <f t="shared" si="402"/>
        <v>5.5</v>
      </c>
    </row>
    <row r="5079" spans="1:6" ht="12.75" customHeight="1">
      <c r="A5079" s="4" t="s">
        <v>1174</v>
      </c>
      <c r="B5079" s="8">
        <v>2E-3</v>
      </c>
      <c r="C5079" s="6" t="s">
        <v>825</v>
      </c>
      <c r="D5079" s="37">
        <f>D5069</f>
        <v>5783.9699999999993</v>
      </c>
      <c r="E5079" s="25">
        <f t="shared" si="402"/>
        <v>11.57</v>
      </c>
    </row>
    <row r="5080" spans="1:6" ht="12.75" customHeight="1">
      <c r="A5080" s="4" t="s">
        <v>1015</v>
      </c>
      <c r="B5080" s="8">
        <v>1</v>
      </c>
      <c r="C5080" s="6" t="s">
        <v>1017</v>
      </c>
      <c r="D5080" s="37">
        <f>Prec.!D491</f>
        <v>11.93</v>
      </c>
      <c r="E5080" s="25">
        <f t="shared" si="402"/>
        <v>11.93</v>
      </c>
    </row>
    <row r="5081" spans="1:6" ht="12.75" customHeight="1">
      <c r="A5081" s="4" t="s">
        <v>674</v>
      </c>
      <c r="B5081" s="8">
        <v>1</v>
      </c>
      <c r="C5081" s="6" t="s">
        <v>1171</v>
      </c>
      <c r="D5081" s="37">
        <f>Prec.!$D$497</f>
        <v>0</v>
      </c>
      <c r="E5081" s="25">
        <f t="shared" si="402"/>
        <v>0</v>
      </c>
    </row>
    <row r="5082" spans="1:6" ht="12.75" customHeight="1">
      <c r="A5082" s="4" t="s">
        <v>1156</v>
      </c>
      <c r="B5082" s="8">
        <v>1</v>
      </c>
      <c r="C5082" s="6" t="s">
        <v>1171</v>
      </c>
      <c r="D5082" s="37">
        <f>D5072</f>
        <v>3.77</v>
      </c>
      <c r="E5082" s="25">
        <f t="shared" si="402"/>
        <v>3.77</v>
      </c>
    </row>
    <row r="5083" spans="1:6" ht="12.75" customHeight="1">
      <c r="A5083" s="4" t="s">
        <v>1154</v>
      </c>
      <c r="B5083" s="8">
        <v>2.1999999999999999E-2</v>
      </c>
      <c r="C5083" s="6" t="s">
        <v>1172</v>
      </c>
      <c r="D5083" s="37">
        <f>D5073</f>
        <v>26.49</v>
      </c>
      <c r="E5083" s="25">
        <f t="shared" si="402"/>
        <v>0.57999999999999996</v>
      </c>
    </row>
    <row r="5084" spans="1:6" ht="12.75" customHeight="1">
      <c r="A5084" s="4" t="s">
        <v>208</v>
      </c>
      <c r="B5084" s="7">
        <f>SUM(E5077:E5083)</f>
        <v>115.57</v>
      </c>
      <c r="C5084" s="6" t="s">
        <v>209</v>
      </c>
      <c r="D5084" s="37">
        <f>D5074</f>
        <v>1.4999999999999999E-2</v>
      </c>
      <c r="E5084" s="25">
        <f t="shared" si="402"/>
        <v>1.73</v>
      </c>
      <c r="F5084" s="26">
        <f>SUM(E5077:E5084)</f>
        <v>117.3</v>
      </c>
    </row>
    <row r="5085" spans="1:6" ht="12.75" customHeight="1">
      <c r="B5085" s="7"/>
    </row>
    <row r="5086" spans="1:6" ht="12.75" customHeight="1">
      <c r="A5086" s="1" t="s">
        <v>25</v>
      </c>
      <c r="B5086" s="11"/>
      <c r="C5086" s="2"/>
      <c r="E5086" s="27" t="s">
        <v>151</v>
      </c>
      <c r="F5086" s="28" t="s">
        <v>1171</v>
      </c>
    </row>
    <row r="5087" spans="1:6" ht="12.75" customHeight="1">
      <c r="A5087" s="4" t="s">
        <v>749</v>
      </c>
      <c r="B5087" s="8">
        <v>1.05</v>
      </c>
      <c r="C5087" s="6" t="s">
        <v>1171</v>
      </c>
      <c r="D5087" s="37">
        <f>Prec.!C142</f>
        <v>58</v>
      </c>
      <c r="E5087" s="25">
        <f t="shared" ref="E5087:E5094" si="403">ROUND(B5087*D5087,2)</f>
        <v>60.9</v>
      </c>
    </row>
    <row r="5088" spans="1:6" ht="12.75" customHeight="1">
      <c r="A5088" s="4" t="s">
        <v>622</v>
      </c>
      <c r="B5088" s="8">
        <v>2.1999999999999999E-2</v>
      </c>
      <c r="C5088" s="6" t="s">
        <v>1172</v>
      </c>
      <c r="D5088" s="37">
        <f>Prec.!$C$7</f>
        <v>250</v>
      </c>
      <c r="E5088" s="25">
        <f t="shared" si="403"/>
        <v>5.5</v>
      </c>
    </row>
    <row r="5089" spans="1:6" ht="12.75" customHeight="1">
      <c r="A5089" s="4" t="s">
        <v>1174</v>
      </c>
      <c r="B5089" s="8">
        <v>2E-3</v>
      </c>
      <c r="C5089" s="6" t="s">
        <v>825</v>
      </c>
      <c r="D5089" s="37">
        <f>D5079</f>
        <v>5783.9699999999993</v>
      </c>
      <c r="E5089" s="25">
        <f t="shared" si="403"/>
        <v>11.57</v>
      </c>
    </row>
    <row r="5090" spans="1:6" ht="12.75" customHeight="1">
      <c r="A5090" s="4" t="s">
        <v>1015</v>
      </c>
      <c r="B5090" s="8">
        <v>1</v>
      </c>
      <c r="C5090" s="6" t="s">
        <v>1017</v>
      </c>
      <c r="D5090" s="37">
        <f>D5080</f>
        <v>11.93</v>
      </c>
      <c r="E5090" s="25">
        <f t="shared" si="403"/>
        <v>11.93</v>
      </c>
    </row>
    <row r="5091" spans="1:6" ht="12.75" customHeight="1">
      <c r="A5091" s="4" t="s">
        <v>674</v>
      </c>
      <c r="B5091" s="8">
        <v>1</v>
      </c>
      <c r="C5091" s="6" t="s">
        <v>1171</v>
      </c>
      <c r="D5091" s="37">
        <f>Prec.!$D$497</f>
        <v>0</v>
      </c>
      <c r="E5091" s="25">
        <f t="shared" si="403"/>
        <v>0</v>
      </c>
    </row>
    <row r="5092" spans="1:6" ht="12.75" customHeight="1">
      <c r="A5092" s="4" t="s">
        <v>1156</v>
      </c>
      <c r="B5092" s="8">
        <v>1</v>
      </c>
      <c r="C5092" s="6" t="s">
        <v>1171</v>
      </c>
      <c r="D5092" s="37">
        <f>D5082</f>
        <v>3.77</v>
      </c>
      <c r="E5092" s="25">
        <f t="shared" si="403"/>
        <v>3.77</v>
      </c>
    </row>
    <row r="5093" spans="1:6" ht="12.75" customHeight="1">
      <c r="A5093" s="4" t="s">
        <v>1154</v>
      </c>
      <c r="B5093" s="8">
        <v>2.1999999999999999E-2</v>
      </c>
      <c r="C5093" s="6" t="s">
        <v>1172</v>
      </c>
      <c r="D5093" s="37">
        <f>D5083</f>
        <v>26.49</v>
      </c>
      <c r="E5093" s="25">
        <f t="shared" si="403"/>
        <v>0.57999999999999996</v>
      </c>
    </row>
    <row r="5094" spans="1:6" ht="12.75" customHeight="1">
      <c r="A5094" s="4" t="s">
        <v>208</v>
      </c>
      <c r="B5094" s="7">
        <f>SUM(E5087:E5093)</f>
        <v>94.25</v>
      </c>
      <c r="C5094" s="6" t="s">
        <v>209</v>
      </c>
      <c r="D5094" s="37">
        <f>D5084</f>
        <v>1.4999999999999999E-2</v>
      </c>
      <c r="E5094" s="25">
        <f t="shared" si="403"/>
        <v>1.41</v>
      </c>
      <c r="F5094" s="26">
        <f>SUM(E5087:E5094)</f>
        <v>95.66</v>
      </c>
    </row>
    <row r="5095" spans="1:6" ht="12.75" customHeight="1">
      <c r="B5095" s="7"/>
    </row>
    <row r="5096" spans="1:6" ht="12.75" customHeight="1">
      <c r="A5096" s="13" t="s">
        <v>26</v>
      </c>
      <c r="B5096" s="11"/>
      <c r="C5096" s="2"/>
      <c r="E5096" s="27" t="s">
        <v>151</v>
      </c>
      <c r="F5096" s="28" t="s">
        <v>1171</v>
      </c>
    </row>
    <row r="5097" spans="1:6" ht="12.75" customHeight="1">
      <c r="A5097" s="4" t="s">
        <v>818</v>
      </c>
      <c r="B5097" s="8">
        <v>1.05</v>
      </c>
      <c r="C5097" s="6" t="s">
        <v>1017</v>
      </c>
      <c r="D5097" s="37">
        <f>Prec.!C113</f>
        <v>32.14</v>
      </c>
      <c r="E5097" s="25">
        <f t="shared" ref="E5097:E5105" si="404">ROUND(B5097*D5097,2)</f>
        <v>33.75</v>
      </c>
    </row>
    <row r="5098" spans="1:6" ht="12.75" customHeight="1">
      <c r="A5098" s="4" t="s">
        <v>673</v>
      </c>
      <c r="B5098" s="8">
        <v>7.0000000000000001E-3</v>
      </c>
      <c r="C5098" s="6" t="s">
        <v>1172</v>
      </c>
      <c r="D5098" s="37">
        <f>Prec.!$C$8</f>
        <v>250</v>
      </c>
      <c r="E5098" s="25">
        <f t="shared" si="404"/>
        <v>1.75</v>
      </c>
    </row>
    <row r="5099" spans="1:6" ht="12.75" customHeight="1">
      <c r="A5099" s="4" t="s">
        <v>1173</v>
      </c>
      <c r="B5099" s="8">
        <v>5.0000000000000001E-3</v>
      </c>
      <c r="C5099" s="6" t="s">
        <v>1018</v>
      </c>
      <c r="D5099" s="37">
        <f>Prec.!$C$82</f>
        <v>75</v>
      </c>
      <c r="E5099" s="25">
        <f t="shared" si="404"/>
        <v>0.38</v>
      </c>
    </row>
    <row r="5100" spans="1:6" ht="12.75" customHeight="1">
      <c r="A5100" s="4" t="s">
        <v>1174</v>
      </c>
      <c r="B5100" s="8">
        <v>1E-3</v>
      </c>
      <c r="C5100" s="6" t="s">
        <v>825</v>
      </c>
      <c r="D5100" s="37">
        <f>D5069</f>
        <v>5783.9699999999993</v>
      </c>
      <c r="E5100" s="25">
        <f t="shared" si="404"/>
        <v>5.78</v>
      </c>
    </row>
    <row r="5101" spans="1:6" ht="12.75" customHeight="1">
      <c r="A5101" s="4" t="s">
        <v>1015</v>
      </c>
      <c r="B5101" s="8">
        <v>4</v>
      </c>
      <c r="C5101" s="6" t="s">
        <v>1017</v>
      </c>
      <c r="D5101" s="37">
        <f>Prec.!D490</f>
        <v>11.93</v>
      </c>
      <c r="E5101" s="25">
        <f t="shared" si="404"/>
        <v>47.72</v>
      </c>
    </row>
    <row r="5102" spans="1:6" ht="12.75" customHeight="1">
      <c r="A5102" s="4" t="s">
        <v>674</v>
      </c>
      <c r="B5102" s="8">
        <v>1</v>
      </c>
      <c r="C5102" s="6" t="s">
        <v>1171</v>
      </c>
      <c r="D5102" s="37">
        <f>Prec.!$D$498</f>
        <v>0</v>
      </c>
      <c r="E5102" s="25">
        <f t="shared" si="404"/>
        <v>0</v>
      </c>
    </row>
    <row r="5103" spans="1:6" ht="12.75" customHeight="1">
      <c r="A5103" s="4" t="s">
        <v>870</v>
      </c>
      <c r="B5103" s="8">
        <v>1</v>
      </c>
      <c r="C5103" s="6" t="s">
        <v>1171</v>
      </c>
      <c r="D5103" s="37">
        <f>Prec.!D560</f>
        <v>3.77</v>
      </c>
      <c r="E5103" s="25">
        <f t="shared" si="404"/>
        <v>3.77</v>
      </c>
    </row>
    <row r="5104" spans="1:6" ht="12.75" customHeight="1">
      <c r="A5104" s="4" t="s">
        <v>1154</v>
      </c>
      <c r="B5104" s="8">
        <f>B5098</f>
        <v>7.0000000000000001E-3</v>
      </c>
      <c r="C5104" s="6" t="s">
        <v>1172</v>
      </c>
      <c r="D5104" s="37">
        <f>D5073</f>
        <v>26.49</v>
      </c>
      <c r="E5104" s="25">
        <f t="shared" si="404"/>
        <v>0.19</v>
      </c>
    </row>
    <row r="5105" spans="1:6" ht="12.75" customHeight="1">
      <c r="A5105" s="4" t="s">
        <v>208</v>
      </c>
      <c r="B5105" s="7">
        <f>SUM(E5097:E5104)</f>
        <v>93.339999999999989</v>
      </c>
      <c r="C5105" s="6" t="s">
        <v>209</v>
      </c>
      <c r="D5105" s="37">
        <f>D5094</f>
        <v>1.4999999999999999E-2</v>
      </c>
      <c r="E5105" s="25">
        <f t="shared" si="404"/>
        <v>1.4</v>
      </c>
      <c r="F5105" s="26">
        <f>SUM(E5097:E5105)</f>
        <v>94.74</v>
      </c>
    </row>
    <row r="5106" spans="1:6" ht="12.75" customHeight="1">
      <c r="A5106" s="13" t="s">
        <v>27</v>
      </c>
      <c r="B5106" s="11"/>
      <c r="C5106" s="2"/>
      <c r="E5106" s="27" t="s">
        <v>151</v>
      </c>
      <c r="F5106" s="28" t="s">
        <v>1171</v>
      </c>
    </row>
    <row r="5107" spans="1:6" ht="12.75" customHeight="1">
      <c r="A5107" s="4" t="s">
        <v>819</v>
      </c>
      <c r="B5107" s="8">
        <v>1.05</v>
      </c>
      <c r="C5107" s="6" t="s">
        <v>1017</v>
      </c>
      <c r="D5107" s="37">
        <f>Prec.!C118</f>
        <v>67.540000000000006</v>
      </c>
      <c r="E5107" s="25">
        <f t="shared" ref="E5107:E5115" si="405">ROUND(B5107*D5107,2)</f>
        <v>70.92</v>
      </c>
    </row>
    <row r="5108" spans="1:6" ht="12.75" customHeight="1">
      <c r="A5108" s="4" t="s">
        <v>673</v>
      </c>
      <c r="B5108" s="8">
        <f>B5098</f>
        <v>7.0000000000000001E-3</v>
      </c>
      <c r="C5108" s="6" t="s">
        <v>1172</v>
      </c>
      <c r="D5108" s="37">
        <f>Prec.!$C$8</f>
        <v>250</v>
      </c>
      <c r="E5108" s="25">
        <f t="shared" si="405"/>
        <v>1.75</v>
      </c>
    </row>
    <row r="5109" spans="1:6" ht="12.75" customHeight="1">
      <c r="A5109" s="4" t="s">
        <v>1173</v>
      </c>
      <c r="B5109" s="8">
        <v>5.0000000000000001E-3</v>
      </c>
      <c r="C5109" s="6" t="s">
        <v>1018</v>
      </c>
      <c r="D5109" s="37">
        <f>Prec.!$C$82</f>
        <v>75</v>
      </c>
      <c r="E5109" s="25">
        <f t="shared" si="405"/>
        <v>0.38</v>
      </c>
    </row>
    <row r="5110" spans="1:6" ht="12.75" customHeight="1">
      <c r="A5110" s="4" t="s">
        <v>1174</v>
      </c>
      <c r="B5110" s="8">
        <v>1E-3</v>
      </c>
      <c r="C5110" s="6" t="s">
        <v>825</v>
      </c>
      <c r="D5110" s="37">
        <f>D5100</f>
        <v>5783.9699999999993</v>
      </c>
      <c r="E5110" s="25">
        <f t="shared" si="405"/>
        <v>5.78</v>
      </c>
    </row>
    <row r="5111" spans="1:6" ht="12.75" customHeight="1">
      <c r="A5111" s="4" t="s">
        <v>1015</v>
      </c>
      <c r="B5111" s="8">
        <v>4</v>
      </c>
      <c r="C5111" s="6" t="s">
        <v>1017</v>
      </c>
      <c r="D5111" s="37">
        <f>D5101</f>
        <v>11.93</v>
      </c>
      <c r="E5111" s="25">
        <f t="shared" si="405"/>
        <v>47.72</v>
      </c>
    </row>
    <row r="5112" spans="1:6" ht="12.75" customHeight="1">
      <c r="A5112" s="4" t="s">
        <v>674</v>
      </c>
      <c r="B5112" s="8">
        <v>1</v>
      </c>
      <c r="C5112" s="6" t="s">
        <v>1171</v>
      </c>
      <c r="D5112" s="37">
        <f>Prec.!$D$498</f>
        <v>0</v>
      </c>
      <c r="E5112" s="25">
        <f t="shared" si="405"/>
        <v>0</v>
      </c>
    </row>
    <row r="5113" spans="1:6" ht="12.75" customHeight="1">
      <c r="A5113" s="4" t="s">
        <v>870</v>
      </c>
      <c r="B5113" s="8">
        <v>1</v>
      </c>
      <c r="C5113" s="6" t="s">
        <v>1171</v>
      </c>
      <c r="D5113" s="37">
        <f>D5103</f>
        <v>3.77</v>
      </c>
      <c r="E5113" s="25">
        <f t="shared" si="405"/>
        <v>3.77</v>
      </c>
    </row>
    <row r="5114" spans="1:6" ht="12.75" customHeight="1">
      <c r="A5114" s="4" t="s">
        <v>1154</v>
      </c>
      <c r="B5114" s="8">
        <f>B5098</f>
        <v>7.0000000000000001E-3</v>
      </c>
      <c r="C5114" s="6" t="s">
        <v>1172</v>
      </c>
      <c r="D5114" s="37">
        <f>D5104</f>
        <v>26.49</v>
      </c>
      <c r="E5114" s="25">
        <f t="shared" si="405"/>
        <v>0.19</v>
      </c>
    </row>
    <row r="5115" spans="1:6" ht="12.75" customHeight="1">
      <c r="A5115" s="4" t="s">
        <v>208</v>
      </c>
      <c r="B5115" s="7">
        <f>SUM(E5107:E5114)</f>
        <v>130.51</v>
      </c>
      <c r="C5115" s="6" t="s">
        <v>209</v>
      </c>
      <c r="D5115" s="37">
        <f>D5105</f>
        <v>1.4999999999999999E-2</v>
      </c>
      <c r="E5115" s="25">
        <f t="shared" si="405"/>
        <v>1.96</v>
      </c>
      <c r="F5115" s="26">
        <f>SUM(E5107:E5115)</f>
        <v>132.47</v>
      </c>
    </row>
    <row r="5116" spans="1:6" ht="12.75" customHeight="1">
      <c r="B5116" s="7"/>
    </row>
    <row r="5117" spans="1:6" ht="12.75" customHeight="1">
      <c r="A5117" s="13" t="s">
        <v>28</v>
      </c>
      <c r="B5117" s="11"/>
      <c r="C5117" s="2"/>
      <c r="E5117" s="27" t="s">
        <v>151</v>
      </c>
      <c r="F5117" s="28" t="s">
        <v>1171</v>
      </c>
    </row>
    <row r="5118" spans="1:6" ht="12.75" customHeight="1">
      <c r="A5118" s="4" t="s">
        <v>820</v>
      </c>
      <c r="B5118" s="8">
        <v>1.05</v>
      </c>
      <c r="C5118" s="6" t="s">
        <v>1171</v>
      </c>
      <c r="D5118" s="37">
        <f>Prec.!C143</f>
        <v>348</v>
      </c>
      <c r="E5118" s="25">
        <f t="shared" ref="E5118:E5126" si="406">ROUND(B5118*D5118,2)</f>
        <v>365.4</v>
      </c>
    </row>
    <row r="5119" spans="1:6" ht="12.75" customHeight="1">
      <c r="A5119" s="4" t="s">
        <v>673</v>
      </c>
      <c r="B5119" s="8">
        <v>2.1999999999999999E-2</v>
      </c>
      <c r="C5119" s="6" t="s">
        <v>1172</v>
      </c>
      <c r="D5119" s="37">
        <f>Prec.!$C$8</f>
        <v>250</v>
      </c>
      <c r="E5119" s="25">
        <f t="shared" si="406"/>
        <v>5.5</v>
      </c>
    </row>
    <row r="5120" spans="1:6" ht="12.75" customHeight="1">
      <c r="A5120" s="4" t="s">
        <v>1173</v>
      </c>
      <c r="B5120" s="8">
        <v>5.0000000000000001E-3</v>
      </c>
      <c r="C5120" s="6" t="s">
        <v>1018</v>
      </c>
      <c r="D5120" s="37">
        <f>Prec.!$C$82</f>
        <v>75</v>
      </c>
      <c r="E5120" s="25">
        <f t="shared" si="406"/>
        <v>0.38</v>
      </c>
    </row>
    <row r="5121" spans="1:6" ht="12.75" customHeight="1">
      <c r="A5121" s="4" t="s">
        <v>1174</v>
      </c>
      <c r="B5121" s="8">
        <v>1E-3</v>
      </c>
      <c r="C5121" s="6" t="s">
        <v>825</v>
      </c>
      <c r="D5121" s="37">
        <f>D5110</f>
        <v>5783.9699999999993</v>
      </c>
      <c r="E5121" s="25">
        <f t="shared" si="406"/>
        <v>5.78</v>
      </c>
    </row>
    <row r="5122" spans="1:6" ht="12.75" customHeight="1">
      <c r="A5122" s="4" t="s">
        <v>1015</v>
      </c>
      <c r="B5122" s="8">
        <v>3.5</v>
      </c>
      <c r="C5122" s="6" t="s">
        <v>1017</v>
      </c>
      <c r="D5122" s="37">
        <f>Prec.!D491</f>
        <v>11.93</v>
      </c>
      <c r="E5122" s="25">
        <f t="shared" si="406"/>
        <v>41.76</v>
      </c>
    </row>
    <row r="5123" spans="1:6" ht="12.75" customHeight="1">
      <c r="A5123" s="4" t="s">
        <v>674</v>
      </c>
      <c r="B5123" s="8">
        <v>1</v>
      </c>
      <c r="C5123" s="6" t="s">
        <v>1171</v>
      </c>
      <c r="D5123" s="37">
        <f>Prec.!D499</f>
        <v>93.25</v>
      </c>
      <c r="E5123" s="25">
        <f t="shared" si="406"/>
        <v>93.25</v>
      </c>
    </row>
    <row r="5124" spans="1:6" ht="12.75" customHeight="1">
      <c r="A5124" s="4" t="s">
        <v>870</v>
      </c>
      <c r="B5124" s="8">
        <v>1</v>
      </c>
      <c r="C5124" s="6" t="s">
        <v>1171</v>
      </c>
      <c r="D5124" s="37">
        <f>D5092</f>
        <v>3.77</v>
      </c>
      <c r="E5124" s="25">
        <f t="shared" si="406"/>
        <v>3.77</v>
      </c>
    </row>
    <row r="5125" spans="1:6" ht="12.75" customHeight="1">
      <c r="A5125" s="4" t="s">
        <v>1154</v>
      </c>
      <c r="B5125" s="8">
        <v>2.1999999999999999E-2</v>
      </c>
      <c r="C5125" s="6" t="s">
        <v>1172</v>
      </c>
      <c r="D5125" s="37">
        <f>D5114</f>
        <v>26.49</v>
      </c>
      <c r="E5125" s="25">
        <f t="shared" si="406"/>
        <v>0.57999999999999996</v>
      </c>
    </row>
    <row r="5126" spans="1:6" ht="12.75" customHeight="1">
      <c r="A5126" s="4" t="s">
        <v>208</v>
      </c>
      <c r="B5126" s="7">
        <f>SUM(E5118:E5125)</f>
        <v>516.41999999999996</v>
      </c>
      <c r="C5126" s="6" t="s">
        <v>209</v>
      </c>
      <c r="D5126" s="37">
        <f>D5115</f>
        <v>1.4999999999999999E-2</v>
      </c>
      <c r="E5126" s="25">
        <f t="shared" si="406"/>
        <v>7.75</v>
      </c>
      <c r="F5126" s="26">
        <f>SUM(E5118:E5126)</f>
        <v>524.16999999999996</v>
      </c>
    </row>
    <row r="5127" spans="1:6" ht="12.75" customHeight="1">
      <c r="B5127" s="7"/>
    </row>
    <row r="5128" spans="1:6" ht="12.75" customHeight="1">
      <c r="A5128" s="1" t="s">
        <v>29</v>
      </c>
      <c r="B5128" s="11"/>
      <c r="C5128" s="2"/>
      <c r="E5128" s="27" t="s">
        <v>151</v>
      </c>
      <c r="F5128" s="28" t="s">
        <v>1171</v>
      </c>
    </row>
    <row r="5129" spans="1:6" ht="12.75" customHeight="1">
      <c r="A5129" s="4" t="s">
        <v>427</v>
      </c>
      <c r="B5129" s="8">
        <v>8.0000000000000002E-3</v>
      </c>
      <c r="C5129" s="6" t="s">
        <v>825</v>
      </c>
      <c r="D5129" s="37">
        <f>horm.ymez.!H8</f>
        <v>6795.98</v>
      </c>
      <c r="E5129" s="25">
        <f>ROUND(B5129*D5129,2)</f>
        <v>54.37</v>
      </c>
    </row>
    <row r="5130" spans="1:6" ht="12.75" customHeight="1">
      <c r="A5130" s="4" t="s">
        <v>1168</v>
      </c>
      <c r="B5130" s="8">
        <v>1</v>
      </c>
      <c r="C5130" s="6" t="s">
        <v>1171</v>
      </c>
      <c r="D5130" s="37">
        <f>Prec.!$D$486</f>
        <v>0</v>
      </c>
      <c r="E5130" s="25">
        <f>ROUND(B5130*D5130,2)</f>
        <v>0</v>
      </c>
    </row>
    <row r="5131" spans="1:6" ht="12.75" customHeight="1">
      <c r="A5131" s="4" t="s">
        <v>208</v>
      </c>
      <c r="B5131" s="7">
        <f>SUM(E5129:E5130)</f>
        <v>54.37</v>
      </c>
      <c r="C5131" s="6" t="s">
        <v>209</v>
      </c>
      <c r="D5131" s="37">
        <f>D5126</f>
        <v>1.4999999999999999E-2</v>
      </c>
      <c r="E5131" s="25">
        <f>ROUND(B5131*D5131,2)</f>
        <v>0.82</v>
      </c>
      <c r="F5131" s="26">
        <f>SUM(E5129:E5131)</f>
        <v>55.19</v>
      </c>
    </row>
    <row r="5132" spans="1:6" ht="12.75" customHeight="1">
      <c r="B5132" s="7"/>
    </row>
    <row r="5133" spans="1:6" ht="12.75" customHeight="1">
      <c r="A5133" s="1" t="s">
        <v>1219</v>
      </c>
      <c r="B5133" s="7"/>
    </row>
    <row r="5134" spans="1:6" ht="12.75" customHeight="1">
      <c r="A5134" s="4" t="s">
        <v>1216</v>
      </c>
      <c r="B5134" s="8">
        <v>1</v>
      </c>
      <c r="C5134" s="6" t="s">
        <v>1171</v>
      </c>
      <c r="D5134" s="37">
        <f>Prec.!C140</f>
        <v>90</v>
      </c>
      <c r="E5134" s="25">
        <f t="shared" ref="E5134:E5140" si="407">ROUND(B5134*D5134,2)</f>
        <v>90</v>
      </c>
    </row>
    <row r="5135" spans="1:6" ht="12.75" customHeight="1">
      <c r="A5135" s="4" t="s">
        <v>870</v>
      </c>
      <c r="B5135" s="8">
        <v>1</v>
      </c>
      <c r="C5135" s="6" t="s">
        <v>1171</v>
      </c>
      <c r="D5135" s="37">
        <f>Prec.!D560</f>
        <v>3.77</v>
      </c>
      <c r="E5135" s="25">
        <f t="shared" si="407"/>
        <v>3.77</v>
      </c>
    </row>
    <row r="5136" spans="1:6" ht="12.75" customHeight="1">
      <c r="A5136" s="4" t="s">
        <v>796</v>
      </c>
      <c r="B5136" s="8">
        <v>7.0000000000000001E-3</v>
      </c>
      <c r="C5136" s="6" t="s">
        <v>755</v>
      </c>
      <c r="D5136" s="37">
        <f>Prec.!C7</f>
        <v>250</v>
      </c>
      <c r="E5136" s="25">
        <f t="shared" si="407"/>
        <v>1.75</v>
      </c>
    </row>
    <row r="5137" spans="1:6" ht="12.75" customHeight="1">
      <c r="A5137" s="4" t="s">
        <v>1130</v>
      </c>
      <c r="B5137" s="8">
        <v>7.0000000000000001E-3</v>
      </c>
      <c r="C5137" s="6" t="s">
        <v>755</v>
      </c>
      <c r="D5137" s="37">
        <f>D5125</f>
        <v>26.49</v>
      </c>
      <c r="E5137" s="25">
        <f t="shared" si="407"/>
        <v>0.19</v>
      </c>
    </row>
    <row r="5138" spans="1:6" ht="12.75" customHeight="1">
      <c r="A5138" s="4" t="s">
        <v>1174</v>
      </c>
      <c r="B5138" s="8">
        <v>4.0000000000000001E-3</v>
      </c>
      <c r="C5138" s="6" t="s">
        <v>825</v>
      </c>
      <c r="D5138" s="37">
        <f>horm.ymez.!H9</f>
        <v>5783.9699999999993</v>
      </c>
      <c r="E5138" s="25">
        <f t="shared" si="407"/>
        <v>23.14</v>
      </c>
    </row>
    <row r="5139" spans="1:6" ht="12.75" customHeight="1">
      <c r="A5139" s="4" t="s">
        <v>1217</v>
      </c>
      <c r="B5139" s="8">
        <v>1</v>
      </c>
      <c r="C5139" s="6" t="s">
        <v>1171</v>
      </c>
      <c r="D5139" s="37">
        <f>Prec.!D467</f>
        <v>0</v>
      </c>
      <c r="E5139" s="25">
        <f t="shared" si="407"/>
        <v>0</v>
      </c>
    </row>
    <row r="5140" spans="1:6" ht="12.75" customHeight="1">
      <c r="A5140" s="4" t="s">
        <v>208</v>
      </c>
      <c r="B5140" s="8">
        <f>SUM(E5134:E5139)</f>
        <v>118.85</v>
      </c>
      <c r="C5140" s="6" t="s">
        <v>209</v>
      </c>
      <c r="D5140" s="37">
        <f>D5131</f>
        <v>1.4999999999999999E-2</v>
      </c>
      <c r="E5140" s="25">
        <f t="shared" si="407"/>
        <v>1.78</v>
      </c>
      <c r="F5140" s="26">
        <f>SUM(E5134:E5140)</f>
        <v>120.63</v>
      </c>
    </row>
    <row r="5141" spans="1:6" ht="12.75" customHeight="1">
      <c r="A5141" s="1"/>
      <c r="B5141" s="7"/>
    </row>
    <row r="5142" spans="1:6" ht="12.75" customHeight="1">
      <c r="A5142" s="1" t="s">
        <v>1220</v>
      </c>
      <c r="B5142" s="7"/>
    </row>
    <row r="5143" spans="1:6" ht="12.75" customHeight="1">
      <c r="A5143" s="4" t="s">
        <v>66</v>
      </c>
      <c r="B5143" s="8">
        <v>1</v>
      </c>
      <c r="C5143" s="6" t="s">
        <v>1171</v>
      </c>
      <c r="D5143" s="37">
        <f>Prec.!C139</f>
        <v>70.73</v>
      </c>
      <c r="E5143" s="25">
        <f t="shared" ref="E5143:E5149" si="408">ROUND(B5143*D5143,2)</f>
        <v>70.73</v>
      </c>
    </row>
    <row r="5144" spans="1:6" ht="12.75" customHeight="1">
      <c r="A5144" s="4" t="s">
        <v>870</v>
      </c>
      <c r="B5144" s="8">
        <v>1</v>
      </c>
      <c r="C5144" s="6" t="s">
        <v>1171</v>
      </c>
      <c r="D5144" s="37">
        <f>D5135</f>
        <v>3.77</v>
      </c>
      <c r="E5144" s="25">
        <f t="shared" si="408"/>
        <v>3.77</v>
      </c>
    </row>
    <row r="5145" spans="1:6" ht="12.75" customHeight="1">
      <c r="A5145" s="4" t="s">
        <v>657</v>
      </c>
      <c r="B5145" s="8">
        <v>7.0000000000000001E-3</v>
      </c>
      <c r="C5145" s="6" t="s">
        <v>755</v>
      </c>
      <c r="D5145" s="37">
        <f>Prec.!C8</f>
        <v>250</v>
      </c>
      <c r="E5145" s="25">
        <f t="shared" si="408"/>
        <v>1.75</v>
      </c>
    </row>
    <row r="5146" spans="1:6" ht="12.75" customHeight="1">
      <c r="A5146" s="4" t="s">
        <v>1130</v>
      </c>
      <c r="B5146" s="8">
        <v>7.0000000000000001E-3</v>
      </c>
      <c r="C5146" s="6" t="s">
        <v>755</v>
      </c>
      <c r="D5146" s="37">
        <f>D5137</f>
        <v>26.49</v>
      </c>
      <c r="E5146" s="25">
        <f t="shared" si="408"/>
        <v>0.19</v>
      </c>
    </row>
    <row r="5147" spans="1:6" ht="12.75" customHeight="1">
      <c r="A5147" s="4" t="s">
        <v>1174</v>
      </c>
      <c r="B5147" s="8">
        <v>4.0000000000000001E-3</v>
      </c>
      <c r="C5147" s="6" t="s">
        <v>825</v>
      </c>
      <c r="D5147" s="37">
        <f>D5138</f>
        <v>5783.9699999999993</v>
      </c>
      <c r="E5147" s="25">
        <f t="shared" si="408"/>
        <v>23.14</v>
      </c>
    </row>
    <row r="5148" spans="1:6" ht="12.75" customHeight="1">
      <c r="A5148" s="4" t="s">
        <v>1217</v>
      </c>
      <c r="B5148" s="8">
        <v>1</v>
      </c>
      <c r="C5148" s="6" t="s">
        <v>1171</v>
      </c>
      <c r="D5148" s="37">
        <f>D5139</f>
        <v>0</v>
      </c>
      <c r="E5148" s="25">
        <f t="shared" si="408"/>
        <v>0</v>
      </c>
    </row>
    <row r="5149" spans="1:6" ht="12.75" customHeight="1">
      <c r="A5149" s="4" t="s">
        <v>208</v>
      </c>
      <c r="B5149" s="8">
        <f>SUM(E5143:E5148)</f>
        <v>99.58</v>
      </c>
      <c r="C5149" s="6" t="s">
        <v>209</v>
      </c>
      <c r="D5149" s="37">
        <f>D5140</f>
        <v>1.4999999999999999E-2</v>
      </c>
      <c r="E5149" s="25">
        <f t="shared" si="408"/>
        <v>1.49</v>
      </c>
      <c r="F5149" s="26">
        <f>SUM(E5143:E5149)</f>
        <v>101.07</v>
      </c>
    </row>
    <row r="5156" spans="1:6" ht="12.75" customHeight="1">
      <c r="A5156" s="1" t="s">
        <v>67</v>
      </c>
      <c r="B5156" s="7"/>
    </row>
    <row r="5157" spans="1:6" ht="12.75" customHeight="1">
      <c r="A5157" s="4" t="s">
        <v>1216</v>
      </c>
      <c r="B5157" s="8">
        <v>1</v>
      </c>
      <c r="C5157" s="6" t="s">
        <v>1171</v>
      </c>
      <c r="D5157" s="37">
        <f>Prec.!C142</f>
        <v>58</v>
      </c>
      <c r="E5157" s="25">
        <f t="shared" ref="E5157:E5163" si="409">ROUND(B5157*D5157,2)</f>
        <v>58</v>
      </c>
    </row>
    <row r="5158" spans="1:6" ht="12.75" customHeight="1">
      <c r="A5158" s="4" t="s">
        <v>870</v>
      </c>
      <c r="B5158" s="8">
        <v>1</v>
      </c>
      <c r="C5158" s="6" t="s">
        <v>1171</v>
      </c>
      <c r="D5158" s="37">
        <f>D5144</f>
        <v>3.77</v>
      </c>
      <c r="E5158" s="25">
        <f t="shared" si="409"/>
        <v>3.77</v>
      </c>
    </row>
    <row r="5159" spans="1:6" ht="12.75" customHeight="1">
      <c r="A5159" s="4" t="s">
        <v>796</v>
      </c>
      <c r="B5159" s="8">
        <v>7.0000000000000001E-3</v>
      </c>
      <c r="C5159" s="6" t="s">
        <v>755</v>
      </c>
      <c r="D5159" s="37">
        <f>D5136</f>
        <v>250</v>
      </c>
      <c r="E5159" s="25">
        <f t="shared" si="409"/>
        <v>1.75</v>
      </c>
    </row>
    <row r="5160" spans="1:6" ht="12.75" customHeight="1">
      <c r="A5160" s="4" t="s">
        <v>1130</v>
      </c>
      <c r="B5160" s="8">
        <v>7.0000000000000001E-3</v>
      </c>
      <c r="C5160" s="6" t="s">
        <v>755</v>
      </c>
      <c r="D5160" s="37">
        <f>D5146</f>
        <v>26.49</v>
      </c>
      <c r="E5160" s="25">
        <f t="shared" si="409"/>
        <v>0.19</v>
      </c>
    </row>
    <row r="5161" spans="1:6" ht="12.75" customHeight="1">
      <c r="A5161" s="4" t="s">
        <v>1174</v>
      </c>
      <c r="B5161" s="8">
        <v>4.0000000000000001E-3</v>
      </c>
      <c r="C5161" s="6" t="s">
        <v>825</v>
      </c>
      <c r="D5161" s="37">
        <f>D5138</f>
        <v>5783.9699999999993</v>
      </c>
      <c r="E5161" s="25">
        <f t="shared" si="409"/>
        <v>23.14</v>
      </c>
    </row>
    <row r="5162" spans="1:6" ht="12.75" customHeight="1">
      <c r="A5162" s="4" t="s">
        <v>1217</v>
      </c>
      <c r="B5162" s="8">
        <v>1</v>
      </c>
      <c r="C5162" s="6" t="s">
        <v>1171</v>
      </c>
      <c r="D5162" s="37">
        <f>D5139</f>
        <v>0</v>
      </c>
      <c r="E5162" s="25">
        <f t="shared" si="409"/>
        <v>0</v>
      </c>
    </row>
    <row r="5163" spans="1:6" ht="12.75" customHeight="1">
      <c r="A5163" s="4" t="s">
        <v>208</v>
      </c>
      <c r="B5163" s="8">
        <f>SUM(E5157:E5162)</f>
        <v>86.85</v>
      </c>
      <c r="C5163" s="6" t="s">
        <v>209</v>
      </c>
      <c r="D5163" s="37">
        <f>D5149</f>
        <v>1.4999999999999999E-2</v>
      </c>
      <c r="E5163" s="25">
        <f t="shared" si="409"/>
        <v>1.3</v>
      </c>
      <c r="F5163" s="26">
        <f>SUM(E5157:E5163)</f>
        <v>88.149999999999991</v>
      </c>
    </row>
    <row r="5164" spans="1:6" ht="12.75" customHeight="1">
      <c r="A5164" s="1"/>
      <c r="B5164" s="7"/>
    </row>
    <row r="5165" spans="1:6" ht="12.75" customHeight="1">
      <c r="A5165" s="1" t="s">
        <v>1129</v>
      </c>
      <c r="B5165" s="7"/>
    </row>
    <row r="5166" spans="1:6" ht="12.75" customHeight="1">
      <c r="A5166" s="4" t="s">
        <v>66</v>
      </c>
      <c r="B5166" s="8">
        <v>1</v>
      </c>
      <c r="C5166" s="6" t="s">
        <v>1171</v>
      </c>
      <c r="D5166" s="37">
        <f>Prec.!C141</f>
        <v>78.3</v>
      </c>
      <c r="E5166" s="25">
        <f t="shared" ref="E5166:E5172" si="410">ROUND(B5166*D5166,2)</f>
        <v>78.3</v>
      </c>
    </row>
    <row r="5167" spans="1:6" ht="12.75" customHeight="1">
      <c r="A5167" s="4" t="s">
        <v>870</v>
      </c>
      <c r="B5167" s="8">
        <v>1</v>
      </c>
      <c r="C5167" s="6" t="s">
        <v>1171</v>
      </c>
      <c r="D5167" s="37">
        <f>D5158</f>
        <v>3.77</v>
      </c>
      <c r="E5167" s="25">
        <f t="shared" si="410"/>
        <v>3.77</v>
      </c>
    </row>
    <row r="5168" spans="1:6" ht="12.75" customHeight="1">
      <c r="A5168" s="4" t="s">
        <v>657</v>
      </c>
      <c r="B5168" s="8">
        <v>7.0000000000000001E-3</v>
      </c>
      <c r="C5168" s="6" t="s">
        <v>755</v>
      </c>
      <c r="D5168" s="37">
        <f>D5145</f>
        <v>250</v>
      </c>
      <c r="E5168" s="25">
        <f t="shared" si="410"/>
        <v>1.75</v>
      </c>
    </row>
    <row r="5169" spans="1:9" ht="12.75" customHeight="1">
      <c r="A5169" s="4" t="s">
        <v>1130</v>
      </c>
      <c r="B5169" s="8">
        <v>7.0000000000000001E-3</v>
      </c>
      <c r="C5169" s="6" t="s">
        <v>755</v>
      </c>
      <c r="D5169" s="37">
        <f>D5160</f>
        <v>26.49</v>
      </c>
      <c r="E5169" s="25">
        <f t="shared" si="410"/>
        <v>0.19</v>
      </c>
    </row>
    <row r="5170" spans="1:9" ht="12.75" customHeight="1">
      <c r="A5170" s="4" t="s">
        <v>1174</v>
      </c>
      <c r="B5170" s="8">
        <v>4.0000000000000001E-3</v>
      </c>
      <c r="C5170" s="6" t="s">
        <v>825</v>
      </c>
      <c r="D5170" s="37">
        <f>D5161</f>
        <v>5783.9699999999993</v>
      </c>
      <c r="E5170" s="25">
        <f t="shared" si="410"/>
        <v>23.14</v>
      </c>
    </row>
    <row r="5171" spans="1:9" ht="12.75" customHeight="1">
      <c r="A5171" s="4" t="s">
        <v>1217</v>
      </c>
      <c r="B5171" s="8">
        <v>1</v>
      </c>
      <c r="C5171" s="6" t="s">
        <v>1171</v>
      </c>
      <c r="D5171" s="37">
        <f>D5162</f>
        <v>0</v>
      </c>
      <c r="E5171" s="25">
        <f t="shared" si="410"/>
        <v>0</v>
      </c>
    </row>
    <row r="5172" spans="1:9" ht="12.75" customHeight="1">
      <c r="A5172" s="4" t="s">
        <v>208</v>
      </c>
      <c r="B5172" s="8">
        <f>SUM(E5166:E5171)</f>
        <v>107.14999999999999</v>
      </c>
      <c r="C5172" s="6" t="s">
        <v>209</v>
      </c>
      <c r="D5172" s="37">
        <f>D5163</f>
        <v>1.4999999999999999E-2</v>
      </c>
      <c r="E5172" s="25">
        <f t="shared" si="410"/>
        <v>1.61</v>
      </c>
      <c r="F5172" s="26">
        <f>SUM(E5166:E5172)</f>
        <v>108.75999999999999</v>
      </c>
    </row>
    <row r="5173" spans="1:9" ht="12.75" customHeight="1">
      <c r="B5173" s="7"/>
    </row>
    <row r="5174" spans="1:9" ht="12.75" customHeight="1">
      <c r="A5174" s="40" t="s">
        <v>230</v>
      </c>
      <c r="B5174" s="14"/>
      <c r="C5174" s="24"/>
      <c r="D5174" s="35"/>
      <c r="E5174" s="31"/>
      <c r="F5174" s="32"/>
      <c r="G5174" s="20"/>
      <c r="H5174" s="22"/>
      <c r="I5174" s="20"/>
    </row>
    <row r="5175" spans="1:9" ht="3.75" customHeight="1">
      <c r="B5175" s="14"/>
      <c r="C5175" s="24"/>
      <c r="D5175" s="35"/>
      <c r="E5175" s="31"/>
      <c r="F5175" s="32"/>
      <c r="G5175" s="20"/>
      <c r="H5175" s="22"/>
      <c r="I5175" s="20"/>
    </row>
    <row r="5176" spans="1:9" ht="12.75" customHeight="1">
      <c r="A5176" s="23" t="s">
        <v>321</v>
      </c>
      <c r="B5176" s="7"/>
    </row>
    <row r="5177" spans="1:9" ht="6" customHeight="1">
      <c r="A5177" s="2"/>
      <c r="B5177" s="7"/>
    </row>
    <row r="5178" spans="1:9" ht="12.75" customHeight="1">
      <c r="A5178" s="698" t="s">
        <v>564</v>
      </c>
      <c r="B5178" s="706"/>
      <c r="C5178" s="707"/>
      <c r="D5178" s="708"/>
      <c r="E5178" s="709" t="s">
        <v>151</v>
      </c>
      <c r="F5178" s="710" t="s">
        <v>1171</v>
      </c>
    </row>
    <row r="5179" spans="1:9" ht="12.75" customHeight="1">
      <c r="A5179" s="704" t="s">
        <v>564</v>
      </c>
      <c r="B5179" s="705">
        <v>1</v>
      </c>
      <c r="C5179" s="700" t="s">
        <v>1171</v>
      </c>
      <c r="D5179" s="708">
        <f>Prec.!$C$145</f>
        <v>1935.25</v>
      </c>
      <c r="E5179" s="702">
        <f t="shared" ref="E5179:E5186" si="411">ROUND(B5179*D5179,2)</f>
        <v>1935.25</v>
      </c>
      <c r="F5179" s="703"/>
    </row>
    <row r="5180" spans="1:9" ht="12.75" customHeight="1">
      <c r="A5180" s="704" t="s">
        <v>421</v>
      </c>
      <c r="B5180" s="705">
        <v>2.5000000000000001E-2</v>
      </c>
      <c r="C5180" s="700" t="s">
        <v>825</v>
      </c>
      <c r="D5180" s="708">
        <f>horm.ymez.!C14</f>
        <v>5147.68</v>
      </c>
      <c r="E5180" s="702">
        <f t="shared" si="411"/>
        <v>128.69</v>
      </c>
      <c r="F5180" s="703"/>
    </row>
    <row r="5181" spans="1:9" ht="12.75" customHeight="1">
      <c r="A5181" s="704" t="s">
        <v>663</v>
      </c>
      <c r="B5181" s="705">
        <v>1.49E-2</v>
      </c>
      <c r="C5181" s="700" t="s">
        <v>825</v>
      </c>
      <c r="D5181" s="708">
        <f>horm.ymez.!C10</f>
        <v>5023.9699999999993</v>
      </c>
      <c r="E5181" s="702">
        <f t="shared" si="411"/>
        <v>74.86</v>
      </c>
      <c r="F5181" s="703"/>
    </row>
    <row r="5182" spans="1:9" ht="12.75" customHeight="1">
      <c r="A5182" s="704" t="s">
        <v>673</v>
      </c>
      <c r="B5182" s="705">
        <v>2.5000000000000001E-2</v>
      </c>
      <c r="C5182" s="700" t="s">
        <v>1172</v>
      </c>
      <c r="D5182" s="708">
        <f>Prec.!$C$8</f>
        <v>250</v>
      </c>
      <c r="E5182" s="702">
        <f t="shared" si="411"/>
        <v>6.25</v>
      </c>
      <c r="F5182" s="703"/>
    </row>
    <row r="5183" spans="1:9" ht="12.75" customHeight="1">
      <c r="A5183" s="704" t="s">
        <v>92</v>
      </c>
      <c r="B5183" s="705">
        <v>1</v>
      </c>
      <c r="C5183" s="700" t="s">
        <v>1171</v>
      </c>
      <c r="D5183" s="708">
        <f>Prec.!C502</f>
        <v>256.64999999999998</v>
      </c>
      <c r="E5183" s="702">
        <f t="shared" si="411"/>
        <v>256.64999999999998</v>
      </c>
      <c r="F5183" s="703"/>
    </row>
    <row r="5184" spans="1:9" ht="12.75" customHeight="1">
      <c r="A5184" s="704" t="s">
        <v>93</v>
      </c>
      <c r="B5184" s="705">
        <v>1</v>
      </c>
      <c r="C5184" s="700" t="s">
        <v>1171</v>
      </c>
      <c r="D5184" s="708">
        <f>Prec.!C504</f>
        <v>297.32</v>
      </c>
      <c r="E5184" s="702">
        <f t="shared" si="411"/>
        <v>297.32</v>
      </c>
      <c r="F5184" s="703"/>
    </row>
    <row r="5185" spans="1:6" ht="12.75" customHeight="1">
      <c r="A5185" s="704" t="s">
        <v>94</v>
      </c>
      <c r="B5185" s="705">
        <v>1</v>
      </c>
      <c r="C5185" s="700" t="s">
        <v>1171</v>
      </c>
      <c r="D5185" s="708">
        <f>Prec.!C513</f>
        <v>327.75</v>
      </c>
      <c r="E5185" s="702">
        <f t="shared" si="411"/>
        <v>327.75</v>
      </c>
      <c r="F5185" s="703"/>
    </row>
    <row r="5186" spans="1:6" ht="12.75" customHeight="1">
      <c r="A5186" s="704" t="s">
        <v>208</v>
      </c>
      <c r="B5186" s="711">
        <f>SUM(E5179:E5182)</f>
        <v>2145.0500000000002</v>
      </c>
      <c r="C5186" s="700" t="s">
        <v>209</v>
      </c>
      <c r="D5186" s="708">
        <v>0.02</v>
      </c>
      <c r="E5186" s="702">
        <f t="shared" si="411"/>
        <v>42.9</v>
      </c>
      <c r="F5186" s="703">
        <f>SUM(E5179:E5186)</f>
        <v>3069.6700000000005</v>
      </c>
    </row>
    <row r="5187" spans="1:6" ht="12.75" customHeight="1">
      <c r="B5187" s="7"/>
    </row>
    <row r="5188" spans="1:6" ht="12.75" customHeight="1">
      <c r="A5188" s="13" t="s">
        <v>95</v>
      </c>
      <c r="B5188" s="42"/>
      <c r="C5188" s="29"/>
      <c r="D5188" s="35"/>
      <c r="E5188" s="43" t="s">
        <v>151</v>
      </c>
      <c r="F5188" s="44" t="s">
        <v>1171</v>
      </c>
    </row>
    <row r="5189" spans="1:6" ht="12.75" customHeight="1">
      <c r="A5189" s="12" t="s">
        <v>95</v>
      </c>
      <c r="B5189" s="30">
        <v>1</v>
      </c>
      <c r="C5189" s="24" t="s">
        <v>1171</v>
      </c>
      <c r="D5189" s="35">
        <f>Prec.!$C$144</f>
        <v>1710.15</v>
      </c>
      <c r="E5189" s="31">
        <f t="shared" ref="E5189:E5196" si="412">ROUND(B5189*D5189,2)</f>
        <v>1710.15</v>
      </c>
      <c r="F5189" s="32"/>
    </row>
    <row r="5190" spans="1:6" ht="12.75" customHeight="1">
      <c r="A5190" s="12" t="s">
        <v>421</v>
      </c>
      <c r="B5190" s="30">
        <v>2.5000000000000001E-2</v>
      </c>
      <c r="C5190" s="24" t="s">
        <v>825</v>
      </c>
      <c r="D5190" s="35">
        <f>D5180</f>
        <v>5147.68</v>
      </c>
      <c r="E5190" s="31">
        <f t="shared" si="412"/>
        <v>128.69</v>
      </c>
      <c r="F5190" s="32"/>
    </row>
    <row r="5191" spans="1:6" ht="12.75" customHeight="1">
      <c r="A5191" s="12" t="s">
        <v>663</v>
      </c>
      <c r="B5191" s="30">
        <v>1.49E-2</v>
      </c>
      <c r="C5191" s="24" t="s">
        <v>825</v>
      </c>
      <c r="D5191" s="35">
        <f>D5181</f>
        <v>5023.9699999999993</v>
      </c>
      <c r="E5191" s="31">
        <f t="shared" si="412"/>
        <v>74.86</v>
      </c>
      <c r="F5191" s="32"/>
    </row>
    <row r="5192" spans="1:6" ht="12.75" customHeight="1">
      <c r="A5192" s="12" t="s">
        <v>622</v>
      </c>
      <c r="B5192" s="30">
        <v>2.5000000000000001E-2</v>
      </c>
      <c r="C5192" s="24" t="s">
        <v>1172</v>
      </c>
      <c r="D5192" s="35">
        <f>Prec.!$C$7</f>
        <v>250</v>
      </c>
      <c r="E5192" s="31">
        <f t="shared" si="412"/>
        <v>6.25</v>
      </c>
      <c r="F5192" s="32"/>
    </row>
    <row r="5193" spans="1:6" ht="12.75" customHeight="1">
      <c r="A5193" s="12" t="s">
        <v>92</v>
      </c>
      <c r="B5193" s="30">
        <v>1</v>
      </c>
      <c r="C5193" s="24" t="s">
        <v>1171</v>
      </c>
      <c r="D5193" s="35">
        <f>Prec.!$D$502</f>
        <v>0</v>
      </c>
      <c r="E5193" s="31">
        <f t="shared" si="412"/>
        <v>0</v>
      </c>
      <c r="F5193" s="32"/>
    </row>
    <row r="5194" spans="1:6" ht="12.75" customHeight="1">
      <c r="A5194" s="12" t="s">
        <v>93</v>
      </c>
      <c r="B5194" s="30">
        <v>1</v>
      </c>
      <c r="C5194" s="24" t="s">
        <v>1171</v>
      </c>
      <c r="D5194" s="35">
        <f>Prec.!$D$504</f>
        <v>0</v>
      </c>
      <c r="E5194" s="31">
        <f t="shared" si="412"/>
        <v>0</v>
      </c>
      <c r="F5194" s="32"/>
    </row>
    <row r="5195" spans="1:6" ht="12.75" customHeight="1">
      <c r="A5195" s="12" t="s">
        <v>94</v>
      </c>
      <c r="B5195" s="30">
        <v>1</v>
      </c>
      <c r="C5195" s="24" t="s">
        <v>1171</v>
      </c>
      <c r="D5195" s="35">
        <f>Prec.!$D$513</f>
        <v>285</v>
      </c>
      <c r="E5195" s="31">
        <f t="shared" si="412"/>
        <v>285</v>
      </c>
      <c r="F5195" s="32"/>
    </row>
    <row r="5196" spans="1:6" ht="12.75" customHeight="1">
      <c r="A5196" s="12" t="s">
        <v>208</v>
      </c>
      <c r="B5196" s="14">
        <f>SUM(E5189:E5195)</f>
        <v>2204.9499999999998</v>
      </c>
      <c r="C5196" s="24" t="s">
        <v>209</v>
      </c>
      <c r="D5196" s="35">
        <v>0.02</v>
      </c>
      <c r="E5196" s="31">
        <f t="shared" si="412"/>
        <v>44.1</v>
      </c>
      <c r="F5196" s="32">
        <f>SUM(E5189:E5196)</f>
        <v>2249.0499999999997</v>
      </c>
    </row>
    <row r="5197" spans="1:6" ht="14.25" customHeight="1">
      <c r="A5197" s="12"/>
      <c r="B5197" s="14"/>
      <c r="C5197" s="24"/>
      <c r="D5197" s="35"/>
      <c r="E5197" s="31"/>
      <c r="F5197" s="32"/>
    </row>
    <row r="5198" spans="1:6" ht="12.75" customHeight="1">
      <c r="A5198" s="13" t="s">
        <v>96</v>
      </c>
      <c r="B5198" s="42"/>
      <c r="C5198" s="29"/>
      <c r="D5198" s="35"/>
      <c r="E5198" s="43" t="s">
        <v>151</v>
      </c>
      <c r="F5198" s="44" t="s">
        <v>1171</v>
      </c>
    </row>
    <row r="5199" spans="1:6" ht="12.75" customHeight="1">
      <c r="A5199" s="12" t="s">
        <v>421</v>
      </c>
      <c r="B5199" s="30">
        <v>2.5000000000000001E-2</v>
      </c>
      <c r="C5199" s="24" t="s">
        <v>825</v>
      </c>
      <c r="D5199" s="35">
        <f>D5190</f>
        <v>5147.68</v>
      </c>
      <c r="E5199" s="31">
        <f t="shared" ref="E5199:E5204" si="413">ROUND(B5199*D5199,2)</f>
        <v>128.69</v>
      </c>
      <c r="F5199" s="32"/>
    </row>
    <row r="5200" spans="1:6" ht="12.75" customHeight="1">
      <c r="A5200" s="12" t="s">
        <v>427</v>
      </c>
      <c r="B5200" s="30">
        <v>7.0000000000000001E-3</v>
      </c>
      <c r="C5200" s="24" t="s">
        <v>825</v>
      </c>
      <c r="D5200" s="35">
        <f>horm.ymez.!C8</f>
        <v>6653.49</v>
      </c>
      <c r="E5200" s="31">
        <f t="shared" si="413"/>
        <v>46.57</v>
      </c>
      <c r="F5200" s="32"/>
    </row>
    <row r="5201" spans="1:13" ht="12.75" customHeight="1">
      <c r="A5201" s="12" t="s">
        <v>183</v>
      </c>
      <c r="B5201" s="30">
        <v>0.77</v>
      </c>
      <c r="C5201" s="24" t="s">
        <v>211</v>
      </c>
      <c r="D5201" s="35">
        <f>Prec.!C203</f>
        <v>38</v>
      </c>
      <c r="E5201" s="31">
        <f t="shared" si="413"/>
        <v>29.26</v>
      </c>
      <c r="F5201" s="32"/>
    </row>
    <row r="5202" spans="1:13" ht="12.75" customHeight="1">
      <c r="A5202" s="12" t="s">
        <v>92</v>
      </c>
      <c r="B5202" s="30">
        <v>1</v>
      </c>
      <c r="C5202" s="24" t="s">
        <v>1171</v>
      </c>
      <c r="D5202" s="35">
        <f>Prec.!$D$502</f>
        <v>0</v>
      </c>
      <c r="E5202" s="31">
        <f t="shared" si="413"/>
        <v>0</v>
      </c>
      <c r="F5202" s="32"/>
    </row>
    <row r="5203" spans="1:13" ht="12.75" customHeight="1">
      <c r="A5203" s="12" t="s">
        <v>97</v>
      </c>
      <c r="B5203" s="30">
        <v>1</v>
      </c>
      <c r="C5203" s="24" t="s">
        <v>1171</v>
      </c>
      <c r="D5203" s="35">
        <f>Prec.!$D$503</f>
        <v>0</v>
      </c>
      <c r="E5203" s="31">
        <f t="shared" si="413"/>
        <v>0</v>
      </c>
      <c r="F5203" s="32"/>
    </row>
    <row r="5204" spans="1:13" ht="12.75" customHeight="1">
      <c r="A5204" s="12" t="s">
        <v>208</v>
      </c>
      <c r="B5204" s="14">
        <f>SUM(E5199:E5203)</f>
        <v>204.51999999999998</v>
      </c>
      <c r="C5204" s="24" t="s">
        <v>209</v>
      </c>
      <c r="D5204" s="35">
        <f>Prec.!C302</f>
        <v>1.4999999999999999E-2</v>
      </c>
      <c r="E5204" s="31">
        <f t="shared" si="413"/>
        <v>3.07</v>
      </c>
      <c r="F5204" s="32">
        <f>SUM(E5199:E5204)</f>
        <v>207.58999999999997</v>
      </c>
    </row>
    <row r="5205" spans="1:13" ht="12.75" customHeight="1">
      <c r="A5205" s="12"/>
      <c r="B5205" s="14"/>
      <c r="C5205" s="24"/>
      <c r="D5205" s="35"/>
      <c r="E5205" s="31"/>
      <c r="F5205" s="32"/>
    </row>
    <row r="5206" spans="1:13" s="166" customFormat="1" ht="12.75" customHeight="1">
      <c r="A5206" s="12"/>
      <c r="B5206" s="14"/>
      <c r="C5206" s="24"/>
      <c r="D5206" s="35"/>
      <c r="E5206" s="31"/>
      <c r="F5206" s="32"/>
      <c r="G5206" s="15"/>
      <c r="H5206" s="21"/>
      <c r="I5206" s="15"/>
      <c r="J5206" s="15"/>
      <c r="K5206" s="15"/>
      <c r="L5206" s="21"/>
      <c r="M5206" s="15"/>
    </row>
    <row r="5207" spans="1:13" s="166" customFormat="1" ht="12.75" customHeight="1">
      <c r="A5207" s="12"/>
      <c r="B5207" s="14"/>
      <c r="C5207" s="24"/>
      <c r="D5207" s="35"/>
      <c r="E5207" s="31"/>
      <c r="F5207" s="32"/>
      <c r="G5207" s="15"/>
      <c r="H5207" s="21"/>
      <c r="I5207" s="15"/>
      <c r="J5207" s="15"/>
      <c r="K5207" s="15"/>
      <c r="L5207" s="21"/>
      <c r="M5207" s="15"/>
    </row>
    <row r="5208" spans="1:13" ht="12.75" customHeight="1">
      <c r="A5208" s="13" t="s">
        <v>75</v>
      </c>
      <c r="B5208" s="42"/>
      <c r="C5208" s="29"/>
      <c r="D5208" s="35"/>
      <c r="E5208" s="43" t="s">
        <v>151</v>
      </c>
      <c r="F5208" s="44" t="s">
        <v>1171</v>
      </c>
    </row>
    <row r="5209" spans="1:13" ht="12.75" customHeight="1">
      <c r="A5209" s="12" t="s">
        <v>76</v>
      </c>
      <c r="B5209" s="30">
        <v>1</v>
      </c>
      <c r="C5209" s="24" t="s">
        <v>1171</v>
      </c>
      <c r="D5209" s="35">
        <f>Prec.!C137</f>
        <v>2898.57</v>
      </c>
      <c r="E5209" s="31">
        <f t="shared" ref="E5209:E5216" si="414">ROUND(B5209*D5209,2)</f>
        <v>2898.57</v>
      </c>
      <c r="F5209" s="32"/>
    </row>
    <row r="5210" spans="1:13" ht="12.75" customHeight="1">
      <c r="A5210" s="12" t="s">
        <v>421</v>
      </c>
      <c r="B5210" s="30">
        <v>2.5000000000000001E-2</v>
      </c>
      <c r="C5210" s="24" t="s">
        <v>825</v>
      </c>
      <c r="D5210" s="35">
        <f>D5199</f>
        <v>5147.68</v>
      </c>
      <c r="E5210" s="31">
        <f t="shared" si="414"/>
        <v>128.69</v>
      </c>
      <c r="F5210" s="32"/>
    </row>
    <row r="5211" spans="1:13" ht="12.75" customHeight="1">
      <c r="A5211" s="12" t="s">
        <v>663</v>
      </c>
      <c r="B5211" s="30">
        <v>1.49E-2</v>
      </c>
      <c r="C5211" s="24" t="s">
        <v>825</v>
      </c>
      <c r="D5211" s="35">
        <f>D5191</f>
        <v>5023.9699999999993</v>
      </c>
      <c r="E5211" s="31">
        <f t="shared" si="414"/>
        <v>74.86</v>
      </c>
      <c r="F5211" s="32"/>
    </row>
    <row r="5212" spans="1:13" ht="12.75" customHeight="1">
      <c r="A5212" s="12" t="s">
        <v>673</v>
      </c>
      <c r="B5212" s="30">
        <v>2.5000000000000001E-2</v>
      </c>
      <c r="C5212" s="24" t="s">
        <v>1172</v>
      </c>
      <c r="D5212" s="35">
        <f>Prec.!$C$8</f>
        <v>250</v>
      </c>
      <c r="E5212" s="31">
        <f t="shared" si="414"/>
        <v>6.25</v>
      </c>
      <c r="F5212" s="32"/>
    </row>
    <row r="5213" spans="1:13" ht="12.75" customHeight="1">
      <c r="A5213" s="12" t="s">
        <v>92</v>
      </c>
      <c r="B5213" s="30">
        <v>1</v>
      </c>
      <c r="C5213" s="24" t="s">
        <v>1171</v>
      </c>
      <c r="D5213" s="35">
        <f>Prec.!$D$502</f>
        <v>0</v>
      </c>
      <c r="E5213" s="31">
        <f t="shared" si="414"/>
        <v>0</v>
      </c>
      <c r="F5213" s="32"/>
    </row>
    <row r="5214" spans="1:13" ht="12.75" customHeight="1">
      <c r="A5214" s="12" t="s">
        <v>93</v>
      </c>
      <c r="B5214" s="30">
        <v>1</v>
      </c>
      <c r="C5214" s="24" t="s">
        <v>1171</v>
      </c>
      <c r="D5214" s="35">
        <f>Prec.!D511</f>
        <v>389.35</v>
      </c>
      <c r="E5214" s="31">
        <f t="shared" si="414"/>
        <v>389.35</v>
      </c>
      <c r="F5214" s="32"/>
    </row>
    <row r="5215" spans="1:13" ht="12.75" customHeight="1">
      <c r="A5215" s="12" t="s">
        <v>94</v>
      </c>
      <c r="B5215" s="30">
        <v>1</v>
      </c>
      <c r="C5215" s="24" t="s">
        <v>1171</v>
      </c>
      <c r="D5215" s="35">
        <f>Prec.!$D$513</f>
        <v>285</v>
      </c>
      <c r="E5215" s="31">
        <f t="shared" si="414"/>
        <v>285</v>
      </c>
      <c r="F5215" s="32"/>
    </row>
    <row r="5216" spans="1:13" ht="12.75" customHeight="1">
      <c r="A5216" s="12" t="s">
        <v>208</v>
      </c>
      <c r="B5216" s="14">
        <f>SUM(E5209:E5215)</f>
        <v>3782.7200000000003</v>
      </c>
      <c r="C5216" s="24" t="s">
        <v>209</v>
      </c>
      <c r="D5216" s="35">
        <f>Prec.!C302</f>
        <v>1.4999999999999999E-2</v>
      </c>
      <c r="E5216" s="31">
        <f t="shared" si="414"/>
        <v>56.74</v>
      </c>
      <c r="F5216" s="32">
        <f>SUM(E5209:E5216)</f>
        <v>3839.46</v>
      </c>
    </row>
    <row r="5217" spans="1:13" ht="4.5" customHeight="1">
      <c r="A5217" s="12"/>
      <c r="B5217" s="14"/>
      <c r="C5217" s="24"/>
      <c r="D5217" s="35"/>
      <c r="E5217" s="31"/>
      <c r="F5217" s="32"/>
    </row>
    <row r="5218" spans="1:13" ht="12.75" customHeight="1">
      <c r="A5218" s="13" t="s">
        <v>1215</v>
      </c>
      <c r="B5218" s="42"/>
      <c r="C5218" s="29"/>
      <c r="D5218" s="35"/>
      <c r="E5218" s="43" t="s">
        <v>151</v>
      </c>
      <c r="F5218" s="44" t="s">
        <v>1171</v>
      </c>
    </row>
    <row r="5219" spans="1:13" ht="12.75" customHeight="1">
      <c r="A5219" s="12" t="s">
        <v>98</v>
      </c>
      <c r="B5219" s="30">
        <v>6.51</v>
      </c>
      <c r="C5219" s="24" t="s">
        <v>1017</v>
      </c>
      <c r="D5219" s="35">
        <f>Prec.!C113</f>
        <v>32.14</v>
      </c>
      <c r="E5219" s="31">
        <f t="shared" ref="E5219:E5228" si="415">ROUND(B5219*D5219,2)</f>
        <v>209.23</v>
      </c>
      <c r="F5219" s="32"/>
    </row>
    <row r="5220" spans="1:13" ht="12.75" customHeight="1">
      <c r="A5220" s="12" t="s">
        <v>421</v>
      </c>
      <c r="B5220" s="30">
        <v>2.5000000000000001E-2</v>
      </c>
      <c r="C5220" s="24" t="s">
        <v>825</v>
      </c>
      <c r="D5220" s="35">
        <f>D5210</f>
        <v>5147.68</v>
      </c>
      <c r="E5220" s="31">
        <f t="shared" si="415"/>
        <v>128.69</v>
      </c>
      <c r="F5220" s="32"/>
    </row>
    <row r="5221" spans="1:13" ht="12.75" customHeight="1">
      <c r="A5221" s="12" t="s">
        <v>663</v>
      </c>
      <c r="B5221" s="30">
        <v>1.49E-2</v>
      </c>
      <c r="C5221" s="24" t="s">
        <v>825</v>
      </c>
      <c r="D5221" s="35">
        <f>D5211</f>
        <v>5023.9699999999993</v>
      </c>
      <c r="E5221" s="31">
        <f t="shared" si="415"/>
        <v>74.86</v>
      </c>
      <c r="F5221" s="32"/>
    </row>
    <row r="5222" spans="1:13" ht="12.75" customHeight="1">
      <c r="A5222" s="12" t="s">
        <v>1173</v>
      </c>
      <c r="B5222" s="30">
        <v>0.05</v>
      </c>
      <c r="C5222" s="24" t="s">
        <v>218</v>
      </c>
      <c r="D5222" s="35">
        <f>Prec.!$C$82</f>
        <v>75</v>
      </c>
      <c r="E5222" s="31">
        <f t="shared" si="415"/>
        <v>3.75</v>
      </c>
      <c r="F5222" s="32"/>
    </row>
    <row r="5223" spans="1:13" ht="12.75" customHeight="1">
      <c r="A5223" s="12" t="s">
        <v>673</v>
      </c>
      <c r="B5223" s="30">
        <v>2.5000000000000001E-2</v>
      </c>
      <c r="C5223" s="24" t="s">
        <v>1172</v>
      </c>
      <c r="D5223" s="35">
        <f>Prec.!$C$8</f>
        <v>250</v>
      </c>
      <c r="E5223" s="31">
        <f t="shared" si="415"/>
        <v>6.25</v>
      </c>
      <c r="F5223" s="32"/>
    </row>
    <row r="5224" spans="1:13" ht="12.75" customHeight="1">
      <c r="A5224" s="12" t="s">
        <v>92</v>
      </c>
      <c r="B5224" s="30">
        <v>1</v>
      </c>
      <c r="C5224" s="24" t="s">
        <v>1171</v>
      </c>
      <c r="D5224" s="35">
        <f>Prec.!$D$502</f>
        <v>0</v>
      </c>
      <c r="E5224" s="31">
        <f t="shared" si="415"/>
        <v>0</v>
      </c>
      <c r="F5224" s="32"/>
    </row>
    <row r="5225" spans="1:13" ht="12.75" customHeight="1">
      <c r="A5225" s="12" t="s">
        <v>99</v>
      </c>
      <c r="B5225" s="30">
        <v>1</v>
      </c>
      <c r="C5225" s="24" t="s">
        <v>1171</v>
      </c>
      <c r="D5225" s="35">
        <f>Prec.!D507</f>
        <v>0</v>
      </c>
      <c r="E5225" s="31">
        <f t="shared" si="415"/>
        <v>0</v>
      </c>
      <c r="F5225" s="32"/>
    </row>
    <row r="5226" spans="1:13" ht="12.75" customHeight="1">
      <c r="A5226" s="12" t="s">
        <v>1015</v>
      </c>
      <c r="B5226" s="30">
        <v>2</v>
      </c>
      <c r="C5226" s="24" t="s">
        <v>1017</v>
      </c>
      <c r="D5226" s="35">
        <f>Prec.!D490</f>
        <v>11.93</v>
      </c>
      <c r="E5226" s="31">
        <f t="shared" si="415"/>
        <v>23.86</v>
      </c>
      <c r="F5226" s="32"/>
    </row>
    <row r="5227" spans="1:13" ht="12.75" customHeight="1">
      <c r="A5227" s="12" t="s">
        <v>94</v>
      </c>
      <c r="B5227" s="30">
        <v>1</v>
      </c>
      <c r="C5227" s="24" t="s">
        <v>1171</v>
      </c>
      <c r="D5227" s="35">
        <f>Prec.!$D$513</f>
        <v>285</v>
      </c>
      <c r="E5227" s="31">
        <f t="shared" si="415"/>
        <v>285</v>
      </c>
      <c r="F5227" s="32"/>
    </row>
    <row r="5228" spans="1:13" ht="12.75" customHeight="1">
      <c r="A5228" s="12" t="s">
        <v>208</v>
      </c>
      <c r="B5228" s="14">
        <f>SUM(E5219:E5227)</f>
        <v>731.64</v>
      </c>
      <c r="C5228" s="24" t="s">
        <v>209</v>
      </c>
      <c r="D5228" s="35">
        <f>Prec.!C302</f>
        <v>1.4999999999999999E-2</v>
      </c>
      <c r="E5228" s="31">
        <f t="shared" si="415"/>
        <v>10.97</v>
      </c>
      <c r="F5228" s="32">
        <f>SUM(E5219:E5228)</f>
        <v>742.61</v>
      </c>
    </row>
    <row r="5229" spans="1:13" s="166" customFormat="1" ht="12.75" customHeight="1">
      <c r="A5229" s="12"/>
      <c r="B5229" s="14"/>
      <c r="C5229" s="24"/>
      <c r="D5229" s="35"/>
      <c r="E5229" s="31"/>
      <c r="F5229" s="32"/>
      <c r="G5229" s="15"/>
      <c r="H5229" s="21"/>
      <c r="I5229" s="15"/>
      <c r="J5229" s="15"/>
      <c r="K5229" s="15"/>
      <c r="L5229" s="21"/>
      <c r="M5229" s="15"/>
    </row>
    <row r="5230" spans="1:13" ht="12.75" customHeight="1">
      <c r="A5230" s="513" t="s">
        <v>1268</v>
      </c>
      <c r="B5230" s="516"/>
      <c r="C5230" s="511"/>
      <c r="D5230" s="507"/>
      <c r="E5230" s="514" t="s">
        <v>151</v>
      </c>
      <c r="F5230" s="515" t="s">
        <v>1017</v>
      </c>
    </row>
    <row r="5231" spans="1:13" ht="12.75" customHeight="1">
      <c r="A5231" s="512" t="s">
        <v>302</v>
      </c>
      <c r="B5231" s="510">
        <v>1.05</v>
      </c>
      <c r="C5231" s="511" t="s">
        <v>1017</v>
      </c>
      <c r="D5231" s="507">
        <f>Prec.!$C$146</f>
        <v>125.25</v>
      </c>
      <c r="E5231" s="508">
        <f>ROUND(B5231*D5231,2)</f>
        <v>131.51</v>
      </c>
      <c r="F5231" s="509"/>
    </row>
    <row r="5232" spans="1:13" ht="12.75" customHeight="1">
      <c r="A5232" s="512" t="s">
        <v>1174</v>
      </c>
      <c r="B5232" s="510">
        <v>1E-3</v>
      </c>
      <c r="C5232" s="511" t="s">
        <v>825</v>
      </c>
      <c r="D5232" s="507">
        <f>horm.ymez.!C9</f>
        <v>5667.56</v>
      </c>
      <c r="E5232" s="508">
        <f>ROUND(B5232*D5232,2)</f>
        <v>5.67</v>
      </c>
      <c r="F5232" s="509"/>
    </row>
    <row r="5233" spans="1:6" ht="12.75" customHeight="1">
      <c r="A5233" s="512" t="s">
        <v>304</v>
      </c>
      <c r="B5233" s="510">
        <v>2E-3</v>
      </c>
      <c r="C5233" s="511" t="s">
        <v>1172</v>
      </c>
      <c r="D5233" s="507">
        <f>Prec.!$C$7</f>
        <v>250</v>
      </c>
      <c r="E5233" s="508">
        <f>ROUND(B5233*D5233,2)</f>
        <v>0.5</v>
      </c>
      <c r="F5233" s="509"/>
    </row>
    <row r="5234" spans="1:6" ht="12.75" customHeight="1">
      <c r="A5234" s="512" t="s">
        <v>303</v>
      </c>
      <c r="B5234" s="510">
        <v>1</v>
      </c>
      <c r="C5234" s="511" t="s">
        <v>1017</v>
      </c>
      <c r="D5234" s="507">
        <f>Prec.!C515</f>
        <v>183.01</v>
      </c>
      <c r="E5234" s="508">
        <f>ROUND(B5234*D5234,2)</f>
        <v>183.01</v>
      </c>
      <c r="F5234" s="509"/>
    </row>
    <row r="5235" spans="1:6" ht="12.75" customHeight="1">
      <c r="A5235" s="512" t="s">
        <v>208</v>
      </c>
      <c r="B5235" s="516">
        <f>SUM(E5231:E5233)</f>
        <v>137.67999999999998</v>
      </c>
      <c r="C5235" s="511" t="s">
        <v>209</v>
      </c>
      <c r="D5235" s="507">
        <v>0.02</v>
      </c>
      <c r="E5235" s="508">
        <f>ROUND(B5235*D5235,2)</f>
        <v>2.75</v>
      </c>
      <c r="F5235" s="509">
        <f>SUM(E5231:E5235)</f>
        <v>323.43999999999994</v>
      </c>
    </row>
    <row r="5236" spans="1:6" ht="12.75" customHeight="1">
      <c r="A5236" s="12"/>
      <c r="B5236" s="14"/>
      <c r="C5236" s="24"/>
      <c r="D5236" s="35"/>
      <c r="E5236" s="31"/>
      <c r="F5236" s="32"/>
    </row>
    <row r="5237" spans="1:6" ht="12.75" customHeight="1">
      <c r="A5237" s="1530" t="s">
        <v>1269</v>
      </c>
      <c r="B5237" s="1541"/>
      <c r="C5237" s="1538"/>
      <c r="D5237" s="1533"/>
      <c r="E5237" s="1534" t="s">
        <v>151</v>
      </c>
      <c r="F5237" s="1535" t="s">
        <v>1017</v>
      </c>
    </row>
    <row r="5238" spans="1:6" ht="12.75" customHeight="1">
      <c r="A5238" s="1536" t="s">
        <v>961</v>
      </c>
      <c r="B5238" s="1537">
        <v>1.05</v>
      </c>
      <c r="C5238" s="1538" t="s">
        <v>1017</v>
      </c>
      <c r="D5238" s="1533">
        <f>Prec.!$C$147</f>
        <v>139.88</v>
      </c>
      <c r="E5238" s="1539">
        <f>ROUND(B5238*D5238,2)</f>
        <v>146.87</v>
      </c>
      <c r="F5238" s="1540"/>
    </row>
    <row r="5239" spans="1:6" ht="12.75" customHeight="1">
      <c r="A5239" s="1536" t="s">
        <v>1174</v>
      </c>
      <c r="B5239" s="1537">
        <v>1E-3</v>
      </c>
      <c r="C5239" s="1538" t="s">
        <v>825</v>
      </c>
      <c r="D5239" s="1533">
        <f>horm.ymez.!C9</f>
        <v>5667.56</v>
      </c>
      <c r="E5239" s="1539">
        <f>ROUND(B5239*D5239,2)</f>
        <v>5.67</v>
      </c>
      <c r="F5239" s="1540"/>
    </row>
    <row r="5240" spans="1:6" ht="12.75" customHeight="1">
      <c r="A5240" s="1536" t="s">
        <v>673</v>
      </c>
      <c r="B5240" s="1537">
        <v>2E-3</v>
      </c>
      <c r="C5240" s="1538" t="s">
        <v>1172</v>
      </c>
      <c r="D5240" s="1533">
        <f>Prec.!$C$8</f>
        <v>250</v>
      </c>
      <c r="E5240" s="1539">
        <f>ROUND(B5240*D5240,2)</f>
        <v>0.5</v>
      </c>
      <c r="F5240" s="1540"/>
    </row>
    <row r="5241" spans="1:6" ht="12.75" customHeight="1">
      <c r="A5241" s="1536" t="s">
        <v>303</v>
      </c>
      <c r="B5241" s="1537">
        <v>1</v>
      </c>
      <c r="C5241" s="1538" t="s">
        <v>1017</v>
      </c>
      <c r="D5241" s="1533">
        <f>D5234</f>
        <v>183.01</v>
      </c>
      <c r="E5241" s="1539">
        <f>ROUND(B5241*D5241,2)</f>
        <v>183.01</v>
      </c>
      <c r="F5241" s="1540"/>
    </row>
    <row r="5242" spans="1:6" ht="12.75" customHeight="1">
      <c r="A5242" s="1536" t="s">
        <v>208</v>
      </c>
      <c r="B5242" s="1541">
        <f>SUM(E5238:E5241)</f>
        <v>336.04999999999995</v>
      </c>
      <c r="C5242" s="1538" t="s">
        <v>209</v>
      </c>
      <c r="D5242" s="1533">
        <f>Prec.!C302</f>
        <v>1.4999999999999999E-2</v>
      </c>
      <c r="E5242" s="1539">
        <f>ROUND(B5242*D5242,2)</f>
        <v>5.04</v>
      </c>
      <c r="F5242" s="1540">
        <f>SUM(E5238:E5242)</f>
        <v>341.09</v>
      </c>
    </row>
    <row r="5243" spans="1:6" ht="6.75" customHeight="1">
      <c r="A5243" s="12"/>
      <c r="B5243" s="14"/>
      <c r="C5243" s="24"/>
      <c r="D5243" s="35"/>
      <c r="E5243" s="31"/>
      <c r="F5243" s="32"/>
    </row>
    <row r="5244" spans="1:6" ht="12.75" customHeight="1">
      <c r="A5244" s="13" t="s">
        <v>724</v>
      </c>
      <c r="B5244" s="14"/>
      <c r="C5244" s="24"/>
      <c r="D5244" s="35"/>
      <c r="E5244" s="43" t="s">
        <v>151</v>
      </c>
      <c r="F5244" s="44" t="s">
        <v>1017</v>
      </c>
    </row>
    <row r="5245" spans="1:6" ht="12.75" customHeight="1">
      <c r="A5245" s="12" t="s">
        <v>774</v>
      </c>
      <c r="B5245" s="30">
        <v>1.05</v>
      </c>
      <c r="C5245" s="24" t="s">
        <v>1017</v>
      </c>
      <c r="D5245" s="35">
        <f>Prec.!C138</f>
        <v>568.4</v>
      </c>
      <c r="E5245" s="31">
        <f t="shared" ref="E5245:E5250" si="416">ROUND(B5245*D5245,2)</f>
        <v>596.82000000000005</v>
      </c>
      <c r="F5245" s="32"/>
    </row>
    <row r="5246" spans="1:6" ht="12.75" customHeight="1">
      <c r="A5246" s="12" t="s">
        <v>1174</v>
      </c>
      <c r="B5246" s="30">
        <v>1E-3</v>
      </c>
      <c r="C5246" s="24" t="s">
        <v>825</v>
      </c>
      <c r="D5246" s="35">
        <f>D5239</f>
        <v>5667.56</v>
      </c>
      <c r="E5246" s="31">
        <f t="shared" si="416"/>
        <v>5.67</v>
      </c>
      <c r="F5246" s="32"/>
    </row>
    <row r="5247" spans="1:6" ht="12.75" customHeight="1">
      <c r="A5247" s="12" t="s">
        <v>673</v>
      </c>
      <c r="B5247" s="30">
        <v>2E-3</v>
      </c>
      <c r="C5247" s="24" t="s">
        <v>1172</v>
      </c>
      <c r="D5247" s="35">
        <f>Prec.!$C$8</f>
        <v>250</v>
      </c>
      <c r="E5247" s="31">
        <f t="shared" si="416"/>
        <v>0.5</v>
      </c>
      <c r="F5247" s="32"/>
    </row>
    <row r="5248" spans="1:6" ht="12.75" customHeight="1">
      <c r="A5248" s="12" t="s">
        <v>1015</v>
      </c>
      <c r="B5248" s="30">
        <v>1</v>
      </c>
      <c r="C5248" s="24" t="s">
        <v>1017</v>
      </c>
      <c r="D5248" s="35">
        <f>Prec.!D491</f>
        <v>11.93</v>
      </c>
      <c r="E5248" s="31">
        <f t="shared" si="416"/>
        <v>11.93</v>
      </c>
      <c r="F5248" s="32"/>
    </row>
    <row r="5249" spans="1:6" ht="12.75" customHeight="1">
      <c r="A5249" s="12" t="s">
        <v>303</v>
      </c>
      <c r="B5249" s="30">
        <v>1</v>
      </c>
      <c r="C5249" s="24" t="s">
        <v>1017</v>
      </c>
      <c r="D5249" s="35">
        <f>Prec.!D515</f>
        <v>0</v>
      </c>
      <c r="E5249" s="31">
        <f t="shared" si="416"/>
        <v>0</v>
      </c>
      <c r="F5249" s="32"/>
    </row>
    <row r="5250" spans="1:6" ht="12.75" customHeight="1">
      <c r="A5250" s="12" t="s">
        <v>208</v>
      </c>
      <c r="B5250" s="14">
        <f>SUM(E5245:E5249)</f>
        <v>614.91999999999996</v>
      </c>
      <c r="C5250" s="24" t="s">
        <v>209</v>
      </c>
      <c r="D5250" s="35">
        <f>Prec.!C302</f>
        <v>1.4999999999999999E-2</v>
      </c>
      <c r="E5250" s="31">
        <f t="shared" si="416"/>
        <v>9.2200000000000006</v>
      </c>
      <c r="F5250" s="32">
        <f>SUM(E5245:E5250)</f>
        <v>624.14</v>
      </c>
    </row>
    <row r="5251" spans="1:6" ht="5.25" customHeight="1">
      <c r="A5251" s="12"/>
      <c r="B5251" s="14"/>
      <c r="C5251" s="24"/>
      <c r="D5251" s="35"/>
      <c r="E5251" s="31"/>
      <c r="F5251" s="32"/>
    </row>
    <row r="5252" spans="1:6" ht="12.75" customHeight="1">
      <c r="A5252" s="13" t="s">
        <v>305</v>
      </c>
      <c r="B5252" s="42"/>
      <c r="C5252" s="29"/>
      <c r="D5252" s="35"/>
      <c r="E5252" s="43" t="s">
        <v>151</v>
      </c>
      <c r="F5252" s="44" t="s">
        <v>1017</v>
      </c>
    </row>
    <row r="5253" spans="1:6" ht="12.75" customHeight="1">
      <c r="A5253" s="12" t="s">
        <v>818</v>
      </c>
      <c r="B5253" s="30">
        <v>0.25</v>
      </c>
      <c r="C5253" s="24" t="s">
        <v>1017</v>
      </c>
      <c r="D5253" s="35">
        <f>Prec.!C113</f>
        <v>32.14</v>
      </c>
      <c r="E5253" s="31">
        <f t="shared" ref="E5253:E5259" si="417">ROUND(B5253*D5253,2)</f>
        <v>8.0399999999999991</v>
      </c>
      <c r="F5253" s="32"/>
    </row>
    <row r="5254" spans="1:6" ht="12.75" customHeight="1">
      <c r="A5254" s="12" t="s">
        <v>673</v>
      </c>
      <c r="B5254" s="30">
        <v>2E-3</v>
      </c>
      <c r="C5254" s="24" t="s">
        <v>1172</v>
      </c>
      <c r="D5254" s="35">
        <f>Prec.!$C$8</f>
        <v>250</v>
      </c>
      <c r="E5254" s="31">
        <f t="shared" si="417"/>
        <v>0.5</v>
      </c>
      <c r="F5254" s="32"/>
    </row>
    <row r="5255" spans="1:6" ht="12.75" customHeight="1">
      <c r="A5255" s="12" t="s">
        <v>1173</v>
      </c>
      <c r="B5255" s="30">
        <v>5.0000000000000001E-3</v>
      </c>
      <c r="C5255" s="24" t="s">
        <v>1018</v>
      </c>
      <c r="D5255" s="35">
        <f>Prec.!$C$82</f>
        <v>75</v>
      </c>
      <c r="E5255" s="31">
        <f t="shared" si="417"/>
        <v>0.38</v>
      </c>
      <c r="F5255" s="32"/>
    </row>
    <row r="5256" spans="1:6" ht="12.75" customHeight="1">
      <c r="A5256" s="12" t="s">
        <v>1174</v>
      </c>
      <c r="B5256" s="30">
        <v>1E-3</v>
      </c>
      <c r="C5256" s="24" t="s">
        <v>825</v>
      </c>
      <c r="D5256" s="35">
        <f>$F$53</f>
        <v>5667.56</v>
      </c>
      <c r="E5256" s="31">
        <f t="shared" si="417"/>
        <v>5.67</v>
      </c>
      <c r="F5256" s="32"/>
    </row>
    <row r="5257" spans="1:6" ht="12.75" customHeight="1">
      <c r="A5257" s="12" t="s">
        <v>1015</v>
      </c>
      <c r="B5257" s="30">
        <v>1</v>
      </c>
      <c r="C5257" s="24" t="s">
        <v>1017</v>
      </c>
      <c r="D5257" s="35">
        <f>Prec.!D490</f>
        <v>11.93</v>
      </c>
      <c r="E5257" s="31">
        <f t="shared" si="417"/>
        <v>11.93</v>
      </c>
      <c r="F5257" s="32"/>
    </row>
    <row r="5258" spans="1:6" ht="12.75" customHeight="1">
      <c r="A5258" s="12" t="s">
        <v>674</v>
      </c>
      <c r="B5258" s="30">
        <v>1</v>
      </c>
      <c r="C5258" s="24" t="s">
        <v>1017</v>
      </c>
      <c r="D5258" s="35">
        <f>Prec.!D514</f>
        <v>0</v>
      </c>
      <c r="E5258" s="31">
        <f t="shared" si="417"/>
        <v>0</v>
      </c>
      <c r="F5258" s="32"/>
    </row>
    <row r="5259" spans="1:6" ht="12.75" customHeight="1">
      <c r="A5259" s="12" t="s">
        <v>208</v>
      </c>
      <c r="B5259" s="14">
        <f>SUM(E5253:E5258)</f>
        <v>26.52</v>
      </c>
      <c r="C5259" s="24" t="s">
        <v>209</v>
      </c>
      <c r="D5259" s="35">
        <f>Prec.!C302</f>
        <v>1.4999999999999999E-2</v>
      </c>
      <c r="E5259" s="31">
        <f t="shared" si="417"/>
        <v>0.4</v>
      </c>
      <c r="F5259" s="32">
        <f>SUM(E5253:E5259)</f>
        <v>26.919999999999998</v>
      </c>
    </row>
    <row r="5260" spans="1:6" ht="12.75" customHeight="1">
      <c r="A5260" s="23" t="s">
        <v>989</v>
      </c>
      <c r="B5260" s="7"/>
    </row>
    <row r="5261" spans="1:6" ht="12.75" customHeight="1">
      <c r="A5261" s="2"/>
      <c r="B5261" s="7"/>
    </row>
    <row r="5262" spans="1:6" ht="12.75" customHeight="1">
      <c r="A5262" s="1530" t="s">
        <v>270</v>
      </c>
      <c r="B5262" s="1531"/>
      <c r="C5262" s="1532"/>
      <c r="D5262" s="1533"/>
      <c r="E5262" s="1534" t="s">
        <v>151</v>
      </c>
      <c r="F5262" s="1535" t="s">
        <v>1171</v>
      </c>
    </row>
    <row r="5263" spans="1:6" ht="12.75" customHeight="1">
      <c r="A5263" s="1536" t="s">
        <v>564</v>
      </c>
      <c r="B5263" s="1537">
        <v>1</v>
      </c>
      <c r="C5263" s="1538" t="s">
        <v>1171</v>
      </c>
      <c r="D5263" s="1533">
        <f>Prec.!$C$145</f>
        <v>1935.25</v>
      </c>
      <c r="E5263" s="1539">
        <f t="shared" ref="E5263:E5272" si="418">ROUND(B5263*D5263,2)</f>
        <v>1935.25</v>
      </c>
      <c r="F5263" s="1540"/>
    </row>
    <row r="5264" spans="1:6" ht="12.75" customHeight="1">
      <c r="A5264" s="1536" t="s">
        <v>421</v>
      </c>
      <c r="B5264" s="1537">
        <v>2.5000000000000001E-2</v>
      </c>
      <c r="C5264" s="1538" t="s">
        <v>825</v>
      </c>
      <c r="D5264" s="1533">
        <f>horm.ymez.!D14</f>
        <v>5373.880000000001</v>
      </c>
      <c r="E5264" s="1539">
        <f t="shared" si="418"/>
        <v>134.35</v>
      </c>
      <c r="F5264" s="1540"/>
    </row>
    <row r="5265" spans="1:6" ht="12.75" customHeight="1">
      <c r="A5265" s="1536" t="s">
        <v>663</v>
      </c>
      <c r="B5265" s="1537">
        <v>1.49E-2</v>
      </c>
      <c r="C5265" s="1538" t="s">
        <v>825</v>
      </c>
      <c r="D5265" s="1533">
        <f>D5181</f>
        <v>5023.9699999999993</v>
      </c>
      <c r="E5265" s="1539">
        <f t="shared" si="418"/>
        <v>74.86</v>
      </c>
      <c r="F5265" s="1540"/>
    </row>
    <row r="5266" spans="1:6" ht="12.75" customHeight="1">
      <c r="A5266" s="1536" t="s">
        <v>673</v>
      </c>
      <c r="B5266" s="1537">
        <v>2.5000000000000001E-2</v>
      </c>
      <c r="C5266" s="1538" t="s">
        <v>1172</v>
      </c>
      <c r="D5266" s="1533">
        <f>Prec.!$C$8</f>
        <v>250</v>
      </c>
      <c r="E5266" s="1539">
        <f t="shared" si="418"/>
        <v>6.25</v>
      </c>
      <c r="F5266" s="1540"/>
    </row>
    <row r="5267" spans="1:6" ht="12.75" customHeight="1">
      <c r="A5267" s="1536" t="s">
        <v>92</v>
      </c>
      <c r="B5267" s="1537">
        <v>1</v>
      </c>
      <c r="C5267" s="1538" t="s">
        <v>1171</v>
      </c>
      <c r="D5267" s="1533">
        <f>D5183</f>
        <v>256.64999999999998</v>
      </c>
      <c r="E5267" s="1539">
        <f t="shared" si="418"/>
        <v>256.64999999999998</v>
      </c>
      <c r="F5267" s="1540"/>
    </row>
    <row r="5268" spans="1:6" ht="12.75" customHeight="1">
      <c r="A5268" s="1536" t="s">
        <v>93</v>
      </c>
      <c r="B5268" s="1537">
        <v>1</v>
      </c>
      <c r="C5268" s="1538" t="s">
        <v>1171</v>
      </c>
      <c r="D5268" s="1533">
        <f>D5184</f>
        <v>297.32</v>
      </c>
      <c r="E5268" s="1539">
        <f t="shared" si="418"/>
        <v>297.32</v>
      </c>
      <c r="F5268" s="1540"/>
    </row>
    <row r="5269" spans="1:6" ht="12.75" customHeight="1">
      <c r="A5269" s="1536" t="s">
        <v>94</v>
      </c>
      <c r="B5269" s="1537">
        <v>1</v>
      </c>
      <c r="C5269" s="1538" t="s">
        <v>1171</v>
      </c>
      <c r="D5269" s="1533">
        <f>D5185</f>
        <v>327.75</v>
      </c>
      <c r="E5269" s="1539">
        <f t="shared" si="418"/>
        <v>327.75</v>
      </c>
      <c r="F5269" s="1540"/>
    </row>
    <row r="5270" spans="1:6" ht="12.75" customHeight="1">
      <c r="A5270" s="1536" t="s">
        <v>805</v>
      </c>
      <c r="B5270" s="1537">
        <v>1</v>
      </c>
      <c r="C5270" s="1538" t="s">
        <v>1171</v>
      </c>
      <c r="D5270" s="1533">
        <f>Prec.!$D$568</f>
        <v>11.78</v>
      </c>
      <c r="E5270" s="1539">
        <f t="shared" si="418"/>
        <v>11.78</v>
      </c>
      <c r="F5270" s="1540"/>
    </row>
    <row r="5271" spans="1:6" ht="12.75" customHeight="1">
      <c r="A5271" s="1536" t="s">
        <v>806</v>
      </c>
      <c r="B5271" s="1537">
        <v>2.5000000000000001E-2</v>
      </c>
      <c r="C5271" s="1538" t="s">
        <v>1172</v>
      </c>
      <c r="D5271" s="1533">
        <f>Prec.!$D$562</f>
        <v>7.57</v>
      </c>
      <c r="E5271" s="1539">
        <f>ROUND(B5271*D5271,2)</f>
        <v>0.19</v>
      </c>
      <c r="F5271" s="1540"/>
    </row>
    <row r="5272" spans="1:6" ht="12.75" customHeight="1">
      <c r="A5272" s="1536" t="s">
        <v>208</v>
      </c>
      <c r="B5272" s="1541">
        <f>SUM(E5263:E5269)</f>
        <v>3032.4300000000003</v>
      </c>
      <c r="C5272" s="1538" t="s">
        <v>209</v>
      </c>
      <c r="D5272" s="1533">
        <f>Prec.!C302</f>
        <v>1.4999999999999999E-2</v>
      </c>
      <c r="E5272" s="1539">
        <f t="shared" si="418"/>
        <v>45.49</v>
      </c>
      <c r="F5272" s="1540">
        <f>SUM(E5263:E5272)</f>
        <v>3089.8900000000003</v>
      </c>
    </row>
    <row r="5273" spans="1:6" ht="12.75" customHeight="1">
      <c r="B5273" s="7"/>
    </row>
    <row r="5274" spans="1:6" ht="12.75" customHeight="1">
      <c r="A5274" s="13" t="s">
        <v>61</v>
      </c>
      <c r="B5274" s="42"/>
      <c r="C5274" s="29"/>
      <c r="D5274" s="35"/>
      <c r="E5274" s="43" t="s">
        <v>151</v>
      </c>
      <c r="F5274" s="44" t="s">
        <v>1171</v>
      </c>
    </row>
    <row r="5275" spans="1:6" ht="12.75" customHeight="1">
      <c r="A5275" s="12" t="s">
        <v>95</v>
      </c>
      <c r="B5275" s="30">
        <v>1</v>
      </c>
      <c r="C5275" s="24" t="s">
        <v>1171</v>
      </c>
      <c r="D5275" s="35">
        <f>Prec.!$C$144</f>
        <v>1710.15</v>
      </c>
      <c r="E5275" s="31">
        <f t="shared" ref="E5275:E5284" si="419">ROUND(B5275*D5275,2)</f>
        <v>1710.15</v>
      </c>
      <c r="F5275" s="32"/>
    </row>
    <row r="5276" spans="1:6" ht="12.75" customHeight="1">
      <c r="A5276" s="12" t="s">
        <v>421</v>
      </c>
      <c r="B5276" s="30">
        <v>2.5000000000000001E-2</v>
      </c>
      <c r="C5276" s="24" t="s">
        <v>825</v>
      </c>
      <c r="D5276" s="35">
        <f>D5264</f>
        <v>5373.880000000001</v>
      </c>
      <c r="E5276" s="31">
        <f t="shared" si="419"/>
        <v>134.35</v>
      </c>
      <c r="F5276" s="32"/>
    </row>
    <row r="5277" spans="1:6" ht="12.75" customHeight="1">
      <c r="A5277" s="12" t="s">
        <v>663</v>
      </c>
      <c r="B5277" s="30">
        <v>1.49E-2</v>
      </c>
      <c r="C5277" s="24" t="s">
        <v>825</v>
      </c>
      <c r="D5277" s="35">
        <f>D5265</f>
        <v>5023.9699999999993</v>
      </c>
      <c r="E5277" s="31">
        <f t="shared" si="419"/>
        <v>74.86</v>
      </c>
      <c r="F5277" s="32"/>
    </row>
    <row r="5278" spans="1:6" ht="12.75" customHeight="1">
      <c r="A5278" s="12" t="s">
        <v>622</v>
      </c>
      <c r="B5278" s="30">
        <v>2.5000000000000001E-2</v>
      </c>
      <c r="C5278" s="24" t="s">
        <v>1172</v>
      </c>
      <c r="D5278" s="35">
        <f>Prec.!$C$7</f>
        <v>250</v>
      </c>
      <c r="E5278" s="31">
        <f t="shared" si="419"/>
        <v>6.25</v>
      </c>
      <c r="F5278" s="32"/>
    </row>
    <row r="5279" spans="1:6" ht="12.75" customHeight="1">
      <c r="A5279" s="12" t="s">
        <v>92</v>
      </c>
      <c r="B5279" s="30">
        <v>1</v>
      </c>
      <c r="C5279" s="24" t="s">
        <v>1171</v>
      </c>
      <c r="D5279" s="35">
        <f>Prec.!$D$502</f>
        <v>0</v>
      </c>
      <c r="E5279" s="31">
        <f t="shared" si="419"/>
        <v>0</v>
      </c>
      <c r="F5279" s="32"/>
    </row>
    <row r="5280" spans="1:6" ht="12.75" customHeight="1">
      <c r="A5280" s="12" t="s">
        <v>93</v>
      </c>
      <c r="B5280" s="30">
        <v>1</v>
      </c>
      <c r="C5280" s="24" t="s">
        <v>1171</v>
      </c>
      <c r="D5280" s="35">
        <f>Prec.!$D$504</f>
        <v>0</v>
      </c>
      <c r="E5280" s="31">
        <f t="shared" si="419"/>
        <v>0</v>
      </c>
      <c r="F5280" s="32"/>
    </row>
    <row r="5281" spans="1:6" ht="12.75" customHeight="1">
      <c r="A5281" s="12" t="s">
        <v>94</v>
      </c>
      <c r="B5281" s="30">
        <v>1</v>
      </c>
      <c r="C5281" s="24" t="s">
        <v>1171</v>
      </c>
      <c r="D5281" s="35">
        <f>Prec.!$D$513</f>
        <v>285</v>
      </c>
      <c r="E5281" s="31">
        <f t="shared" si="419"/>
        <v>285</v>
      </c>
      <c r="F5281" s="32"/>
    </row>
    <row r="5282" spans="1:6" ht="12.75" customHeight="1">
      <c r="A5282" s="12" t="s">
        <v>805</v>
      </c>
      <c r="B5282" s="30">
        <v>1</v>
      </c>
      <c r="C5282" s="24" t="s">
        <v>1171</v>
      </c>
      <c r="D5282" s="35">
        <f>Prec.!$D$568</f>
        <v>11.78</v>
      </c>
      <c r="E5282" s="31">
        <f t="shared" si="419"/>
        <v>11.78</v>
      </c>
      <c r="F5282" s="32"/>
    </row>
    <row r="5283" spans="1:6" ht="12.75" customHeight="1">
      <c r="A5283" s="12" t="s">
        <v>806</v>
      </c>
      <c r="B5283" s="30">
        <v>2.5000000000000001E-2</v>
      </c>
      <c r="C5283" s="24" t="s">
        <v>1172</v>
      </c>
      <c r="D5283" s="35">
        <f>Prec.!$D$562</f>
        <v>7.57</v>
      </c>
      <c r="E5283" s="31">
        <f t="shared" si="419"/>
        <v>0.19</v>
      </c>
      <c r="F5283" s="32"/>
    </row>
    <row r="5284" spans="1:6" ht="12.75" customHeight="1">
      <c r="A5284" s="12" t="s">
        <v>208</v>
      </c>
      <c r="B5284" s="14">
        <f>SUM(E5275:E5283)</f>
        <v>2222.58</v>
      </c>
      <c r="C5284" s="24" t="s">
        <v>209</v>
      </c>
      <c r="D5284" s="35">
        <v>0.02</v>
      </c>
      <c r="E5284" s="31">
        <f t="shared" si="419"/>
        <v>44.45</v>
      </c>
      <c r="F5284" s="32">
        <f>SUM(E5275:E5284)</f>
        <v>2267.0299999999997</v>
      </c>
    </row>
    <row r="5285" spans="1:6" ht="12.75" customHeight="1">
      <c r="A5285" s="12"/>
      <c r="B5285" s="14"/>
      <c r="C5285" s="24"/>
      <c r="D5285" s="35"/>
      <c r="E5285" s="31"/>
      <c r="F5285" s="32"/>
    </row>
    <row r="5286" spans="1:6" ht="12.75" customHeight="1">
      <c r="A5286" s="13" t="s">
        <v>62</v>
      </c>
      <c r="B5286" s="11"/>
      <c r="C5286" s="2"/>
      <c r="E5286" s="27" t="s">
        <v>151</v>
      </c>
      <c r="F5286" s="28" t="s">
        <v>1171</v>
      </c>
    </row>
    <row r="5287" spans="1:6" ht="12.75" customHeight="1">
      <c r="A5287" s="4" t="s">
        <v>421</v>
      </c>
      <c r="B5287" s="8">
        <v>2.5000000000000001E-2</v>
      </c>
      <c r="C5287" s="6" t="s">
        <v>825</v>
      </c>
      <c r="D5287" s="37">
        <f>D5276</f>
        <v>5373.880000000001</v>
      </c>
      <c r="E5287" s="25">
        <f t="shared" ref="E5287:E5292" si="420">ROUND(B5287*D5287,2)</f>
        <v>134.35</v>
      </c>
    </row>
    <row r="5288" spans="1:6" ht="12.75" customHeight="1">
      <c r="A5288" s="4" t="s">
        <v>427</v>
      </c>
      <c r="B5288" s="8">
        <v>7.0000000000000001E-3</v>
      </c>
      <c r="C5288" s="6" t="s">
        <v>825</v>
      </c>
      <c r="D5288" s="37">
        <f>horm.ymez.!D8</f>
        <v>6851.01</v>
      </c>
      <c r="E5288" s="25">
        <f t="shared" si="420"/>
        <v>47.96</v>
      </c>
    </row>
    <row r="5289" spans="1:6" ht="12.75" customHeight="1">
      <c r="A5289" s="4" t="s">
        <v>183</v>
      </c>
      <c r="B5289" s="8">
        <v>0.77</v>
      </c>
      <c r="C5289" s="6" t="s">
        <v>211</v>
      </c>
      <c r="D5289" s="37">
        <f>D5201</f>
        <v>38</v>
      </c>
      <c r="E5289" s="25">
        <f t="shared" si="420"/>
        <v>29.26</v>
      </c>
    </row>
    <row r="5290" spans="1:6" ht="12.75" customHeight="1">
      <c r="A5290" s="4" t="s">
        <v>92</v>
      </c>
      <c r="B5290" s="8">
        <v>1</v>
      </c>
      <c r="C5290" s="6" t="s">
        <v>1171</v>
      </c>
      <c r="D5290" s="37">
        <f>Prec.!$D$502</f>
        <v>0</v>
      </c>
      <c r="E5290" s="25">
        <f t="shared" si="420"/>
        <v>0</v>
      </c>
    </row>
    <row r="5291" spans="1:6" ht="12.75" customHeight="1">
      <c r="A5291" s="4" t="s">
        <v>97</v>
      </c>
      <c r="B5291" s="8">
        <v>1</v>
      </c>
      <c r="C5291" s="6" t="s">
        <v>1171</v>
      </c>
      <c r="D5291" s="37">
        <f>Prec.!$D$503</f>
        <v>0</v>
      </c>
      <c r="E5291" s="25">
        <f t="shared" si="420"/>
        <v>0</v>
      </c>
    </row>
    <row r="5292" spans="1:6" ht="12.75" customHeight="1">
      <c r="A5292" s="4" t="s">
        <v>208</v>
      </c>
      <c r="B5292" s="7">
        <f>SUM(E5287:E5291)</f>
        <v>211.57</v>
      </c>
      <c r="C5292" s="6" t="s">
        <v>209</v>
      </c>
      <c r="D5292" s="37">
        <f>Prec.!C302</f>
        <v>1.4999999999999999E-2</v>
      </c>
      <c r="E5292" s="25">
        <f t="shared" si="420"/>
        <v>3.17</v>
      </c>
      <c r="F5292" s="26">
        <f>SUM(E5287:E5292)</f>
        <v>214.73999999999998</v>
      </c>
    </row>
    <row r="5293" spans="1:6" ht="12.75" customHeight="1">
      <c r="B5293" s="7"/>
    </row>
    <row r="5294" spans="1:6" ht="12.75" customHeight="1">
      <c r="A5294" s="13" t="s">
        <v>1206</v>
      </c>
      <c r="B5294" s="11"/>
      <c r="C5294" s="2"/>
      <c r="E5294" s="27" t="s">
        <v>151</v>
      </c>
      <c r="F5294" s="28" t="s">
        <v>1171</v>
      </c>
    </row>
    <row r="5295" spans="1:6" ht="12.75" customHeight="1">
      <c r="A5295" s="4" t="s">
        <v>76</v>
      </c>
      <c r="B5295" s="8">
        <v>1</v>
      </c>
      <c r="C5295" s="6" t="s">
        <v>1171</v>
      </c>
      <c r="D5295" s="37">
        <f>Prec.!C137</f>
        <v>2898.57</v>
      </c>
      <c r="E5295" s="25">
        <f t="shared" ref="E5295:E5304" si="421">ROUND(B5295*D5295,2)</f>
        <v>2898.57</v>
      </c>
    </row>
    <row r="5296" spans="1:6" ht="12.75" customHeight="1">
      <c r="A5296" s="4" t="s">
        <v>421</v>
      </c>
      <c r="B5296" s="8">
        <v>2.5000000000000001E-2</v>
      </c>
      <c r="C5296" s="6" t="s">
        <v>825</v>
      </c>
      <c r="D5296" s="37">
        <f>D5287</f>
        <v>5373.880000000001</v>
      </c>
      <c r="E5296" s="25">
        <f t="shared" si="421"/>
        <v>134.35</v>
      </c>
    </row>
    <row r="5297" spans="1:13" ht="12.75" customHeight="1">
      <c r="A5297" s="4" t="s">
        <v>663</v>
      </c>
      <c r="B5297" s="8">
        <v>1.49E-2</v>
      </c>
      <c r="C5297" s="6" t="s">
        <v>825</v>
      </c>
      <c r="D5297" s="37">
        <f>D5277</f>
        <v>5023.9699999999993</v>
      </c>
      <c r="E5297" s="25">
        <f t="shared" si="421"/>
        <v>74.86</v>
      </c>
    </row>
    <row r="5298" spans="1:13" ht="12.75" customHeight="1">
      <c r="A5298" s="4" t="s">
        <v>622</v>
      </c>
      <c r="B5298" s="8">
        <v>2.5000000000000001E-2</v>
      </c>
      <c r="C5298" s="6" t="s">
        <v>1172</v>
      </c>
      <c r="D5298" s="37">
        <f>Prec.!$C$8</f>
        <v>250</v>
      </c>
      <c r="E5298" s="25">
        <f t="shared" si="421"/>
        <v>6.25</v>
      </c>
    </row>
    <row r="5299" spans="1:13" ht="12.75" customHeight="1">
      <c r="A5299" s="4" t="s">
        <v>92</v>
      </c>
      <c r="B5299" s="8">
        <v>1</v>
      </c>
      <c r="C5299" s="6" t="s">
        <v>1171</v>
      </c>
      <c r="D5299" s="37">
        <f>Prec.!$D$502</f>
        <v>0</v>
      </c>
      <c r="E5299" s="25">
        <f t="shared" si="421"/>
        <v>0</v>
      </c>
    </row>
    <row r="5300" spans="1:13" ht="12.75" customHeight="1">
      <c r="A5300" s="4" t="s">
        <v>93</v>
      </c>
      <c r="B5300" s="8">
        <v>1</v>
      </c>
      <c r="C5300" s="6" t="s">
        <v>1171</v>
      </c>
      <c r="D5300" s="37">
        <f>Prec.!D511</f>
        <v>389.35</v>
      </c>
      <c r="E5300" s="25">
        <f t="shared" si="421"/>
        <v>389.35</v>
      </c>
    </row>
    <row r="5301" spans="1:13" ht="12.75" customHeight="1">
      <c r="A5301" s="4" t="s">
        <v>94</v>
      </c>
      <c r="B5301" s="8">
        <v>1</v>
      </c>
      <c r="C5301" s="6" t="s">
        <v>1171</v>
      </c>
      <c r="D5301" s="37">
        <f>Prec.!$D$513</f>
        <v>285</v>
      </c>
      <c r="E5301" s="25">
        <f t="shared" si="421"/>
        <v>285</v>
      </c>
    </row>
    <row r="5302" spans="1:13" ht="12.75" customHeight="1">
      <c r="A5302" s="4" t="s">
        <v>805</v>
      </c>
      <c r="B5302" s="8">
        <v>1</v>
      </c>
      <c r="C5302" s="6" t="s">
        <v>1171</v>
      </c>
      <c r="D5302" s="37">
        <f>Prec.!$D$568</f>
        <v>11.78</v>
      </c>
      <c r="E5302" s="25">
        <f t="shared" si="421"/>
        <v>11.78</v>
      </c>
    </row>
    <row r="5303" spans="1:13" ht="12.75" customHeight="1">
      <c r="A5303" s="4" t="s">
        <v>806</v>
      </c>
      <c r="B5303" s="8">
        <v>2.5000000000000001E-2</v>
      </c>
      <c r="C5303" s="6" t="s">
        <v>1172</v>
      </c>
      <c r="D5303" s="37">
        <f>Prec.!$D$562</f>
        <v>7.57</v>
      </c>
      <c r="E5303" s="25">
        <f t="shared" si="421"/>
        <v>0.19</v>
      </c>
    </row>
    <row r="5304" spans="1:13" ht="12.75" customHeight="1">
      <c r="A5304" s="4" t="s">
        <v>208</v>
      </c>
      <c r="B5304" s="7">
        <f>SUM(E5295:E5303)</f>
        <v>3800.3500000000004</v>
      </c>
      <c r="C5304" s="6" t="s">
        <v>209</v>
      </c>
      <c r="D5304" s="37">
        <f>Prec.!C302</f>
        <v>1.4999999999999999E-2</v>
      </c>
      <c r="E5304" s="25">
        <f t="shared" si="421"/>
        <v>57.01</v>
      </c>
      <c r="F5304" s="26">
        <f>SUM(E5295:E5304)</f>
        <v>3857.3600000000006</v>
      </c>
    </row>
    <row r="5305" spans="1:13" ht="12.75" customHeight="1">
      <c r="B5305" s="7"/>
    </row>
    <row r="5306" spans="1:13" s="166" customFormat="1" ht="12.75" customHeight="1">
      <c r="B5306" s="7"/>
      <c r="C5306" s="165"/>
      <c r="D5306" s="37"/>
      <c r="E5306" s="25"/>
      <c r="F5306" s="26"/>
      <c r="G5306" s="15"/>
      <c r="H5306" s="21"/>
      <c r="I5306" s="15"/>
      <c r="J5306" s="15"/>
      <c r="K5306" s="15"/>
      <c r="L5306" s="21"/>
      <c r="M5306" s="15"/>
    </row>
    <row r="5307" spans="1:13" s="166" customFormat="1" ht="12.75" customHeight="1">
      <c r="B5307" s="7"/>
      <c r="C5307" s="165"/>
      <c r="D5307" s="37"/>
      <c r="E5307" s="25"/>
      <c r="F5307" s="26"/>
      <c r="G5307" s="15"/>
      <c r="H5307" s="21"/>
      <c r="I5307" s="15"/>
      <c r="J5307" s="15"/>
      <c r="K5307" s="15"/>
      <c r="L5307" s="21"/>
      <c r="M5307" s="15"/>
    </row>
    <row r="5308" spans="1:13" s="166" customFormat="1" ht="12.75" customHeight="1">
      <c r="B5308" s="7"/>
      <c r="C5308" s="165"/>
      <c r="D5308" s="37"/>
      <c r="E5308" s="25"/>
      <c r="F5308" s="26"/>
      <c r="G5308" s="15"/>
      <c r="H5308" s="21"/>
      <c r="I5308" s="15"/>
      <c r="J5308" s="15"/>
      <c r="K5308" s="15"/>
      <c r="L5308" s="21"/>
      <c r="M5308" s="15"/>
    </row>
    <row r="5309" spans="1:13" s="166" customFormat="1" ht="12.75" customHeight="1">
      <c r="B5309" s="7"/>
      <c r="C5309" s="165"/>
      <c r="D5309" s="37"/>
      <c r="E5309" s="25"/>
      <c r="F5309" s="26"/>
      <c r="G5309" s="15"/>
      <c r="H5309" s="21"/>
      <c r="I5309" s="15"/>
      <c r="J5309" s="15"/>
      <c r="K5309" s="15"/>
      <c r="L5309" s="21"/>
      <c r="M5309" s="15"/>
    </row>
    <row r="5310" spans="1:13" ht="12.75" customHeight="1">
      <c r="A5310" s="1" t="s">
        <v>1215</v>
      </c>
      <c r="B5310" s="11"/>
      <c r="C5310" s="2"/>
      <c r="E5310" s="27" t="s">
        <v>151</v>
      </c>
      <c r="F5310" s="28" t="s">
        <v>1171</v>
      </c>
    </row>
    <row r="5311" spans="1:13" ht="12.75" customHeight="1">
      <c r="A5311" s="4" t="s">
        <v>98</v>
      </c>
      <c r="B5311" s="8">
        <v>6.51</v>
      </c>
      <c r="C5311" s="6" t="s">
        <v>1017</v>
      </c>
      <c r="D5311" s="37">
        <f>Prec.!C113</f>
        <v>32.14</v>
      </c>
      <c r="E5311" s="25">
        <f t="shared" ref="E5311:E5322" si="422">ROUND(B5311*D5311,2)</f>
        <v>209.23</v>
      </c>
    </row>
    <row r="5312" spans="1:13" ht="12.75" customHeight="1">
      <c r="A5312" s="4" t="s">
        <v>421</v>
      </c>
      <c r="B5312" s="8">
        <v>2.5000000000000001E-2</v>
      </c>
      <c r="C5312" s="6" t="s">
        <v>825</v>
      </c>
      <c r="D5312" s="37">
        <f>horm.ymez.!D14</f>
        <v>5373.880000000001</v>
      </c>
      <c r="E5312" s="25">
        <f t="shared" si="422"/>
        <v>134.35</v>
      </c>
    </row>
    <row r="5313" spans="1:6" ht="12.75" customHeight="1">
      <c r="A5313" s="4" t="s">
        <v>663</v>
      </c>
      <c r="B5313" s="8">
        <v>1.49E-2</v>
      </c>
      <c r="C5313" s="6" t="s">
        <v>825</v>
      </c>
      <c r="D5313" s="37">
        <f>D5297</f>
        <v>5023.9699999999993</v>
      </c>
      <c r="E5313" s="25">
        <f t="shared" si="422"/>
        <v>74.86</v>
      </c>
    </row>
    <row r="5314" spans="1:6" ht="12.75" customHeight="1">
      <c r="A5314" s="4" t="s">
        <v>1173</v>
      </c>
      <c r="B5314" s="8">
        <v>0.05</v>
      </c>
      <c r="C5314" s="6" t="s">
        <v>218</v>
      </c>
      <c r="D5314" s="37">
        <f>Prec.!$C$82</f>
        <v>75</v>
      </c>
      <c r="E5314" s="25">
        <f t="shared" si="422"/>
        <v>3.75</v>
      </c>
    </row>
    <row r="5315" spans="1:6" ht="12.75" customHeight="1">
      <c r="A5315" s="4" t="s">
        <v>673</v>
      </c>
      <c r="B5315" s="8">
        <v>2.5000000000000001E-2</v>
      </c>
      <c r="C5315" s="6" t="s">
        <v>1172</v>
      </c>
      <c r="D5315" s="37">
        <f>Prec.!$C$8</f>
        <v>250</v>
      </c>
      <c r="E5315" s="25">
        <f t="shared" si="422"/>
        <v>6.25</v>
      </c>
    </row>
    <row r="5316" spans="1:6" ht="12.75" customHeight="1">
      <c r="A5316" s="4" t="s">
        <v>92</v>
      </c>
      <c r="B5316" s="8">
        <v>1</v>
      </c>
      <c r="C5316" s="6" t="s">
        <v>1171</v>
      </c>
      <c r="D5316" s="37">
        <f>Prec.!$D$502</f>
        <v>0</v>
      </c>
      <c r="E5316" s="25">
        <f t="shared" si="422"/>
        <v>0</v>
      </c>
    </row>
    <row r="5317" spans="1:6" ht="12.75" customHeight="1">
      <c r="A5317" s="4" t="s">
        <v>99</v>
      </c>
      <c r="B5317" s="8">
        <v>1</v>
      </c>
      <c r="C5317" s="6" t="s">
        <v>1171</v>
      </c>
      <c r="D5317" s="37">
        <f>Prec.!D507</f>
        <v>0</v>
      </c>
      <c r="E5317" s="25">
        <f t="shared" si="422"/>
        <v>0</v>
      </c>
    </row>
    <row r="5318" spans="1:6" ht="12.75" customHeight="1">
      <c r="A5318" s="4" t="s">
        <v>1015</v>
      </c>
      <c r="B5318" s="8">
        <v>2</v>
      </c>
      <c r="C5318" s="6" t="s">
        <v>1017</v>
      </c>
      <c r="D5318" s="37">
        <f>Prec.!D490</f>
        <v>11.93</v>
      </c>
      <c r="E5318" s="25">
        <f t="shared" si="422"/>
        <v>23.86</v>
      </c>
    </row>
    <row r="5319" spans="1:6" ht="12.75" customHeight="1">
      <c r="A5319" s="4" t="s">
        <v>94</v>
      </c>
      <c r="B5319" s="8">
        <v>1</v>
      </c>
      <c r="C5319" s="6" t="s">
        <v>1171</v>
      </c>
      <c r="D5319" s="37">
        <f>Prec.!$D$513</f>
        <v>285</v>
      </c>
      <c r="E5319" s="25">
        <f t="shared" si="422"/>
        <v>285</v>
      </c>
    </row>
    <row r="5320" spans="1:6" ht="12.75" customHeight="1">
      <c r="A5320" s="4" t="s">
        <v>890</v>
      </c>
      <c r="B5320" s="8">
        <v>1</v>
      </c>
      <c r="C5320" s="6" t="s">
        <v>1171</v>
      </c>
      <c r="D5320" s="37">
        <f>Prec.!D568</f>
        <v>11.78</v>
      </c>
      <c r="E5320" s="25">
        <f t="shared" si="422"/>
        <v>11.78</v>
      </c>
    </row>
    <row r="5321" spans="1:6" ht="12.75" customHeight="1">
      <c r="A5321" s="4" t="s">
        <v>806</v>
      </c>
      <c r="B5321" s="8">
        <v>2.5000000000000001E-2</v>
      </c>
      <c r="C5321" s="6" t="s">
        <v>1172</v>
      </c>
      <c r="D5321" s="37">
        <f>Prec.!$D$562</f>
        <v>7.57</v>
      </c>
      <c r="E5321" s="25">
        <f t="shared" si="422"/>
        <v>0.19</v>
      </c>
    </row>
    <row r="5322" spans="1:6" ht="12.75" customHeight="1">
      <c r="A5322" s="4" t="s">
        <v>208</v>
      </c>
      <c r="B5322" s="7">
        <f>SUM(E5311:E5321)</f>
        <v>749.27</v>
      </c>
      <c r="C5322" s="6" t="s">
        <v>209</v>
      </c>
      <c r="D5322" s="37">
        <f>Prec.!C302</f>
        <v>1.4999999999999999E-2</v>
      </c>
      <c r="E5322" s="25">
        <f t="shared" si="422"/>
        <v>11.24</v>
      </c>
      <c r="F5322" s="26">
        <f>SUM(E5311:E5322)</f>
        <v>760.51</v>
      </c>
    </row>
    <row r="5323" spans="1:6" ht="12.75" customHeight="1">
      <c r="B5323" s="7"/>
    </row>
    <row r="5324" spans="1:6" ht="12.75" customHeight="1">
      <c r="A5324" s="13" t="s">
        <v>290</v>
      </c>
      <c r="B5324" s="14"/>
      <c r="C5324" s="24"/>
      <c r="D5324" s="35"/>
      <c r="E5324" s="43" t="s">
        <v>151</v>
      </c>
      <c r="F5324" s="44" t="s">
        <v>1017</v>
      </c>
    </row>
    <row r="5325" spans="1:6" ht="12.75" customHeight="1">
      <c r="A5325" s="12" t="s">
        <v>302</v>
      </c>
      <c r="B5325" s="30">
        <v>1.05</v>
      </c>
      <c r="C5325" s="24" t="s">
        <v>1017</v>
      </c>
      <c r="D5325" s="35">
        <f>Prec.!$C$146</f>
        <v>125.25</v>
      </c>
      <c r="E5325" s="31">
        <f t="shared" ref="E5325:E5331" si="423">ROUND(B5325*D5325,2)</f>
        <v>131.51</v>
      </c>
      <c r="F5325" s="32"/>
    </row>
    <row r="5326" spans="1:6" ht="12.75" customHeight="1">
      <c r="A5326" s="12" t="s">
        <v>1174</v>
      </c>
      <c r="B5326" s="30">
        <v>1E-3</v>
      </c>
      <c r="C5326" s="24" t="s">
        <v>825</v>
      </c>
      <c r="D5326" s="35">
        <f>horm.ymez.!D9</f>
        <v>5853.53</v>
      </c>
      <c r="E5326" s="31">
        <f t="shared" si="423"/>
        <v>5.85</v>
      </c>
      <c r="F5326" s="32"/>
    </row>
    <row r="5327" spans="1:6" ht="12.75" customHeight="1">
      <c r="A5327" s="12" t="s">
        <v>304</v>
      </c>
      <c r="B5327" s="30">
        <v>2E-3</v>
      </c>
      <c r="C5327" s="24" t="s">
        <v>1172</v>
      </c>
      <c r="D5327" s="35">
        <f>Prec.!$C$7</f>
        <v>250</v>
      </c>
      <c r="E5327" s="31">
        <f t="shared" si="423"/>
        <v>0.5</v>
      </c>
      <c r="F5327" s="32"/>
    </row>
    <row r="5328" spans="1:6" ht="12.75" customHeight="1">
      <c r="A5328" s="12" t="s">
        <v>303</v>
      </c>
      <c r="B5328" s="30">
        <v>1</v>
      </c>
      <c r="C5328" s="24" t="s">
        <v>1017</v>
      </c>
      <c r="D5328" s="35">
        <f>Prec.!$D$515</f>
        <v>0</v>
      </c>
      <c r="E5328" s="31">
        <f t="shared" si="423"/>
        <v>0</v>
      </c>
      <c r="F5328" s="32"/>
    </row>
    <row r="5329" spans="1:13" ht="12.75" customHeight="1">
      <c r="A5329" s="12" t="s">
        <v>1156</v>
      </c>
      <c r="B5329" s="30">
        <v>1</v>
      </c>
      <c r="C5329" s="24" t="s">
        <v>1017</v>
      </c>
      <c r="D5329" s="35">
        <f>Prec.!$D$574</f>
        <v>0.3</v>
      </c>
      <c r="E5329" s="31">
        <f t="shared" si="423"/>
        <v>0.3</v>
      </c>
      <c r="F5329" s="32"/>
    </row>
    <row r="5330" spans="1:13" ht="12.75" customHeight="1">
      <c r="A5330" s="12" t="s">
        <v>806</v>
      </c>
      <c r="B5330" s="30">
        <v>2E-3</v>
      </c>
      <c r="C5330" s="24" t="s">
        <v>1172</v>
      </c>
      <c r="D5330" s="35">
        <f>Prec.!$D$562</f>
        <v>7.57</v>
      </c>
      <c r="E5330" s="31">
        <f t="shared" si="423"/>
        <v>0.02</v>
      </c>
      <c r="F5330" s="32"/>
    </row>
    <row r="5331" spans="1:13" ht="12.75" customHeight="1">
      <c r="A5331" s="12" t="s">
        <v>208</v>
      </c>
      <c r="B5331" s="14">
        <f>SUM(E5325:E5330)</f>
        <v>138.18</v>
      </c>
      <c r="C5331" s="24" t="s">
        <v>209</v>
      </c>
      <c r="D5331" s="35">
        <v>0.02</v>
      </c>
      <c r="E5331" s="31">
        <f t="shared" si="423"/>
        <v>2.76</v>
      </c>
      <c r="F5331" s="32">
        <f>SUM(E5325:E5331)</f>
        <v>140.94</v>
      </c>
    </row>
    <row r="5332" spans="1:13" ht="5.25" customHeight="1">
      <c r="B5332" s="7"/>
    </row>
    <row r="5333" spans="1:13" s="166" customFormat="1" ht="5.25" customHeight="1">
      <c r="B5333" s="7"/>
      <c r="C5333" s="165"/>
      <c r="D5333" s="37"/>
      <c r="E5333" s="25"/>
      <c r="F5333" s="26"/>
      <c r="G5333" s="15"/>
      <c r="H5333" s="21"/>
      <c r="I5333" s="15"/>
      <c r="J5333" s="15"/>
      <c r="K5333" s="15"/>
      <c r="L5333" s="21"/>
      <c r="M5333" s="15"/>
    </row>
    <row r="5334" spans="1:13" ht="12.75" customHeight="1">
      <c r="A5334" s="1530" t="s">
        <v>803</v>
      </c>
      <c r="B5334" s="1541"/>
      <c r="C5334" s="1538"/>
      <c r="D5334" s="1533"/>
      <c r="E5334" s="1534" t="s">
        <v>151</v>
      </c>
      <c r="F5334" s="1535" t="s">
        <v>1017</v>
      </c>
    </row>
    <row r="5335" spans="1:13" ht="12.75" customHeight="1">
      <c r="A5335" s="1536" t="s">
        <v>302</v>
      </c>
      <c r="B5335" s="1537">
        <v>1.05</v>
      </c>
      <c r="C5335" s="1538" t="s">
        <v>1017</v>
      </c>
      <c r="D5335" s="1533">
        <f>Prec.!$C$147</f>
        <v>139.88</v>
      </c>
      <c r="E5335" s="1539">
        <f t="shared" ref="E5335:E5341" si="424">ROUND(B5335*D5335,2)</f>
        <v>146.87</v>
      </c>
      <c r="F5335" s="1540"/>
    </row>
    <row r="5336" spans="1:13" ht="12.75" customHeight="1">
      <c r="A5336" s="1536" t="s">
        <v>1174</v>
      </c>
      <c r="B5336" s="1537">
        <v>1E-3</v>
      </c>
      <c r="C5336" s="1538" t="s">
        <v>825</v>
      </c>
      <c r="D5336" s="1533">
        <f>D5326</f>
        <v>5853.53</v>
      </c>
      <c r="E5336" s="1539">
        <f t="shared" si="424"/>
        <v>5.85</v>
      </c>
      <c r="F5336" s="1540"/>
    </row>
    <row r="5337" spans="1:13" ht="12.75" customHeight="1">
      <c r="A5337" s="1536" t="s">
        <v>673</v>
      </c>
      <c r="B5337" s="1537">
        <v>2E-3</v>
      </c>
      <c r="C5337" s="1538" t="s">
        <v>1172</v>
      </c>
      <c r="D5337" s="1533">
        <f>Prec.!$C$8</f>
        <v>250</v>
      </c>
      <c r="E5337" s="1539">
        <f t="shared" si="424"/>
        <v>0.5</v>
      </c>
      <c r="F5337" s="1540"/>
    </row>
    <row r="5338" spans="1:13" ht="12.75" customHeight="1">
      <c r="A5338" s="1536" t="s">
        <v>303</v>
      </c>
      <c r="B5338" s="1537">
        <v>1</v>
      </c>
      <c r="C5338" s="1538" t="s">
        <v>1017</v>
      </c>
      <c r="D5338" s="1533">
        <f>D5241</f>
        <v>183.01</v>
      </c>
      <c r="E5338" s="1539">
        <f t="shared" si="424"/>
        <v>183.01</v>
      </c>
      <c r="F5338" s="1540"/>
    </row>
    <row r="5339" spans="1:13" ht="12.75" customHeight="1">
      <c r="A5339" s="1536" t="s">
        <v>1156</v>
      </c>
      <c r="B5339" s="1537">
        <v>1</v>
      </c>
      <c r="C5339" s="1538" t="s">
        <v>1017</v>
      </c>
      <c r="D5339" s="1533">
        <f>Prec.!$D$574</f>
        <v>0.3</v>
      </c>
      <c r="E5339" s="1539">
        <f t="shared" si="424"/>
        <v>0.3</v>
      </c>
      <c r="F5339" s="1540"/>
    </row>
    <row r="5340" spans="1:13" ht="12.75" customHeight="1">
      <c r="A5340" s="1536" t="s">
        <v>806</v>
      </c>
      <c r="B5340" s="1537">
        <v>2E-3</v>
      </c>
      <c r="C5340" s="1538" t="s">
        <v>1172</v>
      </c>
      <c r="D5340" s="1533">
        <f>Prec.!$D$562</f>
        <v>7.57</v>
      </c>
      <c r="E5340" s="1539">
        <f t="shared" si="424"/>
        <v>0.02</v>
      </c>
      <c r="F5340" s="1540"/>
    </row>
    <row r="5341" spans="1:13" ht="12.75" customHeight="1">
      <c r="A5341" s="1536" t="s">
        <v>208</v>
      </c>
      <c r="B5341" s="1541">
        <f>SUM(E5335:E5338)</f>
        <v>336.23</v>
      </c>
      <c r="C5341" s="1538" t="s">
        <v>209</v>
      </c>
      <c r="D5341" s="1533">
        <v>0.02</v>
      </c>
      <c r="E5341" s="1539">
        <f t="shared" si="424"/>
        <v>6.72</v>
      </c>
      <c r="F5341" s="1540">
        <f>SUM(E5335:E5341)</f>
        <v>343.27000000000004</v>
      </c>
    </row>
    <row r="5342" spans="1:13" ht="6" customHeight="1">
      <c r="B5342" s="7"/>
    </row>
    <row r="5343" spans="1:13" ht="12.75" customHeight="1">
      <c r="A5343" s="13" t="s">
        <v>1013</v>
      </c>
      <c r="B5343" s="7"/>
      <c r="E5343" s="27" t="s">
        <v>151</v>
      </c>
      <c r="F5343" s="28" t="s">
        <v>1017</v>
      </c>
    </row>
    <row r="5344" spans="1:13" ht="12.75" customHeight="1">
      <c r="A5344" s="4" t="s">
        <v>774</v>
      </c>
      <c r="B5344" s="8">
        <v>1.05</v>
      </c>
      <c r="C5344" s="6" t="s">
        <v>1017</v>
      </c>
      <c r="D5344" s="37">
        <f>Prec.!C138</f>
        <v>568.4</v>
      </c>
      <c r="E5344" s="25">
        <f t="shared" ref="E5344:E5351" si="425">ROUND(B5344*D5344,2)</f>
        <v>596.82000000000005</v>
      </c>
    </row>
    <row r="5345" spans="1:6" ht="12.75" customHeight="1">
      <c r="A5345" s="4" t="s">
        <v>1174</v>
      </c>
      <c r="B5345" s="8">
        <v>1E-3</v>
      </c>
      <c r="C5345" s="6" t="s">
        <v>825</v>
      </c>
      <c r="D5345" s="37">
        <f>horm.ymez.!D9</f>
        <v>5853.53</v>
      </c>
      <c r="E5345" s="25">
        <f t="shared" si="425"/>
        <v>5.85</v>
      </c>
    </row>
    <row r="5346" spans="1:6" ht="12.75" customHeight="1">
      <c r="A5346" s="4" t="s">
        <v>673</v>
      </c>
      <c r="B5346" s="8">
        <v>2E-3</v>
      </c>
      <c r="C5346" s="6" t="s">
        <v>1172</v>
      </c>
      <c r="D5346" s="37">
        <f>Prec.!$C$8</f>
        <v>250</v>
      </c>
      <c r="E5346" s="25">
        <f t="shared" si="425"/>
        <v>0.5</v>
      </c>
    </row>
    <row r="5347" spans="1:6" ht="12.75" customHeight="1">
      <c r="A5347" s="4" t="s">
        <v>1015</v>
      </c>
      <c r="B5347" s="8">
        <v>1</v>
      </c>
      <c r="C5347" s="6" t="s">
        <v>1017</v>
      </c>
      <c r="D5347" s="37">
        <f>Prec.!D491</f>
        <v>11.93</v>
      </c>
      <c r="E5347" s="25">
        <f t="shared" si="425"/>
        <v>11.93</v>
      </c>
    </row>
    <row r="5348" spans="1:6" ht="12.75" customHeight="1">
      <c r="A5348" s="4" t="s">
        <v>303</v>
      </c>
      <c r="B5348" s="8">
        <v>1</v>
      </c>
      <c r="C5348" s="6" t="s">
        <v>1017</v>
      </c>
      <c r="D5348" s="37">
        <f>Prec.!$D$515</f>
        <v>0</v>
      </c>
      <c r="E5348" s="25">
        <f t="shared" si="425"/>
        <v>0</v>
      </c>
    </row>
    <row r="5349" spans="1:6" ht="12.75" customHeight="1">
      <c r="A5349" s="4" t="s">
        <v>1156</v>
      </c>
      <c r="B5349" s="8">
        <v>1</v>
      </c>
      <c r="C5349" s="6" t="s">
        <v>1017</v>
      </c>
      <c r="D5349" s="37">
        <f>Prec.!$D$574</f>
        <v>0.3</v>
      </c>
      <c r="E5349" s="25">
        <f t="shared" si="425"/>
        <v>0.3</v>
      </c>
    </row>
    <row r="5350" spans="1:6" ht="12.75" customHeight="1">
      <c r="A5350" s="4" t="s">
        <v>806</v>
      </c>
      <c r="B5350" s="8">
        <v>2E-3</v>
      </c>
      <c r="C5350" s="6" t="s">
        <v>1172</v>
      </c>
      <c r="D5350" s="37">
        <f>Prec.!$D$562</f>
        <v>7.57</v>
      </c>
      <c r="E5350" s="25">
        <f t="shared" si="425"/>
        <v>0.02</v>
      </c>
    </row>
    <row r="5351" spans="1:6" ht="12.75" customHeight="1">
      <c r="A5351" s="4" t="s">
        <v>208</v>
      </c>
      <c r="B5351" s="7">
        <f>SUM(E5344:E5348)</f>
        <v>615.1</v>
      </c>
      <c r="C5351" s="6" t="s">
        <v>209</v>
      </c>
      <c r="D5351" s="37">
        <f>Prec.!C302</f>
        <v>1.4999999999999999E-2</v>
      </c>
      <c r="E5351" s="25">
        <f t="shared" si="425"/>
        <v>9.23</v>
      </c>
      <c r="F5351" s="26">
        <f>SUM(E5344:E5351)</f>
        <v>624.65</v>
      </c>
    </row>
    <row r="5352" spans="1:6" ht="4.5" customHeight="1">
      <c r="B5352" s="7"/>
    </row>
    <row r="5353" spans="1:6" ht="12.75" customHeight="1">
      <c r="A5353" s="13" t="s">
        <v>804</v>
      </c>
      <c r="B5353" s="11"/>
      <c r="C5353" s="2"/>
      <c r="E5353" s="27" t="s">
        <v>151</v>
      </c>
      <c r="F5353" s="28" t="s">
        <v>1017</v>
      </c>
    </row>
    <row r="5354" spans="1:6" ht="12.75" customHeight="1">
      <c r="A5354" s="4" t="s">
        <v>818</v>
      </c>
      <c r="B5354" s="8">
        <v>0.25</v>
      </c>
      <c r="C5354" s="6" t="s">
        <v>1017</v>
      </c>
      <c r="D5354" s="37">
        <f>Prec.!C113</f>
        <v>32.14</v>
      </c>
      <c r="E5354" s="25">
        <f t="shared" ref="E5354:E5362" si="426">ROUND(B5354*D5354,2)</f>
        <v>8.0399999999999991</v>
      </c>
    </row>
    <row r="5355" spans="1:6" ht="12.75" customHeight="1">
      <c r="A5355" s="4" t="s">
        <v>673</v>
      </c>
      <c r="B5355" s="8">
        <v>2E-3</v>
      </c>
      <c r="C5355" s="6" t="s">
        <v>1172</v>
      </c>
      <c r="D5355" s="37">
        <f>Prec.!$C$8</f>
        <v>250</v>
      </c>
      <c r="E5355" s="25">
        <f t="shared" si="426"/>
        <v>0.5</v>
      </c>
    </row>
    <row r="5356" spans="1:6" ht="12.75" customHeight="1">
      <c r="A5356" s="4" t="s">
        <v>1173</v>
      </c>
      <c r="B5356" s="8">
        <v>5.0000000000000001E-3</v>
      </c>
      <c r="C5356" s="6" t="s">
        <v>1018</v>
      </c>
      <c r="D5356" s="37">
        <f>Prec.!$C$82</f>
        <v>75</v>
      </c>
      <c r="E5356" s="25">
        <f t="shared" si="426"/>
        <v>0.38</v>
      </c>
    </row>
    <row r="5357" spans="1:6" ht="12.75" customHeight="1">
      <c r="A5357" s="4" t="s">
        <v>1174</v>
      </c>
      <c r="B5357" s="8">
        <v>1E-3</v>
      </c>
      <c r="C5357" s="6" t="s">
        <v>825</v>
      </c>
      <c r="D5357" s="37">
        <f>$F$185</f>
        <v>5853.53</v>
      </c>
      <c r="E5357" s="25">
        <f t="shared" si="426"/>
        <v>5.85</v>
      </c>
    </row>
    <row r="5358" spans="1:6" ht="12.75" customHeight="1">
      <c r="A5358" s="4" t="s">
        <v>1015</v>
      </c>
      <c r="B5358" s="8">
        <v>1</v>
      </c>
      <c r="C5358" s="6" t="s">
        <v>1017</v>
      </c>
      <c r="D5358" s="37">
        <f>Prec.!D490</f>
        <v>11.93</v>
      </c>
      <c r="E5358" s="25">
        <f t="shared" si="426"/>
        <v>11.93</v>
      </c>
    </row>
    <row r="5359" spans="1:6" ht="12.75" customHeight="1">
      <c r="A5359" s="4" t="s">
        <v>674</v>
      </c>
      <c r="B5359" s="8">
        <v>1</v>
      </c>
      <c r="C5359" s="6" t="s">
        <v>1017</v>
      </c>
      <c r="D5359" s="37">
        <f>Prec.!$D$514</f>
        <v>0</v>
      </c>
      <c r="E5359" s="25">
        <f t="shared" si="426"/>
        <v>0</v>
      </c>
    </row>
    <row r="5360" spans="1:6" ht="12.75" customHeight="1">
      <c r="A5360" s="4" t="s">
        <v>1156</v>
      </c>
      <c r="B5360" s="8">
        <v>1</v>
      </c>
      <c r="C5360" s="6" t="s">
        <v>1017</v>
      </c>
      <c r="D5360" s="37">
        <f>D5349</f>
        <v>0.3</v>
      </c>
      <c r="E5360" s="25">
        <f t="shared" si="426"/>
        <v>0.3</v>
      </c>
    </row>
    <row r="5361" spans="1:6" ht="12.75" customHeight="1">
      <c r="A5361" s="4" t="s">
        <v>806</v>
      </c>
      <c r="B5361" s="8">
        <v>2E-3</v>
      </c>
      <c r="C5361" s="6" t="s">
        <v>1172</v>
      </c>
      <c r="D5361" s="37">
        <f>Prec.!$D$562</f>
        <v>7.57</v>
      </c>
      <c r="E5361" s="25">
        <f t="shared" si="426"/>
        <v>0.02</v>
      </c>
    </row>
    <row r="5362" spans="1:6" ht="12.75" customHeight="1">
      <c r="A5362" s="4" t="s">
        <v>208</v>
      </c>
      <c r="B5362" s="7">
        <f>SUM(E5354:E5361)</f>
        <v>27.02</v>
      </c>
      <c r="C5362" s="6" t="s">
        <v>209</v>
      </c>
      <c r="D5362" s="37">
        <f>Prec.!C302</f>
        <v>1.4999999999999999E-2</v>
      </c>
      <c r="E5362" s="25">
        <f t="shared" si="426"/>
        <v>0.41</v>
      </c>
      <c r="F5362" s="26">
        <f>SUM(E5354:E5362)</f>
        <v>27.43</v>
      </c>
    </row>
    <row r="5363" spans="1:6" ht="15.75" customHeight="1">
      <c r="B5363" s="7"/>
    </row>
    <row r="5364" spans="1:6" ht="12.75" customHeight="1">
      <c r="A5364" s="23" t="s">
        <v>1159</v>
      </c>
      <c r="B5364" s="7"/>
    </row>
    <row r="5365" spans="1:6" ht="11.25" customHeight="1">
      <c r="A5365" s="2"/>
      <c r="B5365" s="7"/>
    </row>
    <row r="5366" spans="1:6" ht="12.75" customHeight="1">
      <c r="A5366" s="1530" t="s">
        <v>851</v>
      </c>
      <c r="B5366" s="1531"/>
      <c r="C5366" s="1532"/>
      <c r="D5366" s="1533"/>
      <c r="E5366" s="1534" t="s">
        <v>151</v>
      </c>
      <c r="F5366" s="1535" t="s">
        <v>1171</v>
      </c>
    </row>
    <row r="5367" spans="1:6" ht="12.75" customHeight="1">
      <c r="A5367" s="1536" t="s">
        <v>564</v>
      </c>
      <c r="B5367" s="1537">
        <v>1</v>
      </c>
      <c r="C5367" s="1538" t="s">
        <v>1171</v>
      </c>
      <c r="D5367" s="1533">
        <f>Prec.!$C$145</f>
        <v>1935.25</v>
      </c>
      <c r="E5367" s="1539">
        <f t="shared" ref="E5367:E5374" si="427">ROUND(B5367*D5367,2)</f>
        <v>1935.25</v>
      </c>
      <c r="F5367" s="1540"/>
    </row>
    <row r="5368" spans="1:6" ht="12.75" customHeight="1">
      <c r="A5368" s="1536" t="s">
        <v>421</v>
      </c>
      <c r="B5368" s="1537">
        <v>2.5000000000000001E-2</v>
      </c>
      <c r="C5368" s="1538" t="s">
        <v>825</v>
      </c>
      <c r="D5368" s="1533">
        <f>horm.ymez.!E14</f>
        <v>5567.74</v>
      </c>
      <c r="E5368" s="1539">
        <f t="shared" si="427"/>
        <v>139.19</v>
      </c>
      <c r="F5368" s="1540"/>
    </row>
    <row r="5369" spans="1:6" ht="12.75" customHeight="1">
      <c r="A5369" s="1536" t="s">
        <v>663</v>
      </c>
      <c r="B5369" s="1537">
        <v>1.49E-2</v>
      </c>
      <c r="C5369" s="1538" t="s">
        <v>825</v>
      </c>
      <c r="D5369" s="1533">
        <f>horm.ymez.!E10</f>
        <v>5355.8599999999988</v>
      </c>
      <c r="E5369" s="1539">
        <f t="shared" si="427"/>
        <v>79.8</v>
      </c>
      <c r="F5369" s="1540"/>
    </row>
    <row r="5370" spans="1:6" ht="12.75" customHeight="1">
      <c r="A5370" s="1536" t="s">
        <v>673</v>
      </c>
      <c r="B5370" s="1537">
        <v>2.5000000000000001E-2</v>
      </c>
      <c r="C5370" s="1538" t="s">
        <v>1172</v>
      </c>
      <c r="D5370" s="1533">
        <f>Prec.!$C$8</f>
        <v>250</v>
      </c>
      <c r="E5370" s="1539">
        <f t="shared" si="427"/>
        <v>6.25</v>
      </c>
      <c r="F5370" s="1540"/>
    </row>
    <row r="5371" spans="1:6" ht="12.75" customHeight="1">
      <c r="A5371" s="1536" t="s">
        <v>92</v>
      </c>
      <c r="B5371" s="1537">
        <v>1</v>
      </c>
      <c r="C5371" s="1538" t="s">
        <v>1171</v>
      </c>
      <c r="D5371" s="1533">
        <f>D5267</f>
        <v>256.64999999999998</v>
      </c>
      <c r="E5371" s="1539">
        <f t="shared" si="427"/>
        <v>256.64999999999998</v>
      </c>
      <c r="F5371" s="1540"/>
    </row>
    <row r="5372" spans="1:6" ht="12.75" customHeight="1">
      <c r="A5372" s="1536" t="s">
        <v>93</v>
      </c>
      <c r="B5372" s="1537">
        <v>1</v>
      </c>
      <c r="C5372" s="1538" t="s">
        <v>1171</v>
      </c>
      <c r="D5372" s="1533">
        <f>D5268</f>
        <v>297.32</v>
      </c>
      <c r="E5372" s="1539">
        <f t="shared" si="427"/>
        <v>297.32</v>
      </c>
      <c r="F5372" s="1540"/>
    </row>
    <row r="5373" spans="1:6" ht="12.75" customHeight="1">
      <c r="A5373" s="1536" t="s">
        <v>94</v>
      </c>
      <c r="B5373" s="1537">
        <v>1</v>
      </c>
      <c r="C5373" s="1538" t="s">
        <v>1171</v>
      </c>
      <c r="D5373" s="1533">
        <f>D5269</f>
        <v>327.75</v>
      </c>
      <c r="E5373" s="1539">
        <f t="shared" si="427"/>
        <v>327.75</v>
      </c>
      <c r="F5373" s="1540"/>
    </row>
    <row r="5374" spans="1:6" ht="12.75" customHeight="1">
      <c r="A5374" s="1536" t="s">
        <v>805</v>
      </c>
      <c r="B5374" s="1537">
        <v>1</v>
      </c>
      <c r="C5374" s="1538" t="s">
        <v>1171</v>
      </c>
      <c r="D5374" s="1533">
        <f>Prec.!$D$569</f>
        <v>16.47</v>
      </c>
      <c r="E5374" s="1539">
        <f t="shared" si="427"/>
        <v>16.47</v>
      </c>
      <c r="F5374" s="1540"/>
    </row>
    <row r="5375" spans="1:6" ht="12.75" customHeight="1">
      <c r="A5375" s="1536" t="s">
        <v>806</v>
      </c>
      <c r="B5375" s="1537">
        <v>2.5000000000000001E-2</v>
      </c>
      <c r="C5375" s="1538" t="s">
        <v>1172</v>
      </c>
      <c r="D5375" s="1533">
        <f>Prec.!$D$563</f>
        <v>12.04</v>
      </c>
      <c r="E5375" s="1539">
        <f>ROUND(B5375*D5375,2)</f>
        <v>0.3</v>
      </c>
      <c r="F5375" s="1540"/>
    </row>
    <row r="5376" spans="1:6" ht="12.75" customHeight="1">
      <c r="A5376" s="1536" t="s">
        <v>208</v>
      </c>
      <c r="B5376" s="1541">
        <f>SUM(E5367:E5375)</f>
        <v>3058.9800000000005</v>
      </c>
      <c r="C5376" s="1538" t="s">
        <v>209</v>
      </c>
      <c r="D5376" s="1533">
        <f>Prec.!C302</f>
        <v>1.4999999999999999E-2</v>
      </c>
      <c r="E5376" s="1539">
        <f>ROUND(B5376*D5376,2)</f>
        <v>45.88</v>
      </c>
      <c r="F5376" s="1540">
        <f>SUM(E5367:E5376)</f>
        <v>3104.8600000000006</v>
      </c>
    </row>
    <row r="5377" spans="1:13" s="166" customFormat="1" ht="12.75" customHeight="1">
      <c r="B5377" s="7"/>
      <c r="C5377" s="165"/>
      <c r="D5377" s="37"/>
      <c r="E5377" s="25"/>
      <c r="F5377" s="26"/>
      <c r="G5377" s="15"/>
      <c r="H5377" s="21"/>
      <c r="I5377" s="15"/>
      <c r="J5377" s="15"/>
      <c r="K5377" s="15"/>
      <c r="L5377" s="21"/>
      <c r="M5377" s="15"/>
    </row>
    <row r="5378" spans="1:13" ht="12.75" customHeight="1">
      <c r="A5378" s="13" t="s">
        <v>852</v>
      </c>
      <c r="B5378" s="42"/>
      <c r="C5378" s="29"/>
      <c r="D5378" s="35"/>
      <c r="E5378" s="43" t="s">
        <v>151</v>
      </c>
      <c r="F5378" s="44" t="s">
        <v>1171</v>
      </c>
    </row>
    <row r="5379" spans="1:13" ht="12.75" customHeight="1">
      <c r="A5379" s="12" t="s">
        <v>95</v>
      </c>
      <c r="B5379" s="30">
        <v>1</v>
      </c>
      <c r="C5379" s="24" t="s">
        <v>1171</v>
      </c>
      <c r="D5379" s="35">
        <f>Prec.!$C$144</f>
        <v>1710.15</v>
      </c>
      <c r="E5379" s="31">
        <f t="shared" ref="E5379:E5388" si="428">ROUND(B5379*D5379,2)</f>
        <v>1710.15</v>
      </c>
      <c r="F5379" s="32"/>
    </row>
    <row r="5380" spans="1:13" ht="12.75" customHeight="1">
      <c r="A5380" s="12" t="s">
        <v>421</v>
      </c>
      <c r="B5380" s="30">
        <v>2.5000000000000001E-2</v>
      </c>
      <c r="C5380" s="24" t="s">
        <v>825</v>
      </c>
      <c r="D5380" s="35">
        <f>D5368</f>
        <v>5567.74</v>
      </c>
      <c r="E5380" s="31">
        <f t="shared" si="428"/>
        <v>139.19</v>
      </c>
      <c r="F5380" s="32"/>
    </row>
    <row r="5381" spans="1:13" ht="12.75" customHeight="1">
      <c r="A5381" s="12" t="s">
        <v>663</v>
      </c>
      <c r="B5381" s="30">
        <v>1.49E-2</v>
      </c>
      <c r="C5381" s="24" t="s">
        <v>825</v>
      </c>
      <c r="D5381" s="35">
        <f>D5369</f>
        <v>5355.8599999999988</v>
      </c>
      <c r="E5381" s="31">
        <f t="shared" si="428"/>
        <v>79.8</v>
      </c>
      <c r="F5381" s="32"/>
    </row>
    <row r="5382" spans="1:13" ht="12.75" customHeight="1">
      <c r="A5382" s="12" t="s">
        <v>622</v>
      </c>
      <c r="B5382" s="30">
        <v>2.5000000000000001E-2</v>
      </c>
      <c r="C5382" s="24" t="s">
        <v>1172</v>
      </c>
      <c r="D5382" s="35">
        <f>Prec.!$C$7</f>
        <v>250</v>
      </c>
      <c r="E5382" s="31">
        <f t="shared" si="428"/>
        <v>6.25</v>
      </c>
      <c r="F5382" s="32"/>
    </row>
    <row r="5383" spans="1:13" ht="12.75" customHeight="1">
      <c r="A5383" s="12" t="s">
        <v>92</v>
      </c>
      <c r="B5383" s="30">
        <v>1</v>
      </c>
      <c r="C5383" s="24" t="s">
        <v>1171</v>
      </c>
      <c r="D5383" s="35">
        <f>Prec.!$D$502</f>
        <v>0</v>
      </c>
      <c r="E5383" s="31">
        <f t="shared" si="428"/>
        <v>0</v>
      </c>
      <c r="F5383" s="32"/>
    </row>
    <row r="5384" spans="1:13" ht="12.75" customHeight="1">
      <c r="A5384" s="12" t="s">
        <v>93</v>
      </c>
      <c r="B5384" s="30">
        <v>1</v>
      </c>
      <c r="C5384" s="24" t="s">
        <v>1171</v>
      </c>
      <c r="D5384" s="35">
        <f>Prec.!$D$504</f>
        <v>0</v>
      </c>
      <c r="E5384" s="31">
        <f t="shared" si="428"/>
        <v>0</v>
      </c>
      <c r="F5384" s="32"/>
    </row>
    <row r="5385" spans="1:13" ht="12.75" customHeight="1">
      <c r="A5385" s="12" t="s">
        <v>94</v>
      </c>
      <c r="B5385" s="30">
        <v>1</v>
      </c>
      <c r="C5385" s="24" t="s">
        <v>1171</v>
      </c>
      <c r="D5385" s="35">
        <f>Prec.!$D$513</f>
        <v>285</v>
      </c>
      <c r="E5385" s="31">
        <f t="shared" si="428"/>
        <v>285</v>
      </c>
      <c r="F5385" s="32"/>
    </row>
    <row r="5386" spans="1:13" ht="12.75" customHeight="1">
      <c r="A5386" s="12" t="s">
        <v>805</v>
      </c>
      <c r="B5386" s="30">
        <v>1</v>
      </c>
      <c r="C5386" s="24" t="s">
        <v>1171</v>
      </c>
      <c r="D5386" s="35">
        <f>Prec.!$D$569</f>
        <v>16.47</v>
      </c>
      <c r="E5386" s="31">
        <f t="shared" si="428"/>
        <v>16.47</v>
      </c>
      <c r="F5386" s="32"/>
    </row>
    <row r="5387" spans="1:13" ht="12.75" customHeight="1">
      <c r="A5387" s="12" t="s">
        <v>806</v>
      </c>
      <c r="B5387" s="30">
        <v>2.5000000000000001E-2</v>
      </c>
      <c r="C5387" s="24" t="s">
        <v>1172</v>
      </c>
      <c r="D5387" s="35">
        <f>Prec.!$D$563</f>
        <v>12.04</v>
      </c>
      <c r="E5387" s="31">
        <f t="shared" si="428"/>
        <v>0.3</v>
      </c>
      <c r="F5387" s="32"/>
    </row>
    <row r="5388" spans="1:13" ht="12.75" customHeight="1">
      <c r="A5388" s="12" t="s">
        <v>208</v>
      </c>
      <c r="B5388" s="14">
        <f>SUM(E5379:E5385)</f>
        <v>2220.3900000000003</v>
      </c>
      <c r="C5388" s="24" t="s">
        <v>209</v>
      </c>
      <c r="D5388" s="35">
        <v>0.02</v>
      </c>
      <c r="E5388" s="31">
        <f t="shared" si="428"/>
        <v>44.41</v>
      </c>
      <c r="F5388" s="32">
        <f>SUM(E5379:E5388)</f>
        <v>2281.5700000000002</v>
      </c>
    </row>
    <row r="5389" spans="1:13" ht="12.75" customHeight="1">
      <c r="B5389" s="7"/>
    </row>
    <row r="5390" spans="1:13" ht="12.75" customHeight="1">
      <c r="A5390" s="13" t="s">
        <v>853</v>
      </c>
      <c r="B5390" s="11"/>
      <c r="C5390" s="2"/>
      <c r="E5390" s="27" t="s">
        <v>151</v>
      </c>
      <c r="F5390" s="28" t="s">
        <v>1171</v>
      </c>
    </row>
    <row r="5391" spans="1:13" ht="12.75" customHeight="1">
      <c r="A5391" s="4" t="s">
        <v>421</v>
      </c>
      <c r="B5391" s="8">
        <v>2.5000000000000001E-2</v>
      </c>
      <c r="C5391" s="6" t="s">
        <v>825</v>
      </c>
      <c r="D5391" s="37">
        <f>$F$407</f>
        <v>5567.74</v>
      </c>
      <c r="E5391" s="25">
        <f t="shared" ref="E5391:E5396" si="429">ROUND(B5391*D5391,2)</f>
        <v>139.19</v>
      </c>
    </row>
    <row r="5392" spans="1:13" ht="12.75" customHeight="1">
      <c r="A5392" s="4" t="s">
        <v>427</v>
      </c>
      <c r="B5392" s="8">
        <v>7.0000000000000001E-3</v>
      </c>
      <c r="C5392" s="6" t="s">
        <v>825</v>
      </c>
      <c r="D5392" s="37">
        <f>horm.ymez.!E8</f>
        <v>7012.85</v>
      </c>
      <c r="E5392" s="25">
        <f t="shared" si="429"/>
        <v>49.09</v>
      </c>
    </row>
    <row r="5393" spans="1:6" ht="12.75" customHeight="1">
      <c r="A5393" s="4" t="s">
        <v>183</v>
      </c>
      <c r="B5393" s="8">
        <v>0.77</v>
      </c>
      <c r="C5393" s="6" t="s">
        <v>211</v>
      </c>
      <c r="D5393" s="37">
        <f>D5289</f>
        <v>38</v>
      </c>
      <c r="E5393" s="25">
        <f t="shared" si="429"/>
        <v>29.26</v>
      </c>
    </row>
    <row r="5394" spans="1:6" ht="12.75" customHeight="1">
      <c r="A5394" s="4" t="s">
        <v>92</v>
      </c>
      <c r="B5394" s="8">
        <v>1</v>
      </c>
      <c r="C5394" s="6" t="s">
        <v>1171</v>
      </c>
      <c r="D5394" s="37">
        <f>Prec.!$D$502</f>
        <v>0</v>
      </c>
      <c r="E5394" s="25">
        <f t="shared" si="429"/>
        <v>0</v>
      </c>
    </row>
    <row r="5395" spans="1:6" ht="12.75" customHeight="1">
      <c r="A5395" s="4" t="s">
        <v>97</v>
      </c>
      <c r="B5395" s="8">
        <v>1</v>
      </c>
      <c r="C5395" s="6" t="s">
        <v>1171</v>
      </c>
      <c r="D5395" s="37">
        <f>Prec.!$D$503</f>
        <v>0</v>
      </c>
      <c r="E5395" s="25">
        <f t="shared" si="429"/>
        <v>0</v>
      </c>
    </row>
    <row r="5396" spans="1:6" ht="12.75" customHeight="1">
      <c r="A5396" s="4" t="s">
        <v>208</v>
      </c>
      <c r="B5396" s="7">
        <f>SUM(E5391:E5395)</f>
        <v>217.54</v>
      </c>
      <c r="C5396" s="6" t="s">
        <v>209</v>
      </c>
      <c r="D5396" s="37">
        <f>Prec.!C302</f>
        <v>1.4999999999999999E-2</v>
      </c>
      <c r="E5396" s="25">
        <f t="shared" si="429"/>
        <v>3.26</v>
      </c>
      <c r="F5396" s="26">
        <f>SUM(E5391:E5396)</f>
        <v>220.79999999999998</v>
      </c>
    </row>
    <row r="5397" spans="1:6" ht="12.75" customHeight="1">
      <c r="B5397" s="7"/>
    </row>
    <row r="5398" spans="1:6" ht="12.75" customHeight="1">
      <c r="A5398" s="13" t="s">
        <v>773</v>
      </c>
      <c r="B5398" s="11"/>
      <c r="C5398" s="2"/>
      <c r="E5398" s="27" t="s">
        <v>151</v>
      </c>
      <c r="F5398" s="28" t="s">
        <v>1171</v>
      </c>
    </row>
    <row r="5399" spans="1:6" ht="12.75" customHeight="1">
      <c r="A5399" s="4" t="s">
        <v>76</v>
      </c>
      <c r="B5399" s="8">
        <v>1</v>
      </c>
      <c r="C5399" s="6" t="s">
        <v>1171</v>
      </c>
      <c r="D5399" s="37">
        <f>Prec.!C137</f>
        <v>2898.57</v>
      </c>
      <c r="E5399" s="25">
        <f t="shared" ref="E5399:E5408" si="430">ROUND(B5399*D5399,2)</f>
        <v>2898.57</v>
      </c>
    </row>
    <row r="5400" spans="1:6" ht="12.75" customHeight="1">
      <c r="A5400" s="4" t="s">
        <v>421</v>
      </c>
      <c r="B5400" s="8">
        <v>2.5000000000000001E-2</v>
      </c>
      <c r="C5400" s="6" t="s">
        <v>825</v>
      </c>
      <c r="D5400" s="37">
        <f>horm.ymez.!E14</f>
        <v>5567.74</v>
      </c>
      <c r="E5400" s="25">
        <f t="shared" si="430"/>
        <v>139.19</v>
      </c>
    </row>
    <row r="5401" spans="1:6" ht="12.75" customHeight="1">
      <c r="A5401" s="4" t="s">
        <v>663</v>
      </c>
      <c r="B5401" s="8">
        <v>1.49E-2</v>
      </c>
      <c r="C5401" s="6" t="s">
        <v>825</v>
      </c>
      <c r="D5401" s="37">
        <f>horm.ymez.!E10</f>
        <v>5355.8599999999988</v>
      </c>
      <c r="E5401" s="25">
        <f t="shared" si="430"/>
        <v>79.8</v>
      </c>
    </row>
    <row r="5402" spans="1:6" ht="12.75" customHeight="1">
      <c r="A5402" s="4" t="s">
        <v>673</v>
      </c>
      <c r="B5402" s="8">
        <v>2.5000000000000001E-2</v>
      </c>
      <c r="C5402" s="6" t="s">
        <v>1172</v>
      </c>
      <c r="D5402" s="37">
        <f>Prec.!$C$8</f>
        <v>250</v>
      </c>
      <c r="E5402" s="25">
        <f t="shared" si="430"/>
        <v>6.25</v>
      </c>
    </row>
    <row r="5403" spans="1:6" ht="12.75" customHeight="1">
      <c r="A5403" s="4" t="s">
        <v>92</v>
      </c>
      <c r="B5403" s="8">
        <v>1</v>
      </c>
      <c r="C5403" s="6" t="s">
        <v>1171</v>
      </c>
      <c r="D5403" s="37">
        <f>Prec.!$D$502</f>
        <v>0</v>
      </c>
      <c r="E5403" s="25">
        <f t="shared" si="430"/>
        <v>0</v>
      </c>
    </row>
    <row r="5404" spans="1:6" ht="12.75" customHeight="1">
      <c r="A5404" s="4" t="s">
        <v>93</v>
      </c>
      <c r="B5404" s="8">
        <v>1</v>
      </c>
      <c r="C5404" s="6" t="s">
        <v>1171</v>
      </c>
      <c r="D5404" s="37">
        <f>Prec.!D511</f>
        <v>389.35</v>
      </c>
      <c r="E5404" s="25">
        <f t="shared" si="430"/>
        <v>389.35</v>
      </c>
    </row>
    <row r="5405" spans="1:6" ht="12.75" customHeight="1">
      <c r="A5405" s="4" t="s">
        <v>94</v>
      </c>
      <c r="B5405" s="8">
        <v>1</v>
      </c>
      <c r="C5405" s="6" t="s">
        <v>1171</v>
      </c>
      <c r="D5405" s="37">
        <f>Prec.!$D$513</f>
        <v>285</v>
      </c>
      <c r="E5405" s="25">
        <f t="shared" si="430"/>
        <v>285</v>
      </c>
    </row>
    <row r="5406" spans="1:6" ht="12.75" customHeight="1">
      <c r="A5406" s="4" t="s">
        <v>805</v>
      </c>
      <c r="B5406" s="8">
        <v>1</v>
      </c>
      <c r="C5406" s="6" t="s">
        <v>1171</v>
      </c>
      <c r="D5406" s="37">
        <f>Prec.!$D$569</f>
        <v>16.47</v>
      </c>
      <c r="E5406" s="25">
        <f t="shared" si="430"/>
        <v>16.47</v>
      </c>
    </row>
    <row r="5407" spans="1:6" ht="12.75" customHeight="1">
      <c r="A5407" s="4" t="s">
        <v>806</v>
      </c>
      <c r="B5407" s="8">
        <v>2.5000000000000001E-2</v>
      </c>
      <c r="C5407" s="6" t="s">
        <v>1172</v>
      </c>
      <c r="D5407" s="37">
        <f>Prec.!$D$563</f>
        <v>12.04</v>
      </c>
      <c r="E5407" s="25">
        <f t="shared" si="430"/>
        <v>0.3</v>
      </c>
    </row>
    <row r="5408" spans="1:6" ht="12.75" customHeight="1">
      <c r="A5408" s="4" t="s">
        <v>208</v>
      </c>
      <c r="B5408" s="7">
        <f>SUM(E5399:E5407)</f>
        <v>3814.9300000000003</v>
      </c>
      <c r="C5408" s="6" t="s">
        <v>209</v>
      </c>
      <c r="D5408" s="37">
        <f>Prec.!C302</f>
        <v>1.4999999999999999E-2</v>
      </c>
      <c r="E5408" s="25">
        <f t="shared" si="430"/>
        <v>57.22</v>
      </c>
      <c r="F5408" s="26">
        <f>SUM(E5399:E5408)</f>
        <v>3872.15</v>
      </c>
    </row>
    <row r="5409" spans="1:13" ht="12.75" customHeight="1">
      <c r="B5409" s="7"/>
    </row>
    <row r="5410" spans="1:13" s="166" customFormat="1" ht="12.75" customHeight="1">
      <c r="B5410" s="7"/>
      <c r="C5410" s="165"/>
      <c r="D5410" s="37"/>
      <c r="E5410" s="25"/>
      <c r="F5410" s="26"/>
      <c r="G5410" s="15"/>
      <c r="H5410" s="21"/>
      <c r="I5410" s="15"/>
      <c r="J5410" s="15"/>
      <c r="K5410" s="15"/>
      <c r="L5410" s="21"/>
      <c r="M5410" s="15"/>
    </row>
    <row r="5411" spans="1:13" s="166" customFormat="1" ht="12.75" customHeight="1">
      <c r="B5411" s="7"/>
      <c r="C5411" s="165"/>
      <c r="D5411" s="37"/>
      <c r="E5411" s="25"/>
      <c r="F5411" s="26"/>
      <c r="G5411" s="15"/>
      <c r="H5411" s="21"/>
      <c r="I5411" s="15"/>
      <c r="J5411" s="15"/>
      <c r="K5411" s="15"/>
      <c r="L5411" s="21"/>
      <c r="M5411" s="15"/>
    </row>
    <row r="5412" spans="1:13" s="166" customFormat="1" ht="12.75" customHeight="1">
      <c r="B5412" s="7"/>
      <c r="C5412" s="165"/>
      <c r="D5412" s="37"/>
      <c r="E5412" s="25"/>
      <c r="F5412" s="26"/>
      <c r="G5412" s="15"/>
      <c r="H5412" s="21"/>
      <c r="I5412" s="15"/>
      <c r="J5412" s="15"/>
      <c r="K5412" s="15"/>
      <c r="L5412" s="21"/>
      <c r="M5412" s="15"/>
    </row>
    <row r="5413" spans="1:13" s="166" customFormat="1" ht="12.75" customHeight="1">
      <c r="B5413" s="7"/>
      <c r="C5413" s="165"/>
      <c r="D5413" s="37"/>
      <c r="E5413" s="25"/>
      <c r="F5413" s="26"/>
      <c r="G5413" s="15"/>
      <c r="H5413" s="21"/>
      <c r="I5413" s="15"/>
      <c r="J5413" s="15"/>
      <c r="K5413" s="15"/>
      <c r="L5413" s="21"/>
      <c r="M5413" s="15"/>
    </row>
    <row r="5414" spans="1:13" ht="12.75" customHeight="1">
      <c r="A5414" s="1" t="s">
        <v>1240</v>
      </c>
      <c r="B5414" s="11"/>
      <c r="C5414" s="2"/>
      <c r="E5414" s="27" t="s">
        <v>151</v>
      </c>
      <c r="F5414" s="28" t="s">
        <v>1171</v>
      </c>
    </row>
    <row r="5415" spans="1:13" ht="12.75" customHeight="1">
      <c r="A5415" s="4" t="s">
        <v>98</v>
      </c>
      <c r="B5415" s="8">
        <v>6.51</v>
      </c>
      <c r="C5415" s="6" t="s">
        <v>1017</v>
      </c>
      <c r="D5415" s="37">
        <f>Prec.!C113</f>
        <v>32.14</v>
      </c>
      <c r="E5415" s="25">
        <f t="shared" ref="E5415:E5426" si="431">ROUND(B5415*D5415,2)</f>
        <v>209.23</v>
      </c>
    </row>
    <row r="5416" spans="1:13" ht="12.75" customHeight="1">
      <c r="A5416" s="4" t="s">
        <v>421</v>
      </c>
      <c r="B5416" s="8">
        <v>2.5000000000000001E-2</v>
      </c>
      <c r="C5416" s="6" t="s">
        <v>825</v>
      </c>
      <c r="D5416" s="37">
        <f>$F$407</f>
        <v>5567.74</v>
      </c>
      <c r="E5416" s="25">
        <f t="shared" si="431"/>
        <v>139.19</v>
      </c>
    </row>
    <row r="5417" spans="1:13" ht="12.75" customHeight="1">
      <c r="A5417" s="4" t="s">
        <v>663</v>
      </c>
      <c r="B5417" s="8">
        <v>1.49E-2</v>
      </c>
      <c r="C5417" s="6" t="s">
        <v>825</v>
      </c>
      <c r="D5417" s="37">
        <f>D5401</f>
        <v>5355.8599999999988</v>
      </c>
      <c r="E5417" s="25">
        <f t="shared" si="431"/>
        <v>79.8</v>
      </c>
    </row>
    <row r="5418" spans="1:13" ht="12.75" customHeight="1">
      <c r="A5418" s="4" t="s">
        <v>1173</v>
      </c>
      <c r="B5418" s="8">
        <v>0.05</v>
      </c>
      <c r="C5418" s="6" t="s">
        <v>218</v>
      </c>
      <c r="D5418" s="37">
        <f>Prec.!$C$82</f>
        <v>75</v>
      </c>
      <c r="E5418" s="25">
        <f t="shared" si="431"/>
        <v>3.75</v>
      </c>
    </row>
    <row r="5419" spans="1:13" ht="12.75" customHeight="1">
      <c r="A5419" s="4" t="s">
        <v>673</v>
      </c>
      <c r="B5419" s="8">
        <v>2.5000000000000001E-2</v>
      </c>
      <c r="C5419" s="6" t="s">
        <v>1172</v>
      </c>
      <c r="D5419" s="37">
        <f>Prec.!$C$8</f>
        <v>250</v>
      </c>
      <c r="E5419" s="25">
        <f t="shared" si="431"/>
        <v>6.25</v>
      </c>
    </row>
    <row r="5420" spans="1:13" ht="12.75" customHeight="1">
      <c r="A5420" s="4" t="s">
        <v>92</v>
      </c>
      <c r="B5420" s="8">
        <v>1</v>
      </c>
      <c r="C5420" s="6" t="s">
        <v>1171</v>
      </c>
      <c r="D5420" s="37">
        <f>Prec.!$D$502</f>
        <v>0</v>
      </c>
      <c r="E5420" s="25">
        <f t="shared" si="431"/>
        <v>0</v>
      </c>
    </row>
    <row r="5421" spans="1:13" ht="12.75" customHeight="1">
      <c r="A5421" s="4" t="s">
        <v>99</v>
      </c>
      <c r="B5421" s="8">
        <v>1</v>
      </c>
      <c r="C5421" s="6" t="s">
        <v>1171</v>
      </c>
      <c r="D5421" s="37">
        <f>Prec.!D507</f>
        <v>0</v>
      </c>
      <c r="E5421" s="25">
        <f t="shared" si="431"/>
        <v>0</v>
      </c>
    </row>
    <row r="5422" spans="1:13" ht="12.75" customHeight="1">
      <c r="A5422" s="4" t="s">
        <v>1015</v>
      </c>
      <c r="B5422" s="8">
        <v>2</v>
      </c>
      <c r="C5422" s="6" t="s">
        <v>1017</v>
      </c>
      <c r="D5422" s="37">
        <f>Prec.!D490</f>
        <v>11.93</v>
      </c>
      <c r="E5422" s="25">
        <f t="shared" si="431"/>
        <v>23.86</v>
      </c>
    </row>
    <row r="5423" spans="1:13" ht="12.75" customHeight="1">
      <c r="A5423" s="4" t="s">
        <v>94</v>
      </c>
      <c r="B5423" s="8">
        <v>1</v>
      </c>
      <c r="C5423" s="6" t="s">
        <v>1171</v>
      </c>
      <c r="D5423" s="37">
        <f>Prec.!$D$513</f>
        <v>285</v>
      </c>
      <c r="E5423" s="25">
        <f t="shared" si="431"/>
        <v>285</v>
      </c>
    </row>
    <row r="5424" spans="1:13" ht="12.75" customHeight="1">
      <c r="A5424" s="4" t="s">
        <v>890</v>
      </c>
      <c r="B5424" s="8">
        <v>1</v>
      </c>
      <c r="C5424" s="6" t="s">
        <v>1171</v>
      </c>
      <c r="D5424" s="37">
        <f>D5406</f>
        <v>16.47</v>
      </c>
      <c r="E5424" s="25">
        <f t="shared" si="431"/>
        <v>16.47</v>
      </c>
    </row>
    <row r="5425" spans="1:13" ht="12.75" customHeight="1">
      <c r="A5425" s="4" t="s">
        <v>806</v>
      </c>
      <c r="B5425" s="8">
        <v>2.5000000000000001E-2</v>
      </c>
      <c r="C5425" s="6" t="s">
        <v>1172</v>
      </c>
      <c r="D5425" s="37">
        <f>Prec.!$D$563</f>
        <v>12.04</v>
      </c>
      <c r="E5425" s="25">
        <f t="shared" si="431"/>
        <v>0.3</v>
      </c>
    </row>
    <row r="5426" spans="1:13" ht="12.75" customHeight="1">
      <c r="A5426" s="4" t="s">
        <v>208</v>
      </c>
      <c r="B5426" s="7">
        <f>SUM(E5415:E5425)</f>
        <v>763.84999999999991</v>
      </c>
      <c r="C5426" s="6" t="s">
        <v>209</v>
      </c>
      <c r="D5426" s="37">
        <f>Prec.!C302</f>
        <v>1.4999999999999999E-2</v>
      </c>
      <c r="E5426" s="25">
        <f t="shared" si="431"/>
        <v>11.46</v>
      </c>
      <c r="F5426" s="26">
        <f>SUM(E5415:E5426)</f>
        <v>775.31</v>
      </c>
    </row>
    <row r="5427" spans="1:13" ht="12.75" customHeight="1">
      <c r="B5427" s="7"/>
    </row>
    <row r="5428" spans="1:13" ht="12.75" customHeight="1">
      <c r="A5428" s="13" t="s">
        <v>854</v>
      </c>
      <c r="B5428" s="14"/>
      <c r="C5428" s="24"/>
      <c r="D5428" s="35"/>
      <c r="E5428" s="43" t="s">
        <v>151</v>
      </c>
      <c r="F5428" s="44" t="s">
        <v>1017</v>
      </c>
    </row>
    <row r="5429" spans="1:13" ht="12.75" customHeight="1">
      <c r="A5429" s="12" t="s">
        <v>302</v>
      </c>
      <c r="B5429" s="30">
        <v>1.05</v>
      </c>
      <c r="C5429" s="24" t="s">
        <v>1017</v>
      </c>
      <c r="D5429" s="35">
        <f>Prec.!$C$146</f>
        <v>125.25</v>
      </c>
      <c r="E5429" s="31">
        <f t="shared" ref="E5429:E5435" si="432">ROUND(B5429*D5429,2)</f>
        <v>131.51</v>
      </c>
      <c r="F5429" s="32"/>
    </row>
    <row r="5430" spans="1:13" ht="12.75" customHeight="1">
      <c r="A5430" s="12" t="s">
        <v>1174</v>
      </c>
      <c r="B5430" s="30">
        <v>1E-3</v>
      </c>
      <c r="C5430" s="24" t="s">
        <v>825</v>
      </c>
      <c r="D5430" s="35">
        <f>horm.ymez.!E9</f>
        <v>6011.2699999999995</v>
      </c>
      <c r="E5430" s="31">
        <f t="shared" si="432"/>
        <v>6.01</v>
      </c>
      <c r="F5430" s="32"/>
    </row>
    <row r="5431" spans="1:13" ht="12.75" customHeight="1">
      <c r="A5431" s="12" t="s">
        <v>304</v>
      </c>
      <c r="B5431" s="30">
        <v>2E-3</v>
      </c>
      <c r="C5431" s="24" t="s">
        <v>1172</v>
      </c>
      <c r="D5431" s="35">
        <f>Prec.!$C$7</f>
        <v>250</v>
      </c>
      <c r="E5431" s="31">
        <f t="shared" si="432"/>
        <v>0.5</v>
      </c>
      <c r="F5431" s="32"/>
    </row>
    <row r="5432" spans="1:13" ht="12.75" customHeight="1">
      <c r="A5432" s="12" t="s">
        <v>303</v>
      </c>
      <c r="B5432" s="30">
        <v>1</v>
      </c>
      <c r="C5432" s="24" t="s">
        <v>1017</v>
      </c>
      <c r="D5432" s="35">
        <f>Prec.!$D$515</f>
        <v>0</v>
      </c>
      <c r="E5432" s="31">
        <f t="shared" si="432"/>
        <v>0</v>
      </c>
      <c r="F5432" s="32"/>
    </row>
    <row r="5433" spans="1:13" ht="12.75" customHeight="1">
      <c r="A5433" s="12" t="s">
        <v>1156</v>
      </c>
      <c r="B5433" s="30">
        <v>1</v>
      </c>
      <c r="C5433" s="24" t="s">
        <v>1017</v>
      </c>
      <c r="D5433" s="35">
        <f>Prec.!$D$575</f>
        <v>0.46</v>
      </c>
      <c r="E5433" s="31">
        <f t="shared" si="432"/>
        <v>0.46</v>
      </c>
      <c r="F5433" s="32"/>
    </row>
    <row r="5434" spans="1:13" ht="12.75" customHeight="1">
      <c r="A5434" s="12" t="s">
        <v>806</v>
      </c>
      <c r="B5434" s="30">
        <v>2E-3</v>
      </c>
      <c r="C5434" s="24" t="s">
        <v>1172</v>
      </c>
      <c r="D5434" s="35">
        <f>Prec.!$D$563</f>
        <v>12.04</v>
      </c>
      <c r="E5434" s="31">
        <f t="shared" si="432"/>
        <v>0.02</v>
      </c>
      <c r="F5434" s="32"/>
    </row>
    <row r="5435" spans="1:13" ht="12.75" customHeight="1">
      <c r="A5435" s="12" t="s">
        <v>208</v>
      </c>
      <c r="B5435" s="14">
        <f>SUM(E5429:E5434)</f>
        <v>138.5</v>
      </c>
      <c r="C5435" s="24" t="s">
        <v>209</v>
      </c>
      <c r="D5435" s="35">
        <v>0.02</v>
      </c>
      <c r="E5435" s="31">
        <f t="shared" si="432"/>
        <v>2.77</v>
      </c>
      <c r="F5435" s="32">
        <f>SUM(E5429:E5435)</f>
        <v>141.27000000000001</v>
      </c>
    </row>
    <row r="5436" spans="1:13" ht="5.25" customHeight="1">
      <c r="A5436" s="12"/>
      <c r="B5436" s="14"/>
      <c r="C5436" s="24"/>
      <c r="D5436" s="35"/>
      <c r="E5436" s="31"/>
      <c r="F5436" s="32"/>
    </row>
    <row r="5437" spans="1:13" s="166" customFormat="1" ht="5.25" customHeight="1">
      <c r="B5437" s="7"/>
      <c r="C5437" s="165"/>
      <c r="D5437" s="37"/>
      <c r="E5437" s="25"/>
      <c r="F5437" s="26"/>
      <c r="G5437" s="15"/>
      <c r="H5437" s="21"/>
      <c r="I5437" s="15"/>
      <c r="J5437" s="15"/>
      <c r="K5437" s="15"/>
      <c r="L5437" s="21"/>
      <c r="M5437" s="15"/>
    </row>
    <row r="5438" spans="1:13" s="166" customFormat="1" ht="5.25" customHeight="1">
      <c r="B5438" s="7"/>
      <c r="C5438" s="165"/>
      <c r="D5438" s="37"/>
      <c r="E5438" s="25"/>
      <c r="F5438" s="26"/>
      <c r="G5438" s="15"/>
      <c r="H5438" s="21"/>
      <c r="I5438" s="15"/>
      <c r="J5438" s="15"/>
      <c r="K5438" s="15"/>
      <c r="L5438" s="21"/>
      <c r="M5438" s="15"/>
    </row>
    <row r="5439" spans="1:13" ht="12.75" customHeight="1">
      <c r="A5439" s="1530" t="s">
        <v>912</v>
      </c>
      <c r="B5439" s="1541"/>
      <c r="C5439" s="1538"/>
      <c r="D5439" s="1533"/>
      <c r="E5439" s="1534" t="s">
        <v>151</v>
      </c>
      <c r="F5439" s="1535" t="s">
        <v>1017</v>
      </c>
    </row>
    <row r="5440" spans="1:13" ht="12.75" customHeight="1">
      <c r="A5440" s="1536" t="s">
        <v>302</v>
      </c>
      <c r="B5440" s="1537">
        <v>1.05</v>
      </c>
      <c r="C5440" s="1538" t="s">
        <v>1017</v>
      </c>
      <c r="D5440" s="1533">
        <f>Prec.!$C$147</f>
        <v>139.88</v>
      </c>
      <c r="E5440" s="1539">
        <f t="shared" ref="E5440:E5446" si="433">ROUND(B5440*D5440,2)</f>
        <v>146.87</v>
      </c>
      <c r="F5440" s="1540"/>
    </row>
    <row r="5441" spans="1:13" ht="12.75" customHeight="1">
      <c r="A5441" s="1536" t="s">
        <v>1174</v>
      </c>
      <c r="B5441" s="1537">
        <v>1E-3</v>
      </c>
      <c r="C5441" s="1538" t="s">
        <v>825</v>
      </c>
      <c r="D5441" s="1533">
        <f>$F$357</f>
        <v>6011.2699999999995</v>
      </c>
      <c r="E5441" s="1539">
        <f t="shared" si="433"/>
        <v>6.01</v>
      </c>
      <c r="F5441" s="1540"/>
    </row>
    <row r="5442" spans="1:13" ht="12.75" customHeight="1">
      <c r="A5442" s="1536" t="s">
        <v>673</v>
      </c>
      <c r="B5442" s="1537">
        <v>2E-3</v>
      </c>
      <c r="C5442" s="1538" t="s">
        <v>1172</v>
      </c>
      <c r="D5442" s="1533">
        <f>Prec.!$C$8</f>
        <v>250</v>
      </c>
      <c r="E5442" s="1539">
        <f t="shared" si="433"/>
        <v>0.5</v>
      </c>
      <c r="F5442" s="1540"/>
    </row>
    <row r="5443" spans="1:13" ht="12.75" customHeight="1">
      <c r="A5443" s="1536" t="s">
        <v>303</v>
      </c>
      <c r="B5443" s="1537">
        <v>1</v>
      </c>
      <c r="C5443" s="1538" t="s">
        <v>1017</v>
      </c>
      <c r="D5443" s="1533">
        <f>D5338+5</f>
        <v>188.01</v>
      </c>
      <c r="E5443" s="1539">
        <f t="shared" si="433"/>
        <v>188.01</v>
      </c>
      <c r="F5443" s="1540"/>
    </row>
    <row r="5444" spans="1:13" ht="12.75" customHeight="1">
      <c r="A5444" s="1536" t="s">
        <v>1156</v>
      </c>
      <c r="B5444" s="1537">
        <v>1</v>
      </c>
      <c r="C5444" s="1538" t="s">
        <v>1017</v>
      </c>
      <c r="D5444" s="1533">
        <f>Prec.!$D$575</f>
        <v>0.46</v>
      </c>
      <c r="E5444" s="1539">
        <f t="shared" si="433"/>
        <v>0.46</v>
      </c>
      <c r="F5444" s="1540"/>
    </row>
    <row r="5445" spans="1:13" ht="12.75" customHeight="1">
      <c r="A5445" s="1536" t="s">
        <v>806</v>
      </c>
      <c r="B5445" s="1537">
        <v>2E-3</v>
      </c>
      <c r="C5445" s="1538" t="s">
        <v>1172</v>
      </c>
      <c r="D5445" s="1533">
        <f>Prec.!$D$563</f>
        <v>12.04</v>
      </c>
      <c r="E5445" s="1539">
        <f t="shared" si="433"/>
        <v>0.02</v>
      </c>
      <c r="F5445" s="1540"/>
    </row>
    <row r="5446" spans="1:13" ht="12.75" customHeight="1">
      <c r="A5446" s="1536" t="s">
        <v>208</v>
      </c>
      <c r="B5446" s="1541">
        <f>SUM(E5440:E5443)</f>
        <v>341.39</v>
      </c>
      <c r="C5446" s="1538" t="s">
        <v>209</v>
      </c>
      <c r="D5446" s="1533">
        <f>Prec.!C302</f>
        <v>1.4999999999999999E-2</v>
      </c>
      <c r="E5446" s="1539">
        <f t="shared" si="433"/>
        <v>5.12</v>
      </c>
      <c r="F5446" s="1540">
        <f>SUM(E5440:E5446)</f>
        <v>346.98999999999995</v>
      </c>
    </row>
    <row r="5447" spans="1:13" ht="4.5" customHeight="1">
      <c r="B5447" s="7"/>
    </row>
    <row r="5448" spans="1:13" s="166" customFormat="1" ht="4.5" customHeight="1">
      <c r="B5448" s="7"/>
      <c r="C5448" s="165"/>
      <c r="D5448" s="37"/>
      <c r="E5448" s="25"/>
      <c r="F5448" s="26"/>
      <c r="G5448" s="15"/>
      <c r="H5448" s="21"/>
      <c r="I5448" s="15"/>
      <c r="J5448" s="15"/>
      <c r="K5448" s="15"/>
      <c r="L5448" s="21"/>
      <c r="M5448" s="15"/>
    </row>
    <row r="5449" spans="1:13" s="166" customFormat="1" ht="4.5" customHeight="1">
      <c r="B5449" s="7"/>
      <c r="C5449" s="165"/>
      <c r="D5449" s="37"/>
      <c r="E5449" s="25"/>
      <c r="F5449" s="26"/>
      <c r="G5449" s="15"/>
      <c r="H5449" s="21"/>
      <c r="I5449" s="15"/>
      <c r="J5449" s="15"/>
      <c r="K5449" s="15"/>
      <c r="L5449" s="21"/>
      <c r="M5449" s="15"/>
    </row>
    <row r="5450" spans="1:13" ht="12.75" customHeight="1">
      <c r="A5450" s="13" t="s">
        <v>1205</v>
      </c>
      <c r="B5450" s="7"/>
      <c r="E5450" s="27" t="s">
        <v>151</v>
      </c>
      <c r="F5450" s="28" t="s">
        <v>1017</v>
      </c>
    </row>
    <row r="5451" spans="1:13" ht="12.75" customHeight="1">
      <c r="A5451" s="4" t="s">
        <v>774</v>
      </c>
      <c r="B5451" s="8">
        <v>1.05</v>
      </c>
      <c r="C5451" s="6" t="s">
        <v>1171</v>
      </c>
      <c r="D5451" s="37">
        <f>Prec.!C138</f>
        <v>568.4</v>
      </c>
      <c r="E5451" s="25">
        <f t="shared" ref="E5451:E5458" si="434">ROUND(B5451*D5451,2)</f>
        <v>596.82000000000005</v>
      </c>
    </row>
    <row r="5452" spans="1:13" ht="12.75" customHeight="1">
      <c r="A5452" s="4" t="s">
        <v>1174</v>
      </c>
      <c r="B5452" s="8">
        <v>1E-3</v>
      </c>
      <c r="C5452" s="6" t="s">
        <v>825</v>
      </c>
      <c r="D5452" s="37">
        <f>horm.ymez.!E9</f>
        <v>6011.2699999999995</v>
      </c>
      <c r="E5452" s="25">
        <f t="shared" si="434"/>
        <v>6.01</v>
      </c>
    </row>
    <row r="5453" spans="1:13" ht="12.75" customHeight="1">
      <c r="A5453" s="4" t="s">
        <v>673</v>
      </c>
      <c r="B5453" s="8">
        <v>2E-3</v>
      </c>
      <c r="C5453" s="6" t="s">
        <v>1172</v>
      </c>
      <c r="D5453" s="37">
        <f>Prec.!$C$8</f>
        <v>250</v>
      </c>
      <c r="E5453" s="25">
        <f t="shared" si="434"/>
        <v>0.5</v>
      </c>
    </row>
    <row r="5454" spans="1:13" ht="12.75" customHeight="1">
      <c r="A5454" s="4" t="s">
        <v>1015</v>
      </c>
      <c r="B5454" s="8">
        <v>1</v>
      </c>
      <c r="C5454" s="6" t="s">
        <v>1017</v>
      </c>
      <c r="D5454" s="37">
        <f>Prec.!D491</f>
        <v>11.93</v>
      </c>
      <c r="E5454" s="25">
        <f t="shared" si="434"/>
        <v>11.93</v>
      </c>
    </row>
    <row r="5455" spans="1:13" ht="12.75" customHeight="1">
      <c r="A5455" s="4" t="s">
        <v>303</v>
      </c>
      <c r="B5455" s="8">
        <v>1</v>
      </c>
      <c r="C5455" s="6" t="s">
        <v>1017</v>
      </c>
      <c r="D5455" s="37">
        <f>Prec.!$D$515</f>
        <v>0</v>
      </c>
      <c r="E5455" s="25">
        <f t="shared" si="434"/>
        <v>0</v>
      </c>
    </row>
    <row r="5456" spans="1:13" ht="12.75" customHeight="1">
      <c r="A5456" s="4" t="s">
        <v>1156</v>
      </c>
      <c r="B5456" s="8">
        <v>1</v>
      </c>
      <c r="C5456" s="6" t="s">
        <v>1017</v>
      </c>
      <c r="D5456" s="37">
        <f>Prec.!$D$575</f>
        <v>0.46</v>
      </c>
      <c r="E5456" s="25">
        <f t="shared" si="434"/>
        <v>0.46</v>
      </c>
    </row>
    <row r="5457" spans="1:6" ht="12.75" customHeight="1">
      <c r="A5457" s="4" t="s">
        <v>806</v>
      </c>
      <c r="B5457" s="8">
        <v>2E-3</v>
      </c>
      <c r="C5457" s="6" t="s">
        <v>1172</v>
      </c>
      <c r="D5457" s="37">
        <f>Prec.!$D$563</f>
        <v>12.04</v>
      </c>
      <c r="E5457" s="25">
        <f t="shared" si="434"/>
        <v>0.02</v>
      </c>
    </row>
    <row r="5458" spans="1:6" ht="12.75" customHeight="1">
      <c r="A5458" s="4" t="s">
        <v>208</v>
      </c>
      <c r="B5458" s="7">
        <f>SUM(E5451:E5455)</f>
        <v>615.26</v>
      </c>
      <c r="C5458" s="6" t="s">
        <v>209</v>
      </c>
      <c r="D5458" s="37">
        <f>Prec.!C302</f>
        <v>1.4999999999999999E-2</v>
      </c>
      <c r="E5458" s="25">
        <f t="shared" si="434"/>
        <v>9.23</v>
      </c>
      <c r="F5458" s="26">
        <f>SUM(E5451:E5458)</f>
        <v>624.97</v>
      </c>
    </row>
    <row r="5459" spans="1:6" ht="4.5" customHeight="1">
      <c r="B5459" s="7"/>
    </row>
    <row r="5460" spans="1:6" ht="12.75" customHeight="1">
      <c r="A5460" s="13" t="s">
        <v>74</v>
      </c>
      <c r="B5460" s="11"/>
      <c r="C5460" s="2"/>
      <c r="E5460" s="27" t="s">
        <v>151</v>
      </c>
      <c r="F5460" s="28" t="s">
        <v>1017</v>
      </c>
    </row>
    <row r="5461" spans="1:6" ht="12.75" customHeight="1">
      <c r="A5461" s="4" t="s">
        <v>818</v>
      </c>
      <c r="B5461" s="8">
        <v>0.25</v>
      </c>
      <c r="C5461" s="6" t="s">
        <v>1017</v>
      </c>
      <c r="D5461" s="37">
        <f>Prec.!C113</f>
        <v>32.14</v>
      </c>
      <c r="E5461" s="25">
        <f t="shared" ref="E5461:E5469" si="435">ROUND(B5461*D5461,2)</f>
        <v>8.0399999999999991</v>
      </c>
    </row>
    <row r="5462" spans="1:6" ht="12.75" customHeight="1">
      <c r="A5462" s="4" t="s">
        <v>673</v>
      </c>
      <c r="B5462" s="8">
        <v>2E-3</v>
      </c>
      <c r="C5462" s="6" t="s">
        <v>1172</v>
      </c>
      <c r="D5462" s="37">
        <f>Prec.!$C$8</f>
        <v>250</v>
      </c>
      <c r="E5462" s="25">
        <f t="shared" si="435"/>
        <v>0.5</v>
      </c>
    </row>
    <row r="5463" spans="1:6" ht="12.75" customHeight="1">
      <c r="A5463" s="4" t="s">
        <v>1173</v>
      </c>
      <c r="B5463" s="8">
        <v>5.0000000000000001E-3</v>
      </c>
      <c r="C5463" s="6" t="s">
        <v>1018</v>
      </c>
      <c r="D5463" s="37">
        <f>Prec.!$C$82</f>
        <v>75</v>
      </c>
      <c r="E5463" s="25">
        <f t="shared" si="435"/>
        <v>0.38</v>
      </c>
    </row>
    <row r="5464" spans="1:6" ht="12.75" customHeight="1">
      <c r="A5464" s="4" t="s">
        <v>1174</v>
      </c>
      <c r="B5464" s="8">
        <v>1E-3</v>
      </c>
      <c r="C5464" s="6" t="s">
        <v>825</v>
      </c>
      <c r="D5464" s="37">
        <f>D5452</f>
        <v>6011.2699999999995</v>
      </c>
      <c r="E5464" s="25">
        <f t="shared" si="435"/>
        <v>6.01</v>
      </c>
    </row>
    <row r="5465" spans="1:6" ht="12.75" customHeight="1">
      <c r="A5465" s="4" t="s">
        <v>1015</v>
      </c>
      <c r="B5465" s="8">
        <v>1</v>
      </c>
      <c r="C5465" s="6" t="s">
        <v>1017</v>
      </c>
      <c r="D5465" s="37">
        <f>Prec.!D490</f>
        <v>11.93</v>
      </c>
      <c r="E5465" s="25">
        <f t="shared" si="435"/>
        <v>11.93</v>
      </c>
    </row>
    <row r="5466" spans="1:6" ht="12.75" customHeight="1">
      <c r="A5466" s="4" t="s">
        <v>674</v>
      </c>
      <c r="B5466" s="8">
        <v>1</v>
      </c>
      <c r="C5466" s="6" t="s">
        <v>1017</v>
      </c>
      <c r="D5466" s="37">
        <f>Prec.!$D$514</f>
        <v>0</v>
      </c>
      <c r="E5466" s="25">
        <f t="shared" si="435"/>
        <v>0</v>
      </c>
    </row>
    <row r="5467" spans="1:6" ht="12.75" customHeight="1">
      <c r="A5467" s="4" t="s">
        <v>1156</v>
      </c>
      <c r="B5467" s="8">
        <v>1</v>
      </c>
      <c r="C5467" s="6" t="s">
        <v>1017</v>
      </c>
      <c r="D5467" s="37">
        <f>D5456</f>
        <v>0.46</v>
      </c>
      <c r="E5467" s="25">
        <f t="shared" si="435"/>
        <v>0.46</v>
      </c>
    </row>
    <row r="5468" spans="1:6" ht="12.75" customHeight="1">
      <c r="A5468" s="4" t="s">
        <v>806</v>
      </c>
      <c r="B5468" s="8">
        <v>2E-3</v>
      </c>
      <c r="C5468" s="6" t="s">
        <v>1172</v>
      </c>
      <c r="D5468" s="37">
        <f>Prec.!$D$563</f>
        <v>12.04</v>
      </c>
      <c r="E5468" s="25">
        <f t="shared" si="435"/>
        <v>0.02</v>
      </c>
    </row>
    <row r="5469" spans="1:6" ht="12.75" customHeight="1">
      <c r="A5469" s="4" t="s">
        <v>208</v>
      </c>
      <c r="B5469" s="7">
        <f>SUM(E5461:E5468)</f>
        <v>27.34</v>
      </c>
      <c r="C5469" s="6" t="s">
        <v>209</v>
      </c>
      <c r="D5469" s="37">
        <f>Prec.!C302</f>
        <v>1.4999999999999999E-2</v>
      </c>
      <c r="E5469" s="25">
        <f t="shared" si="435"/>
        <v>0.41</v>
      </c>
      <c r="F5469" s="26">
        <f>SUM(E5461:E5469)</f>
        <v>27.75</v>
      </c>
    </row>
    <row r="5470" spans="1:6" ht="12.75" customHeight="1">
      <c r="A5470" s="23" t="s">
        <v>662</v>
      </c>
      <c r="B5470" s="7"/>
    </row>
    <row r="5471" spans="1:6" ht="3.75" customHeight="1">
      <c r="A5471" s="2"/>
      <c r="B5471" s="7"/>
    </row>
    <row r="5472" spans="1:6" ht="12.75" customHeight="1">
      <c r="A5472" s="13" t="s">
        <v>501</v>
      </c>
      <c r="B5472" s="11"/>
      <c r="C5472" s="2"/>
      <c r="E5472" s="27" t="s">
        <v>151</v>
      </c>
      <c r="F5472" s="28" t="s">
        <v>1171</v>
      </c>
    </row>
    <row r="5473" spans="1:13" ht="12.75" customHeight="1">
      <c r="A5473" s="4" t="s">
        <v>564</v>
      </c>
      <c r="B5473" s="8">
        <v>1</v>
      </c>
      <c r="C5473" s="6" t="s">
        <v>1171</v>
      </c>
      <c r="D5473" s="37">
        <f>Prec.!$C$145</f>
        <v>1935.25</v>
      </c>
      <c r="E5473" s="25">
        <f t="shared" ref="E5473:E5480" si="436">ROUND(B5473*D5473,2)</f>
        <v>1935.25</v>
      </c>
    </row>
    <row r="5474" spans="1:13" ht="12.75" customHeight="1">
      <c r="A5474" s="4" t="s">
        <v>421</v>
      </c>
      <c r="B5474" s="8">
        <v>2.5000000000000001E-2</v>
      </c>
      <c r="C5474" s="6" t="s">
        <v>825</v>
      </c>
      <c r="D5474" s="37">
        <f>horm.ymez.!F14</f>
        <v>5771.3299999999981</v>
      </c>
      <c r="E5474" s="25">
        <f t="shared" si="436"/>
        <v>144.28</v>
      </c>
    </row>
    <row r="5475" spans="1:13" ht="12.75" customHeight="1">
      <c r="A5475" s="4" t="s">
        <v>663</v>
      </c>
      <c r="B5475" s="8">
        <v>1.49E-2</v>
      </c>
      <c r="C5475" s="6" t="s">
        <v>825</v>
      </c>
      <c r="D5475" s="37">
        <f>horm.ymez.!F10</f>
        <v>5503.0599999999995</v>
      </c>
      <c r="E5475" s="25">
        <f t="shared" si="436"/>
        <v>82</v>
      </c>
    </row>
    <row r="5476" spans="1:13" ht="12.75" customHeight="1">
      <c r="A5476" s="4" t="s">
        <v>673</v>
      </c>
      <c r="B5476" s="8">
        <v>2.5000000000000001E-2</v>
      </c>
      <c r="C5476" s="6" t="s">
        <v>1172</v>
      </c>
      <c r="D5476" s="37">
        <f>Prec.!$C$8</f>
        <v>250</v>
      </c>
      <c r="E5476" s="25">
        <f t="shared" si="436"/>
        <v>6.25</v>
      </c>
    </row>
    <row r="5477" spans="1:13" ht="12.75" customHeight="1">
      <c r="A5477" s="4" t="s">
        <v>92</v>
      </c>
      <c r="B5477" s="8">
        <v>1</v>
      </c>
      <c r="C5477" s="6" t="s">
        <v>1171</v>
      </c>
      <c r="D5477" s="37">
        <f>Prec.!$D$502</f>
        <v>0</v>
      </c>
      <c r="E5477" s="25">
        <f t="shared" si="436"/>
        <v>0</v>
      </c>
    </row>
    <row r="5478" spans="1:13" ht="12.75" customHeight="1">
      <c r="A5478" s="4" t="s">
        <v>93</v>
      </c>
      <c r="B5478" s="8">
        <v>1</v>
      </c>
      <c r="C5478" s="6" t="s">
        <v>1171</v>
      </c>
      <c r="D5478" s="37">
        <f>Prec.!$D$504</f>
        <v>0</v>
      </c>
      <c r="E5478" s="25">
        <f t="shared" si="436"/>
        <v>0</v>
      </c>
    </row>
    <row r="5479" spans="1:13" ht="12.75" customHeight="1">
      <c r="A5479" s="4" t="s">
        <v>94</v>
      </c>
      <c r="B5479" s="8">
        <v>1</v>
      </c>
      <c r="C5479" s="6" t="s">
        <v>1171</v>
      </c>
      <c r="D5479" s="37">
        <f>Prec.!$D$513</f>
        <v>285</v>
      </c>
      <c r="E5479" s="25">
        <f t="shared" si="436"/>
        <v>285</v>
      </c>
    </row>
    <row r="5480" spans="1:13" ht="12.75" customHeight="1">
      <c r="A5480" s="4" t="s">
        <v>805</v>
      </c>
      <c r="B5480" s="8">
        <v>1</v>
      </c>
      <c r="C5480" s="6" t="s">
        <v>1171</v>
      </c>
      <c r="D5480" s="37">
        <f>Prec.!D570</f>
        <v>19.88</v>
      </c>
      <c r="E5480" s="25">
        <f t="shared" si="436"/>
        <v>19.88</v>
      </c>
    </row>
    <row r="5481" spans="1:13" ht="12.75" customHeight="1">
      <c r="A5481" s="4" t="s">
        <v>806</v>
      </c>
      <c r="B5481" s="8">
        <v>2.5000000000000001E-2</v>
      </c>
      <c r="C5481" s="6" t="s">
        <v>1172</v>
      </c>
      <c r="D5481" s="37">
        <f>Prec.!D564</f>
        <v>15.58</v>
      </c>
      <c r="E5481" s="25">
        <f>ROUND(B5481*D5481,2)</f>
        <v>0.39</v>
      </c>
    </row>
    <row r="5482" spans="1:13" ht="12.75" customHeight="1">
      <c r="A5482" s="4" t="s">
        <v>208</v>
      </c>
      <c r="B5482" s="7">
        <f>SUM(E5473:E5481)</f>
        <v>2473.0500000000002</v>
      </c>
      <c r="C5482" s="6" t="s">
        <v>209</v>
      </c>
      <c r="D5482" s="37">
        <f>Prec.!C302</f>
        <v>1.4999999999999999E-2</v>
      </c>
      <c r="E5482" s="25">
        <f>ROUND(B5482*D5482,2)</f>
        <v>37.1</v>
      </c>
      <c r="F5482" s="26">
        <f>SUM(E5473:E5482)</f>
        <v>2510.15</v>
      </c>
    </row>
    <row r="5483" spans="1:13" s="166" customFormat="1" ht="9" customHeight="1">
      <c r="B5483" s="7"/>
      <c r="C5483" s="165"/>
      <c r="D5483" s="37"/>
      <c r="E5483" s="25"/>
      <c r="F5483" s="26"/>
      <c r="G5483" s="15"/>
      <c r="H5483" s="21"/>
      <c r="I5483" s="15"/>
      <c r="J5483" s="15"/>
      <c r="K5483" s="15"/>
      <c r="L5483" s="21"/>
      <c r="M5483" s="15"/>
    </row>
    <row r="5484" spans="1:13" ht="12.75" customHeight="1">
      <c r="A5484" s="13" t="s">
        <v>271</v>
      </c>
      <c r="B5484" s="42"/>
      <c r="C5484" s="29"/>
      <c r="D5484" s="35"/>
      <c r="E5484" s="43" t="s">
        <v>151</v>
      </c>
      <c r="F5484" s="44" t="s">
        <v>1171</v>
      </c>
    </row>
    <row r="5485" spans="1:13" ht="12.75" customHeight="1">
      <c r="A5485" s="12" t="s">
        <v>95</v>
      </c>
      <c r="B5485" s="30">
        <v>1</v>
      </c>
      <c r="C5485" s="24" t="s">
        <v>1171</v>
      </c>
      <c r="D5485" s="35">
        <f>Prec.!$C$144</f>
        <v>1710.15</v>
      </c>
      <c r="E5485" s="31">
        <f t="shared" ref="E5485:E5494" si="437">ROUND(B5485*D5485,2)</f>
        <v>1710.15</v>
      </c>
      <c r="F5485" s="32"/>
    </row>
    <row r="5486" spans="1:13" ht="12.75" customHeight="1">
      <c r="A5486" s="12" t="s">
        <v>421</v>
      </c>
      <c r="B5486" s="30">
        <v>2.5000000000000001E-2</v>
      </c>
      <c r="C5486" s="24" t="s">
        <v>825</v>
      </c>
      <c r="D5486" s="35">
        <f>D5474</f>
        <v>5771.3299999999981</v>
      </c>
      <c r="E5486" s="31">
        <f t="shared" si="437"/>
        <v>144.28</v>
      </c>
      <c r="F5486" s="32"/>
    </row>
    <row r="5487" spans="1:13" ht="12.75" customHeight="1">
      <c r="A5487" s="12" t="s">
        <v>663</v>
      </c>
      <c r="B5487" s="30">
        <v>1.49E-2</v>
      </c>
      <c r="C5487" s="24" t="s">
        <v>825</v>
      </c>
      <c r="D5487" s="35">
        <f>D5475</f>
        <v>5503.0599999999995</v>
      </c>
      <c r="E5487" s="31">
        <f t="shared" si="437"/>
        <v>82</v>
      </c>
      <c r="F5487" s="32"/>
    </row>
    <row r="5488" spans="1:13" ht="12.75" customHeight="1">
      <c r="A5488" s="12" t="s">
        <v>622</v>
      </c>
      <c r="B5488" s="30">
        <v>2.5000000000000001E-2</v>
      </c>
      <c r="C5488" s="24" t="s">
        <v>1172</v>
      </c>
      <c r="D5488" s="35">
        <f>Prec.!$C$7</f>
        <v>250</v>
      </c>
      <c r="E5488" s="31">
        <f t="shared" si="437"/>
        <v>6.25</v>
      </c>
      <c r="F5488" s="32"/>
    </row>
    <row r="5489" spans="1:6" ht="12.75" customHeight="1">
      <c r="A5489" s="12" t="s">
        <v>92</v>
      </c>
      <c r="B5489" s="30">
        <v>1</v>
      </c>
      <c r="C5489" s="24" t="s">
        <v>1171</v>
      </c>
      <c r="D5489" s="35">
        <f>Prec.!$D$502</f>
        <v>0</v>
      </c>
      <c r="E5489" s="31">
        <f t="shared" si="437"/>
        <v>0</v>
      </c>
      <c r="F5489" s="32"/>
    </row>
    <row r="5490" spans="1:6" ht="12.75" customHeight="1">
      <c r="A5490" s="12" t="s">
        <v>93</v>
      </c>
      <c r="B5490" s="30">
        <v>1</v>
      </c>
      <c r="C5490" s="24" t="s">
        <v>1171</v>
      </c>
      <c r="D5490" s="35">
        <f>Prec.!$D$504</f>
        <v>0</v>
      </c>
      <c r="E5490" s="31">
        <f t="shared" si="437"/>
        <v>0</v>
      </c>
      <c r="F5490" s="32"/>
    </row>
    <row r="5491" spans="1:6" ht="12.75" customHeight="1">
      <c r="A5491" s="12" t="s">
        <v>94</v>
      </c>
      <c r="B5491" s="30">
        <v>1</v>
      </c>
      <c r="C5491" s="24" t="s">
        <v>1171</v>
      </c>
      <c r="D5491" s="35">
        <f>Prec.!$D$513</f>
        <v>285</v>
      </c>
      <c r="E5491" s="31">
        <f t="shared" si="437"/>
        <v>285</v>
      </c>
      <c r="F5491" s="32"/>
    </row>
    <row r="5492" spans="1:6" ht="12.75" customHeight="1">
      <c r="A5492" s="12" t="s">
        <v>805</v>
      </c>
      <c r="B5492" s="30">
        <v>1</v>
      </c>
      <c r="C5492" s="24" t="s">
        <v>1171</v>
      </c>
      <c r="D5492" s="35">
        <f>D5480</f>
        <v>19.88</v>
      </c>
      <c r="E5492" s="31">
        <f t="shared" si="437"/>
        <v>19.88</v>
      </c>
      <c r="F5492" s="32"/>
    </row>
    <row r="5493" spans="1:6" ht="12.75" customHeight="1">
      <c r="A5493" s="12" t="s">
        <v>806</v>
      </c>
      <c r="B5493" s="30">
        <v>2.5000000000000001E-2</v>
      </c>
      <c r="C5493" s="24" t="s">
        <v>1172</v>
      </c>
      <c r="D5493" s="35">
        <f>D5481</f>
        <v>15.58</v>
      </c>
      <c r="E5493" s="31">
        <f t="shared" si="437"/>
        <v>0.39</v>
      </c>
      <c r="F5493" s="32"/>
    </row>
    <row r="5494" spans="1:6" ht="12.75" customHeight="1">
      <c r="A5494" s="12" t="s">
        <v>208</v>
      </c>
      <c r="B5494" s="14">
        <f>SUM(E5485:E5491)</f>
        <v>2227.6800000000003</v>
      </c>
      <c r="C5494" s="24" t="s">
        <v>209</v>
      </c>
      <c r="D5494" s="35">
        <v>0.02</v>
      </c>
      <c r="E5494" s="31">
        <f t="shared" si="437"/>
        <v>44.55</v>
      </c>
      <c r="F5494" s="32">
        <f>SUM(E5485:E5494)</f>
        <v>2292.5000000000005</v>
      </c>
    </row>
    <row r="5495" spans="1:6" ht="12.75" customHeight="1">
      <c r="A5495" s="12"/>
      <c r="B5495" s="14"/>
      <c r="C5495" s="24"/>
      <c r="D5495" s="35"/>
      <c r="E5495" s="31"/>
      <c r="F5495" s="32"/>
    </row>
    <row r="5496" spans="1:6" ht="12.75" customHeight="1">
      <c r="A5496" s="13" t="s">
        <v>1235</v>
      </c>
      <c r="B5496" s="11"/>
      <c r="C5496" s="2"/>
      <c r="E5496" s="27" t="s">
        <v>151</v>
      </c>
      <c r="F5496" s="28" t="s">
        <v>1171</v>
      </c>
    </row>
    <row r="5497" spans="1:6" ht="12.75" customHeight="1">
      <c r="A5497" s="4" t="s">
        <v>421</v>
      </c>
      <c r="B5497" s="8">
        <v>2.5000000000000001E-2</v>
      </c>
      <c r="C5497" s="6" t="s">
        <v>825</v>
      </c>
      <c r="D5497" s="37">
        <f>D5486</f>
        <v>5771.3299999999981</v>
      </c>
      <c r="E5497" s="25">
        <f t="shared" ref="E5497:E5502" si="438">ROUND(B5497*D5497,2)</f>
        <v>144.28</v>
      </c>
    </row>
    <row r="5498" spans="1:6" ht="12.75" customHeight="1">
      <c r="A5498" s="4" t="s">
        <v>427</v>
      </c>
      <c r="B5498" s="8">
        <v>7.0000000000000001E-3</v>
      </c>
      <c r="C5498" s="6" t="s">
        <v>825</v>
      </c>
      <c r="D5498" s="37">
        <f>horm.ymez.!F8</f>
        <v>7163.99</v>
      </c>
      <c r="E5498" s="25">
        <f t="shared" si="438"/>
        <v>50.15</v>
      </c>
    </row>
    <row r="5499" spans="1:6" ht="12.75" customHeight="1">
      <c r="A5499" s="4" t="s">
        <v>183</v>
      </c>
      <c r="B5499" s="8">
        <v>0.77</v>
      </c>
      <c r="C5499" s="6" t="s">
        <v>211</v>
      </c>
      <c r="D5499" s="37">
        <f>D5393</f>
        <v>38</v>
      </c>
      <c r="E5499" s="25">
        <f t="shared" si="438"/>
        <v>29.26</v>
      </c>
    </row>
    <row r="5500" spans="1:6" ht="12.75" customHeight="1">
      <c r="A5500" s="4" t="s">
        <v>92</v>
      </c>
      <c r="B5500" s="8">
        <v>1</v>
      </c>
      <c r="C5500" s="6" t="s">
        <v>1171</v>
      </c>
      <c r="D5500" s="37">
        <f>Prec.!$D$502</f>
        <v>0</v>
      </c>
      <c r="E5500" s="25">
        <f t="shared" si="438"/>
        <v>0</v>
      </c>
    </row>
    <row r="5501" spans="1:6" ht="12.75" customHeight="1">
      <c r="A5501" s="4" t="s">
        <v>97</v>
      </c>
      <c r="B5501" s="8">
        <v>1</v>
      </c>
      <c r="C5501" s="6" t="s">
        <v>1171</v>
      </c>
      <c r="D5501" s="37">
        <f>Prec.!$D$503</f>
        <v>0</v>
      </c>
      <c r="E5501" s="25">
        <f t="shared" si="438"/>
        <v>0</v>
      </c>
    </row>
    <row r="5502" spans="1:6" ht="12.75" customHeight="1">
      <c r="A5502" s="4" t="s">
        <v>208</v>
      </c>
      <c r="B5502" s="7">
        <f>SUM(E5497:E5501)</f>
        <v>223.69</v>
      </c>
      <c r="C5502" s="6" t="s">
        <v>209</v>
      </c>
      <c r="D5502" s="37">
        <f>Prec.!C302</f>
        <v>1.4999999999999999E-2</v>
      </c>
      <c r="E5502" s="25">
        <f t="shared" si="438"/>
        <v>3.36</v>
      </c>
      <c r="F5502" s="26">
        <f>SUM(E5497:E5502)</f>
        <v>227.05</v>
      </c>
    </row>
    <row r="5503" spans="1:6" ht="12.75" customHeight="1">
      <c r="B5503" s="7"/>
    </row>
    <row r="5504" spans="1:6" ht="12.75" customHeight="1">
      <c r="A5504" s="13" t="s">
        <v>1236</v>
      </c>
      <c r="B5504" s="11"/>
      <c r="C5504" s="2"/>
      <c r="E5504" s="27" t="s">
        <v>151</v>
      </c>
      <c r="F5504" s="28" t="s">
        <v>1171</v>
      </c>
    </row>
    <row r="5505" spans="1:13" ht="12.75" customHeight="1">
      <c r="A5505" s="4" t="s">
        <v>76</v>
      </c>
      <c r="B5505" s="8">
        <v>1</v>
      </c>
      <c r="C5505" s="6" t="s">
        <v>1171</v>
      </c>
      <c r="D5505" s="37">
        <f>Prec.!C137</f>
        <v>2898.57</v>
      </c>
      <c r="E5505" s="25">
        <f t="shared" ref="E5505:E5514" si="439">ROUND(B5505*D5505,2)</f>
        <v>2898.57</v>
      </c>
    </row>
    <row r="5506" spans="1:13" ht="12.75" customHeight="1">
      <c r="A5506" s="4" t="s">
        <v>421</v>
      </c>
      <c r="B5506" s="8">
        <v>2.5000000000000001E-2</v>
      </c>
      <c r="C5506" s="6" t="s">
        <v>825</v>
      </c>
      <c r="D5506" s="37">
        <f>D5497</f>
        <v>5771.3299999999981</v>
      </c>
      <c r="E5506" s="25">
        <f t="shared" si="439"/>
        <v>144.28</v>
      </c>
    </row>
    <row r="5507" spans="1:13" ht="12.75" customHeight="1">
      <c r="A5507" s="4" t="s">
        <v>663</v>
      </c>
      <c r="B5507" s="8">
        <v>1.49E-2</v>
      </c>
      <c r="C5507" s="6" t="s">
        <v>825</v>
      </c>
      <c r="D5507" s="37">
        <f>D5487</f>
        <v>5503.0599999999995</v>
      </c>
      <c r="E5507" s="25">
        <f t="shared" si="439"/>
        <v>82</v>
      </c>
    </row>
    <row r="5508" spans="1:13" ht="12.75" customHeight="1">
      <c r="A5508" s="4" t="s">
        <v>622</v>
      </c>
      <c r="B5508" s="8">
        <v>2.5000000000000001E-2</v>
      </c>
      <c r="C5508" s="6" t="s">
        <v>1172</v>
      </c>
      <c r="D5508" s="37">
        <f>Prec.!$C$8</f>
        <v>250</v>
      </c>
      <c r="E5508" s="25">
        <f t="shared" si="439"/>
        <v>6.25</v>
      </c>
    </row>
    <row r="5509" spans="1:13" ht="12.75" customHeight="1">
      <c r="A5509" s="4" t="s">
        <v>92</v>
      </c>
      <c r="B5509" s="8">
        <v>1</v>
      </c>
      <c r="C5509" s="6" t="s">
        <v>1171</v>
      </c>
      <c r="D5509" s="37">
        <f>Prec.!$D$502</f>
        <v>0</v>
      </c>
      <c r="E5509" s="25">
        <f t="shared" si="439"/>
        <v>0</v>
      </c>
    </row>
    <row r="5510" spans="1:13" ht="12.75" customHeight="1">
      <c r="A5510" s="4" t="s">
        <v>93</v>
      </c>
      <c r="B5510" s="8">
        <v>1</v>
      </c>
      <c r="C5510" s="6" t="s">
        <v>1171</v>
      </c>
      <c r="D5510" s="37">
        <f>Prec.!D508</f>
        <v>0</v>
      </c>
      <c r="E5510" s="25">
        <f t="shared" si="439"/>
        <v>0</v>
      </c>
    </row>
    <row r="5511" spans="1:13" ht="12.75" customHeight="1">
      <c r="A5511" s="4" t="s">
        <v>94</v>
      </c>
      <c r="B5511" s="8">
        <v>1</v>
      </c>
      <c r="C5511" s="6" t="s">
        <v>1171</v>
      </c>
      <c r="D5511" s="37">
        <f>Prec.!$D$513</f>
        <v>285</v>
      </c>
      <c r="E5511" s="25">
        <f t="shared" si="439"/>
        <v>285</v>
      </c>
    </row>
    <row r="5512" spans="1:13" ht="12.75" customHeight="1">
      <c r="A5512" s="4" t="s">
        <v>805</v>
      </c>
      <c r="B5512" s="8">
        <v>1</v>
      </c>
      <c r="C5512" s="6" t="s">
        <v>1171</v>
      </c>
      <c r="D5512" s="37">
        <f>D5492</f>
        <v>19.88</v>
      </c>
      <c r="E5512" s="25">
        <f t="shared" si="439"/>
        <v>19.88</v>
      </c>
    </row>
    <row r="5513" spans="1:13" ht="12.75" customHeight="1">
      <c r="A5513" s="4" t="s">
        <v>806</v>
      </c>
      <c r="B5513" s="8">
        <v>2.5000000000000001E-2</v>
      </c>
      <c r="C5513" s="6" t="s">
        <v>1172</v>
      </c>
      <c r="D5513" s="37">
        <f>D5493</f>
        <v>15.58</v>
      </c>
      <c r="E5513" s="25">
        <f t="shared" si="439"/>
        <v>0.39</v>
      </c>
    </row>
    <row r="5514" spans="1:13" ht="12.75" customHeight="1">
      <c r="A5514" s="4" t="s">
        <v>208</v>
      </c>
      <c r="B5514" s="7">
        <f>SUM(E5505:E5513)</f>
        <v>3436.3700000000003</v>
      </c>
      <c r="C5514" s="6" t="s">
        <v>209</v>
      </c>
      <c r="D5514" s="37">
        <f>Prec.!C302</f>
        <v>1.4999999999999999E-2</v>
      </c>
      <c r="E5514" s="25">
        <f t="shared" si="439"/>
        <v>51.55</v>
      </c>
      <c r="F5514" s="26">
        <f>SUM(E5505:E5514)</f>
        <v>3487.9200000000005</v>
      </c>
    </row>
    <row r="5515" spans="1:13" ht="12.75" customHeight="1">
      <c r="B5515" s="7"/>
    </row>
    <row r="5516" spans="1:13" s="166" customFormat="1" ht="12.75" customHeight="1">
      <c r="B5516" s="7"/>
      <c r="C5516" s="165"/>
      <c r="D5516" s="37"/>
      <c r="E5516" s="25"/>
      <c r="F5516" s="26"/>
      <c r="G5516" s="15"/>
      <c r="H5516" s="21"/>
      <c r="I5516" s="15"/>
      <c r="J5516" s="15"/>
      <c r="K5516" s="15"/>
      <c r="L5516" s="21"/>
      <c r="M5516" s="15"/>
    </row>
    <row r="5517" spans="1:13" s="166" customFormat="1" ht="12.75" customHeight="1">
      <c r="B5517" s="7"/>
      <c r="C5517" s="165"/>
      <c r="D5517" s="37"/>
      <c r="E5517" s="25"/>
      <c r="F5517" s="26"/>
      <c r="G5517" s="15"/>
      <c r="H5517" s="21"/>
      <c r="I5517" s="15"/>
      <c r="J5517" s="15"/>
      <c r="K5517" s="15"/>
      <c r="L5517" s="21"/>
      <c r="M5517" s="15"/>
    </row>
    <row r="5518" spans="1:13" s="166" customFormat="1" ht="12.75" customHeight="1">
      <c r="B5518" s="7"/>
      <c r="C5518" s="165"/>
      <c r="D5518" s="37"/>
      <c r="E5518" s="25"/>
      <c r="F5518" s="26"/>
      <c r="G5518" s="15"/>
      <c r="H5518" s="21"/>
      <c r="I5518" s="15"/>
      <c r="J5518" s="15"/>
      <c r="K5518" s="15"/>
      <c r="L5518" s="21"/>
      <c r="M5518" s="15"/>
    </row>
    <row r="5519" spans="1:13" s="166" customFormat="1" ht="12.75" customHeight="1">
      <c r="B5519" s="7"/>
      <c r="C5519" s="165"/>
      <c r="D5519" s="37"/>
      <c r="E5519" s="25"/>
      <c r="F5519" s="26"/>
      <c r="G5519" s="15"/>
      <c r="H5519" s="21"/>
      <c r="I5519" s="15"/>
      <c r="J5519" s="15"/>
      <c r="K5519" s="15"/>
      <c r="L5519" s="21"/>
      <c r="M5519" s="15"/>
    </row>
    <row r="5520" spans="1:13" s="166" customFormat="1" ht="12.75" customHeight="1">
      <c r="B5520" s="7"/>
      <c r="C5520" s="165"/>
      <c r="D5520" s="37"/>
      <c r="E5520" s="25"/>
      <c r="F5520" s="26"/>
      <c r="G5520" s="15"/>
      <c r="H5520" s="21"/>
      <c r="I5520" s="15"/>
      <c r="J5520" s="15"/>
      <c r="K5520" s="15"/>
      <c r="L5520" s="21"/>
      <c r="M5520" s="15"/>
    </row>
    <row r="5521" spans="1:6" ht="12.75" customHeight="1">
      <c r="A5521" s="1" t="s">
        <v>464</v>
      </c>
      <c r="B5521" s="11"/>
      <c r="C5521" s="2"/>
      <c r="E5521" s="27" t="s">
        <v>151</v>
      </c>
      <c r="F5521" s="28" t="s">
        <v>1171</v>
      </c>
    </row>
    <row r="5522" spans="1:6" ht="12.75" customHeight="1">
      <c r="A5522" s="4" t="s">
        <v>98</v>
      </c>
      <c r="B5522" s="8">
        <v>6.51</v>
      </c>
      <c r="C5522" s="6" t="s">
        <v>1017</v>
      </c>
      <c r="D5522" s="37">
        <f>Prec.!C113</f>
        <v>32.14</v>
      </c>
      <c r="E5522" s="25">
        <f t="shared" ref="E5522:E5533" si="440">ROUND(B5522*D5522,2)</f>
        <v>209.23</v>
      </c>
    </row>
    <row r="5523" spans="1:6" ht="12.75" customHeight="1">
      <c r="A5523" s="4" t="s">
        <v>421</v>
      </c>
      <c r="B5523" s="8">
        <v>2.5000000000000001E-2</v>
      </c>
      <c r="C5523" s="6" t="s">
        <v>825</v>
      </c>
      <c r="D5523" s="37">
        <f>D5506</f>
        <v>5771.3299999999981</v>
      </c>
      <c r="E5523" s="25">
        <f t="shared" si="440"/>
        <v>144.28</v>
      </c>
    </row>
    <row r="5524" spans="1:6" ht="12.75" customHeight="1">
      <c r="A5524" s="4" t="s">
        <v>663</v>
      </c>
      <c r="B5524" s="8">
        <v>1.49E-2</v>
      </c>
      <c r="C5524" s="6" t="s">
        <v>825</v>
      </c>
      <c r="D5524" s="37">
        <f>D5507</f>
        <v>5503.0599999999995</v>
      </c>
      <c r="E5524" s="25">
        <f t="shared" si="440"/>
        <v>82</v>
      </c>
    </row>
    <row r="5525" spans="1:6" ht="12.75" customHeight="1">
      <c r="A5525" s="4" t="s">
        <v>1173</v>
      </c>
      <c r="B5525" s="8">
        <v>0.05</v>
      </c>
      <c r="C5525" s="6" t="s">
        <v>218</v>
      </c>
      <c r="D5525" s="37">
        <f>Prec.!$C$82</f>
        <v>75</v>
      </c>
      <c r="E5525" s="25">
        <f t="shared" si="440"/>
        <v>3.75</v>
      </c>
    </row>
    <row r="5526" spans="1:6" ht="12.75" customHeight="1">
      <c r="A5526" s="4" t="s">
        <v>673</v>
      </c>
      <c r="B5526" s="8">
        <v>2.5000000000000001E-2</v>
      </c>
      <c r="C5526" s="6" t="s">
        <v>1172</v>
      </c>
      <c r="D5526" s="37">
        <f>Prec.!$C$8</f>
        <v>250</v>
      </c>
      <c r="E5526" s="25">
        <f t="shared" si="440"/>
        <v>6.25</v>
      </c>
    </row>
    <row r="5527" spans="1:6" ht="12.75" customHeight="1">
      <c r="A5527" s="4" t="s">
        <v>92</v>
      </c>
      <c r="B5527" s="8">
        <v>1</v>
      </c>
      <c r="C5527" s="6" t="s">
        <v>1171</v>
      </c>
      <c r="D5527" s="37">
        <f>Prec.!$D$502</f>
        <v>0</v>
      </c>
      <c r="E5527" s="25">
        <f t="shared" si="440"/>
        <v>0</v>
      </c>
    </row>
    <row r="5528" spans="1:6" ht="12.75" customHeight="1">
      <c r="A5528" s="4" t="s">
        <v>99</v>
      </c>
      <c r="B5528" s="8">
        <v>1</v>
      </c>
      <c r="C5528" s="6" t="s">
        <v>1171</v>
      </c>
      <c r="D5528" s="37">
        <f>Prec.!D507</f>
        <v>0</v>
      </c>
      <c r="E5528" s="25">
        <f t="shared" si="440"/>
        <v>0</v>
      </c>
    </row>
    <row r="5529" spans="1:6" ht="12.75" customHeight="1">
      <c r="A5529" s="4" t="s">
        <v>1015</v>
      </c>
      <c r="B5529" s="8">
        <v>2</v>
      </c>
      <c r="C5529" s="6" t="s">
        <v>1017</v>
      </c>
      <c r="D5529" s="37">
        <f>Prec.!D490</f>
        <v>11.93</v>
      </c>
      <c r="E5529" s="25">
        <f t="shared" si="440"/>
        <v>23.86</v>
      </c>
    </row>
    <row r="5530" spans="1:6" ht="12.75" customHeight="1">
      <c r="A5530" s="4" t="s">
        <v>94</v>
      </c>
      <c r="B5530" s="8">
        <v>1</v>
      </c>
      <c r="C5530" s="6" t="s">
        <v>1171</v>
      </c>
      <c r="D5530" s="37">
        <f>Prec.!$D$513</f>
        <v>285</v>
      </c>
      <c r="E5530" s="25">
        <f t="shared" si="440"/>
        <v>285</v>
      </c>
    </row>
    <row r="5531" spans="1:6" ht="12.75" customHeight="1">
      <c r="A5531" s="4" t="s">
        <v>890</v>
      </c>
      <c r="B5531" s="8">
        <v>1</v>
      </c>
      <c r="C5531" s="6" t="s">
        <v>1171</v>
      </c>
      <c r="D5531" s="37">
        <f>D5512</f>
        <v>19.88</v>
      </c>
      <c r="E5531" s="25">
        <f t="shared" si="440"/>
        <v>19.88</v>
      </c>
    </row>
    <row r="5532" spans="1:6" ht="12.75" customHeight="1">
      <c r="A5532" s="4" t="s">
        <v>806</v>
      </c>
      <c r="B5532" s="8">
        <v>2.5000000000000001E-2</v>
      </c>
      <c r="C5532" s="6" t="s">
        <v>1172</v>
      </c>
      <c r="D5532" s="37">
        <f>D5513</f>
        <v>15.58</v>
      </c>
      <c r="E5532" s="25">
        <f t="shared" si="440"/>
        <v>0.39</v>
      </c>
    </row>
    <row r="5533" spans="1:6" ht="12.75" customHeight="1">
      <c r="A5533" s="4" t="s">
        <v>208</v>
      </c>
      <c r="B5533" s="7">
        <f>SUM(E5522:E5532)</f>
        <v>774.64</v>
      </c>
      <c r="C5533" s="6" t="s">
        <v>209</v>
      </c>
      <c r="D5533" s="37">
        <f>Prec.!C302</f>
        <v>1.4999999999999999E-2</v>
      </c>
      <c r="E5533" s="25">
        <f t="shared" si="440"/>
        <v>11.62</v>
      </c>
      <c r="F5533" s="26">
        <f>SUM(E5522:E5533)</f>
        <v>786.26</v>
      </c>
    </row>
    <row r="5534" spans="1:6" ht="12.75" customHeight="1">
      <c r="B5534" s="7"/>
    </row>
    <row r="5535" spans="1:6" ht="12.75" customHeight="1">
      <c r="A5535" s="13" t="s">
        <v>1237</v>
      </c>
      <c r="B5535" s="14"/>
      <c r="C5535" s="24"/>
      <c r="D5535" s="35"/>
      <c r="E5535" s="43" t="s">
        <v>151</v>
      </c>
      <c r="F5535" s="44" t="s">
        <v>1017</v>
      </c>
    </row>
    <row r="5536" spans="1:6" ht="12.75" customHeight="1">
      <c r="A5536" s="12" t="s">
        <v>302</v>
      </c>
      <c r="B5536" s="30">
        <v>1.05</v>
      </c>
      <c r="C5536" s="24" t="s">
        <v>1017</v>
      </c>
      <c r="D5536" s="35">
        <f>Prec.!$C$146</f>
        <v>125.25</v>
      </c>
      <c r="E5536" s="31">
        <f t="shared" ref="E5536:E5542" si="441">ROUND(B5536*D5536,2)</f>
        <v>131.51</v>
      </c>
      <c r="F5536" s="32"/>
    </row>
    <row r="5537" spans="1:13" ht="12.75" customHeight="1">
      <c r="A5537" s="12" t="s">
        <v>1174</v>
      </c>
      <c r="B5537" s="30">
        <v>1E-3</v>
      </c>
      <c r="C5537" s="24" t="s">
        <v>825</v>
      </c>
      <c r="D5537" s="35">
        <f>horm.ymez.!F9</f>
        <v>6160.53</v>
      </c>
      <c r="E5537" s="31">
        <f t="shared" si="441"/>
        <v>6.16</v>
      </c>
      <c r="F5537" s="32"/>
    </row>
    <row r="5538" spans="1:13" ht="12.75" customHeight="1">
      <c r="A5538" s="12" t="s">
        <v>304</v>
      </c>
      <c r="B5538" s="30">
        <v>2E-3</v>
      </c>
      <c r="C5538" s="24" t="s">
        <v>1172</v>
      </c>
      <c r="D5538" s="35">
        <f>Prec.!$C$7</f>
        <v>250</v>
      </c>
      <c r="E5538" s="31">
        <f t="shared" si="441"/>
        <v>0.5</v>
      </c>
      <c r="F5538" s="32"/>
    </row>
    <row r="5539" spans="1:13" ht="12.75" customHeight="1">
      <c r="A5539" s="12" t="s">
        <v>303</v>
      </c>
      <c r="B5539" s="30">
        <v>1</v>
      </c>
      <c r="C5539" s="24" t="s">
        <v>1017</v>
      </c>
      <c r="D5539" s="35">
        <f>Prec.!$D$515</f>
        <v>0</v>
      </c>
      <c r="E5539" s="31">
        <f t="shared" si="441"/>
        <v>0</v>
      </c>
      <c r="F5539" s="32"/>
    </row>
    <row r="5540" spans="1:13" ht="12.75" customHeight="1">
      <c r="A5540" s="12" t="s">
        <v>1156</v>
      </c>
      <c r="B5540" s="30">
        <v>1</v>
      </c>
      <c r="C5540" s="24" t="s">
        <v>1017</v>
      </c>
      <c r="D5540" s="35">
        <f>Prec.!D576</f>
        <v>0.76</v>
      </c>
      <c r="E5540" s="31">
        <f t="shared" si="441"/>
        <v>0.76</v>
      </c>
      <c r="F5540" s="32"/>
    </row>
    <row r="5541" spans="1:13" ht="12.75" customHeight="1">
      <c r="A5541" s="12" t="s">
        <v>806</v>
      </c>
      <c r="B5541" s="30">
        <v>2E-3</v>
      </c>
      <c r="C5541" s="24" t="s">
        <v>1172</v>
      </c>
      <c r="D5541" s="35">
        <f>D5532</f>
        <v>15.58</v>
      </c>
      <c r="E5541" s="31">
        <f t="shared" si="441"/>
        <v>0.03</v>
      </c>
      <c r="F5541" s="32"/>
    </row>
    <row r="5542" spans="1:13" ht="12.75" customHeight="1">
      <c r="A5542" s="12" t="s">
        <v>208</v>
      </c>
      <c r="B5542" s="14">
        <f>SUM(E5536:E5541)</f>
        <v>138.95999999999998</v>
      </c>
      <c r="C5542" s="24" t="s">
        <v>209</v>
      </c>
      <c r="D5542" s="35">
        <v>0.02</v>
      </c>
      <c r="E5542" s="31">
        <f t="shared" si="441"/>
        <v>2.78</v>
      </c>
      <c r="F5542" s="32">
        <f>SUM(E5536:E5542)</f>
        <v>141.73999999999998</v>
      </c>
    </row>
    <row r="5543" spans="1:13" s="166" customFormat="1" ht="12.75" customHeight="1">
      <c r="B5543" s="7"/>
      <c r="C5543" s="165"/>
      <c r="D5543" s="37"/>
      <c r="E5543" s="25"/>
      <c r="F5543" s="26"/>
      <c r="G5543" s="15"/>
      <c r="H5543" s="21"/>
      <c r="I5543" s="15"/>
      <c r="J5543" s="15"/>
      <c r="K5543" s="15"/>
      <c r="L5543" s="21"/>
      <c r="M5543" s="15"/>
    </row>
    <row r="5544" spans="1:13" ht="3.75" customHeight="1">
      <c r="B5544" s="7"/>
    </row>
    <row r="5545" spans="1:13" ht="12.75" customHeight="1">
      <c r="A5545" s="1" t="s">
        <v>1238</v>
      </c>
      <c r="B5545" s="7"/>
      <c r="E5545" s="27" t="s">
        <v>151</v>
      </c>
      <c r="F5545" s="28" t="s">
        <v>1017</v>
      </c>
    </row>
    <row r="5546" spans="1:13" ht="12.75" customHeight="1">
      <c r="A5546" s="4" t="s">
        <v>302</v>
      </c>
      <c r="B5546" s="8">
        <v>1.05</v>
      </c>
      <c r="C5546" s="6" t="s">
        <v>1017</v>
      </c>
      <c r="D5546" s="37">
        <f>Prec.!$C$147</f>
        <v>139.88</v>
      </c>
      <c r="E5546" s="25">
        <f t="shared" ref="E5546:E5552" si="442">ROUND(B5546*D5546,2)</f>
        <v>146.87</v>
      </c>
    </row>
    <row r="5547" spans="1:13" ht="12.75" customHeight="1">
      <c r="A5547" s="4" t="s">
        <v>1174</v>
      </c>
      <c r="B5547" s="8">
        <v>1E-3</v>
      </c>
      <c r="C5547" s="6" t="s">
        <v>825</v>
      </c>
      <c r="D5547" s="37">
        <f>D5537</f>
        <v>6160.53</v>
      </c>
      <c r="E5547" s="25">
        <f t="shared" si="442"/>
        <v>6.16</v>
      </c>
    </row>
    <row r="5548" spans="1:13" ht="12.75" customHeight="1">
      <c r="A5548" s="4" t="s">
        <v>673</v>
      </c>
      <c r="B5548" s="8">
        <v>2E-3</v>
      </c>
      <c r="C5548" s="6" t="s">
        <v>1172</v>
      </c>
      <c r="D5548" s="37">
        <f>Prec.!$C$8</f>
        <v>250</v>
      </c>
      <c r="E5548" s="25">
        <f t="shared" si="442"/>
        <v>0.5</v>
      </c>
    </row>
    <row r="5549" spans="1:13" ht="12.75" customHeight="1">
      <c r="A5549" s="4" t="s">
        <v>303</v>
      </c>
      <c r="B5549" s="8">
        <v>1</v>
      </c>
      <c r="C5549" s="6" t="s">
        <v>1017</v>
      </c>
      <c r="D5549" s="37">
        <f>Prec.!$D$515</f>
        <v>0</v>
      </c>
      <c r="E5549" s="25">
        <f t="shared" si="442"/>
        <v>0</v>
      </c>
    </row>
    <row r="5550" spans="1:13" ht="12.75" customHeight="1">
      <c r="A5550" s="4" t="s">
        <v>1156</v>
      </c>
      <c r="B5550" s="8">
        <v>1</v>
      </c>
      <c r="C5550" s="6" t="s">
        <v>1017</v>
      </c>
      <c r="D5550" s="37">
        <f>D5540</f>
        <v>0.76</v>
      </c>
      <c r="E5550" s="25">
        <f t="shared" si="442"/>
        <v>0.76</v>
      </c>
    </row>
    <row r="5551" spans="1:13" ht="12.75" customHeight="1">
      <c r="A5551" s="4" t="s">
        <v>806</v>
      </c>
      <c r="B5551" s="8">
        <v>2E-3</v>
      </c>
      <c r="C5551" s="6" t="s">
        <v>1172</v>
      </c>
      <c r="D5551" s="37">
        <f>D5541</f>
        <v>15.58</v>
      </c>
      <c r="E5551" s="25">
        <f t="shared" si="442"/>
        <v>0.03</v>
      </c>
    </row>
    <row r="5552" spans="1:13" ht="12.75" customHeight="1">
      <c r="A5552" s="4" t="s">
        <v>208</v>
      </c>
      <c r="B5552" s="7">
        <f>SUM(E5546:E5551)</f>
        <v>154.32</v>
      </c>
      <c r="C5552" s="6" t="s">
        <v>209</v>
      </c>
      <c r="D5552" s="37">
        <f>D5542</f>
        <v>0.02</v>
      </c>
      <c r="E5552" s="25">
        <f t="shared" si="442"/>
        <v>3.09</v>
      </c>
      <c r="F5552" s="26">
        <f>SUM(E5546:E5552)</f>
        <v>157.41</v>
      </c>
    </row>
    <row r="5553" spans="1:6" ht="5.25" customHeight="1">
      <c r="B5553" s="7"/>
    </row>
    <row r="5554" spans="1:6" ht="12.75" customHeight="1">
      <c r="A5554" s="13" t="s">
        <v>58</v>
      </c>
      <c r="B5554" s="7"/>
      <c r="E5554" s="27" t="s">
        <v>151</v>
      </c>
      <c r="F5554" s="28" t="s">
        <v>1017</v>
      </c>
    </row>
    <row r="5555" spans="1:6" ht="12.75" customHeight="1">
      <c r="A5555" s="4" t="s">
        <v>774</v>
      </c>
      <c r="B5555" s="8">
        <v>1.05</v>
      </c>
      <c r="C5555" s="6" t="s">
        <v>1171</v>
      </c>
      <c r="D5555" s="37">
        <f>Prec.!C138</f>
        <v>568.4</v>
      </c>
      <c r="E5555" s="25">
        <f t="shared" ref="E5555:E5562" si="443">ROUND(B5555*D5555,2)</f>
        <v>596.82000000000005</v>
      </c>
    </row>
    <row r="5556" spans="1:6" ht="12.75" customHeight="1">
      <c r="A5556" s="4" t="s">
        <v>1174</v>
      </c>
      <c r="B5556" s="8">
        <v>1E-3</v>
      </c>
      <c r="C5556" s="6" t="s">
        <v>825</v>
      </c>
      <c r="D5556" s="37">
        <f>D5547</f>
        <v>6160.53</v>
      </c>
      <c r="E5556" s="25">
        <f t="shared" si="443"/>
        <v>6.16</v>
      </c>
    </row>
    <row r="5557" spans="1:6" ht="12.75" customHeight="1">
      <c r="A5557" s="4" t="s">
        <v>673</v>
      </c>
      <c r="B5557" s="8">
        <v>2E-3</v>
      </c>
      <c r="C5557" s="6" t="s">
        <v>1172</v>
      </c>
      <c r="D5557" s="37">
        <f>Prec.!$C$8</f>
        <v>250</v>
      </c>
      <c r="E5557" s="25">
        <f t="shared" si="443"/>
        <v>0.5</v>
      </c>
    </row>
    <row r="5558" spans="1:6" ht="12.75" customHeight="1">
      <c r="A5558" s="4" t="s">
        <v>1015</v>
      </c>
      <c r="B5558" s="8">
        <v>1</v>
      </c>
      <c r="C5558" s="6" t="s">
        <v>1017</v>
      </c>
      <c r="D5558" s="37">
        <f>Prec.!D491</f>
        <v>11.93</v>
      </c>
      <c r="E5558" s="25">
        <f t="shared" si="443"/>
        <v>11.93</v>
      </c>
    </row>
    <row r="5559" spans="1:6" ht="12.75" customHeight="1">
      <c r="A5559" s="4" t="s">
        <v>303</v>
      </c>
      <c r="B5559" s="8">
        <v>1</v>
      </c>
      <c r="C5559" s="6" t="s">
        <v>1017</v>
      </c>
      <c r="D5559" s="37">
        <f>Prec.!$D$515</f>
        <v>0</v>
      </c>
      <c r="E5559" s="25">
        <f t="shared" si="443"/>
        <v>0</v>
      </c>
    </row>
    <row r="5560" spans="1:6" ht="12.75" customHeight="1">
      <c r="A5560" s="4" t="s">
        <v>1156</v>
      </c>
      <c r="B5560" s="8">
        <v>1</v>
      </c>
      <c r="C5560" s="6" t="s">
        <v>1017</v>
      </c>
      <c r="D5560" s="37">
        <f>D5550</f>
        <v>0.76</v>
      </c>
      <c r="E5560" s="25">
        <f t="shared" si="443"/>
        <v>0.76</v>
      </c>
    </row>
    <row r="5561" spans="1:6" ht="12.75" customHeight="1">
      <c r="A5561" s="4" t="s">
        <v>806</v>
      </c>
      <c r="B5561" s="8">
        <v>2E-3</v>
      </c>
      <c r="C5561" s="6" t="s">
        <v>1172</v>
      </c>
      <c r="D5561" s="37">
        <f>D5551</f>
        <v>15.58</v>
      </c>
      <c r="E5561" s="25">
        <f t="shared" si="443"/>
        <v>0.03</v>
      </c>
    </row>
    <row r="5562" spans="1:6" ht="12.75" customHeight="1">
      <c r="A5562" s="4" t="s">
        <v>208</v>
      </c>
      <c r="B5562" s="7">
        <f>SUM(E5555:E5559)</f>
        <v>615.41</v>
      </c>
      <c r="C5562" s="6" t="s">
        <v>209</v>
      </c>
      <c r="D5562" s="37">
        <f>Prec.!C302</f>
        <v>1.4999999999999999E-2</v>
      </c>
      <c r="E5562" s="25">
        <f t="shared" si="443"/>
        <v>9.23</v>
      </c>
      <c r="F5562" s="26">
        <f>SUM(E5555:E5562)</f>
        <v>625.42999999999995</v>
      </c>
    </row>
    <row r="5563" spans="1:6" ht="6.75" customHeight="1">
      <c r="B5563" s="7"/>
    </row>
    <row r="5564" spans="1:6" ht="12.75" customHeight="1">
      <c r="A5564" s="13" t="s">
        <v>1239</v>
      </c>
      <c r="B5564" s="11"/>
      <c r="C5564" s="2"/>
      <c r="E5564" s="27" t="s">
        <v>151</v>
      </c>
      <c r="F5564" s="28" t="s">
        <v>1017</v>
      </c>
    </row>
    <row r="5565" spans="1:6" ht="12.75" customHeight="1">
      <c r="A5565" s="4" t="s">
        <v>818</v>
      </c>
      <c r="B5565" s="8">
        <v>0.25</v>
      </c>
      <c r="C5565" s="6" t="s">
        <v>1017</v>
      </c>
      <c r="D5565" s="37">
        <f>Prec.!C113</f>
        <v>32.14</v>
      </c>
      <c r="E5565" s="25">
        <f t="shared" ref="E5565:E5573" si="444">ROUND(B5565*D5565,2)</f>
        <v>8.0399999999999991</v>
      </c>
    </row>
    <row r="5566" spans="1:6" ht="12.75" customHeight="1">
      <c r="A5566" s="4" t="s">
        <v>673</v>
      </c>
      <c r="B5566" s="8">
        <v>2E-3</v>
      </c>
      <c r="C5566" s="6" t="s">
        <v>1172</v>
      </c>
      <c r="D5566" s="37">
        <f>Prec.!$C$8</f>
        <v>250</v>
      </c>
      <c r="E5566" s="25">
        <f t="shared" si="444"/>
        <v>0.5</v>
      </c>
    </row>
    <row r="5567" spans="1:6" ht="12.75" customHeight="1">
      <c r="A5567" s="4" t="s">
        <v>1173</v>
      </c>
      <c r="B5567" s="8">
        <v>5.0000000000000001E-3</v>
      </c>
      <c r="C5567" s="6" t="s">
        <v>1018</v>
      </c>
      <c r="D5567" s="37">
        <f>Prec.!$C$82</f>
        <v>75</v>
      </c>
      <c r="E5567" s="25">
        <f t="shared" si="444"/>
        <v>0.38</v>
      </c>
    </row>
    <row r="5568" spans="1:6" ht="12.75" customHeight="1">
      <c r="A5568" s="4" t="s">
        <v>1174</v>
      </c>
      <c r="B5568" s="8">
        <v>1E-3</v>
      </c>
      <c r="C5568" s="6" t="s">
        <v>825</v>
      </c>
      <c r="D5568" s="37">
        <f>horm.ymez.!F9</f>
        <v>6160.53</v>
      </c>
      <c r="E5568" s="25">
        <f t="shared" si="444"/>
        <v>6.16</v>
      </c>
    </row>
    <row r="5569" spans="1:6" ht="12.75" customHeight="1">
      <c r="A5569" s="4" t="s">
        <v>1015</v>
      </c>
      <c r="B5569" s="8">
        <v>1</v>
      </c>
      <c r="C5569" s="6" t="s">
        <v>1017</v>
      </c>
      <c r="D5569" s="37">
        <f>Prec.!D490</f>
        <v>11.93</v>
      </c>
      <c r="E5569" s="25">
        <f t="shared" si="444"/>
        <v>11.93</v>
      </c>
    </row>
    <row r="5570" spans="1:6" ht="12.75" customHeight="1">
      <c r="A5570" s="4" t="s">
        <v>674</v>
      </c>
      <c r="B5570" s="8">
        <v>1</v>
      </c>
      <c r="C5570" s="6" t="s">
        <v>1017</v>
      </c>
      <c r="D5570" s="37">
        <f>Prec.!$D$514</f>
        <v>0</v>
      </c>
      <c r="E5570" s="25">
        <f t="shared" si="444"/>
        <v>0</v>
      </c>
    </row>
    <row r="5571" spans="1:6" ht="12.75" customHeight="1">
      <c r="A5571" s="4" t="s">
        <v>1156</v>
      </c>
      <c r="B5571" s="8">
        <v>1</v>
      </c>
      <c r="C5571" s="6" t="s">
        <v>1017</v>
      </c>
      <c r="D5571" s="37">
        <f>D5560</f>
        <v>0.76</v>
      </c>
      <c r="E5571" s="25">
        <f t="shared" si="444"/>
        <v>0.76</v>
      </c>
    </row>
    <row r="5572" spans="1:6" ht="12.75" customHeight="1">
      <c r="A5572" s="4" t="s">
        <v>806</v>
      </c>
      <c r="B5572" s="8">
        <v>2E-3</v>
      </c>
      <c r="C5572" s="6" t="s">
        <v>1172</v>
      </c>
      <c r="D5572" s="37">
        <f>D5561</f>
        <v>15.58</v>
      </c>
      <c r="E5572" s="25">
        <f t="shared" si="444"/>
        <v>0.03</v>
      </c>
    </row>
    <row r="5573" spans="1:6" ht="12.75" customHeight="1">
      <c r="A5573" s="4" t="s">
        <v>208</v>
      </c>
      <c r="B5573" s="7">
        <f>SUM(E5565:E5572)</f>
        <v>27.8</v>
      </c>
      <c r="C5573" s="6" t="s">
        <v>209</v>
      </c>
      <c r="D5573" s="37">
        <f>Prec.!C302</f>
        <v>1.4999999999999999E-2</v>
      </c>
      <c r="E5573" s="25">
        <f t="shared" si="444"/>
        <v>0.42</v>
      </c>
      <c r="F5573" s="26">
        <f>SUM(E5565:E5573)</f>
        <v>28.220000000000002</v>
      </c>
    </row>
    <row r="5574" spans="1:6" ht="12.75" customHeight="1">
      <c r="A5574" s="23" t="s">
        <v>745</v>
      </c>
      <c r="B5574" s="7"/>
    </row>
    <row r="5575" spans="1:6" ht="12.75" customHeight="1">
      <c r="A5575" s="2"/>
      <c r="B5575" s="7"/>
    </row>
    <row r="5576" spans="1:6" ht="12.75" customHeight="1">
      <c r="A5576" s="13" t="s">
        <v>992</v>
      </c>
      <c r="B5576" s="11"/>
      <c r="C5576" s="2"/>
      <c r="E5576" s="27" t="s">
        <v>151</v>
      </c>
      <c r="F5576" s="28" t="s">
        <v>1171</v>
      </c>
    </row>
    <row r="5577" spans="1:6" ht="12.75" customHeight="1">
      <c r="A5577" s="4" t="s">
        <v>564</v>
      </c>
      <c r="B5577" s="8">
        <v>1</v>
      </c>
      <c r="C5577" s="6" t="s">
        <v>1171</v>
      </c>
      <c r="D5577" s="37">
        <f>Prec.!$C$145</f>
        <v>1935.25</v>
      </c>
      <c r="E5577" s="25">
        <f t="shared" ref="E5577:E5584" si="445">ROUND(B5577*D5577,2)</f>
        <v>1935.25</v>
      </c>
    </row>
    <row r="5578" spans="1:6" ht="12.75" customHeight="1">
      <c r="A5578" s="4" t="s">
        <v>421</v>
      </c>
      <c r="B5578" s="8">
        <v>2.5000000000000001E-2</v>
      </c>
      <c r="C5578" s="6" t="s">
        <v>825</v>
      </c>
      <c r="D5578" s="37">
        <f>horm.ymez.!G14</f>
        <v>5976.1900000000005</v>
      </c>
      <c r="E5578" s="25">
        <f t="shared" si="445"/>
        <v>149.4</v>
      </c>
    </row>
    <row r="5579" spans="1:6" ht="12.75" customHeight="1">
      <c r="A5579" s="4" t="s">
        <v>663</v>
      </c>
      <c r="B5579" s="8">
        <v>1.49E-2</v>
      </c>
      <c r="C5579" s="6" t="s">
        <v>825</v>
      </c>
      <c r="D5579" s="37">
        <f>horm.ymez.!G10</f>
        <v>5672.4999999999991</v>
      </c>
      <c r="E5579" s="25">
        <f t="shared" si="445"/>
        <v>84.52</v>
      </c>
    </row>
    <row r="5580" spans="1:6" ht="12.75" customHeight="1">
      <c r="A5580" s="4" t="s">
        <v>673</v>
      </c>
      <c r="B5580" s="8">
        <v>2.5000000000000001E-2</v>
      </c>
      <c r="C5580" s="6" t="s">
        <v>1172</v>
      </c>
      <c r="D5580" s="37">
        <f>Prec.!$C$8</f>
        <v>250</v>
      </c>
      <c r="E5580" s="25">
        <f t="shared" si="445"/>
        <v>6.25</v>
      </c>
    </row>
    <row r="5581" spans="1:6" ht="12.75" customHeight="1">
      <c r="A5581" s="4" t="s">
        <v>92</v>
      </c>
      <c r="B5581" s="8">
        <v>1</v>
      </c>
      <c r="C5581" s="6" t="s">
        <v>1171</v>
      </c>
      <c r="D5581" s="37">
        <f>Prec.!$D$502</f>
        <v>0</v>
      </c>
      <c r="E5581" s="25">
        <f t="shared" si="445"/>
        <v>0</v>
      </c>
    </row>
    <row r="5582" spans="1:6" ht="12.75" customHeight="1">
      <c r="A5582" s="4" t="s">
        <v>93</v>
      </c>
      <c r="B5582" s="8">
        <v>1</v>
      </c>
      <c r="C5582" s="6" t="s">
        <v>1171</v>
      </c>
      <c r="D5582" s="37">
        <f>Prec.!$D$504</f>
        <v>0</v>
      </c>
      <c r="E5582" s="25">
        <f t="shared" si="445"/>
        <v>0</v>
      </c>
    </row>
    <row r="5583" spans="1:6" ht="12.75" customHeight="1">
      <c r="A5583" s="4" t="s">
        <v>94</v>
      </c>
      <c r="B5583" s="8">
        <v>1</v>
      </c>
      <c r="C5583" s="6" t="s">
        <v>1171</v>
      </c>
      <c r="D5583" s="37">
        <f>Prec.!$D$513</f>
        <v>285</v>
      </c>
      <c r="E5583" s="25">
        <f t="shared" si="445"/>
        <v>285</v>
      </c>
    </row>
    <row r="5584" spans="1:6" ht="12.75" customHeight="1">
      <c r="A5584" s="4" t="s">
        <v>805</v>
      </c>
      <c r="B5584" s="8">
        <v>1</v>
      </c>
      <c r="C5584" s="6" t="s">
        <v>1171</v>
      </c>
      <c r="D5584" s="37">
        <f>Prec.!D571</f>
        <v>33.159999999999997</v>
      </c>
      <c r="E5584" s="25">
        <f t="shared" si="445"/>
        <v>33.159999999999997</v>
      </c>
    </row>
    <row r="5585" spans="1:6" ht="12.75" customHeight="1">
      <c r="A5585" s="4" t="s">
        <v>806</v>
      </c>
      <c r="B5585" s="8">
        <v>2.5000000000000001E-2</v>
      </c>
      <c r="C5585" s="6" t="s">
        <v>1172</v>
      </c>
      <c r="D5585" s="37">
        <f>Prec.!D565</f>
        <v>20.38</v>
      </c>
      <c r="E5585" s="25">
        <f>ROUND(B5585*D5585,2)</f>
        <v>0.51</v>
      </c>
    </row>
    <row r="5586" spans="1:6" ht="12.75" customHeight="1">
      <c r="A5586" s="4" t="s">
        <v>208</v>
      </c>
      <c r="B5586" s="7">
        <f>SUM(E5577:E5585)</f>
        <v>2494.09</v>
      </c>
      <c r="C5586" s="6" t="s">
        <v>209</v>
      </c>
      <c r="D5586" s="37">
        <f>Prec.!C302</f>
        <v>1.4999999999999999E-2</v>
      </c>
      <c r="E5586" s="25">
        <f>ROUND(B5586*D5586,2)</f>
        <v>37.409999999999997</v>
      </c>
      <c r="F5586" s="26">
        <f>SUM(E5577:E5586)</f>
        <v>2531.5</v>
      </c>
    </row>
    <row r="5587" spans="1:6" ht="12.75" customHeight="1">
      <c r="B5587" s="7"/>
    </row>
    <row r="5588" spans="1:6" ht="12.75" customHeight="1">
      <c r="A5588" s="1" t="s">
        <v>729</v>
      </c>
      <c r="B5588" s="11"/>
      <c r="C5588" s="2"/>
      <c r="E5588" s="27" t="s">
        <v>151</v>
      </c>
      <c r="F5588" s="28" t="s">
        <v>1171</v>
      </c>
    </row>
    <row r="5589" spans="1:6" ht="12.75" customHeight="1">
      <c r="A5589" s="4" t="s">
        <v>95</v>
      </c>
      <c r="B5589" s="8">
        <v>1</v>
      </c>
      <c r="C5589" s="6" t="s">
        <v>1171</v>
      </c>
      <c r="D5589" s="37">
        <f>Prec.!$C$144</f>
        <v>1710.15</v>
      </c>
      <c r="E5589" s="25">
        <f t="shared" ref="E5589:E5598" si="446">ROUND(B5589*D5589,2)</f>
        <v>1710.15</v>
      </c>
    </row>
    <row r="5590" spans="1:6" ht="12.75" customHeight="1">
      <c r="A5590" s="4" t="s">
        <v>421</v>
      </c>
      <c r="B5590" s="8">
        <v>2.5000000000000001E-2</v>
      </c>
      <c r="C5590" s="6" t="s">
        <v>825</v>
      </c>
      <c r="D5590" s="37">
        <f>D5578</f>
        <v>5976.1900000000005</v>
      </c>
      <c r="E5590" s="25">
        <f t="shared" si="446"/>
        <v>149.4</v>
      </c>
    </row>
    <row r="5591" spans="1:6" ht="12.75" customHeight="1">
      <c r="A5591" s="4" t="s">
        <v>663</v>
      </c>
      <c r="B5591" s="8">
        <v>1.49E-2</v>
      </c>
      <c r="C5591" s="6" t="s">
        <v>825</v>
      </c>
      <c r="D5591" s="37">
        <f>D5579</f>
        <v>5672.4999999999991</v>
      </c>
      <c r="E5591" s="25">
        <f t="shared" si="446"/>
        <v>84.52</v>
      </c>
    </row>
    <row r="5592" spans="1:6" ht="12.75" customHeight="1">
      <c r="A5592" s="4" t="s">
        <v>622</v>
      </c>
      <c r="B5592" s="8">
        <v>2.5000000000000001E-2</v>
      </c>
      <c r="C5592" s="6" t="s">
        <v>1172</v>
      </c>
      <c r="D5592" s="37">
        <f>Prec.!$C$7</f>
        <v>250</v>
      </c>
      <c r="E5592" s="25">
        <f t="shared" si="446"/>
        <v>6.25</v>
      </c>
    </row>
    <row r="5593" spans="1:6" ht="12.75" customHeight="1">
      <c r="A5593" s="4" t="s">
        <v>92</v>
      </c>
      <c r="B5593" s="8">
        <v>1</v>
      </c>
      <c r="C5593" s="6" t="s">
        <v>1171</v>
      </c>
      <c r="D5593" s="37">
        <f>Prec.!$D$502</f>
        <v>0</v>
      </c>
      <c r="E5593" s="25">
        <f t="shared" si="446"/>
        <v>0</v>
      </c>
    </row>
    <row r="5594" spans="1:6" ht="12.75" customHeight="1">
      <c r="A5594" s="4" t="s">
        <v>93</v>
      </c>
      <c r="B5594" s="8">
        <v>1</v>
      </c>
      <c r="C5594" s="6" t="s">
        <v>1171</v>
      </c>
      <c r="D5594" s="37">
        <f>Prec.!$D$504</f>
        <v>0</v>
      </c>
      <c r="E5594" s="25">
        <f t="shared" si="446"/>
        <v>0</v>
      </c>
    </row>
    <row r="5595" spans="1:6" ht="12.75" customHeight="1">
      <c r="A5595" s="4" t="s">
        <v>94</v>
      </c>
      <c r="B5595" s="8">
        <v>1</v>
      </c>
      <c r="C5595" s="6" t="s">
        <v>1171</v>
      </c>
      <c r="D5595" s="37">
        <f>Prec.!$D$513</f>
        <v>285</v>
      </c>
      <c r="E5595" s="25">
        <f t="shared" si="446"/>
        <v>285</v>
      </c>
    </row>
    <row r="5596" spans="1:6" ht="12.75" customHeight="1">
      <c r="A5596" s="4" t="s">
        <v>805</v>
      </c>
      <c r="B5596" s="8">
        <v>1</v>
      </c>
      <c r="C5596" s="6" t="s">
        <v>1171</v>
      </c>
      <c r="D5596" s="37">
        <f>D5584</f>
        <v>33.159999999999997</v>
      </c>
      <c r="E5596" s="25">
        <f t="shared" si="446"/>
        <v>33.159999999999997</v>
      </c>
    </row>
    <row r="5597" spans="1:6" ht="12.75" customHeight="1">
      <c r="A5597" s="4" t="s">
        <v>806</v>
      </c>
      <c r="B5597" s="8">
        <v>2.5000000000000001E-2</v>
      </c>
      <c r="C5597" s="6" t="s">
        <v>1172</v>
      </c>
      <c r="D5597" s="37">
        <f>D5585</f>
        <v>20.38</v>
      </c>
      <c r="E5597" s="25">
        <f t="shared" si="446"/>
        <v>0.51</v>
      </c>
    </row>
    <row r="5598" spans="1:6" ht="12.75" customHeight="1">
      <c r="A5598" s="4" t="s">
        <v>208</v>
      </c>
      <c r="B5598" s="7">
        <f>SUM(E5589:E5595)</f>
        <v>2235.3200000000002</v>
      </c>
      <c r="C5598" s="6" t="s">
        <v>209</v>
      </c>
      <c r="D5598" s="37">
        <f>Prec.!C302</f>
        <v>1.4999999999999999E-2</v>
      </c>
      <c r="E5598" s="25">
        <f t="shared" si="446"/>
        <v>33.53</v>
      </c>
      <c r="F5598" s="26">
        <f>SUM(E5589:E5598)</f>
        <v>2302.5200000000004</v>
      </c>
    </row>
    <row r="5599" spans="1:6" ht="12.75" customHeight="1">
      <c r="B5599" s="7"/>
    </row>
    <row r="5600" spans="1:6" ht="12.75" customHeight="1">
      <c r="A5600" s="13" t="s">
        <v>730</v>
      </c>
      <c r="B5600" s="11"/>
      <c r="C5600" s="2"/>
      <c r="E5600" s="27" t="s">
        <v>151</v>
      </c>
      <c r="F5600" s="28" t="s">
        <v>1171</v>
      </c>
    </row>
    <row r="5601" spans="1:6" ht="12.75" customHeight="1">
      <c r="A5601" s="4" t="s">
        <v>421</v>
      </c>
      <c r="B5601" s="8">
        <v>2.5000000000000001E-2</v>
      </c>
      <c r="C5601" s="6" t="s">
        <v>825</v>
      </c>
      <c r="D5601" s="37">
        <f>D5590</f>
        <v>5976.1900000000005</v>
      </c>
      <c r="E5601" s="25">
        <f t="shared" ref="E5601:E5606" si="447">ROUND(B5601*D5601,2)</f>
        <v>149.4</v>
      </c>
    </row>
    <row r="5602" spans="1:6" ht="12.75" customHeight="1">
      <c r="A5602" s="4" t="s">
        <v>427</v>
      </c>
      <c r="B5602" s="8">
        <v>7.0000000000000001E-3</v>
      </c>
      <c r="C5602" s="6" t="s">
        <v>825</v>
      </c>
      <c r="D5602" s="37">
        <f>horm.ymez.!G8</f>
        <v>7343.1500000000005</v>
      </c>
      <c r="E5602" s="25">
        <f t="shared" si="447"/>
        <v>51.4</v>
      </c>
    </row>
    <row r="5603" spans="1:6" ht="12.75" customHeight="1">
      <c r="A5603" s="4" t="s">
        <v>183</v>
      </c>
      <c r="B5603" s="8">
        <v>0.77</v>
      </c>
      <c r="C5603" s="6" t="s">
        <v>211</v>
      </c>
      <c r="D5603" s="37">
        <f>D5201</f>
        <v>38</v>
      </c>
      <c r="E5603" s="25">
        <f t="shared" si="447"/>
        <v>29.26</v>
      </c>
    </row>
    <row r="5604" spans="1:6" ht="12.75" customHeight="1">
      <c r="A5604" s="4" t="s">
        <v>92</v>
      </c>
      <c r="B5604" s="8">
        <v>1</v>
      </c>
      <c r="C5604" s="6" t="s">
        <v>1171</v>
      </c>
      <c r="D5604" s="37">
        <f>Prec.!$D$502</f>
        <v>0</v>
      </c>
      <c r="E5604" s="25">
        <f t="shared" si="447"/>
        <v>0</v>
      </c>
    </row>
    <row r="5605" spans="1:6" ht="12.75" customHeight="1">
      <c r="A5605" s="4" t="s">
        <v>97</v>
      </c>
      <c r="B5605" s="8">
        <v>1</v>
      </c>
      <c r="C5605" s="6" t="s">
        <v>1171</v>
      </c>
      <c r="D5605" s="37">
        <f>Prec.!$D$503</f>
        <v>0</v>
      </c>
      <c r="E5605" s="25">
        <f t="shared" si="447"/>
        <v>0</v>
      </c>
    </row>
    <row r="5606" spans="1:6" ht="12.75" customHeight="1">
      <c r="A5606" s="4" t="s">
        <v>208</v>
      </c>
      <c r="B5606" s="7">
        <f>SUM(E5601:E5605)</f>
        <v>230.06</v>
      </c>
      <c r="C5606" s="6" t="s">
        <v>209</v>
      </c>
      <c r="D5606" s="37">
        <f>Prec.!C302</f>
        <v>1.4999999999999999E-2</v>
      </c>
      <c r="E5606" s="25">
        <f t="shared" si="447"/>
        <v>3.45</v>
      </c>
      <c r="F5606" s="26">
        <f>SUM(E5601:E5606)</f>
        <v>233.51</v>
      </c>
    </row>
    <row r="5607" spans="1:6" ht="12.75" customHeight="1">
      <c r="B5607" s="7"/>
    </row>
    <row r="5608" spans="1:6" ht="12.75" customHeight="1">
      <c r="A5608" s="13" t="s">
        <v>731</v>
      </c>
      <c r="B5608" s="11"/>
      <c r="C5608" s="2"/>
      <c r="E5608" s="27" t="s">
        <v>151</v>
      </c>
      <c r="F5608" s="28" t="s">
        <v>1171</v>
      </c>
    </row>
    <row r="5609" spans="1:6" ht="12.75" customHeight="1">
      <c r="A5609" s="4" t="s">
        <v>76</v>
      </c>
      <c r="B5609" s="8">
        <v>1</v>
      </c>
      <c r="C5609" s="6" t="s">
        <v>1171</v>
      </c>
      <c r="D5609" s="37">
        <f>Prec.!C137</f>
        <v>2898.57</v>
      </c>
      <c r="E5609" s="25">
        <f t="shared" ref="E5609:E5618" si="448">ROUND(B5609*D5609,2)</f>
        <v>2898.57</v>
      </c>
    </row>
    <row r="5610" spans="1:6" ht="12.75" customHeight="1">
      <c r="A5610" s="4" t="s">
        <v>421</v>
      </c>
      <c r="B5610" s="8">
        <v>2.5000000000000001E-2</v>
      </c>
      <c r="C5610" s="6" t="s">
        <v>825</v>
      </c>
      <c r="D5610" s="37">
        <f>D5601</f>
        <v>5976.1900000000005</v>
      </c>
      <c r="E5610" s="25">
        <f t="shared" si="448"/>
        <v>149.4</v>
      </c>
    </row>
    <row r="5611" spans="1:6" ht="12.75" customHeight="1">
      <c r="A5611" s="4" t="s">
        <v>663</v>
      </c>
      <c r="B5611" s="8">
        <v>1.49E-2</v>
      </c>
      <c r="C5611" s="6" t="s">
        <v>825</v>
      </c>
      <c r="D5611" s="37">
        <f>D5591</f>
        <v>5672.4999999999991</v>
      </c>
      <c r="E5611" s="25">
        <f t="shared" si="448"/>
        <v>84.52</v>
      </c>
    </row>
    <row r="5612" spans="1:6" ht="12.75" customHeight="1">
      <c r="A5612" s="4" t="s">
        <v>622</v>
      </c>
      <c r="B5612" s="8">
        <v>2.5000000000000001E-2</v>
      </c>
      <c r="C5612" s="6" t="s">
        <v>1172</v>
      </c>
      <c r="D5612" s="37">
        <f>Prec.!$C$8</f>
        <v>250</v>
      </c>
      <c r="E5612" s="25">
        <f t="shared" si="448"/>
        <v>6.25</v>
      </c>
    </row>
    <row r="5613" spans="1:6" ht="12.75" customHeight="1">
      <c r="A5613" s="4" t="s">
        <v>92</v>
      </c>
      <c r="B5613" s="8">
        <v>1</v>
      </c>
      <c r="C5613" s="6" t="s">
        <v>1171</v>
      </c>
      <c r="D5613" s="37">
        <f>Prec.!$D$502</f>
        <v>0</v>
      </c>
      <c r="E5613" s="25">
        <f t="shared" si="448"/>
        <v>0</v>
      </c>
    </row>
    <row r="5614" spans="1:6" ht="12.75" customHeight="1">
      <c r="A5614" s="4" t="s">
        <v>93</v>
      </c>
      <c r="B5614" s="8">
        <v>1</v>
      </c>
      <c r="C5614" s="6" t="s">
        <v>1171</v>
      </c>
      <c r="D5614" s="37">
        <f>Prec.!D508</f>
        <v>0</v>
      </c>
      <c r="E5614" s="25">
        <f t="shared" si="448"/>
        <v>0</v>
      </c>
    </row>
    <row r="5615" spans="1:6" ht="12.75" customHeight="1">
      <c r="A5615" s="4" t="s">
        <v>94</v>
      </c>
      <c r="B5615" s="8">
        <v>1</v>
      </c>
      <c r="C5615" s="6" t="s">
        <v>1171</v>
      </c>
      <c r="D5615" s="37">
        <f>Prec.!$D$513</f>
        <v>285</v>
      </c>
      <c r="E5615" s="25">
        <f t="shared" si="448"/>
        <v>285</v>
      </c>
    </row>
    <row r="5616" spans="1:6" ht="12.75" customHeight="1">
      <c r="A5616" s="4" t="s">
        <v>890</v>
      </c>
      <c r="B5616" s="8">
        <v>1</v>
      </c>
      <c r="C5616" s="6" t="s">
        <v>1171</v>
      </c>
      <c r="D5616" s="37">
        <f>D5596</f>
        <v>33.159999999999997</v>
      </c>
      <c r="E5616" s="25">
        <f t="shared" si="448"/>
        <v>33.159999999999997</v>
      </c>
    </row>
    <row r="5617" spans="1:6" ht="12.75" customHeight="1">
      <c r="A5617" s="4" t="s">
        <v>806</v>
      </c>
      <c r="B5617" s="8">
        <v>2.5000000000000001E-2</v>
      </c>
      <c r="C5617" s="6" t="s">
        <v>1172</v>
      </c>
      <c r="D5617" s="37">
        <f>D5597</f>
        <v>20.38</v>
      </c>
      <c r="E5617" s="25">
        <f t="shared" si="448"/>
        <v>0.51</v>
      </c>
    </row>
    <row r="5618" spans="1:6" ht="12.75" customHeight="1">
      <c r="A5618" s="4" t="s">
        <v>208</v>
      </c>
      <c r="B5618" s="7">
        <f>SUM(E5609:E5617)</f>
        <v>3457.4100000000003</v>
      </c>
      <c r="C5618" s="6" t="s">
        <v>209</v>
      </c>
      <c r="D5618" s="37">
        <f>Prec.!C302</f>
        <v>1.4999999999999999E-2</v>
      </c>
      <c r="E5618" s="25">
        <f t="shared" si="448"/>
        <v>51.86</v>
      </c>
      <c r="F5618" s="26">
        <f>SUM(E5609:E5618)</f>
        <v>3509.2700000000004</v>
      </c>
    </row>
    <row r="5619" spans="1:6" ht="12.75" customHeight="1">
      <c r="B5619" s="7"/>
    </row>
    <row r="5620" spans="1:6" ht="12.75" customHeight="1">
      <c r="B5620" s="7"/>
    </row>
    <row r="5621" spans="1:6" ht="12.75" customHeight="1">
      <c r="B5621" s="7"/>
    </row>
    <row r="5622" spans="1:6" ht="12.75" customHeight="1">
      <c r="B5622" s="7"/>
    </row>
    <row r="5623" spans="1:6" ht="12.75" customHeight="1">
      <c r="B5623" s="7"/>
    </row>
    <row r="5624" spans="1:6" ht="12.75" customHeight="1">
      <c r="A5624" s="1" t="s">
        <v>591</v>
      </c>
      <c r="B5624" s="11"/>
      <c r="C5624" s="2"/>
      <c r="E5624" s="27" t="s">
        <v>151</v>
      </c>
      <c r="F5624" s="28" t="s">
        <v>1171</v>
      </c>
    </row>
    <row r="5625" spans="1:6" ht="12.75" customHeight="1">
      <c r="A5625" s="4" t="s">
        <v>98</v>
      </c>
      <c r="B5625" s="8">
        <v>6.51</v>
      </c>
      <c r="C5625" s="6" t="s">
        <v>1017</v>
      </c>
      <c r="D5625" s="37">
        <f>Prec.!C113</f>
        <v>32.14</v>
      </c>
      <c r="E5625" s="25">
        <f t="shared" ref="E5625:E5636" si="449">ROUND(B5625*D5625,2)</f>
        <v>209.23</v>
      </c>
    </row>
    <row r="5626" spans="1:6" ht="12.75" customHeight="1">
      <c r="A5626" s="4" t="s">
        <v>421</v>
      </c>
      <c r="B5626" s="8">
        <v>2.5000000000000001E-2</v>
      </c>
      <c r="C5626" s="6" t="s">
        <v>825</v>
      </c>
      <c r="D5626" s="37">
        <f>horm.ymez.!G14</f>
        <v>5976.1900000000005</v>
      </c>
      <c r="E5626" s="25">
        <f t="shared" si="449"/>
        <v>149.4</v>
      </c>
    </row>
    <row r="5627" spans="1:6" ht="12.75" customHeight="1">
      <c r="A5627" s="4" t="s">
        <v>663</v>
      </c>
      <c r="B5627" s="8">
        <v>1.49E-2</v>
      </c>
      <c r="C5627" s="6" t="s">
        <v>825</v>
      </c>
      <c r="D5627" s="37">
        <f>D5611</f>
        <v>5672.4999999999991</v>
      </c>
      <c r="E5627" s="25">
        <f t="shared" si="449"/>
        <v>84.52</v>
      </c>
    </row>
    <row r="5628" spans="1:6" ht="12.75" customHeight="1">
      <c r="A5628" s="4" t="s">
        <v>1173</v>
      </c>
      <c r="B5628" s="8">
        <v>0.05</v>
      </c>
      <c r="C5628" s="6" t="s">
        <v>218</v>
      </c>
      <c r="D5628" s="37">
        <f>Prec.!$C$82</f>
        <v>75</v>
      </c>
      <c r="E5628" s="25">
        <f t="shared" si="449"/>
        <v>3.75</v>
      </c>
    </row>
    <row r="5629" spans="1:6" ht="12.75" customHeight="1">
      <c r="A5629" s="4" t="s">
        <v>673</v>
      </c>
      <c r="B5629" s="8">
        <v>2.5000000000000001E-2</v>
      </c>
      <c r="C5629" s="6" t="s">
        <v>1172</v>
      </c>
      <c r="D5629" s="37">
        <f>Prec.!$C$8</f>
        <v>250</v>
      </c>
      <c r="E5629" s="25">
        <f t="shared" si="449"/>
        <v>6.25</v>
      </c>
    </row>
    <row r="5630" spans="1:6" ht="12.75" customHeight="1">
      <c r="A5630" s="4" t="s">
        <v>92</v>
      </c>
      <c r="B5630" s="8">
        <v>1</v>
      </c>
      <c r="C5630" s="6" t="s">
        <v>1171</v>
      </c>
      <c r="D5630" s="37">
        <f>Prec.!$D$502</f>
        <v>0</v>
      </c>
      <c r="E5630" s="25">
        <f t="shared" si="449"/>
        <v>0</v>
      </c>
    </row>
    <row r="5631" spans="1:6" ht="12.75" customHeight="1">
      <c r="A5631" s="4" t="s">
        <v>99</v>
      </c>
      <c r="B5631" s="8">
        <v>1</v>
      </c>
      <c r="C5631" s="6" t="s">
        <v>1171</v>
      </c>
      <c r="D5631" s="37">
        <f>Prec.!D507</f>
        <v>0</v>
      </c>
      <c r="E5631" s="25">
        <f t="shared" si="449"/>
        <v>0</v>
      </c>
    </row>
    <row r="5632" spans="1:6" ht="12.75" customHeight="1">
      <c r="A5632" s="4" t="s">
        <v>1015</v>
      </c>
      <c r="B5632" s="8">
        <v>2</v>
      </c>
      <c r="C5632" s="6" t="s">
        <v>1017</v>
      </c>
      <c r="D5632" s="37">
        <f>Prec.!D490</f>
        <v>11.93</v>
      </c>
      <c r="E5632" s="25">
        <f t="shared" si="449"/>
        <v>23.86</v>
      </c>
    </row>
    <row r="5633" spans="1:6" ht="12.75" customHeight="1">
      <c r="A5633" s="4" t="s">
        <v>94</v>
      </c>
      <c r="B5633" s="8">
        <v>1</v>
      </c>
      <c r="C5633" s="6" t="s">
        <v>1171</v>
      </c>
      <c r="D5633" s="37">
        <f>Prec.!$D$513</f>
        <v>285</v>
      </c>
      <c r="E5633" s="25">
        <f t="shared" si="449"/>
        <v>285</v>
      </c>
    </row>
    <row r="5634" spans="1:6" ht="12.75" customHeight="1">
      <c r="A5634" s="4" t="s">
        <v>890</v>
      </c>
      <c r="B5634" s="8">
        <v>1</v>
      </c>
      <c r="C5634" s="6" t="s">
        <v>1171</v>
      </c>
      <c r="D5634" s="37">
        <f>D5616</f>
        <v>33.159999999999997</v>
      </c>
      <c r="E5634" s="25">
        <f t="shared" si="449"/>
        <v>33.159999999999997</v>
      </c>
    </row>
    <row r="5635" spans="1:6" ht="12.75" customHeight="1">
      <c r="A5635" s="4" t="s">
        <v>806</v>
      </c>
      <c r="B5635" s="8">
        <v>2.5000000000000001E-2</v>
      </c>
      <c r="C5635" s="6" t="s">
        <v>1172</v>
      </c>
      <c r="D5635" s="37">
        <f>D5617</f>
        <v>20.38</v>
      </c>
      <c r="E5635" s="25">
        <f t="shared" si="449"/>
        <v>0.51</v>
      </c>
    </row>
    <row r="5636" spans="1:6" ht="12.75" customHeight="1">
      <c r="A5636" s="4" t="s">
        <v>208</v>
      </c>
      <c r="B5636" s="7">
        <f>SUM(E5625:E5635)</f>
        <v>795.68</v>
      </c>
      <c r="C5636" s="6" t="s">
        <v>209</v>
      </c>
      <c r="D5636" s="37">
        <f>Prec.!C302</f>
        <v>1.4999999999999999E-2</v>
      </c>
      <c r="E5636" s="25">
        <f t="shared" si="449"/>
        <v>11.94</v>
      </c>
      <c r="F5636" s="26">
        <f>SUM(E5625:E5636)</f>
        <v>807.62</v>
      </c>
    </row>
    <row r="5637" spans="1:6" ht="12.75" customHeight="1">
      <c r="B5637" s="7"/>
    </row>
    <row r="5638" spans="1:6" ht="12.75" customHeight="1">
      <c r="A5638" s="1" t="s">
        <v>732</v>
      </c>
      <c r="B5638" s="7"/>
      <c r="E5638" s="27" t="s">
        <v>151</v>
      </c>
      <c r="F5638" s="28" t="s">
        <v>1017</v>
      </c>
    </row>
    <row r="5639" spans="1:6" ht="12.75" customHeight="1">
      <c r="A5639" s="4" t="s">
        <v>302</v>
      </c>
      <c r="B5639" s="8">
        <v>1.05</v>
      </c>
      <c r="C5639" s="6" t="s">
        <v>1017</v>
      </c>
      <c r="D5639" s="37">
        <f>Prec.!$C$146</f>
        <v>125.25</v>
      </c>
      <c r="E5639" s="25">
        <f t="shared" ref="E5639:E5645" si="450">ROUND(B5639*D5639,2)</f>
        <v>131.51</v>
      </c>
    </row>
    <row r="5640" spans="1:6" ht="12.75" customHeight="1">
      <c r="A5640" s="4" t="s">
        <v>1174</v>
      </c>
      <c r="B5640" s="8">
        <v>1E-3</v>
      </c>
      <c r="C5640" s="6" t="s">
        <v>825</v>
      </c>
      <c r="D5640" s="37">
        <f>horm.ymez.!G9</f>
        <v>6334.35</v>
      </c>
      <c r="E5640" s="25">
        <f t="shared" si="450"/>
        <v>6.33</v>
      </c>
    </row>
    <row r="5641" spans="1:6" ht="12.75" customHeight="1">
      <c r="A5641" s="4" t="s">
        <v>304</v>
      </c>
      <c r="B5641" s="8">
        <v>2E-3</v>
      </c>
      <c r="C5641" s="6" t="s">
        <v>1172</v>
      </c>
      <c r="D5641" s="37">
        <f>Prec.!$C$7</f>
        <v>250</v>
      </c>
      <c r="E5641" s="25">
        <f t="shared" si="450"/>
        <v>0.5</v>
      </c>
    </row>
    <row r="5642" spans="1:6" ht="12.75" customHeight="1">
      <c r="A5642" s="4" t="s">
        <v>303</v>
      </c>
      <c r="B5642" s="8">
        <v>1</v>
      </c>
      <c r="C5642" s="6" t="s">
        <v>1017</v>
      </c>
      <c r="D5642" s="37">
        <f>Prec.!$D$515</f>
        <v>0</v>
      </c>
      <c r="E5642" s="25">
        <f t="shared" si="450"/>
        <v>0</v>
      </c>
    </row>
    <row r="5643" spans="1:6" ht="12.75" customHeight="1">
      <c r="A5643" s="4" t="s">
        <v>1156</v>
      </c>
      <c r="B5643" s="8">
        <v>1</v>
      </c>
      <c r="C5643" s="6" t="s">
        <v>1017</v>
      </c>
      <c r="D5643" s="37">
        <f>Prec.!D577</f>
        <v>1.04</v>
      </c>
      <c r="E5643" s="25">
        <f t="shared" si="450"/>
        <v>1.04</v>
      </c>
    </row>
    <row r="5644" spans="1:6" ht="12.75" customHeight="1">
      <c r="A5644" s="4" t="s">
        <v>806</v>
      </c>
      <c r="B5644" s="8">
        <v>2E-3</v>
      </c>
      <c r="C5644" s="6" t="s">
        <v>1172</v>
      </c>
      <c r="D5644" s="37">
        <f>D5635</f>
        <v>20.38</v>
      </c>
      <c r="E5644" s="25">
        <f t="shared" si="450"/>
        <v>0.04</v>
      </c>
    </row>
    <row r="5645" spans="1:6" ht="12.75" customHeight="1">
      <c r="A5645" s="4" t="s">
        <v>208</v>
      </c>
      <c r="B5645" s="7">
        <f>SUM(E5639:E5644)</f>
        <v>139.41999999999999</v>
      </c>
      <c r="C5645" s="6" t="s">
        <v>209</v>
      </c>
      <c r="D5645" s="37">
        <f>Prec.!C302</f>
        <v>1.4999999999999999E-2</v>
      </c>
      <c r="E5645" s="25">
        <f t="shared" si="450"/>
        <v>2.09</v>
      </c>
      <c r="F5645" s="26">
        <f>SUM(E5639:E5645)</f>
        <v>141.51</v>
      </c>
    </row>
    <row r="5646" spans="1:6" ht="12.75" customHeight="1">
      <c r="B5646" s="7"/>
    </row>
    <row r="5647" spans="1:6" ht="12.75" customHeight="1">
      <c r="A5647" s="1" t="s">
        <v>733</v>
      </c>
      <c r="B5647" s="7"/>
      <c r="E5647" s="27" t="s">
        <v>151</v>
      </c>
      <c r="F5647" s="28" t="s">
        <v>1017</v>
      </c>
    </row>
    <row r="5648" spans="1:6" ht="12.75" customHeight="1">
      <c r="A5648" s="4" t="s">
        <v>302</v>
      </c>
      <c r="B5648" s="8">
        <v>1.05</v>
      </c>
      <c r="C5648" s="6" t="s">
        <v>1017</v>
      </c>
      <c r="D5648" s="37">
        <f>Prec.!$C$147</f>
        <v>139.88</v>
      </c>
      <c r="E5648" s="25">
        <f t="shared" ref="E5648:E5654" si="451">ROUND(B5648*D5648,2)</f>
        <v>146.87</v>
      </c>
    </row>
    <row r="5649" spans="1:6" ht="12.75" customHeight="1">
      <c r="A5649" s="4" t="s">
        <v>1174</v>
      </c>
      <c r="B5649" s="8">
        <v>1E-3</v>
      </c>
      <c r="C5649" s="6" t="s">
        <v>825</v>
      </c>
      <c r="D5649" s="37">
        <f>D5640</f>
        <v>6334.35</v>
      </c>
      <c r="E5649" s="25">
        <f t="shared" si="451"/>
        <v>6.33</v>
      </c>
    </row>
    <row r="5650" spans="1:6" ht="12.75" customHeight="1">
      <c r="A5650" s="4" t="s">
        <v>673</v>
      </c>
      <c r="B5650" s="8">
        <v>2E-3</v>
      </c>
      <c r="C5650" s="6" t="s">
        <v>1172</v>
      </c>
      <c r="D5650" s="37">
        <f>Prec.!$C$8</f>
        <v>250</v>
      </c>
      <c r="E5650" s="25">
        <f t="shared" si="451"/>
        <v>0.5</v>
      </c>
    </row>
    <row r="5651" spans="1:6" ht="12.75" customHeight="1">
      <c r="A5651" s="4" t="s">
        <v>303</v>
      </c>
      <c r="B5651" s="8">
        <v>1</v>
      </c>
      <c r="C5651" s="6" t="s">
        <v>1017</v>
      </c>
      <c r="D5651" s="37">
        <f>Prec.!$D$515</f>
        <v>0</v>
      </c>
      <c r="E5651" s="25">
        <f t="shared" si="451"/>
        <v>0</v>
      </c>
    </row>
    <row r="5652" spans="1:6" ht="12.75" customHeight="1">
      <c r="A5652" s="4" t="s">
        <v>1156</v>
      </c>
      <c r="B5652" s="8">
        <v>1</v>
      </c>
      <c r="C5652" s="6" t="s">
        <v>1017</v>
      </c>
      <c r="D5652" s="37">
        <f>D5643</f>
        <v>1.04</v>
      </c>
      <c r="E5652" s="25">
        <f t="shared" si="451"/>
        <v>1.04</v>
      </c>
    </row>
    <row r="5653" spans="1:6" ht="12.75" customHeight="1">
      <c r="A5653" s="4" t="s">
        <v>806</v>
      </c>
      <c r="B5653" s="8">
        <v>2E-3</v>
      </c>
      <c r="C5653" s="6" t="s">
        <v>1172</v>
      </c>
      <c r="D5653" s="37">
        <f>D5644</f>
        <v>20.38</v>
      </c>
      <c r="E5653" s="25">
        <f t="shared" si="451"/>
        <v>0.04</v>
      </c>
    </row>
    <row r="5654" spans="1:6" ht="12.75" customHeight="1">
      <c r="A5654" s="4" t="s">
        <v>208</v>
      </c>
      <c r="B5654" s="7">
        <f>SUM(E5648:E5653)</f>
        <v>154.78</v>
      </c>
      <c r="C5654" s="6" t="s">
        <v>209</v>
      </c>
      <c r="D5654" s="37">
        <f>Prec.!C302</f>
        <v>1.4999999999999999E-2</v>
      </c>
      <c r="E5654" s="25">
        <f t="shared" si="451"/>
        <v>2.3199999999999998</v>
      </c>
      <c r="F5654" s="26">
        <f>SUM(E5648:E5654)</f>
        <v>157.1</v>
      </c>
    </row>
    <row r="5655" spans="1:6" ht="12.75" customHeight="1">
      <c r="B5655" s="7"/>
    </row>
    <row r="5656" spans="1:6" ht="12.75" customHeight="1">
      <c r="A5656" s="13" t="s">
        <v>45</v>
      </c>
      <c r="B5656" s="7"/>
      <c r="E5656" s="27" t="s">
        <v>151</v>
      </c>
      <c r="F5656" s="28" t="s">
        <v>1017</v>
      </c>
    </row>
    <row r="5657" spans="1:6" ht="12.75" customHeight="1">
      <c r="A5657" s="4" t="s">
        <v>774</v>
      </c>
      <c r="B5657" s="8">
        <v>1.05</v>
      </c>
      <c r="C5657" s="6" t="s">
        <v>1171</v>
      </c>
      <c r="D5657" s="37">
        <f>Prec.!C138</f>
        <v>568.4</v>
      </c>
      <c r="E5657" s="25">
        <f t="shared" ref="E5657:E5664" si="452">ROUND(B5657*D5657,2)</f>
        <v>596.82000000000005</v>
      </c>
    </row>
    <row r="5658" spans="1:6" ht="12.75" customHeight="1">
      <c r="A5658" s="4" t="s">
        <v>1174</v>
      </c>
      <c r="B5658" s="8">
        <v>1E-3</v>
      </c>
      <c r="C5658" s="6" t="s">
        <v>825</v>
      </c>
      <c r="D5658" s="37">
        <f>D5649</f>
        <v>6334.35</v>
      </c>
      <c r="E5658" s="25">
        <f t="shared" si="452"/>
        <v>6.33</v>
      </c>
    </row>
    <row r="5659" spans="1:6" ht="12.75" customHeight="1">
      <c r="A5659" s="4" t="s">
        <v>673</v>
      </c>
      <c r="B5659" s="8">
        <v>2E-3</v>
      </c>
      <c r="C5659" s="6" t="s">
        <v>1172</v>
      </c>
      <c r="D5659" s="37">
        <f>Prec.!$C$8</f>
        <v>250</v>
      </c>
      <c r="E5659" s="25">
        <f t="shared" si="452"/>
        <v>0.5</v>
      </c>
    </row>
    <row r="5660" spans="1:6" ht="12.75" customHeight="1">
      <c r="A5660" s="4" t="s">
        <v>1015</v>
      </c>
      <c r="B5660" s="8">
        <v>1</v>
      </c>
      <c r="C5660" s="6" t="s">
        <v>1017</v>
      </c>
      <c r="D5660" s="37">
        <f>Prec.!D491</f>
        <v>11.93</v>
      </c>
      <c r="E5660" s="25">
        <f t="shared" si="452"/>
        <v>11.93</v>
      </c>
    </row>
    <row r="5661" spans="1:6" ht="12.75" customHeight="1">
      <c r="A5661" s="4" t="s">
        <v>303</v>
      </c>
      <c r="B5661" s="8">
        <v>1</v>
      </c>
      <c r="C5661" s="6" t="s">
        <v>1017</v>
      </c>
      <c r="D5661" s="37">
        <f>Prec.!$D$515</f>
        <v>0</v>
      </c>
      <c r="E5661" s="25">
        <f t="shared" si="452"/>
        <v>0</v>
      </c>
    </row>
    <row r="5662" spans="1:6" ht="12.75" customHeight="1">
      <c r="A5662" s="4" t="s">
        <v>1156</v>
      </c>
      <c r="B5662" s="8">
        <v>1</v>
      </c>
      <c r="C5662" s="6" t="s">
        <v>1017</v>
      </c>
      <c r="D5662" s="37">
        <f>D5652</f>
        <v>1.04</v>
      </c>
      <c r="E5662" s="25">
        <f t="shared" si="452"/>
        <v>1.04</v>
      </c>
    </row>
    <row r="5663" spans="1:6" ht="12.75" customHeight="1">
      <c r="A5663" s="4" t="s">
        <v>806</v>
      </c>
      <c r="B5663" s="8">
        <v>2E-3</v>
      </c>
      <c r="C5663" s="6" t="s">
        <v>1172</v>
      </c>
      <c r="D5663" s="37">
        <f>D5653</f>
        <v>20.38</v>
      </c>
      <c r="E5663" s="25">
        <f t="shared" si="452"/>
        <v>0.04</v>
      </c>
    </row>
    <row r="5664" spans="1:6" ht="12.75" customHeight="1">
      <c r="A5664" s="4" t="s">
        <v>208</v>
      </c>
      <c r="B5664" s="7">
        <f>SUM(E5657:E5661)</f>
        <v>615.58000000000004</v>
      </c>
      <c r="C5664" s="6" t="s">
        <v>209</v>
      </c>
      <c r="D5664" s="37">
        <f>Prec.!C302</f>
        <v>1.4999999999999999E-2</v>
      </c>
      <c r="E5664" s="25">
        <f t="shared" si="452"/>
        <v>9.23</v>
      </c>
      <c r="F5664" s="26">
        <f>SUM(E5657:E5664)</f>
        <v>625.89</v>
      </c>
    </row>
    <row r="5665" spans="1:6" ht="12.75" customHeight="1">
      <c r="B5665" s="7"/>
    </row>
    <row r="5666" spans="1:6" ht="12.75" customHeight="1">
      <c r="B5666" s="7"/>
    </row>
    <row r="5667" spans="1:6" ht="12.75" customHeight="1">
      <c r="B5667" s="7"/>
    </row>
    <row r="5668" spans="1:6" ht="12.75" customHeight="1">
      <c r="B5668" s="7"/>
    </row>
    <row r="5669" spans="1:6" ht="12.75" customHeight="1">
      <c r="B5669" s="7"/>
    </row>
    <row r="5670" spans="1:6" ht="12.75" customHeight="1">
      <c r="B5670" s="7"/>
    </row>
    <row r="5671" spans="1:6" ht="12.75" customHeight="1">
      <c r="B5671" s="7"/>
    </row>
    <row r="5672" spans="1:6" ht="12.75" customHeight="1">
      <c r="B5672" s="7"/>
    </row>
    <row r="5673" spans="1:6" ht="12.75" customHeight="1">
      <c r="B5673" s="7"/>
    </row>
    <row r="5674" spans="1:6" ht="12.75" customHeight="1">
      <c r="A5674" s="13" t="s">
        <v>550</v>
      </c>
      <c r="B5674" s="11"/>
      <c r="C5674" s="2"/>
      <c r="E5674" s="27" t="s">
        <v>151</v>
      </c>
      <c r="F5674" s="28" t="s">
        <v>1017</v>
      </c>
    </row>
    <row r="5675" spans="1:6" ht="12.75" customHeight="1">
      <c r="A5675" s="4" t="s">
        <v>818</v>
      </c>
      <c r="B5675" s="8">
        <v>0.25</v>
      </c>
      <c r="C5675" s="6" t="s">
        <v>1017</v>
      </c>
      <c r="D5675" s="37">
        <f>Prec.!C113</f>
        <v>32.14</v>
      </c>
      <c r="E5675" s="25">
        <f t="shared" ref="E5675:E5683" si="453">ROUND(B5675*D5675,2)</f>
        <v>8.0399999999999991</v>
      </c>
    </row>
    <row r="5676" spans="1:6" ht="12.75" customHeight="1">
      <c r="A5676" s="4" t="s">
        <v>673</v>
      </c>
      <c r="B5676" s="8">
        <v>2E-3</v>
      </c>
      <c r="C5676" s="6" t="s">
        <v>1172</v>
      </c>
      <c r="D5676" s="37">
        <f>Prec.!$C$8</f>
        <v>250</v>
      </c>
      <c r="E5676" s="25">
        <f t="shared" si="453"/>
        <v>0.5</v>
      </c>
    </row>
    <row r="5677" spans="1:6" ht="12.75" customHeight="1">
      <c r="A5677" s="4" t="s">
        <v>1173</v>
      </c>
      <c r="B5677" s="8">
        <v>5.0000000000000001E-3</v>
      </c>
      <c r="C5677" s="6" t="s">
        <v>1018</v>
      </c>
      <c r="D5677" s="37">
        <f>Prec.!$C$82</f>
        <v>75</v>
      </c>
      <c r="E5677" s="25">
        <f t="shared" si="453"/>
        <v>0.38</v>
      </c>
    </row>
    <row r="5678" spans="1:6" ht="12.75" customHeight="1">
      <c r="A5678" s="4" t="s">
        <v>1174</v>
      </c>
      <c r="B5678" s="8">
        <v>2E-3</v>
      </c>
      <c r="C5678" s="6" t="s">
        <v>825</v>
      </c>
      <c r="D5678" s="37">
        <f>D5658</f>
        <v>6334.35</v>
      </c>
      <c r="E5678" s="25">
        <f t="shared" si="453"/>
        <v>12.67</v>
      </c>
    </row>
    <row r="5679" spans="1:6" ht="12.75" customHeight="1">
      <c r="A5679" s="4" t="s">
        <v>1015</v>
      </c>
      <c r="B5679" s="8">
        <v>1</v>
      </c>
      <c r="C5679" s="6" t="s">
        <v>1017</v>
      </c>
      <c r="D5679" s="37">
        <f>Prec.!D490</f>
        <v>11.93</v>
      </c>
      <c r="E5679" s="25">
        <f t="shared" si="453"/>
        <v>11.93</v>
      </c>
    </row>
    <row r="5680" spans="1:6" ht="12.75" customHeight="1">
      <c r="A5680" s="4" t="s">
        <v>674</v>
      </c>
      <c r="B5680" s="8">
        <v>1</v>
      </c>
      <c r="C5680" s="6" t="s">
        <v>1017</v>
      </c>
      <c r="D5680" s="37">
        <f>Prec.!$D$514</f>
        <v>0</v>
      </c>
      <c r="E5680" s="25">
        <f t="shared" si="453"/>
        <v>0</v>
      </c>
    </row>
    <row r="5681" spans="1:6" ht="12.75" customHeight="1">
      <c r="A5681" s="4" t="s">
        <v>1156</v>
      </c>
      <c r="B5681" s="8">
        <v>1</v>
      </c>
      <c r="C5681" s="6" t="s">
        <v>1017</v>
      </c>
      <c r="D5681" s="37">
        <f>D5662</f>
        <v>1.04</v>
      </c>
      <c r="E5681" s="25">
        <f t="shared" si="453"/>
        <v>1.04</v>
      </c>
    </row>
    <row r="5682" spans="1:6" ht="12.75" customHeight="1">
      <c r="A5682" s="4" t="s">
        <v>806</v>
      </c>
      <c r="B5682" s="8">
        <v>2E-3</v>
      </c>
      <c r="C5682" s="6" t="s">
        <v>1172</v>
      </c>
      <c r="D5682" s="37">
        <f>D5663</f>
        <v>20.38</v>
      </c>
      <c r="E5682" s="25">
        <f t="shared" si="453"/>
        <v>0.04</v>
      </c>
    </row>
    <row r="5683" spans="1:6" ht="12.75" customHeight="1">
      <c r="A5683" s="4" t="s">
        <v>208</v>
      </c>
      <c r="B5683" s="7">
        <f>SUM(E5675:E5682)</f>
        <v>34.599999999999994</v>
      </c>
      <c r="C5683" s="6" t="s">
        <v>209</v>
      </c>
      <c r="D5683" s="37">
        <f>Prec.!C302</f>
        <v>1.4999999999999999E-2</v>
      </c>
      <c r="E5683" s="25">
        <f t="shared" si="453"/>
        <v>0.52</v>
      </c>
      <c r="F5683" s="26">
        <f>SUM(E5675:E5683)</f>
        <v>35.119999999999997</v>
      </c>
    </row>
    <row r="5684" spans="1:6" ht="12.75" customHeight="1">
      <c r="B5684" s="7"/>
    </row>
    <row r="5685" spans="1:6" ht="12.75" customHeight="1">
      <c r="A5685" s="23" t="s">
        <v>1189</v>
      </c>
      <c r="B5685" s="7"/>
    </row>
    <row r="5686" spans="1:6" ht="12.75" customHeight="1">
      <c r="A5686" s="2"/>
      <c r="B5686" s="7"/>
    </row>
    <row r="5687" spans="1:6" ht="12.75" customHeight="1">
      <c r="A5687" s="13" t="s">
        <v>1021</v>
      </c>
      <c r="B5687" s="11"/>
      <c r="C5687" s="2"/>
      <c r="E5687" s="27" t="s">
        <v>151</v>
      </c>
      <c r="F5687" s="28" t="s">
        <v>1171</v>
      </c>
    </row>
    <row r="5688" spans="1:6" ht="12.75" customHeight="1">
      <c r="A5688" s="4" t="s">
        <v>564</v>
      </c>
      <c r="B5688" s="8">
        <v>1</v>
      </c>
      <c r="C5688" s="6" t="s">
        <v>1171</v>
      </c>
      <c r="D5688" s="37">
        <f>Prec.!$C$145</f>
        <v>1935.25</v>
      </c>
      <c r="E5688" s="25">
        <f t="shared" ref="E5688:E5695" si="454">ROUND(B5688*D5688,2)</f>
        <v>1935.25</v>
      </c>
    </row>
    <row r="5689" spans="1:6" ht="12.75" customHeight="1">
      <c r="A5689" s="4" t="s">
        <v>421</v>
      </c>
      <c r="B5689" s="8">
        <v>2.5000000000000001E-2</v>
      </c>
      <c r="C5689" s="6" t="s">
        <v>825</v>
      </c>
      <c r="D5689" s="37">
        <f>horm.ymez.!H14</f>
        <v>5466.17</v>
      </c>
      <c r="E5689" s="25">
        <f t="shared" si="454"/>
        <v>136.65</v>
      </c>
    </row>
    <row r="5690" spans="1:6" ht="12.75" customHeight="1">
      <c r="A5690" s="4" t="s">
        <v>663</v>
      </c>
      <c r="B5690" s="8">
        <v>1.49E-2</v>
      </c>
      <c r="C5690" s="6" t="s">
        <v>825</v>
      </c>
      <c r="D5690" s="37">
        <f>horm.ymez.!H10</f>
        <v>5119.2199999999993</v>
      </c>
      <c r="E5690" s="25">
        <f t="shared" si="454"/>
        <v>76.28</v>
      </c>
    </row>
    <row r="5691" spans="1:6" ht="12.75" customHeight="1">
      <c r="A5691" s="4" t="s">
        <v>673</v>
      </c>
      <c r="B5691" s="8">
        <v>2.5000000000000001E-2</v>
      </c>
      <c r="C5691" s="6" t="s">
        <v>1172</v>
      </c>
      <c r="D5691" s="37">
        <f>Prec.!$C$8</f>
        <v>250</v>
      </c>
      <c r="E5691" s="25">
        <f t="shared" si="454"/>
        <v>6.25</v>
      </c>
    </row>
    <row r="5692" spans="1:6" ht="12.75" customHeight="1">
      <c r="A5692" s="4" t="s">
        <v>92</v>
      </c>
      <c r="B5692" s="8">
        <v>1</v>
      </c>
      <c r="C5692" s="6" t="s">
        <v>1171</v>
      </c>
      <c r="D5692" s="37">
        <f>Prec.!$D$502</f>
        <v>0</v>
      </c>
      <c r="E5692" s="25">
        <f t="shared" si="454"/>
        <v>0</v>
      </c>
    </row>
    <row r="5693" spans="1:6" ht="12.75" customHeight="1">
      <c r="A5693" s="4" t="s">
        <v>93</v>
      </c>
      <c r="B5693" s="8">
        <v>1</v>
      </c>
      <c r="C5693" s="6" t="s">
        <v>1171</v>
      </c>
      <c r="D5693" s="37">
        <f>Prec.!$D$504</f>
        <v>0</v>
      </c>
      <c r="E5693" s="25">
        <f t="shared" si="454"/>
        <v>0</v>
      </c>
    </row>
    <row r="5694" spans="1:6" ht="12.75" customHeight="1">
      <c r="A5694" s="4" t="s">
        <v>94</v>
      </c>
      <c r="B5694" s="8">
        <v>1</v>
      </c>
      <c r="C5694" s="6" t="s">
        <v>1171</v>
      </c>
      <c r="D5694" s="37">
        <f>Prec.!$D$513</f>
        <v>285</v>
      </c>
      <c r="E5694" s="25">
        <f t="shared" si="454"/>
        <v>285</v>
      </c>
    </row>
    <row r="5695" spans="1:6" ht="12.75" customHeight="1">
      <c r="A5695" s="4" t="s">
        <v>805</v>
      </c>
      <c r="B5695" s="8">
        <v>1</v>
      </c>
      <c r="C5695" s="6" t="s">
        <v>1171</v>
      </c>
      <c r="D5695" s="37">
        <f>Prec.!D572</f>
        <v>43.11</v>
      </c>
      <c r="E5695" s="25">
        <f t="shared" si="454"/>
        <v>43.11</v>
      </c>
    </row>
    <row r="5696" spans="1:6" ht="12.75" customHeight="1">
      <c r="A5696" s="4" t="s">
        <v>806</v>
      </c>
      <c r="B5696" s="8">
        <v>2.5000000000000001E-2</v>
      </c>
      <c r="C5696" s="6" t="s">
        <v>1172</v>
      </c>
      <c r="D5696" s="37">
        <f>Prec.!D566</f>
        <v>26.49</v>
      </c>
      <c r="E5696" s="25">
        <f>ROUND(B5696*D5696,2)</f>
        <v>0.66</v>
      </c>
    </row>
    <row r="5697" spans="1:6" ht="12.75" customHeight="1">
      <c r="A5697" s="4" t="s">
        <v>208</v>
      </c>
      <c r="B5697" s="7">
        <f>SUM(E5688:E5696)</f>
        <v>2483.2000000000003</v>
      </c>
      <c r="C5697" s="6" t="s">
        <v>209</v>
      </c>
      <c r="D5697" s="37">
        <f>D5683</f>
        <v>1.4999999999999999E-2</v>
      </c>
      <c r="E5697" s="25">
        <f>ROUND(B5697*D5697,2)</f>
        <v>37.25</v>
      </c>
      <c r="F5697" s="26">
        <f>SUM(E5688:E5697)</f>
        <v>2520.4500000000003</v>
      </c>
    </row>
    <row r="5698" spans="1:6" ht="12.75" customHeight="1">
      <c r="B5698" s="7"/>
    </row>
    <row r="5699" spans="1:6" ht="12.75" customHeight="1">
      <c r="A5699" s="1" t="s">
        <v>1022</v>
      </c>
      <c r="B5699" s="11"/>
      <c r="C5699" s="2"/>
      <c r="E5699" s="27" t="s">
        <v>151</v>
      </c>
      <c r="F5699" s="28" t="s">
        <v>1171</v>
      </c>
    </row>
    <row r="5700" spans="1:6" ht="12.75" customHeight="1">
      <c r="A5700" s="4" t="s">
        <v>95</v>
      </c>
      <c r="B5700" s="8">
        <v>1</v>
      </c>
      <c r="C5700" s="6" t="s">
        <v>1171</v>
      </c>
      <c r="D5700" s="37">
        <f>Prec.!$C$144</f>
        <v>1710.15</v>
      </c>
      <c r="E5700" s="25">
        <f t="shared" ref="E5700:E5709" si="455">ROUND(B5700*D5700,2)</f>
        <v>1710.15</v>
      </c>
    </row>
    <row r="5701" spans="1:6" ht="12.75" customHeight="1">
      <c r="A5701" s="4" t="s">
        <v>421</v>
      </c>
      <c r="B5701" s="8">
        <v>2.5000000000000001E-2</v>
      </c>
      <c r="C5701" s="6" t="s">
        <v>825</v>
      </c>
      <c r="D5701" s="37">
        <f>D5689</f>
        <v>5466.17</v>
      </c>
      <c r="E5701" s="25">
        <f t="shared" si="455"/>
        <v>136.65</v>
      </c>
    </row>
    <row r="5702" spans="1:6" ht="12.75" customHeight="1">
      <c r="A5702" s="4" t="s">
        <v>663</v>
      </c>
      <c r="B5702" s="8">
        <v>1.49E-2</v>
      </c>
      <c r="C5702" s="6" t="s">
        <v>825</v>
      </c>
      <c r="D5702" s="37">
        <f>D5690</f>
        <v>5119.2199999999993</v>
      </c>
      <c r="E5702" s="25">
        <f t="shared" si="455"/>
        <v>76.28</v>
      </c>
    </row>
    <row r="5703" spans="1:6" ht="12.75" customHeight="1">
      <c r="A5703" s="4" t="s">
        <v>622</v>
      </c>
      <c r="B5703" s="8">
        <v>2.5000000000000001E-2</v>
      </c>
      <c r="C5703" s="6" t="s">
        <v>1172</v>
      </c>
      <c r="D5703" s="37">
        <f>Prec.!$C$7</f>
        <v>250</v>
      </c>
      <c r="E5703" s="25">
        <f t="shared" si="455"/>
        <v>6.25</v>
      </c>
    </row>
    <row r="5704" spans="1:6" ht="12.75" customHeight="1">
      <c r="A5704" s="4" t="s">
        <v>92</v>
      </c>
      <c r="B5704" s="8">
        <v>1</v>
      </c>
      <c r="C5704" s="6" t="s">
        <v>1171</v>
      </c>
      <c r="D5704" s="37">
        <f>Prec.!$D$502</f>
        <v>0</v>
      </c>
      <c r="E5704" s="25">
        <f t="shared" si="455"/>
        <v>0</v>
      </c>
    </row>
    <row r="5705" spans="1:6" ht="12.75" customHeight="1">
      <c r="A5705" s="4" t="s">
        <v>93</v>
      </c>
      <c r="B5705" s="8">
        <v>1</v>
      </c>
      <c r="C5705" s="6" t="s">
        <v>1171</v>
      </c>
      <c r="D5705" s="37">
        <f>Prec.!$D$504</f>
        <v>0</v>
      </c>
      <c r="E5705" s="25">
        <f t="shared" si="455"/>
        <v>0</v>
      </c>
    </row>
    <row r="5706" spans="1:6" ht="12.75" customHeight="1">
      <c r="A5706" s="4" t="s">
        <v>94</v>
      </c>
      <c r="B5706" s="8">
        <v>1</v>
      </c>
      <c r="C5706" s="6" t="s">
        <v>1171</v>
      </c>
      <c r="D5706" s="37">
        <f>Prec.!$D$513</f>
        <v>285</v>
      </c>
      <c r="E5706" s="25">
        <f t="shared" si="455"/>
        <v>285</v>
      </c>
    </row>
    <row r="5707" spans="1:6" ht="12.75" customHeight="1">
      <c r="A5707" s="4" t="s">
        <v>805</v>
      </c>
      <c r="B5707" s="8">
        <v>1</v>
      </c>
      <c r="C5707" s="6" t="s">
        <v>1171</v>
      </c>
      <c r="D5707" s="37">
        <f>D5695</f>
        <v>43.11</v>
      </c>
      <c r="E5707" s="25">
        <f t="shared" si="455"/>
        <v>43.11</v>
      </c>
    </row>
    <row r="5708" spans="1:6" ht="12.75" customHeight="1">
      <c r="A5708" s="4" t="s">
        <v>806</v>
      </c>
      <c r="B5708" s="8">
        <v>2.5000000000000001E-2</v>
      </c>
      <c r="C5708" s="6" t="s">
        <v>1172</v>
      </c>
      <c r="D5708" s="37">
        <f>D5696</f>
        <v>26.49</v>
      </c>
      <c r="E5708" s="25">
        <f t="shared" si="455"/>
        <v>0.66</v>
      </c>
    </row>
    <row r="5709" spans="1:6" ht="12.75" customHeight="1">
      <c r="A5709" s="4" t="s">
        <v>208</v>
      </c>
      <c r="B5709" s="7">
        <f>SUM(E5700:E5706)</f>
        <v>2214.33</v>
      </c>
      <c r="C5709" s="6" t="s">
        <v>209</v>
      </c>
      <c r="D5709" s="37">
        <f>D5697</f>
        <v>1.4999999999999999E-2</v>
      </c>
      <c r="E5709" s="25">
        <f t="shared" si="455"/>
        <v>33.21</v>
      </c>
      <c r="F5709" s="26">
        <f>SUM(E5700:E5709)</f>
        <v>2291.31</v>
      </c>
    </row>
    <row r="5710" spans="1:6" ht="12.75" customHeight="1">
      <c r="B5710" s="7"/>
    </row>
    <row r="5711" spans="1:6" ht="12.75" customHeight="1">
      <c r="A5711" s="13" t="s">
        <v>1023</v>
      </c>
      <c r="B5711" s="11"/>
      <c r="C5711" s="2"/>
      <c r="E5711" s="27" t="s">
        <v>151</v>
      </c>
      <c r="F5711" s="28" t="s">
        <v>1171</v>
      </c>
    </row>
    <row r="5712" spans="1:6" ht="12.75" customHeight="1">
      <c r="A5712" s="4" t="s">
        <v>421</v>
      </c>
      <c r="B5712" s="8">
        <v>2.5000000000000001E-2</v>
      </c>
      <c r="C5712" s="6" t="s">
        <v>825</v>
      </c>
      <c r="D5712" s="37">
        <f>D5701</f>
        <v>5466.17</v>
      </c>
      <c r="E5712" s="25">
        <f t="shared" ref="E5712:E5717" si="456">ROUND(B5712*D5712,2)</f>
        <v>136.65</v>
      </c>
    </row>
    <row r="5713" spans="1:6" ht="12.75" customHeight="1">
      <c r="A5713" s="4" t="s">
        <v>427</v>
      </c>
      <c r="B5713" s="8">
        <v>7.0000000000000001E-3</v>
      </c>
      <c r="C5713" s="6" t="s">
        <v>825</v>
      </c>
      <c r="D5713" s="37">
        <f>horm.ymez.!H8</f>
        <v>6795.98</v>
      </c>
      <c r="E5713" s="25">
        <f t="shared" si="456"/>
        <v>47.57</v>
      </c>
    </row>
    <row r="5714" spans="1:6" ht="12.75" customHeight="1">
      <c r="A5714" s="4" t="s">
        <v>183</v>
      </c>
      <c r="B5714" s="8">
        <v>0.77</v>
      </c>
      <c r="C5714" s="6" t="s">
        <v>211</v>
      </c>
      <c r="D5714" s="37">
        <f>D5603</f>
        <v>38</v>
      </c>
      <c r="E5714" s="25">
        <f t="shared" si="456"/>
        <v>29.26</v>
      </c>
    </row>
    <row r="5715" spans="1:6" ht="12.75" customHeight="1">
      <c r="A5715" s="4" t="s">
        <v>92</v>
      </c>
      <c r="B5715" s="8">
        <v>1</v>
      </c>
      <c r="C5715" s="6" t="s">
        <v>1171</v>
      </c>
      <c r="D5715" s="37">
        <f>Prec.!$D$502</f>
        <v>0</v>
      </c>
      <c r="E5715" s="25">
        <f t="shared" si="456"/>
        <v>0</v>
      </c>
    </row>
    <row r="5716" spans="1:6" ht="12.75" customHeight="1">
      <c r="A5716" s="4" t="s">
        <v>97</v>
      </c>
      <c r="B5716" s="8">
        <v>1</v>
      </c>
      <c r="C5716" s="6" t="s">
        <v>1171</v>
      </c>
      <c r="D5716" s="37">
        <f>Prec.!$D$503</f>
        <v>0</v>
      </c>
      <c r="E5716" s="25">
        <f t="shared" si="456"/>
        <v>0</v>
      </c>
    </row>
    <row r="5717" spans="1:6" ht="12.75" customHeight="1">
      <c r="A5717" s="4" t="s">
        <v>208</v>
      </c>
      <c r="B5717" s="7">
        <f>SUM(E5712:E5716)</f>
        <v>213.48</v>
      </c>
      <c r="C5717" s="6" t="s">
        <v>209</v>
      </c>
      <c r="D5717" s="37">
        <f>D5709</f>
        <v>1.4999999999999999E-2</v>
      </c>
      <c r="E5717" s="25">
        <f t="shared" si="456"/>
        <v>3.2</v>
      </c>
      <c r="F5717" s="26">
        <f>SUM(E5712:E5717)</f>
        <v>216.67999999999998</v>
      </c>
    </row>
    <row r="5718" spans="1:6" ht="12.75" customHeight="1">
      <c r="B5718" s="7"/>
    </row>
    <row r="5719" spans="1:6" ht="12.75" customHeight="1">
      <c r="B5719" s="7"/>
    </row>
    <row r="5720" spans="1:6" ht="12.75" customHeight="1">
      <c r="B5720" s="7"/>
    </row>
    <row r="5721" spans="1:6" ht="12.75" customHeight="1">
      <c r="B5721" s="7"/>
    </row>
    <row r="5722" spans="1:6" ht="12.75" customHeight="1">
      <c r="B5722" s="7"/>
    </row>
    <row r="5723" spans="1:6" ht="12.75" customHeight="1">
      <c r="B5723" s="7"/>
    </row>
    <row r="5724" spans="1:6" ht="12.75" customHeight="1">
      <c r="A5724" s="13" t="s">
        <v>592</v>
      </c>
      <c r="B5724" s="11"/>
      <c r="C5724" s="2"/>
      <c r="E5724" s="27" t="s">
        <v>151</v>
      </c>
      <c r="F5724" s="28" t="s">
        <v>1171</v>
      </c>
    </row>
    <row r="5725" spans="1:6" ht="12.75" customHeight="1">
      <c r="A5725" s="4" t="s">
        <v>76</v>
      </c>
      <c r="B5725" s="8">
        <v>1</v>
      </c>
      <c r="C5725" s="6" t="s">
        <v>1171</v>
      </c>
      <c r="D5725" s="37">
        <f>Prec.!C137</f>
        <v>2898.57</v>
      </c>
      <c r="E5725" s="25">
        <f t="shared" ref="E5725:E5734" si="457">ROUND(B5725*D5725,2)</f>
        <v>2898.57</v>
      </c>
    </row>
    <row r="5726" spans="1:6" ht="12.75" customHeight="1">
      <c r="A5726" s="4" t="s">
        <v>421</v>
      </c>
      <c r="B5726" s="8">
        <v>2.5000000000000001E-2</v>
      </c>
      <c r="C5726" s="6" t="s">
        <v>825</v>
      </c>
      <c r="D5726" s="37">
        <f>D5712</f>
        <v>5466.17</v>
      </c>
      <c r="E5726" s="25">
        <f t="shared" si="457"/>
        <v>136.65</v>
      </c>
    </row>
    <row r="5727" spans="1:6" ht="12.75" customHeight="1">
      <c r="A5727" s="4" t="s">
        <v>663</v>
      </c>
      <c r="B5727" s="8">
        <v>1.49E-2</v>
      </c>
      <c r="C5727" s="6" t="s">
        <v>825</v>
      </c>
      <c r="D5727" s="37">
        <f>D5702</f>
        <v>5119.2199999999993</v>
      </c>
      <c r="E5727" s="25">
        <f t="shared" si="457"/>
        <v>76.28</v>
      </c>
    </row>
    <row r="5728" spans="1:6" ht="12.75" customHeight="1">
      <c r="A5728" s="4" t="s">
        <v>622</v>
      </c>
      <c r="B5728" s="8">
        <v>2.5000000000000001E-2</v>
      </c>
      <c r="C5728" s="6" t="s">
        <v>1172</v>
      </c>
      <c r="D5728" s="37">
        <f>Prec.!$C$8</f>
        <v>250</v>
      </c>
      <c r="E5728" s="25">
        <f t="shared" si="457"/>
        <v>6.25</v>
      </c>
    </row>
    <row r="5729" spans="1:6" ht="12.75" customHeight="1">
      <c r="A5729" s="4" t="s">
        <v>92</v>
      </c>
      <c r="B5729" s="8">
        <v>1</v>
      </c>
      <c r="C5729" s="6" t="s">
        <v>1171</v>
      </c>
      <c r="D5729" s="37">
        <f>Prec.!$D$502</f>
        <v>0</v>
      </c>
      <c r="E5729" s="25">
        <f t="shared" si="457"/>
        <v>0</v>
      </c>
    </row>
    <row r="5730" spans="1:6" ht="12.75" customHeight="1">
      <c r="A5730" s="4" t="s">
        <v>93</v>
      </c>
      <c r="B5730" s="8">
        <v>1</v>
      </c>
      <c r="C5730" s="6" t="s">
        <v>1171</v>
      </c>
      <c r="D5730" s="37">
        <f>Prec.!D508</f>
        <v>0</v>
      </c>
      <c r="E5730" s="25">
        <f t="shared" si="457"/>
        <v>0</v>
      </c>
    </row>
    <row r="5731" spans="1:6" ht="12.75" customHeight="1">
      <c r="A5731" s="4" t="s">
        <v>94</v>
      </c>
      <c r="B5731" s="8">
        <v>1</v>
      </c>
      <c r="C5731" s="6" t="s">
        <v>1171</v>
      </c>
      <c r="D5731" s="37">
        <f>Prec.!$D$513</f>
        <v>285</v>
      </c>
      <c r="E5731" s="25">
        <f t="shared" si="457"/>
        <v>285</v>
      </c>
    </row>
    <row r="5732" spans="1:6" ht="12.75" customHeight="1">
      <c r="A5732" s="4" t="s">
        <v>805</v>
      </c>
      <c r="B5732" s="8">
        <v>1</v>
      </c>
      <c r="C5732" s="6" t="s">
        <v>1171</v>
      </c>
      <c r="D5732" s="37">
        <f>D5707</f>
        <v>43.11</v>
      </c>
      <c r="E5732" s="25">
        <f t="shared" si="457"/>
        <v>43.11</v>
      </c>
    </row>
    <row r="5733" spans="1:6" ht="12.75" customHeight="1">
      <c r="A5733" s="4" t="s">
        <v>806</v>
      </c>
      <c r="B5733" s="8">
        <v>2.5000000000000001E-2</v>
      </c>
      <c r="C5733" s="6" t="s">
        <v>1172</v>
      </c>
      <c r="D5733" s="37">
        <f>D5708</f>
        <v>26.49</v>
      </c>
      <c r="E5733" s="25">
        <f t="shared" si="457"/>
        <v>0.66</v>
      </c>
    </row>
    <row r="5734" spans="1:6" ht="12.75" customHeight="1">
      <c r="A5734" s="4" t="s">
        <v>208</v>
      </c>
      <c r="B5734" s="7">
        <f>SUM(E5725:E5733)</f>
        <v>3446.5200000000004</v>
      </c>
      <c r="C5734" s="6" t="s">
        <v>209</v>
      </c>
      <c r="D5734" s="37">
        <f>D5717</f>
        <v>1.4999999999999999E-2</v>
      </c>
      <c r="E5734" s="25">
        <f t="shared" si="457"/>
        <v>51.7</v>
      </c>
      <c r="F5734" s="26">
        <f>SUM(E5725:E5734)</f>
        <v>3498.2200000000003</v>
      </c>
    </row>
    <row r="5735" spans="1:6" ht="12.75" customHeight="1">
      <c r="B5735" s="7"/>
    </row>
    <row r="5736" spans="1:6" ht="12.75" customHeight="1">
      <c r="A5736" s="1" t="s">
        <v>1106</v>
      </c>
      <c r="B5736" s="11"/>
      <c r="C5736" s="2"/>
      <c r="E5736" s="27" t="s">
        <v>151</v>
      </c>
      <c r="F5736" s="28" t="s">
        <v>1171</v>
      </c>
    </row>
    <row r="5737" spans="1:6" ht="12.75" customHeight="1">
      <c r="A5737" s="4" t="s">
        <v>98</v>
      </c>
      <c r="B5737" s="8">
        <v>6.51</v>
      </c>
      <c r="C5737" s="6" t="s">
        <v>1017</v>
      </c>
      <c r="D5737" s="37">
        <f>Prec.!C113</f>
        <v>32.14</v>
      </c>
      <c r="E5737" s="25">
        <f t="shared" ref="E5737:E5748" si="458">ROUND(B5737*D5737,2)</f>
        <v>209.23</v>
      </c>
    </row>
    <row r="5738" spans="1:6" ht="12.75" customHeight="1">
      <c r="A5738" s="4" t="s">
        <v>421</v>
      </c>
      <c r="B5738" s="8">
        <v>2.5000000000000001E-2</v>
      </c>
      <c r="C5738" s="6" t="s">
        <v>825</v>
      </c>
      <c r="D5738" s="37">
        <f>horm.ymez.!H14</f>
        <v>5466.17</v>
      </c>
      <c r="E5738" s="25">
        <f t="shared" si="458"/>
        <v>136.65</v>
      </c>
    </row>
    <row r="5739" spans="1:6" ht="12.75" customHeight="1">
      <c r="A5739" s="4" t="s">
        <v>663</v>
      </c>
      <c r="B5739" s="8">
        <v>1.49E-2</v>
      </c>
      <c r="C5739" s="6" t="s">
        <v>825</v>
      </c>
      <c r="D5739" s="37">
        <f>D5727</f>
        <v>5119.2199999999993</v>
      </c>
      <c r="E5739" s="25">
        <f t="shared" si="458"/>
        <v>76.28</v>
      </c>
    </row>
    <row r="5740" spans="1:6" ht="12.75" customHeight="1">
      <c r="A5740" s="4" t="s">
        <v>1173</v>
      </c>
      <c r="B5740" s="8">
        <v>0.05</v>
      </c>
      <c r="C5740" s="6" t="s">
        <v>218</v>
      </c>
      <c r="D5740" s="37">
        <f>Prec.!$C$82</f>
        <v>75</v>
      </c>
      <c r="E5740" s="25">
        <f t="shared" si="458"/>
        <v>3.75</v>
      </c>
    </row>
    <row r="5741" spans="1:6" ht="12.75" customHeight="1">
      <c r="A5741" s="4" t="s">
        <v>673</v>
      </c>
      <c r="B5741" s="8">
        <v>2.5000000000000001E-2</v>
      </c>
      <c r="C5741" s="6" t="s">
        <v>1172</v>
      </c>
      <c r="D5741" s="37">
        <f>Prec.!$C$8</f>
        <v>250</v>
      </c>
      <c r="E5741" s="25">
        <f t="shared" si="458"/>
        <v>6.25</v>
      </c>
    </row>
    <row r="5742" spans="1:6" ht="12.75" customHeight="1">
      <c r="A5742" s="4" t="s">
        <v>92</v>
      </c>
      <c r="B5742" s="8">
        <v>1</v>
      </c>
      <c r="C5742" s="6" t="s">
        <v>1171</v>
      </c>
      <c r="D5742" s="37">
        <f>Prec.!$D$502</f>
        <v>0</v>
      </c>
      <c r="E5742" s="25">
        <f t="shared" si="458"/>
        <v>0</v>
      </c>
    </row>
    <row r="5743" spans="1:6" ht="12.75" customHeight="1">
      <c r="A5743" s="4" t="s">
        <v>99</v>
      </c>
      <c r="B5743" s="8">
        <v>1</v>
      </c>
      <c r="C5743" s="6" t="s">
        <v>1171</v>
      </c>
      <c r="D5743" s="37">
        <f>Prec.!D507</f>
        <v>0</v>
      </c>
      <c r="E5743" s="25">
        <f t="shared" si="458"/>
        <v>0</v>
      </c>
    </row>
    <row r="5744" spans="1:6" ht="12.75" customHeight="1">
      <c r="A5744" s="4" t="s">
        <v>1015</v>
      </c>
      <c r="B5744" s="8">
        <v>2</v>
      </c>
      <c r="C5744" s="6" t="s">
        <v>1017</v>
      </c>
      <c r="D5744" s="37">
        <f>Prec.!D490</f>
        <v>11.93</v>
      </c>
      <c r="E5744" s="25">
        <f t="shared" si="458"/>
        <v>23.86</v>
      </c>
    </row>
    <row r="5745" spans="1:6" ht="12.75" customHeight="1">
      <c r="A5745" s="4" t="s">
        <v>94</v>
      </c>
      <c r="B5745" s="8">
        <v>1</v>
      </c>
      <c r="C5745" s="6" t="s">
        <v>1171</v>
      </c>
      <c r="D5745" s="37">
        <f>Prec.!$D$513</f>
        <v>285</v>
      </c>
      <c r="E5745" s="25">
        <f t="shared" si="458"/>
        <v>285</v>
      </c>
    </row>
    <row r="5746" spans="1:6" ht="12.75" customHeight="1">
      <c r="A5746" s="4" t="s">
        <v>890</v>
      </c>
      <c r="B5746" s="8">
        <v>1</v>
      </c>
      <c r="C5746" s="6" t="s">
        <v>1171</v>
      </c>
      <c r="D5746" s="37">
        <f>D5732</f>
        <v>43.11</v>
      </c>
      <c r="E5746" s="25">
        <f t="shared" si="458"/>
        <v>43.11</v>
      </c>
    </row>
    <row r="5747" spans="1:6" ht="12.75" customHeight="1">
      <c r="A5747" s="4" t="s">
        <v>806</v>
      </c>
      <c r="B5747" s="8">
        <v>2.5000000000000001E-2</v>
      </c>
      <c r="C5747" s="6" t="s">
        <v>1172</v>
      </c>
      <c r="D5747" s="37">
        <f>D5733</f>
        <v>26.49</v>
      </c>
      <c r="E5747" s="25">
        <f t="shared" si="458"/>
        <v>0.66</v>
      </c>
    </row>
    <row r="5748" spans="1:6" ht="12.75" customHeight="1">
      <c r="A5748" s="4" t="s">
        <v>208</v>
      </c>
      <c r="B5748" s="7">
        <f>SUM(E5737:E5747)</f>
        <v>784.79</v>
      </c>
      <c r="C5748" s="6" t="s">
        <v>209</v>
      </c>
      <c r="D5748" s="37">
        <f>D5734</f>
        <v>1.4999999999999999E-2</v>
      </c>
      <c r="E5748" s="25">
        <f t="shared" si="458"/>
        <v>11.77</v>
      </c>
      <c r="F5748" s="26">
        <f>SUM(E5737:E5748)</f>
        <v>796.56</v>
      </c>
    </row>
    <row r="5749" spans="1:6" ht="12.75" customHeight="1">
      <c r="B5749" s="7"/>
    </row>
    <row r="5750" spans="1:6" ht="12.75" customHeight="1">
      <c r="A5750" s="1" t="s">
        <v>1024</v>
      </c>
      <c r="B5750" s="7"/>
      <c r="E5750" s="27" t="s">
        <v>151</v>
      </c>
      <c r="F5750" s="28" t="s">
        <v>1017</v>
      </c>
    </row>
    <row r="5751" spans="1:6" ht="12.75" customHeight="1">
      <c r="A5751" s="4" t="s">
        <v>302</v>
      </c>
      <c r="B5751" s="8">
        <v>1.05</v>
      </c>
      <c r="C5751" s="6" t="s">
        <v>1017</v>
      </c>
      <c r="D5751" s="37">
        <f>Prec.!$C$146</f>
        <v>125.25</v>
      </c>
      <c r="E5751" s="25">
        <f t="shared" ref="E5751:E5757" si="459">ROUND(B5751*D5751,2)</f>
        <v>131.51</v>
      </c>
    </row>
    <row r="5752" spans="1:6" ht="12.75" customHeight="1">
      <c r="A5752" s="4" t="s">
        <v>1174</v>
      </c>
      <c r="B5752" s="8">
        <v>1E-3</v>
      </c>
      <c r="C5752" s="6" t="s">
        <v>825</v>
      </c>
      <c r="D5752" s="37">
        <f>horm.ymez.!H9</f>
        <v>5783.9699999999993</v>
      </c>
      <c r="E5752" s="25">
        <f t="shared" si="459"/>
        <v>5.78</v>
      </c>
    </row>
    <row r="5753" spans="1:6" ht="12.75" customHeight="1">
      <c r="A5753" s="4" t="s">
        <v>304</v>
      </c>
      <c r="B5753" s="8">
        <v>2E-3</v>
      </c>
      <c r="C5753" s="6" t="s">
        <v>1172</v>
      </c>
      <c r="D5753" s="37">
        <f>Prec.!$C$7</f>
        <v>250</v>
      </c>
      <c r="E5753" s="25">
        <f t="shared" si="459"/>
        <v>0.5</v>
      </c>
    </row>
    <row r="5754" spans="1:6" ht="12.75" customHeight="1">
      <c r="A5754" s="4" t="s">
        <v>303</v>
      </c>
      <c r="B5754" s="8">
        <v>1</v>
      </c>
      <c r="C5754" s="6" t="s">
        <v>1017</v>
      </c>
      <c r="D5754" s="37">
        <f>Prec.!$D$515</f>
        <v>0</v>
      </c>
      <c r="E5754" s="25">
        <f t="shared" si="459"/>
        <v>0</v>
      </c>
    </row>
    <row r="5755" spans="1:6" ht="12.75" customHeight="1">
      <c r="A5755" s="4" t="s">
        <v>1156</v>
      </c>
      <c r="B5755" s="8">
        <v>1</v>
      </c>
      <c r="C5755" s="6" t="s">
        <v>1017</v>
      </c>
      <c r="D5755" s="37">
        <f>Prec.!D578</f>
        <v>1.5</v>
      </c>
      <c r="E5755" s="25">
        <f t="shared" si="459"/>
        <v>1.5</v>
      </c>
    </row>
    <row r="5756" spans="1:6" ht="12.75" customHeight="1">
      <c r="A5756" s="4" t="s">
        <v>806</v>
      </c>
      <c r="B5756" s="8">
        <v>2E-3</v>
      </c>
      <c r="C5756" s="6" t="s">
        <v>1172</v>
      </c>
      <c r="D5756" s="37">
        <f>D5747</f>
        <v>26.49</v>
      </c>
      <c r="E5756" s="25">
        <f t="shared" si="459"/>
        <v>0.05</v>
      </c>
    </row>
    <row r="5757" spans="1:6" ht="12.75" customHeight="1">
      <c r="A5757" s="4" t="s">
        <v>208</v>
      </c>
      <c r="B5757" s="7">
        <f>SUM(E5751:E5756)</f>
        <v>139.34</v>
      </c>
      <c r="C5757" s="6" t="s">
        <v>209</v>
      </c>
      <c r="D5757" s="37">
        <f>D5748</f>
        <v>1.4999999999999999E-2</v>
      </c>
      <c r="E5757" s="25">
        <f t="shared" si="459"/>
        <v>2.09</v>
      </c>
      <c r="F5757" s="26">
        <f>SUM(E5751:E5757)</f>
        <v>141.43</v>
      </c>
    </row>
    <row r="5758" spans="1:6" ht="12.75" customHeight="1">
      <c r="B5758" s="7"/>
    </row>
    <row r="5759" spans="1:6" ht="12.75" customHeight="1">
      <c r="A5759" s="1" t="s">
        <v>1025</v>
      </c>
      <c r="B5759" s="7"/>
      <c r="E5759" s="27" t="s">
        <v>151</v>
      </c>
      <c r="F5759" s="28" t="s">
        <v>1017</v>
      </c>
    </row>
    <row r="5760" spans="1:6" ht="12.75" customHeight="1">
      <c r="A5760" s="4" t="s">
        <v>302</v>
      </c>
      <c r="B5760" s="8">
        <v>1.05</v>
      </c>
      <c r="C5760" s="6" t="s">
        <v>1017</v>
      </c>
      <c r="D5760" s="37">
        <f>Prec.!$C$147</f>
        <v>139.88</v>
      </c>
      <c r="E5760" s="25">
        <f t="shared" ref="E5760:E5766" si="460">ROUND(B5760*D5760,2)</f>
        <v>146.87</v>
      </c>
    </row>
    <row r="5761" spans="1:6" ht="12.75" customHeight="1">
      <c r="A5761" s="4" t="s">
        <v>1174</v>
      </c>
      <c r="B5761" s="8">
        <v>1E-3</v>
      </c>
      <c r="C5761" s="6" t="s">
        <v>825</v>
      </c>
      <c r="D5761" s="37">
        <f>D5752</f>
        <v>5783.9699999999993</v>
      </c>
      <c r="E5761" s="25">
        <f t="shared" si="460"/>
        <v>5.78</v>
      </c>
    </row>
    <row r="5762" spans="1:6" ht="12.75" customHeight="1">
      <c r="A5762" s="4" t="s">
        <v>673</v>
      </c>
      <c r="B5762" s="8">
        <v>2E-3</v>
      </c>
      <c r="C5762" s="6" t="s">
        <v>1172</v>
      </c>
      <c r="D5762" s="37">
        <f>Prec.!$C$8</f>
        <v>250</v>
      </c>
      <c r="E5762" s="25">
        <f t="shared" si="460"/>
        <v>0.5</v>
      </c>
    </row>
    <row r="5763" spans="1:6" ht="12.75" customHeight="1">
      <c r="A5763" s="4" t="s">
        <v>303</v>
      </c>
      <c r="B5763" s="8">
        <v>1</v>
      </c>
      <c r="C5763" s="6" t="s">
        <v>1017</v>
      </c>
      <c r="D5763" s="37">
        <f>Prec.!$D$515</f>
        <v>0</v>
      </c>
      <c r="E5763" s="25">
        <f t="shared" si="460"/>
        <v>0</v>
      </c>
    </row>
    <row r="5764" spans="1:6" ht="12.75" customHeight="1">
      <c r="A5764" s="4" t="s">
        <v>1156</v>
      </c>
      <c r="B5764" s="8">
        <v>1</v>
      </c>
      <c r="C5764" s="6" t="s">
        <v>1017</v>
      </c>
      <c r="D5764" s="37">
        <f>D5755</f>
        <v>1.5</v>
      </c>
      <c r="E5764" s="25">
        <f t="shared" si="460"/>
        <v>1.5</v>
      </c>
    </row>
    <row r="5765" spans="1:6" ht="12.75" customHeight="1">
      <c r="A5765" s="4" t="s">
        <v>806</v>
      </c>
      <c r="B5765" s="8">
        <v>2E-3</v>
      </c>
      <c r="C5765" s="6" t="s">
        <v>1172</v>
      </c>
      <c r="D5765" s="37">
        <f>D5756</f>
        <v>26.49</v>
      </c>
      <c r="E5765" s="25">
        <f t="shared" si="460"/>
        <v>0.05</v>
      </c>
    </row>
    <row r="5766" spans="1:6" ht="12.75" customHeight="1">
      <c r="A5766" s="4" t="s">
        <v>208</v>
      </c>
      <c r="B5766" s="7">
        <f>SUM(E5760:E5765)</f>
        <v>154.70000000000002</v>
      </c>
      <c r="C5766" s="6" t="s">
        <v>209</v>
      </c>
      <c r="D5766" s="37">
        <f>D5757</f>
        <v>1.4999999999999999E-2</v>
      </c>
      <c r="E5766" s="25">
        <f t="shared" si="460"/>
        <v>2.3199999999999998</v>
      </c>
      <c r="F5766" s="26">
        <f>SUM(E5760:E5766)</f>
        <v>157.02000000000001</v>
      </c>
    </row>
    <row r="5767" spans="1:6" ht="12.75" customHeight="1">
      <c r="B5767" s="7"/>
    </row>
    <row r="5768" spans="1:6" ht="12.75" customHeight="1">
      <c r="B5768" s="7"/>
    </row>
    <row r="5769" spans="1:6" ht="12.75" customHeight="1">
      <c r="B5769" s="7"/>
    </row>
    <row r="5770" spans="1:6" ht="12.75" customHeight="1">
      <c r="B5770" s="7"/>
    </row>
    <row r="5771" spans="1:6" ht="12.75" customHeight="1">
      <c r="B5771" s="7"/>
    </row>
    <row r="5772" spans="1:6" ht="12.75" customHeight="1">
      <c r="B5772" s="7"/>
    </row>
    <row r="5773" spans="1:6" ht="12.75" customHeight="1">
      <c r="B5773" s="7"/>
    </row>
    <row r="5774" spans="1:6" ht="12.75" customHeight="1">
      <c r="A5774" s="13" t="s">
        <v>247</v>
      </c>
      <c r="B5774" s="7"/>
      <c r="E5774" s="27" t="s">
        <v>151</v>
      </c>
      <c r="F5774" s="28" t="s">
        <v>1017</v>
      </c>
    </row>
    <row r="5775" spans="1:6" ht="12.75" customHeight="1">
      <c r="A5775" s="4" t="s">
        <v>774</v>
      </c>
      <c r="B5775" s="8">
        <v>1.05</v>
      </c>
      <c r="C5775" s="6" t="s">
        <v>1171</v>
      </c>
      <c r="D5775" s="37">
        <f>Prec.!C138</f>
        <v>568.4</v>
      </c>
      <c r="E5775" s="25">
        <f t="shared" ref="E5775:E5782" si="461">ROUND(B5775*D5775,2)</f>
        <v>596.82000000000005</v>
      </c>
    </row>
    <row r="5776" spans="1:6" ht="12.75" customHeight="1">
      <c r="A5776" s="4" t="s">
        <v>1174</v>
      </c>
      <c r="B5776" s="8">
        <v>1E-3</v>
      </c>
      <c r="C5776" s="6" t="s">
        <v>825</v>
      </c>
      <c r="D5776" s="37">
        <f>D5761</f>
        <v>5783.9699999999993</v>
      </c>
      <c r="E5776" s="25">
        <f t="shared" si="461"/>
        <v>5.78</v>
      </c>
    </row>
    <row r="5777" spans="1:6" ht="12.75" customHeight="1">
      <c r="A5777" s="4" t="s">
        <v>673</v>
      </c>
      <c r="B5777" s="8">
        <v>2E-3</v>
      </c>
      <c r="C5777" s="6" t="s">
        <v>1172</v>
      </c>
      <c r="D5777" s="37">
        <f>Prec.!$C$8</f>
        <v>250</v>
      </c>
      <c r="E5777" s="25">
        <f t="shared" si="461"/>
        <v>0.5</v>
      </c>
    </row>
    <row r="5778" spans="1:6" ht="12.75" customHeight="1">
      <c r="A5778" s="4" t="s">
        <v>1015</v>
      </c>
      <c r="B5778" s="8">
        <v>1</v>
      </c>
      <c r="C5778" s="6" t="s">
        <v>1017</v>
      </c>
      <c r="D5778" s="37">
        <f>Prec.!D491</f>
        <v>11.93</v>
      </c>
      <c r="E5778" s="25">
        <f t="shared" si="461"/>
        <v>11.93</v>
      </c>
    </row>
    <row r="5779" spans="1:6" ht="12.75" customHeight="1">
      <c r="A5779" s="4" t="s">
        <v>303</v>
      </c>
      <c r="B5779" s="8">
        <v>1</v>
      </c>
      <c r="C5779" s="6" t="s">
        <v>1017</v>
      </c>
      <c r="D5779" s="37">
        <f>Prec.!$D$515</f>
        <v>0</v>
      </c>
      <c r="E5779" s="25">
        <f t="shared" si="461"/>
        <v>0</v>
      </c>
    </row>
    <row r="5780" spans="1:6" ht="12.75" customHeight="1">
      <c r="A5780" s="4" t="s">
        <v>1156</v>
      </c>
      <c r="B5780" s="8">
        <v>1</v>
      </c>
      <c r="C5780" s="6" t="s">
        <v>1017</v>
      </c>
      <c r="D5780" s="37">
        <f>D5764</f>
        <v>1.5</v>
      </c>
      <c r="E5780" s="25">
        <f t="shared" si="461"/>
        <v>1.5</v>
      </c>
    </row>
    <row r="5781" spans="1:6" ht="12.75" customHeight="1">
      <c r="A5781" s="4" t="s">
        <v>806</v>
      </c>
      <c r="B5781" s="8">
        <v>2E-3</v>
      </c>
      <c r="C5781" s="6" t="s">
        <v>1172</v>
      </c>
      <c r="D5781" s="37">
        <f>D5765</f>
        <v>26.49</v>
      </c>
      <c r="E5781" s="25">
        <f t="shared" si="461"/>
        <v>0.05</v>
      </c>
    </row>
    <row r="5782" spans="1:6" ht="12.75" customHeight="1">
      <c r="A5782" s="4" t="s">
        <v>208</v>
      </c>
      <c r="B5782" s="7">
        <f>SUM(E5775:E5779)</f>
        <v>615.03</v>
      </c>
      <c r="C5782" s="6" t="s">
        <v>209</v>
      </c>
      <c r="D5782" s="37">
        <f>D5766</f>
        <v>1.4999999999999999E-2</v>
      </c>
      <c r="E5782" s="25">
        <f t="shared" si="461"/>
        <v>9.23</v>
      </c>
      <c r="F5782" s="26">
        <f>SUM(E5775:E5782)</f>
        <v>625.80999999999995</v>
      </c>
    </row>
    <row r="5783" spans="1:6" ht="12.75" customHeight="1">
      <c r="B5783" s="7"/>
    </row>
    <row r="5784" spans="1:6" ht="12.75" customHeight="1">
      <c r="A5784" s="13" t="s">
        <v>987</v>
      </c>
      <c r="B5784" s="11"/>
      <c r="C5784" s="2"/>
      <c r="E5784" s="27" t="s">
        <v>151</v>
      </c>
      <c r="F5784" s="28" t="s">
        <v>1017</v>
      </c>
    </row>
    <row r="5785" spans="1:6" ht="12.75" customHeight="1">
      <c r="A5785" s="4" t="s">
        <v>818</v>
      </c>
      <c r="B5785" s="8">
        <v>0.25</v>
      </c>
      <c r="C5785" s="6" t="s">
        <v>1017</v>
      </c>
      <c r="D5785" s="37">
        <f>Prec.!C113</f>
        <v>32.14</v>
      </c>
      <c r="E5785" s="25">
        <f t="shared" ref="E5785:E5793" si="462">ROUND(B5785*D5785,2)</f>
        <v>8.0399999999999991</v>
      </c>
    </row>
    <row r="5786" spans="1:6" ht="12.75" customHeight="1">
      <c r="A5786" s="4" t="s">
        <v>673</v>
      </c>
      <c r="B5786" s="8">
        <v>2E-3</v>
      </c>
      <c r="C5786" s="6" t="s">
        <v>1172</v>
      </c>
      <c r="D5786" s="37">
        <f>Prec.!$C$8</f>
        <v>250</v>
      </c>
      <c r="E5786" s="25">
        <f t="shared" si="462"/>
        <v>0.5</v>
      </c>
    </row>
    <row r="5787" spans="1:6" ht="12.75" customHeight="1">
      <c r="A5787" s="4" t="s">
        <v>1173</v>
      </c>
      <c r="B5787" s="8">
        <v>5.0000000000000001E-3</v>
      </c>
      <c r="C5787" s="6" t="s">
        <v>1018</v>
      </c>
      <c r="D5787" s="37">
        <f>Prec.!$C$82</f>
        <v>75</v>
      </c>
      <c r="E5787" s="25">
        <f t="shared" si="462"/>
        <v>0.38</v>
      </c>
    </row>
    <row r="5788" spans="1:6" ht="12.75" customHeight="1">
      <c r="A5788" s="4" t="s">
        <v>1174</v>
      </c>
      <c r="B5788" s="8">
        <v>2E-3</v>
      </c>
      <c r="C5788" s="6" t="s">
        <v>825</v>
      </c>
      <c r="D5788" s="37">
        <f>D5776</f>
        <v>5783.9699999999993</v>
      </c>
      <c r="E5788" s="25">
        <f t="shared" si="462"/>
        <v>11.57</v>
      </c>
    </row>
    <row r="5789" spans="1:6" ht="12.75" customHeight="1">
      <c r="A5789" s="4" t="s">
        <v>1015</v>
      </c>
      <c r="B5789" s="8">
        <v>2</v>
      </c>
      <c r="C5789" s="6" t="s">
        <v>1017</v>
      </c>
      <c r="D5789" s="37">
        <f>Prec.!D490</f>
        <v>11.93</v>
      </c>
      <c r="E5789" s="25">
        <f t="shared" si="462"/>
        <v>23.86</v>
      </c>
    </row>
    <row r="5790" spans="1:6" ht="12.75" customHeight="1">
      <c r="A5790" s="4" t="s">
        <v>674</v>
      </c>
      <c r="B5790" s="8">
        <v>1</v>
      </c>
      <c r="C5790" s="6" t="s">
        <v>1017</v>
      </c>
      <c r="D5790" s="37">
        <f>Prec.!$D$514</f>
        <v>0</v>
      </c>
      <c r="E5790" s="25">
        <f t="shared" si="462"/>
        <v>0</v>
      </c>
    </row>
    <row r="5791" spans="1:6" ht="12.75" customHeight="1">
      <c r="A5791" s="4" t="s">
        <v>1156</v>
      </c>
      <c r="B5791" s="8">
        <v>1</v>
      </c>
      <c r="C5791" s="6" t="s">
        <v>1017</v>
      </c>
      <c r="D5791" s="37">
        <f>D5780</f>
        <v>1.5</v>
      </c>
      <c r="E5791" s="25">
        <f t="shared" si="462"/>
        <v>1.5</v>
      </c>
    </row>
    <row r="5792" spans="1:6" ht="12.75" customHeight="1">
      <c r="A5792" s="4" t="s">
        <v>806</v>
      </c>
      <c r="B5792" s="8">
        <v>2E-3</v>
      </c>
      <c r="C5792" s="6" t="s">
        <v>1172</v>
      </c>
      <c r="D5792" s="37">
        <f>D5781</f>
        <v>26.49</v>
      </c>
      <c r="E5792" s="25">
        <f t="shared" si="462"/>
        <v>0.05</v>
      </c>
    </row>
    <row r="5793" spans="1:7" ht="12.75" customHeight="1">
      <c r="A5793" s="4" t="s">
        <v>208</v>
      </c>
      <c r="B5793" s="7">
        <f>SUM(E5785:E5792)</f>
        <v>45.9</v>
      </c>
      <c r="C5793" s="6" t="s">
        <v>209</v>
      </c>
      <c r="D5793" s="37">
        <f>D5782</f>
        <v>1.4999999999999999E-2</v>
      </c>
      <c r="E5793" s="25">
        <f t="shared" si="462"/>
        <v>0.69</v>
      </c>
      <c r="F5793" s="26">
        <f>SUM(E5785:E5793)</f>
        <v>46.589999999999996</v>
      </c>
    </row>
    <row r="5794" spans="1:7" ht="12.75" customHeight="1">
      <c r="A5794" s="12"/>
      <c r="B5794" s="7"/>
    </row>
    <row r="5795" spans="1:7" ht="12.75" customHeight="1">
      <c r="A5795" s="47" t="s">
        <v>287</v>
      </c>
      <c r="B5795" s="7"/>
    </row>
    <row r="5796" spans="1:7" ht="12.75" customHeight="1">
      <c r="B5796" s="7"/>
    </row>
    <row r="5797" spans="1:7" ht="12.75" customHeight="1">
      <c r="A5797" s="1" t="s">
        <v>130</v>
      </c>
      <c r="B5797" s="7"/>
      <c r="E5797" s="27" t="s">
        <v>151</v>
      </c>
      <c r="F5797" s="28" t="s">
        <v>213</v>
      </c>
    </row>
    <row r="5798" spans="1:7" ht="12.75" customHeight="1">
      <c r="A5798" s="4" t="s">
        <v>182</v>
      </c>
      <c r="B5798" s="18">
        <v>8.5489999999999995</v>
      </c>
      <c r="C5798" s="6" t="s">
        <v>211</v>
      </c>
      <c r="D5798" s="37">
        <f>Prec.!C202</f>
        <v>37</v>
      </c>
      <c r="E5798" s="25">
        <f>ROUND(B5798*D5798,2)</f>
        <v>316.31</v>
      </c>
    </row>
    <row r="5799" spans="1:7" ht="12.75" customHeight="1">
      <c r="A5799" s="4" t="s">
        <v>223</v>
      </c>
      <c r="B5799" s="18">
        <v>0.42699999999999999</v>
      </c>
      <c r="C5799" s="6" t="s">
        <v>1204</v>
      </c>
      <c r="D5799" s="37">
        <f>Prec.!C151</f>
        <v>40</v>
      </c>
      <c r="E5799" s="25">
        <f>D5799*B5799</f>
        <v>17.079999999999998</v>
      </c>
    </row>
    <row r="5800" spans="1:7" ht="12.75" customHeight="1">
      <c r="A5800" s="4" t="s">
        <v>288</v>
      </c>
      <c r="B5800" s="18">
        <v>0.35</v>
      </c>
      <c r="C5800" s="6" t="s">
        <v>1204</v>
      </c>
      <c r="D5800" s="37">
        <f>Prec.!C158</f>
        <v>37.99</v>
      </c>
      <c r="E5800" s="25">
        <f t="shared" ref="E5800:E5806" si="463">ROUND(B5800*D5800,2)</f>
        <v>13.3</v>
      </c>
    </row>
    <row r="5801" spans="1:7" ht="12.75" customHeight="1">
      <c r="A5801" s="4" t="s">
        <v>286</v>
      </c>
      <c r="B5801" s="18">
        <v>1.05</v>
      </c>
      <c r="C5801" s="6" t="s">
        <v>1017</v>
      </c>
      <c r="D5801" s="37">
        <f>Prec.!C191</f>
        <v>300</v>
      </c>
      <c r="E5801" s="25">
        <f t="shared" si="463"/>
        <v>315</v>
      </c>
    </row>
    <row r="5802" spans="1:7" ht="12.75" customHeight="1">
      <c r="A5802" s="4" t="s">
        <v>807</v>
      </c>
      <c r="B5802" s="18">
        <v>0.13500000000000001</v>
      </c>
      <c r="C5802" s="6" t="s">
        <v>1017</v>
      </c>
      <c r="D5802" s="37">
        <f>Prec.!C194</f>
        <v>175</v>
      </c>
      <c r="E5802" s="25">
        <f t="shared" si="463"/>
        <v>23.63</v>
      </c>
    </row>
    <row r="5803" spans="1:7" ht="12.75" customHeight="1">
      <c r="A5803" s="4" t="s">
        <v>808</v>
      </c>
      <c r="B5803" s="18">
        <v>8.5489999999999995</v>
      </c>
      <c r="C5803" s="6" t="s">
        <v>211</v>
      </c>
      <c r="D5803" s="37">
        <f>Prec.!D593</f>
        <v>24.84</v>
      </c>
      <c r="E5803" s="25">
        <f t="shared" si="463"/>
        <v>212.36</v>
      </c>
      <c r="G5803" s="26"/>
    </row>
    <row r="5804" spans="1:7" ht="12.75" customHeight="1">
      <c r="A5804" s="4" t="s">
        <v>809</v>
      </c>
      <c r="B5804" s="18">
        <v>0.88</v>
      </c>
      <c r="C5804" s="6" t="s">
        <v>1017</v>
      </c>
      <c r="D5804" s="37">
        <f>Prec.!D605</f>
        <v>33.119999999999997</v>
      </c>
      <c r="E5804" s="25">
        <f t="shared" si="463"/>
        <v>29.15</v>
      </c>
    </row>
    <row r="5805" spans="1:7" ht="12.75" customHeight="1">
      <c r="A5805" s="4" t="s">
        <v>810</v>
      </c>
      <c r="B5805" s="18">
        <v>0.13500000000000001</v>
      </c>
      <c r="C5805" s="6" t="s">
        <v>1017</v>
      </c>
      <c r="D5805" s="37">
        <f>Prec.!D607</f>
        <v>43.05</v>
      </c>
      <c r="E5805" s="25">
        <f t="shared" si="463"/>
        <v>5.81</v>
      </c>
    </row>
    <row r="5806" spans="1:7" ht="12.75" customHeight="1">
      <c r="A5806" s="4" t="s">
        <v>208</v>
      </c>
      <c r="B5806" s="18">
        <f>SUM(E5798:E5805)</f>
        <v>932.64</v>
      </c>
      <c r="C5806" s="6" t="s">
        <v>1038</v>
      </c>
      <c r="D5806" s="37">
        <f>D5793</f>
        <v>1.4999999999999999E-2</v>
      </c>
      <c r="E5806" s="25">
        <f t="shared" si="463"/>
        <v>13.99</v>
      </c>
      <c r="F5806" s="26">
        <f>SUM(E5798:E5806)</f>
        <v>946.63</v>
      </c>
    </row>
    <row r="5807" spans="1:7" ht="12.75" customHeight="1">
      <c r="B5807" s="7"/>
    </row>
    <row r="5808" spans="1:7" ht="12.75" customHeight="1">
      <c r="A5808" s="1" t="s">
        <v>812</v>
      </c>
      <c r="B5808" s="7"/>
      <c r="E5808" s="27" t="s">
        <v>151</v>
      </c>
      <c r="F5808" s="28" t="s">
        <v>213</v>
      </c>
    </row>
    <row r="5809" spans="1:13" ht="12.75" customHeight="1">
      <c r="A5809" s="4" t="s">
        <v>941</v>
      </c>
      <c r="B5809" s="18">
        <v>10.863</v>
      </c>
      <c r="C5809" s="6" t="s">
        <v>211</v>
      </c>
      <c r="D5809" s="35">
        <f>D5603</f>
        <v>38</v>
      </c>
      <c r="E5809" s="25">
        <f t="shared" ref="E5809:E5817" si="464">ROUND(B5809*D5809,2)</f>
        <v>412.79</v>
      </c>
    </row>
    <row r="5810" spans="1:13" ht="12.75" customHeight="1">
      <c r="A5810" s="4" t="s">
        <v>813</v>
      </c>
      <c r="B5810" s="18">
        <v>0.54300000000000004</v>
      </c>
      <c r="C5810" s="6" t="s">
        <v>1204</v>
      </c>
      <c r="D5810" s="37">
        <f>Prec.!C151</f>
        <v>40</v>
      </c>
      <c r="E5810" s="25">
        <f t="shared" si="464"/>
        <v>21.72</v>
      </c>
    </row>
    <row r="5811" spans="1:13" ht="12.75" customHeight="1">
      <c r="A5811" s="4" t="s">
        <v>968</v>
      </c>
      <c r="B5811" s="18">
        <v>1.05</v>
      </c>
      <c r="C5811" s="6" t="s">
        <v>213</v>
      </c>
      <c r="D5811" s="37">
        <f>Prec.!C179</f>
        <v>344</v>
      </c>
      <c r="E5811" s="25">
        <f t="shared" si="464"/>
        <v>361.2</v>
      </c>
    </row>
    <row r="5812" spans="1:13" ht="12.75" customHeight="1">
      <c r="A5812" s="4" t="s">
        <v>814</v>
      </c>
      <c r="B5812" s="18">
        <v>5</v>
      </c>
      <c r="C5812" s="6" t="s">
        <v>1204</v>
      </c>
      <c r="D5812" s="37">
        <f>Prec.!C75</f>
        <v>60</v>
      </c>
      <c r="E5812" s="25">
        <f t="shared" si="464"/>
        <v>300</v>
      </c>
    </row>
    <row r="5813" spans="1:13" ht="12.75" customHeight="1">
      <c r="A5813" s="4" t="s">
        <v>808</v>
      </c>
      <c r="B5813" s="18">
        <v>8.5489999999999995</v>
      </c>
      <c r="C5813" s="6" t="s">
        <v>211</v>
      </c>
      <c r="D5813" s="37">
        <f>D5803</f>
        <v>24.84</v>
      </c>
      <c r="E5813" s="25">
        <f t="shared" si="464"/>
        <v>212.36</v>
      </c>
    </row>
    <row r="5814" spans="1:13" ht="12.75" customHeight="1">
      <c r="A5814" s="4" t="s">
        <v>815</v>
      </c>
      <c r="B5814" s="18">
        <v>0.88</v>
      </c>
      <c r="C5814" s="6" t="s">
        <v>213</v>
      </c>
      <c r="D5814" s="37">
        <f>Prec.!D480</f>
        <v>227.94</v>
      </c>
      <c r="E5814" s="25">
        <f t="shared" si="464"/>
        <v>200.59</v>
      </c>
    </row>
    <row r="5815" spans="1:13" ht="12.75" customHeight="1">
      <c r="A5815" s="4" t="s">
        <v>965</v>
      </c>
      <c r="B5815" s="18">
        <v>1</v>
      </c>
      <c r="C5815" s="6" t="s">
        <v>1171</v>
      </c>
      <c r="D5815" s="35">
        <f>Prec.!C180</f>
        <v>43</v>
      </c>
      <c r="E5815" s="25">
        <f t="shared" si="464"/>
        <v>43</v>
      </c>
    </row>
    <row r="5816" spans="1:13" ht="12.75" customHeight="1">
      <c r="A5816" s="12" t="s">
        <v>966</v>
      </c>
      <c r="B5816" s="18">
        <v>1</v>
      </c>
      <c r="C5816" s="6" t="s">
        <v>1171</v>
      </c>
      <c r="D5816" s="37">
        <f>Prec.!D608</f>
        <v>213.36</v>
      </c>
      <c r="E5816" s="25">
        <f t="shared" si="464"/>
        <v>213.36</v>
      </c>
    </row>
    <row r="5817" spans="1:13" ht="12.75" customHeight="1">
      <c r="A5817" s="4" t="s">
        <v>208</v>
      </c>
      <c r="B5817" s="18">
        <f>SUM(E5809:E5816)</f>
        <v>1765.02</v>
      </c>
      <c r="C5817" s="6" t="s">
        <v>1038</v>
      </c>
      <c r="D5817" s="37">
        <f>D5806</f>
        <v>1.4999999999999999E-2</v>
      </c>
      <c r="E5817" s="25">
        <f t="shared" si="464"/>
        <v>26.48</v>
      </c>
      <c r="F5817" s="26">
        <f>SUM(E5809:E5817)</f>
        <v>1791.5</v>
      </c>
    </row>
    <row r="5818" spans="1:13" ht="12.75" customHeight="1">
      <c r="B5818" s="7"/>
    </row>
    <row r="5819" spans="1:13" s="166" customFormat="1" ht="12.75" customHeight="1">
      <c r="B5819" s="7"/>
      <c r="C5819" s="165"/>
      <c r="D5819" s="37"/>
      <c r="E5819" s="25"/>
      <c r="F5819" s="26"/>
      <c r="G5819" s="15"/>
      <c r="H5819" s="21"/>
      <c r="I5819" s="15"/>
      <c r="J5819" s="15"/>
      <c r="K5819" s="15"/>
      <c r="L5819" s="21"/>
      <c r="M5819" s="15"/>
    </row>
    <row r="5820" spans="1:13" s="166" customFormat="1" ht="12.75" customHeight="1">
      <c r="B5820" s="7"/>
      <c r="C5820" s="165"/>
      <c r="D5820" s="37"/>
      <c r="E5820" s="25"/>
      <c r="F5820" s="26"/>
      <c r="G5820" s="15"/>
      <c r="H5820" s="21"/>
      <c r="I5820" s="15"/>
      <c r="J5820" s="15"/>
      <c r="K5820" s="15"/>
      <c r="L5820" s="21"/>
      <c r="M5820" s="15"/>
    </row>
    <row r="5821" spans="1:13" s="166" customFormat="1" ht="12.75" customHeight="1">
      <c r="B5821" s="7"/>
      <c r="C5821" s="165"/>
      <c r="D5821" s="37"/>
      <c r="E5821" s="25"/>
      <c r="F5821" s="26"/>
      <c r="G5821" s="15"/>
      <c r="H5821" s="21"/>
      <c r="I5821" s="15"/>
      <c r="J5821" s="15"/>
      <c r="K5821" s="15"/>
      <c r="L5821" s="21"/>
      <c r="M5821" s="15"/>
    </row>
    <row r="5822" spans="1:13" s="166" customFormat="1" ht="12.75" customHeight="1">
      <c r="B5822" s="7"/>
      <c r="C5822" s="165"/>
      <c r="D5822" s="37"/>
      <c r="E5822" s="25"/>
      <c r="F5822" s="26"/>
      <c r="G5822" s="15"/>
      <c r="H5822" s="21"/>
      <c r="I5822" s="15"/>
      <c r="J5822" s="15"/>
      <c r="K5822" s="15"/>
      <c r="L5822" s="21"/>
      <c r="M5822" s="15"/>
    </row>
    <row r="5823" spans="1:13" s="166" customFormat="1" ht="12.75" customHeight="1">
      <c r="B5823" s="7"/>
      <c r="C5823" s="165"/>
      <c r="D5823" s="37"/>
      <c r="E5823" s="25"/>
      <c r="F5823" s="26"/>
      <c r="G5823" s="15"/>
      <c r="H5823" s="21"/>
      <c r="I5823" s="15"/>
      <c r="J5823" s="15"/>
      <c r="K5823" s="15"/>
      <c r="L5823" s="21"/>
      <c r="M5823" s="15"/>
    </row>
    <row r="5824" spans="1:13" ht="12.75" customHeight="1">
      <c r="A5824" s="1" t="s">
        <v>248</v>
      </c>
      <c r="B5824" s="7"/>
    </row>
    <row r="5825" spans="1:6" ht="12.75" customHeight="1">
      <c r="A5825" s="4" t="s">
        <v>941</v>
      </c>
      <c r="B5825" s="18">
        <v>2</v>
      </c>
      <c r="C5825" s="6" t="s">
        <v>211</v>
      </c>
      <c r="D5825" s="35">
        <f>D5809</f>
        <v>38</v>
      </c>
      <c r="E5825" s="25">
        <f t="shared" ref="E5825:E5830" si="465">ROUND(B5825*D5825,2)</f>
        <v>76</v>
      </c>
    </row>
    <row r="5826" spans="1:6" ht="12.75" customHeight="1">
      <c r="A5826" s="4" t="s">
        <v>249</v>
      </c>
      <c r="B5826" s="18">
        <v>0.38</v>
      </c>
      <c r="C5826" s="6" t="s">
        <v>215</v>
      </c>
      <c r="D5826" s="37">
        <f>Prec.!C211</f>
        <v>2080</v>
      </c>
      <c r="E5826" s="25">
        <f t="shared" si="465"/>
        <v>790.4</v>
      </c>
    </row>
    <row r="5827" spans="1:6" ht="12.75" customHeight="1">
      <c r="A5827" s="4" t="s">
        <v>813</v>
      </c>
      <c r="B5827" s="18">
        <v>1</v>
      </c>
      <c r="C5827" s="6" t="s">
        <v>1204</v>
      </c>
      <c r="D5827" s="37">
        <f>Prec.!C151</f>
        <v>40</v>
      </c>
      <c r="E5827" s="25">
        <f t="shared" si="465"/>
        <v>40</v>
      </c>
    </row>
    <row r="5828" spans="1:6" ht="12.75" customHeight="1">
      <c r="A5828" s="4" t="s">
        <v>250</v>
      </c>
      <c r="B5828" s="18">
        <v>1</v>
      </c>
      <c r="C5828" s="6" t="s">
        <v>213</v>
      </c>
      <c r="D5828" s="37">
        <f>Prec.!C190</f>
        <v>986</v>
      </c>
      <c r="E5828" s="25">
        <f t="shared" si="465"/>
        <v>986</v>
      </c>
    </row>
    <row r="5829" spans="1:6" ht="12.75" customHeight="1">
      <c r="A5829" s="4" t="s">
        <v>251</v>
      </c>
      <c r="B5829" s="18">
        <v>1</v>
      </c>
      <c r="C5829" s="6" t="s">
        <v>213</v>
      </c>
      <c r="D5829" s="37">
        <f>F6997</f>
        <v>517.5</v>
      </c>
      <c r="E5829" s="25">
        <f t="shared" si="465"/>
        <v>517.5</v>
      </c>
    </row>
    <row r="5830" spans="1:6" ht="12.75" customHeight="1">
      <c r="A5830" s="4" t="s">
        <v>1137</v>
      </c>
      <c r="B5830" s="18">
        <v>1</v>
      </c>
      <c r="C5830" s="6" t="s">
        <v>213</v>
      </c>
      <c r="D5830" s="37">
        <f>Prec.!D592</f>
        <v>205.32</v>
      </c>
      <c r="E5830" s="25">
        <f t="shared" si="465"/>
        <v>205.32</v>
      </c>
    </row>
    <row r="5831" spans="1:6" ht="12.75" customHeight="1">
      <c r="A5831" s="4" t="s">
        <v>208</v>
      </c>
      <c r="B5831" s="18">
        <f>SUM(E5825:E5830)</f>
        <v>2615.2200000000003</v>
      </c>
      <c r="C5831" s="6" t="s">
        <v>1038</v>
      </c>
      <c r="D5831" s="37">
        <f>D5817</f>
        <v>1.4999999999999999E-2</v>
      </c>
      <c r="E5831" s="25">
        <f>ROUND(B5831*D5831,2)</f>
        <v>39.229999999999997</v>
      </c>
      <c r="F5831" s="26">
        <f>SUM(E5825:E5831)</f>
        <v>2654.4500000000003</v>
      </c>
    </row>
    <row r="5832" spans="1:6" ht="12.75" customHeight="1">
      <c r="B5832" s="7"/>
    </row>
    <row r="5833" spans="1:6" ht="12.75" customHeight="1">
      <c r="A5833" s="1" t="s">
        <v>405</v>
      </c>
      <c r="B5833" s="7"/>
    </row>
    <row r="5834" spans="1:6" ht="12.75" customHeight="1">
      <c r="A5834" s="4" t="s">
        <v>941</v>
      </c>
      <c r="B5834" s="18">
        <v>6.8840000000000003</v>
      </c>
      <c r="C5834" s="6" t="s">
        <v>211</v>
      </c>
      <c r="D5834" s="35">
        <f>D5825</f>
        <v>38</v>
      </c>
      <c r="E5834" s="25">
        <f>ROUND(B5834*D5834,2)</f>
        <v>261.58999999999997</v>
      </c>
    </row>
    <row r="5835" spans="1:6" ht="12.75" customHeight="1">
      <c r="A5835" s="4" t="s">
        <v>6</v>
      </c>
      <c r="B5835" s="18">
        <v>0.30399999999999999</v>
      </c>
      <c r="C5835" s="6" t="s">
        <v>1018</v>
      </c>
      <c r="D5835" s="37">
        <f>Prec.!C151</f>
        <v>40</v>
      </c>
      <c r="E5835" s="25">
        <f>ROUND(B5835*D5835,2)</f>
        <v>12.16</v>
      </c>
    </row>
    <row r="5836" spans="1:6" ht="12.75" customHeight="1">
      <c r="A5836" s="4" t="s">
        <v>407</v>
      </c>
      <c r="B5836" s="18">
        <v>0.372</v>
      </c>
      <c r="C5836" s="6" t="s">
        <v>408</v>
      </c>
      <c r="D5836" s="37">
        <f>Prec.!D479</f>
        <v>101.65</v>
      </c>
      <c r="E5836" s="25">
        <f>ROUND(B5836*D5836,2)</f>
        <v>37.81</v>
      </c>
    </row>
    <row r="5837" spans="1:6" ht="12.75" customHeight="1">
      <c r="A5837" s="4" t="s">
        <v>406</v>
      </c>
      <c r="B5837" s="18">
        <v>0.372</v>
      </c>
      <c r="C5837" s="6" t="s">
        <v>408</v>
      </c>
      <c r="D5837" s="37">
        <f>Prec.!C189</f>
        <v>150</v>
      </c>
      <c r="E5837" s="25">
        <f>ROUND(B5837*D5837,2)</f>
        <v>55.8</v>
      </c>
    </row>
    <row r="5838" spans="1:6" ht="12.75" customHeight="1">
      <c r="A5838" s="4" t="s">
        <v>208</v>
      </c>
      <c r="B5838" s="18">
        <f>SUM(E5834:E5837)</f>
        <v>367.36</v>
      </c>
      <c r="C5838" s="6" t="s">
        <v>1038</v>
      </c>
      <c r="D5838" s="37">
        <f>D5817</f>
        <v>1.4999999999999999E-2</v>
      </c>
      <c r="E5838" s="25">
        <f>ROUND(B5838*D5838,2)</f>
        <v>5.51</v>
      </c>
      <c r="F5838" s="26">
        <f>SUM(E5834:E5838)</f>
        <v>372.87</v>
      </c>
    </row>
    <row r="5839" spans="1:6" ht="12.75" customHeight="1">
      <c r="B5839" s="7"/>
    </row>
    <row r="5840" spans="1:6" ht="12.75" customHeight="1">
      <c r="A5840" s="1" t="s">
        <v>132</v>
      </c>
      <c r="B5840" s="7"/>
    </row>
    <row r="5841" spans="1:6" ht="12.75" customHeight="1">
      <c r="A5841" s="4" t="s">
        <v>941</v>
      </c>
      <c r="B5841" s="18">
        <v>6.8840000000000003</v>
      </c>
      <c r="C5841" s="6" t="s">
        <v>211</v>
      </c>
      <c r="D5841" s="35">
        <f>D5834</f>
        <v>38</v>
      </c>
      <c r="E5841" s="25">
        <f>ROUND(B5841*D5841,2)</f>
        <v>261.58999999999997</v>
      </c>
    </row>
    <row r="5842" spans="1:6" ht="12.75" customHeight="1">
      <c r="A5842" s="4" t="s">
        <v>6</v>
      </c>
      <c r="B5842" s="18">
        <v>0.30399999999999999</v>
      </c>
      <c r="C5842" s="6" t="s">
        <v>1018</v>
      </c>
      <c r="D5842" s="37">
        <f>D5835</f>
        <v>40</v>
      </c>
      <c r="E5842" s="25">
        <f>ROUND(B5842*D5842,2)</f>
        <v>12.16</v>
      </c>
    </row>
    <row r="5843" spans="1:6" ht="12.75" customHeight="1">
      <c r="A5843" s="4" t="s">
        <v>407</v>
      </c>
      <c r="B5843" s="18">
        <v>0.372</v>
      </c>
      <c r="C5843" s="6" t="s">
        <v>408</v>
      </c>
      <c r="D5843" s="37">
        <f>D5836</f>
        <v>101.65</v>
      </c>
      <c r="E5843" s="25">
        <f>ROUND(B5843*D5843,2)</f>
        <v>37.81</v>
      </c>
    </row>
    <row r="5844" spans="1:6" ht="12.75" customHeight="1">
      <c r="A5844" s="4" t="s">
        <v>1290</v>
      </c>
      <c r="B5844" s="18">
        <v>0.372</v>
      </c>
      <c r="C5844" s="6" t="s">
        <v>408</v>
      </c>
      <c r="D5844" s="121">
        <v>175</v>
      </c>
      <c r="E5844" s="25">
        <f>ROUND(B5844*D5844,2)</f>
        <v>65.099999999999994</v>
      </c>
    </row>
    <row r="5845" spans="1:6" ht="12.75" customHeight="1">
      <c r="A5845" s="4" t="s">
        <v>208</v>
      </c>
      <c r="B5845" s="18">
        <f>SUM(E5841:E5844)</f>
        <v>376.65999999999997</v>
      </c>
      <c r="C5845" s="6" t="s">
        <v>1038</v>
      </c>
      <c r="D5845" s="37">
        <f>D5838</f>
        <v>1.4999999999999999E-2</v>
      </c>
      <c r="E5845" s="25">
        <f>ROUND(B5845*D5845,2)</f>
        <v>5.65</v>
      </c>
      <c r="F5845" s="26">
        <f>SUM(E5841:E5845)</f>
        <v>382.30999999999995</v>
      </c>
    </row>
    <row r="5846" spans="1:6" ht="12.75" customHeight="1">
      <c r="B5846" s="7"/>
    </row>
    <row r="5847" spans="1:6" ht="12.75" customHeight="1">
      <c r="A5847" s="39" t="s">
        <v>231</v>
      </c>
      <c r="B5847" s="7"/>
    </row>
    <row r="5848" spans="1:6" ht="3.75" customHeight="1">
      <c r="B5848" s="7"/>
    </row>
    <row r="5849" spans="1:6" ht="12.75" customHeight="1">
      <c r="A5849" s="23" t="s">
        <v>321</v>
      </c>
      <c r="B5849" s="7"/>
    </row>
    <row r="5850" spans="1:6" ht="7.5" customHeight="1">
      <c r="A5850" s="2"/>
      <c r="B5850" s="7"/>
    </row>
    <row r="5851" spans="1:6" ht="12.75" customHeight="1">
      <c r="A5851" s="13" t="s">
        <v>256</v>
      </c>
      <c r="B5851" s="42"/>
      <c r="C5851" s="29"/>
      <c r="D5851" s="35"/>
      <c r="E5851" s="43" t="s">
        <v>151</v>
      </c>
      <c r="F5851" s="44" t="s">
        <v>213</v>
      </c>
    </row>
    <row r="5852" spans="1:6" ht="12.75" customHeight="1">
      <c r="A5852" s="12" t="s">
        <v>1207</v>
      </c>
      <c r="B5852" s="30">
        <v>0.06</v>
      </c>
      <c r="C5852" s="24" t="s">
        <v>825</v>
      </c>
      <c r="D5852" s="35">
        <f>horm.ymez.!D8</f>
        <v>6851.01</v>
      </c>
      <c r="E5852" s="31">
        <f>ROUND(B5852*D5852,2)</f>
        <v>411.06</v>
      </c>
      <c r="F5852" s="32"/>
    </row>
    <row r="5853" spans="1:6" ht="12.75" customHeight="1">
      <c r="A5853" s="12" t="s">
        <v>183</v>
      </c>
      <c r="B5853" s="30">
        <v>1.2999999999999999E-2</v>
      </c>
      <c r="C5853" s="24" t="s">
        <v>211</v>
      </c>
      <c r="D5853" s="35">
        <f>Prec.!C203</f>
        <v>38</v>
      </c>
      <c r="E5853" s="31">
        <f>ROUND(B5853*D5853,2)</f>
        <v>0.49</v>
      </c>
      <c r="F5853" s="32"/>
    </row>
    <row r="5854" spans="1:6" ht="12.75" customHeight="1">
      <c r="A5854" s="12" t="s">
        <v>1168</v>
      </c>
      <c r="B5854" s="30">
        <v>1</v>
      </c>
      <c r="C5854" s="24" t="s">
        <v>213</v>
      </c>
      <c r="D5854" s="35">
        <f>Prec.!$D$475</f>
        <v>0</v>
      </c>
      <c r="E5854" s="31">
        <f>ROUND(B5854*D5854,2)</f>
        <v>0</v>
      </c>
      <c r="F5854" s="32"/>
    </row>
    <row r="5855" spans="1:6" ht="12.75" customHeight="1">
      <c r="A5855" s="12" t="s">
        <v>208</v>
      </c>
      <c r="B5855" s="14">
        <f>SUM(E5852:E5854)</f>
        <v>411.55</v>
      </c>
      <c r="C5855" s="24" t="s">
        <v>209</v>
      </c>
      <c r="D5855" s="35">
        <v>0.02</v>
      </c>
      <c r="E5855" s="31">
        <f>ROUND(B5855*D5855,2)</f>
        <v>8.23</v>
      </c>
      <c r="F5855" s="32">
        <f>SUM(E5852:E5855)</f>
        <v>419.78000000000003</v>
      </c>
    </row>
    <row r="5856" spans="1:6" ht="9.75" customHeight="1">
      <c r="A5856" s="12"/>
      <c r="B5856" s="14"/>
      <c r="C5856" s="24"/>
      <c r="D5856" s="35"/>
      <c r="E5856" s="31"/>
      <c r="F5856" s="32"/>
    </row>
    <row r="5857" spans="1:13" s="166" customFormat="1" ht="12.75" customHeight="1">
      <c r="A5857" s="698" t="s">
        <v>256</v>
      </c>
      <c r="B5857" s="706"/>
      <c r="C5857" s="707"/>
      <c r="D5857" s="708"/>
      <c r="E5857" s="709" t="s">
        <v>151</v>
      </c>
      <c r="F5857" s="710" t="s">
        <v>213</v>
      </c>
      <c r="G5857" s="15"/>
      <c r="H5857" s="21"/>
      <c r="I5857" s="15"/>
      <c r="J5857" s="15"/>
      <c r="K5857" s="15"/>
      <c r="L5857" s="21"/>
      <c r="M5857" s="15"/>
    </row>
    <row r="5858" spans="1:13" s="166" customFormat="1" ht="12.75" customHeight="1">
      <c r="A5858" s="704" t="s">
        <v>4396</v>
      </c>
      <c r="B5858" s="705">
        <v>6.5000000000000002E-2</v>
      </c>
      <c r="C5858" s="700" t="s">
        <v>825</v>
      </c>
      <c r="D5858" s="708">
        <f>Prec.!C47</f>
        <v>6850</v>
      </c>
      <c r="E5858" s="702">
        <f>ROUND(B5858*D5858,2)</f>
        <v>445.25</v>
      </c>
      <c r="F5858" s="703"/>
      <c r="G5858" s="15"/>
      <c r="H5858" s="21"/>
      <c r="I5858" s="15"/>
      <c r="J5858" s="15"/>
      <c r="K5858" s="15"/>
      <c r="L5858" s="21"/>
      <c r="M5858" s="15"/>
    </row>
    <row r="5859" spans="1:13" s="166" customFormat="1" ht="12.75" customHeight="1">
      <c r="A5859" s="704" t="s">
        <v>183</v>
      </c>
      <c r="B5859" s="705">
        <v>1.2999999999999999E-2</v>
      </c>
      <c r="C5859" s="700" t="s">
        <v>211</v>
      </c>
      <c r="D5859" s="708">
        <f>D5853</f>
        <v>38</v>
      </c>
      <c r="E5859" s="702">
        <f>ROUND(B5859*D5859,2)</f>
        <v>0.49</v>
      </c>
      <c r="F5859" s="703"/>
      <c r="G5859" s="15"/>
      <c r="H5859" s="21"/>
      <c r="I5859" s="15"/>
      <c r="J5859" s="15"/>
      <c r="K5859" s="15"/>
      <c r="L5859" s="21"/>
      <c r="M5859" s="15"/>
    </row>
    <row r="5860" spans="1:13" s="166" customFormat="1" ht="12.75" customHeight="1">
      <c r="A5860" s="704" t="s">
        <v>1168</v>
      </c>
      <c r="B5860" s="705">
        <v>1</v>
      </c>
      <c r="C5860" s="700" t="s">
        <v>213</v>
      </c>
      <c r="D5860" s="708">
        <f>Prec.!C475</f>
        <v>136.5</v>
      </c>
      <c r="E5860" s="702">
        <f>ROUND(B5860*D5860,2)</f>
        <v>136.5</v>
      </c>
      <c r="F5860" s="703"/>
      <c r="G5860" s="15"/>
      <c r="H5860" s="21"/>
      <c r="I5860" s="15"/>
      <c r="J5860" s="15"/>
      <c r="K5860" s="15"/>
      <c r="L5860" s="21"/>
      <c r="M5860" s="15"/>
    </row>
    <row r="5861" spans="1:13" s="166" customFormat="1" ht="12.75" customHeight="1">
      <c r="A5861" s="704" t="s">
        <v>208</v>
      </c>
      <c r="B5861" s="711">
        <f>SUM(E5858:E5859)</f>
        <v>445.74</v>
      </c>
      <c r="C5861" s="700" t="s">
        <v>209</v>
      </c>
      <c r="D5861" s="708">
        <v>0.02</v>
      </c>
      <c r="E5861" s="702">
        <f>ROUND(B5861*D5861,2)</f>
        <v>8.91</v>
      </c>
      <c r="F5861" s="703">
        <f>SUM(E5858:E5861)</f>
        <v>591.15</v>
      </c>
      <c r="G5861" s="15"/>
      <c r="H5861" s="21"/>
      <c r="I5861" s="15"/>
      <c r="J5861" s="15"/>
      <c r="K5861" s="15"/>
      <c r="L5861" s="21"/>
      <c r="M5861" s="15"/>
    </row>
    <row r="5862" spans="1:13" s="166" customFormat="1" ht="9.75" customHeight="1">
      <c r="A5862" s="12"/>
      <c r="B5862" s="14"/>
      <c r="C5862" s="24"/>
      <c r="D5862" s="35"/>
      <c r="E5862" s="31"/>
      <c r="F5862" s="32"/>
      <c r="G5862" s="15"/>
      <c r="H5862" s="21"/>
      <c r="I5862" s="15"/>
      <c r="J5862" s="15"/>
      <c r="K5862" s="15"/>
      <c r="L5862" s="21"/>
      <c r="M5862" s="15"/>
    </row>
    <row r="5863" spans="1:13" ht="12.75" customHeight="1">
      <c r="A5863" s="13" t="s">
        <v>1073</v>
      </c>
      <c r="B5863" s="42"/>
      <c r="C5863" s="29"/>
      <c r="D5863" s="35"/>
      <c r="E5863" s="43" t="s">
        <v>151</v>
      </c>
      <c r="F5863" s="44" t="s">
        <v>213</v>
      </c>
    </row>
    <row r="5864" spans="1:13" ht="12.75" customHeight="1">
      <c r="A5864" s="12" t="s">
        <v>1207</v>
      </c>
      <c r="B5864" s="30">
        <v>2.1000000000000001E-2</v>
      </c>
      <c r="C5864" s="24" t="s">
        <v>825</v>
      </c>
      <c r="D5864" s="35">
        <f>D5852</f>
        <v>6851.01</v>
      </c>
      <c r="E5864" s="31">
        <f>ROUND(B5864*D5864,2)</f>
        <v>143.87</v>
      </c>
      <c r="F5864" s="32"/>
    </row>
    <row r="5865" spans="1:13" ht="12.75" customHeight="1">
      <c r="A5865" s="12" t="s">
        <v>183</v>
      </c>
      <c r="B5865" s="30">
        <v>1.2999999999999999E-2</v>
      </c>
      <c r="C5865" s="24" t="s">
        <v>211</v>
      </c>
      <c r="D5865" s="35">
        <f>D5853</f>
        <v>38</v>
      </c>
      <c r="E5865" s="31">
        <f>ROUND(B5865*D5865,2)</f>
        <v>0.49</v>
      </c>
      <c r="F5865" s="32"/>
    </row>
    <row r="5866" spans="1:13" ht="12.75" customHeight="1">
      <c r="A5866" s="12" t="s">
        <v>1168</v>
      </c>
      <c r="B5866" s="30">
        <v>1</v>
      </c>
      <c r="C5866" s="24" t="s">
        <v>213</v>
      </c>
      <c r="D5866" s="35">
        <f>Prec.!$D$476</f>
        <v>0</v>
      </c>
      <c r="E5866" s="31">
        <f>ROUND(B5866*D5866,2)</f>
        <v>0</v>
      </c>
      <c r="F5866" s="32"/>
    </row>
    <row r="5867" spans="1:13" ht="12.75" customHeight="1">
      <c r="A5867" s="12" t="s">
        <v>208</v>
      </c>
      <c r="B5867" s="14">
        <f>SUM(E5864:E5866)</f>
        <v>144.36000000000001</v>
      </c>
      <c r="C5867" s="24" t="s">
        <v>209</v>
      </c>
      <c r="D5867" s="35">
        <f>Prec.!C302</f>
        <v>1.4999999999999999E-2</v>
      </c>
      <c r="E5867" s="31">
        <f>ROUND(B5867*D5867,2)</f>
        <v>2.17</v>
      </c>
      <c r="F5867" s="32">
        <f>SUM(E5864:E5867)</f>
        <v>146.53</v>
      </c>
    </row>
    <row r="5868" spans="1:13" ht="12" customHeight="1">
      <c r="A5868" s="12"/>
      <c r="B5868" s="14"/>
      <c r="C5868" s="24"/>
      <c r="D5868" s="35"/>
      <c r="E5868" s="31"/>
      <c r="F5868" s="32"/>
    </row>
    <row r="5869" spans="1:13" ht="12.75" customHeight="1">
      <c r="A5869" s="13" t="s">
        <v>265</v>
      </c>
      <c r="B5869" s="42"/>
      <c r="C5869" s="29"/>
      <c r="D5869" s="35"/>
      <c r="E5869" s="43" t="s">
        <v>151</v>
      </c>
      <c r="F5869" s="44" t="s">
        <v>213</v>
      </c>
    </row>
    <row r="5870" spans="1:13" ht="12.75" customHeight="1">
      <c r="A5870" s="12" t="s">
        <v>1207</v>
      </c>
      <c r="B5870" s="30">
        <v>5.2999999999999999E-2</v>
      </c>
      <c r="C5870" s="24" t="s">
        <v>825</v>
      </c>
      <c r="D5870" s="35">
        <f>D5852</f>
        <v>6851.01</v>
      </c>
      <c r="E5870" s="31">
        <f>ROUND(B5870*D5870,2)</f>
        <v>363.1</v>
      </c>
      <c r="F5870" s="32"/>
    </row>
    <row r="5871" spans="1:13" ht="12.75" customHeight="1">
      <c r="A5871" s="12" t="s">
        <v>183</v>
      </c>
      <c r="B5871" s="30">
        <v>0.13</v>
      </c>
      <c r="C5871" s="24" t="s">
        <v>211</v>
      </c>
      <c r="D5871" s="35">
        <f>D5865</f>
        <v>38</v>
      </c>
      <c r="E5871" s="31">
        <f>ROUND(B5871*D5871,2)</f>
        <v>4.9400000000000004</v>
      </c>
      <c r="F5871" s="32"/>
    </row>
    <row r="5872" spans="1:13" ht="12.75" customHeight="1">
      <c r="A5872" s="12" t="s">
        <v>1168</v>
      </c>
      <c r="B5872" s="30">
        <v>1</v>
      </c>
      <c r="C5872" s="24" t="s">
        <v>213</v>
      </c>
      <c r="D5872" s="35">
        <f>Prec.!$D$478</f>
        <v>0</v>
      </c>
      <c r="E5872" s="31">
        <f>ROUND(B5872*D5872,2)</f>
        <v>0</v>
      </c>
      <c r="F5872" s="32"/>
    </row>
    <row r="5873" spans="1:13" ht="12.75" customHeight="1">
      <c r="A5873" s="12" t="s">
        <v>208</v>
      </c>
      <c r="B5873" s="14">
        <f>SUM(E5870:E5872)</f>
        <v>368.04</v>
      </c>
      <c r="C5873" s="24" t="s">
        <v>209</v>
      </c>
      <c r="D5873" s="35">
        <f>Prec.!C302</f>
        <v>1.4999999999999999E-2</v>
      </c>
      <c r="E5873" s="31">
        <f>ROUND(B5873*D5873,2)</f>
        <v>5.52</v>
      </c>
      <c r="F5873" s="32">
        <f>SUM(E5870:E5873)</f>
        <v>373.56</v>
      </c>
    </row>
    <row r="5874" spans="1:13" ht="13.5" customHeight="1">
      <c r="A5874" s="12"/>
      <c r="B5874" s="30"/>
      <c r="C5874" s="24"/>
      <c r="D5874" s="35"/>
      <c r="E5874" s="31"/>
      <c r="F5874" s="32"/>
    </row>
    <row r="5875" spans="1:13" ht="12.75" customHeight="1">
      <c r="A5875" s="513" t="s">
        <v>266</v>
      </c>
      <c r="B5875" s="505"/>
      <c r="C5875" s="506"/>
      <c r="D5875" s="507"/>
      <c r="E5875" s="514" t="s">
        <v>151</v>
      </c>
      <c r="F5875" s="515" t="s">
        <v>213</v>
      </c>
    </row>
    <row r="5876" spans="1:13" ht="12.75" customHeight="1">
      <c r="A5876" s="512" t="s">
        <v>274</v>
      </c>
      <c r="B5876" s="510">
        <v>2.1000000000000001E-2</v>
      </c>
      <c r="C5876" s="511" t="s">
        <v>825</v>
      </c>
      <c r="D5876" s="507">
        <f>horm.ymez.!C8</f>
        <v>6653.49</v>
      </c>
      <c r="E5876" s="508">
        <f>ROUND(B5876*D5876,2)</f>
        <v>139.72</v>
      </c>
      <c r="F5876" s="509"/>
    </row>
    <row r="5877" spans="1:13" ht="12.75" customHeight="1">
      <c r="A5877" s="512" t="s">
        <v>183</v>
      </c>
      <c r="B5877" s="510">
        <v>1.2999999999999999E-2</v>
      </c>
      <c r="C5877" s="511" t="s">
        <v>211</v>
      </c>
      <c r="D5877" s="507">
        <f>D5871</f>
        <v>38</v>
      </c>
      <c r="E5877" s="508">
        <f>ROUND(B5877*D5877,2)</f>
        <v>0.49</v>
      </c>
      <c r="F5877" s="509"/>
    </row>
    <row r="5878" spans="1:13" ht="12.75" customHeight="1">
      <c r="A5878" s="512" t="s">
        <v>1168</v>
      </c>
      <c r="B5878" s="510">
        <v>1</v>
      </c>
      <c r="C5878" s="511" t="s">
        <v>213</v>
      </c>
      <c r="D5878" s="507">
        <f>Prec.!C477</f>
        <v>63.22699999999999</v>
      </c>
      <c r="E5878" s="508">
        <f>ROUND(B5878*D5878,2)</f>
        <v>63.23</v>
      </c>
      <c r="F5878" s="509"/>
    </row>
    <row r="5879" spans="1:13" ht="12.75" customHeight="1">
      <c r="A5879" s="512" t="s">
        <v>208</v>
      </c>
      <c r="B5879" s="516">
        <f>SUM(E5876:E5877)</f>
        <v>140.21</v>
      </c>
      <c r="C5879" s="511" t="s">
        <v>209</v>
      </c>
      <c r="D5879" s="507">
        <v>0.02</v>
      </c>
      <c r="E5879" s="508">
        <f>ROUND(B5879*D5879,2)</f>
        <v>2.8</v>
      </c>
      <c r="F5879" s="509">
        <f>SUM(E5876:E5879)</f>
        <v>206.24</v>
      </c>
    </row>
    <row r="5880" spans="1:13" s="154" customFormat="1" ht="19.5" customHeight="1">
      <c r="A5880" s="12"/>
      <c r="B5880" s="14"/>
      <c r="C5880" s="24"/>
      <c r="D5880" s="35"/>
      <c r="E5880" s="31"/>
      <c r="F5880" s="32"/>
      <c r="G5880" s="15"/>
      <c r="H5880" s="21"/>
      <c r="I5880" s="15"/>
      <c r="J5880" s="15"/>
      <c r="K5880" s="15"/>
      <c r="L5880" s="21"/>
      <c r="M5880" s="15"/>
    </row>
    <row r="5881" spans="1:13" ht="12.75" customHeight="1">
      <c r="A5881" s="698" t="s">
        <v>275</v>
      </c>
      <c r="B5881" s="706"/>
      <c r="C5881" s="707"/>
      <c r="D5881" s="708"/>
      <c r="E5881" s="709" t="s">
        <v>151</v>
      </c>
      <c r="F5881" s="710" t="s">
        <v>1171</v>
      </c>
    </row>
    <row r="5882" spans="1:13" ht="12.75" customHeight="1">
      <c r="A5882" s="704" t="s">
        <v>1207</v>
      </c>
      <c r="B5882" s="705">
        <v>8.0000000000000002E-3</v>
      </c>
      <c r="C5882" s="700" t="s">
        <v>825</v>
      </c>
      <c r="D5882" s="708">
        <f>D5870</f>
        <v>6851.01</v>
      </c>
      <c r="E5882" s="702">
        <f>ROUND(B5882*D5882,2)</f>
        <v>54.81</v>
      </c>
      <c r="F5882" s="703"/>
    </row>
    <row r="5883" spans="1:13" ht="12.75" customHeight="1">
      <c r="A5883" s="704" t="s">
        <v>1168</v>
      </c>
      <c r="B5883" s="705">
        <v>1</v>
      </c>
      <c r="C5883" s="700" t="s">
        <v>1171</v>
      </c>
      <c r="D5883" s="708">
        <f>Prec.!C485</f>
        <v>72.819999999999993</v>
      </c>
      <c r="E5883" s="702">
        <f>ROUND(B5883*D5883,2)</f>
        <v>72.819999999999993</v>
      </c>
      <c r="F5883" s="703"/>
    </row>
    <row r="5884" spans="1:13" ht="12.75" customHeight="1">
      <c r="A5884" s="704" t="s">
        <v>208</v>
      </c>
      <c r="B5884" s="711">
        <f>SUM(E5882)</f>
        <v>54.81</v>
      </c>
      <c r="C5884" s="700" t="s">
        <v>209</v>
      </c>
      <c r="D5884" s="708">
        <v>0.02</v>
      </c>
      <c r="E5884" s="702">
        <f>ROUND(B5884*D5884,2)</f>
        <v>1.1000000000000001</v>
      </c>
      <c r="F5884" s="703">
        <f>SUM(E5882:E5884)</f>
        <v>128.72999999999999</v>
      </c>
    </row>
    <row r="5885" spans="1:13" ht="4.5" customHeight="1">
      <c r="A5885" s="12"/>
      <c r="B5885" s="14"/>
      <c r="C5885" s="24"/>
      <c r="D5885" s="35"/>
      <c r="E5885" s="31"/>
      <c r="F5885" s="32"/>
    </row>
    <row r="5886" spans="1:13" s="166" customFormat="1" ht="4.5" customHeight="1">
      <c r="A5886" s="12"/>
      <c r="B5886" s="14"/>
      <c r="C5886" s="24"/>
      <c r="D5886" s="35"/>
      <c r="E5886" s="31"/>
      <c r="F5886" s="32"/>
      <c r="G5886" s="15"/>
      <c r="H5886" s="21"/>
      <c r="I5886" s="15"/>
      <c r="J5886" s="15"/>
      <c r="K5886" s="15"/>
      <c r="L5886" s="21"/>
      <c r="M5886" s="15"/>
    </row>
    <row r="5887" spans="1:13" s="166" customFormat="1" ht="4.5" customHeight="1">
      <c r="A5887" s="12"/>
      <c r="B5887" s="14"/>
      <c r="C5887" s="24"/>
      <c r="D5887" s="35"/>
      <c r="E5887" s="31"/>
      <c r="F5887" s="32"/>
      <c r="G5887" s="15"/>
      <c r="H5887" s="21"/>
      <c r="I5887" s="15"/>
      <c r="J5887" s="15"/>
      <c r="K5887" s="15"/>
      <c r="L5887" s="21"/>
      <c r="M5887" s="15"/>
    </row>
    <row r="5888" spans="1:13" ht="12.75" customHeight="1">
      <c r="A5888" s="13" t="s">
        <v>377</v>
      </c>
      <c r="B5888" s="42"/>
      <c r="C5888" s="29"/>
      <c r="D5888" s="35"/>
      <c r="E5888" s="43" t="s">
        <v>151</v>
      </c>
      <c r="F5888" s="44" t="s">
        <v>213</v>
      </c>
    </row>
    <row r="5889" spans="1:13" ht="12.75" customHeight="1">
      <c r="A5889" s="12" t="s">
        <v>491</v>
      </c>
      <c r="B5889" s="30">
        <v>1</v>
      </c>
      <c r="C5889" s="24" t="s">
        <v>213</v>
      </c>
      <c r="D5889" s="35">
        <f>Prec.!$C$179</f>
        <v>344</v>
      </c>
      <c r="E5889" s="31">
        <f>ROUND(B5889*D5889,2)</f>
        <v>344</v>
      </c>
      <c r="F5889" s="32"/>
    </row>
    <row r="5890" spans="1:13" ht="12.75" customHeight="1">
      <c r="A5890" s="12" t="s">
        <v>1207</v>
      </c>
      <c r="B5890" s="30">
        <v>6.0000000000000001E-3</v>
      </c>
      <c r="C5890" s="24" t="s">
        <v>825</v>
      </c>
      <c r="D5890" s="35">
        <f>D5882</f>
        <v>6851.01</v>
      </c>
      <c r="E5890" s="31">
        <f>ROUND(B5890*D5890,2)</f>
        <v>41.11</v>
      </c>
      <c r="F5890" s="32"/>
    </row>
    <row r="5891" spans="1:13" ht="12.75" customHeight="1">
      <c r="A5891" s="12" t="s">
        <v>1168</v>
      </c>
      <c r="B5891" s="30">
        <v>1</v>
      </c>
      <c r="C5891" s="24" t="s">
        <v>213</v>
      </c>
      <c r="D5891" s="35">
        <f>Prec.!$D$480</f>
        <v>227.94</v>
      </c>
      <c r="E5891" s="31">
        <f>ROUND(B5891*D5891,2)</f>
        <v>227.94</v>
      </c>
      <c r="F5891" s="32"/>
    </row>
    <row r="5892" spans="1:13" ht="12.75" customHeight="1">
      <c r="A5892" s="12" t="s">
        <v>1590</v>
      </c>
      <c r="B5892" s="30">
        <v>1</v>
      </c>
      <c r="C5892" s="24" t="s">
        <v>213</v>
      </c>
      <c r="D5892" s="35">
        <f>Prec.!D549</f>
        <v>8.34</v>
      </c>
      <c r="E5892" s="31">
        <f>ROUND(B5892*D5892,2)</f>
        <v>8.34</v>
      </c>
      <c r="F5892" s="32"/>
    </row>
    <row r="5893" spans="1:13" ht="12.75" customHeight="1">
      <c r="A5893" s="12" t="s">
        <v>208</v>
      </c>
      <c r="B5893" s="14">
        <f>SUM(E5889:E5892)</f>
        <v>621.39</v>
      </c>
      <c r="C5893" s="24" t="s">
        <v>209</v>
      </c>
      <c r="D5893" s="35">
        <f>Prec.!C302</f>
        <v>1.4999999999999999E-2</v>
      </c>
      <c r="E5893" s="31">
        <f>ROUND(B5893*D5893,2)</f>
        <v>9.32</v>
      </c>
      <c r="F5893" s="32">
        <f>SUM(E5889:E5893)</f>
        <v>630.71</v>
      </c>
    </row>
    <row r="5894" spans="1:13" ht="6.75" customHeight="1">
      <c r="A5894" s="12"/>
      <c r="B5894" s="14"/>
      <c r="C5894" s="24"/>
      <c r="D5894" s="35"/>
      <c r="E5894" s="31"/>
      <c r="F5894" s="32"/>
    </row>
    <row r="5895" spans="1:13" s="12" customFormat="1" ht="12.75" customHeight="1">
      <c r="A5895" s="13" t="s">
        <v>280</v>
      </c>
      <c r="B5895" s="42"/>
      <c r="C5895" s="29"/>
      <c r="D5895" s="35"/>
      <c r="E5895" s="43" t="s">
        <v>151</v>
      </c>
      <c r="F5895" s="44" t="s">
        <v>213</v>
      </c>
      <c r="G5895" s="20"/>
      <c r="H5895" s="22"/>
      <c r="I5895" s="20"/>
      <c r="J5895" s="20"/>
      <c r="K5895" s="20"/>
      <c r="L5895" s="22"/>
      <c r="M5895" s="20"/>
    </row>
    <row r="5896" spans="1:13" s="12" customFormat="1" ht="12.75" customHeight="1">
      <c r="A5896" s="12" t="s">
        <v>281</v>
      </c>
      <c r="B5896" s="30">
        <v>6.7000000000000004E-2</v>
      </c>
      <c r="C5896" s="24" t="s">
        <v>282</v>
      </c>
      <c r="D5896" s="35">
        <f>Prec.!$C$168</f>
        <v>5700</v>
      </c>
      <c r="E5896" s="31">
        <f>ROUND(B5896*D5896,2)</f>
        <v>381.9</v>
      </c>
      <c r="F5896" s="32"/>
      <c r="G5896" s="20"/>
      <c r="H5896" s="22"/>
      <c r="I5896" s="20"/>
      <c r="J5896" s="20"/>
      <c r="K5896" s="20"/>
      <c r="L5896" s="22"/>
      <c r="M5896" s="20"/>
    </row>
    <row r="5897" spans="1:13" s="12" customFormat="1" ht="12.75" customHeight="1">
      <c r="A5897" s="12" t="s">
        <v>520</v>
      </c>
      <c r="B5897" s="30">
        <v>6.7000000000000004E-2</v>
      </c>
      <c r="C5897" s="24" t="s">
        <v>282</v>
      </c>
      <c r="D5897" s="35">
        <f>Prec.!D664</f>
        <v>8.1999999999999993</v>
      </c>
      <c r="E5897" s="31">
        <f>ROUND(B5897*D5897,2)</f>
        <v>0.55000000000000004</v>
      </c>
      <c r="F5897" s="32"/>
      <c r="G5897" s="20"/>
      <c r="H5897" s="22"/>
      <c r="I5897" s="20"/>
      <c r="J5897" s="20"/>
      <c r="K5897" s="20"/>
      <c r="L5897" s="22"/>
      <c r="M5897" s="20"/>
    </row>
    <row r="5898" spans="1:13" s="12" customFormat="1" ht="24" customHeight="1">
      <c r="A5898" s="122" t="s">
        <v>1589</v>
      </c>
      <c r="B5898" s="30">
        <v>1</v>
      </c>
      <c r="C5898" s="24" t="s">
        <v>213</v>
      </c>
      <c r="D5898" s="35">
        <f>Prec.!D482</f>
        <v>27.91</v>
      </c>
      <c r="E5898" s="31">
        <f>ROUND(B5898*D5898,2)</f>
        <v>27.91</v>
      </c>
      <c r="F5898" s="32"/>
      <c r="G5898" s="20"/>
      <c r="H5898" s="22"/>
      <c r="I5898" s="20"/>
      <c r="J5898" s="20"/>
      <c r="K5898" s="20"/>
      <c r="L5898" s="22"/>
      <c r="M5898" s="20"/>
    </row>
    <row r="5899" spans="1:13" s="12" customFormat="1" ht="12.75" customHeight="1">
      <c r="A5899" s="12" t="s">
        <v>647</v>
      </c>
      <c r="B5899" s="30">
        <v>1</v>
      </c>
      <c r="C5899" s="24" t="s">
        <v>213</v>
      </c>
      <c r="D5899" s="35">
        <f>Prec.!D483</f>
        <v>16.41</v>
      </c>
      <c r="E5899" s="31">
        <f>ROUND(B5899*D5899,2)</f>
        <v>16.41</v>
      </c>
      <c r="F5899" s="32"/>
      <c r="G5899" s="20"/>
      <c r="H5899" s="22"/>
      <c r="I5899" s="20"/>
      <c r="J5899" s="20"/>
      <c r="K5899" s="20"/>
      <c r="L5899" s="22"/>
      <c r="M5899" s="20"/>
    </row>
    <row r="5900" spans="1:13" ht="12.75" customHeight="1">
      <c r="A5900" s="12" t="s">
        <v>208</v>
      </c>
      <c r="B5900" s="14">
        <f>SUM(E5896:E5899)</f>
        <v>426.77000000000004</v>
      </c>
      <c r="C5900" s="24" t="s">
        <v>209</v>
      </c>
      <c r="D5900" s="35">
        <f>D5893</f>
        <v>1.4999999999999999E-2</v>
      </c>
      <c r="E5900" s="31">
        <f>ROUND(B5900*D5900,2)</f>
        <v>6.4</v>
      </c>
      <c r="F5900" s="32">
        <f>SUM(E5896:E5900)</f>
        <v>433.17</v>
      </c>
    </row>
    <row r="5901" spans="1:13" s="12" customFormat="1" ht="6.75" customHeight="1">
      <c r="A5901" s="24"/>
      <c r="B5901" s="30"/>
      <c r="C5901" s="24"/>
      <c r="D5901" s="35"/>
      <c r="E5901" s="31"/>
      <c r="F5901" s="32"/>
      <c r="G5901" s="20"/>
      <c r="H5901" s="22"/>
      <c r="I5901" s="20"/>
      <c r="J5901" s="20"/>
      <c r="K5901" s="20"/>
      <c r="L5901" s="22"/>
      <c r="M5901" s="20"/>
    </row>
    <row r="5902" spans="1:13" s="12" customFormat="1" ht="12.75" customHeight="1">
      <c r="A5902" s="13" t="s">
        <v>2020</v>
      </c>
      <c r="B5902" s="42"/>
      <c r="C5902" s="29"/>
      <c r="D5902" s="35"/>
      <c r="E5902" s="43" t="s">
        <v>151</v>
      </c>
      <c r="F5902" s="44" t="s">
        <v>213</v>
      </c>
      <c r="G5902" s="20"/>
      <c r="H5902" s="22"/>
      <c r="I5902" s="20"/>
      <c r="J5902" s="20"/>
      <c r="K5902" s="20"/>
      <c r="L5902" s="22"/>
      <c r="M5902" s="20"/>
    </row>
    <row r="5903" spans="1:13" s="12" customFormat="1" ht="12.75" customHeight="1">
      <c r="A5903" s="12" t="s">
        <v>281</v>
      </c>
      <c r="B5903" s="30">
        <v>6.7000000000000004E-2</v>
      </c>
      <c r="C5903" s="24" t="s">
        <v>282</v>
      </c>
      <c r="D5903" s="35">
        <v>6335.15</v>
      </c>
      <c r="E5903" s="31">
        <f>ROUND(B5903*D5903,2)</f>
        <v>424.46</v>
      </c>
      <c r="F5903" s="32"/>
      <c r="G5903" s="20"/>
      <c r="H5903" s="22"/>
      <c r="I5903" s="20"/>
      <c r="J5903" s="20"/>
      <c r="K5903" s="20"/>
      <c r="L5903" s="22"/>
      <c r="M5903" s="20"/>
    </row>
    <row r="5904" spans="1:13" s="12" customFormat="1" ht="12.75" customHeight="1">
      <c r="A5904" s="12" t="s">
        <v>2021</v>
      </c>
      <c r="B5904" s="30">
        <v>6.7000000000000004E-2</v>
      </c>
      <c r="C5904" s="24" t="s">
        <v>282</v>
      </c>
      <c r="D5904" s="35">
        <f t="shared" ref="D5904:D5906" si="466">D5897</f>
        <v>8.1999999999999993</v>
      </c>
      <c r="E5904" s="31">
        <f>ROUND(B5904*D5904,2)</f>
        <v>0.55000000000000004</v>
      </c>
      <c r="F5904" s="32"/>
      <c r="G5904" s="20"/>
      <c r="H5904" s="22"/>
      <c r="I5904" s="20"/>
      <c r="J5904" s="20"/>
      <c r="K5904" s="20"/>
      <c r="L5904" s="22"/>
      <c r="M5904" s="20"/>
    </row>
    <row r="5905" spans="1:13" s="12" customFormat="1" ht="24" customHeight="1">
      <c r="A5905" s="122" t="s">
        <v>1589</v>
      </c>
      <c r="B5905" s="30">
        <v>1</v>
      </c>
      <c r="C5905" s="24" t="s">
        <v>213</v>
      </c>
      <c r="D5905" s="35">
        <f t="shared" si="466"/>
        <v>27.91</v>
      </c>
      <c r="E5905" s="31">
        <f>ROUND(B5905*D5905,2)</f>
        <v>27.91</v>
      </c>
      <c r="F5905" s="32"/>
      <c r="G5905" s="20"/>
      <c r="H5905" s="22"/>
      <c r="I5905" s="20"/>
      <c r="J5905" s="20"/>
      <c r="K5905" s="20"/>
      <c r="L5905" s="22"/>
      <c r="M5905" s="20"/>
    </row>
    <row r="5906" spans="1:13" s="12" customFormat="1" ht="12.75" customHeight="1">
      <c r="A5906" s="12" t="s">
        <v>647</v>
      </c>
      <c r="B5906" s="30">
        <v>1</v>
      </c>
      <c r="C5906" s="24" t="s">
        <v>213</v>
      </c>
      <c r="D5906" s="35">
        <f t="shared" si="466"/>
        <v>16.41</v>
      </c>
      <c r="E5906" s="31">
        <f>ROUND(B5906*D5906,2)</f>
        <v>16.41</v>
      </c>
      <c r="F5906" s="32"/>
      <c r="G5906" s="20"/>
      <c r="H5906" s="22"/>
      <c r="I5906" s="20"/>
      <c r="J5906" s="20"/>
      <c r="K5906" s="20"/>
      <c r="L5906" s="22"/>
      <c r="M5906" s="20"/>
    </row>
    <row r="5907" spans="1:13" s="166" customFormat="1" ht="12.75" customHeight="1">
      <c r="A5907" s="12" t="s">
        <v>208</v>
      </c>
      <c r="B5907" s="14">
        <f>SUM(E5903:E5906)</f>
        <v>469.33000000000004</v>
      </c>
      <c r="C5907" s="24" t="s">
        <v>209</v>
      </c>
      <c r="D5907" s="35">
        <v>0.02</v>
      </c>
      <c r="E5907" s="31">
        <f>ROUND(B5907*D5907,2)</f>
        <v>9.39</v>
      </c>
      <c r="F5907" s="32">
        <f>SUM(E5903:E5907)</f>
        <v>478.72</v>
      </c>
      <c r="G5907" s="15"/>
      <c r="H5907" s="21"/>
      <c r="I5907" s="15"/>
      <c r="J5907" s="15"/>
      <c r="K5907" s="15"/>
      <c r="L5907" s="21"/>
      <c r="M5907" s="15"/>
    </row>
    <row r="5908" spans="1:13" s="12" customFormat="1" ht="6.75" customHeight="1">
      <c r="A5908" s="24"/>
      <c r="B5908" s="30"/>
      <c r="C5908" s="24"/>
      <c r="D5908" s="35"/>
      <c r="E5908" s="31"/>
      <c r="F5908" s="32"/>
      <c r="G5908" s="20"/>
      <c r="H5908" s="22"/>
      <c r="I5908" s="20"/>
      <c r="J5908" s="20"/>
      <c r="K5908" s="20"/>
      <c r="L5908" s="22"/>
      <c r="M5908" s="20"/>
    </row>
    <row r="5909" spans="1:13" s="12" customFormat="1" ht="6.75" customHeight="1">
      <c r="A5909" s="24"/>
      <c r="B5909" s="30"/>
      <c r="C5909" s="24"/>
      <c r="D5909" s="35"/>
      <c r="E5909" s="31"/>
      <c r="F5909" s="32"/>
      <c r="G5909" s="20"/>
      <c r="H5909" s="22"/>
      <c r="I5909" s="20"/>
      <c r="J5909" s="20"/>
      <c r="K5909" s="20"/>
      <c r="L5909" s="22"/>
      <c r="M5909" s="20"/>
    </row>
    <row r="5910" spans="1:13" s="12" customFormat="1" ht="12.75" customHeight="1">
      <c r="A5910" s="13" t="s">
        <v>690</v>
      </c>
      <c r="B5910" s="42"/>
      <c r="C5910" s="29"/>
      <c r="D5910" s="35"/>
      <c r="E5910" s="43" t="s">
        <v>151</v>
      </c>
      <c r="F5910" s="44" t="s">
        <v>213</v>
      </c>
      <c r="G5910" s="20"/>
      <c r="H5910" s="22"/>
      <c r="I5910" s="20"/>
      <c r="J5910" s="20"/>
      <c r="K5910" s="20"/>
      <c r="L5910" s="22"/>
      <c r="M5910" s="20"/>
    </row>
    <row r="5911" spans="1:13" s="12" customFormat="1" ht="12.75" customHeight="1">
      <c r="A5911" s="12" t="s">
        <v>281</v>
      </c>
      <c r="B5911" s="30">
        <v>3.3000000000000002E-2</v>
      </c>
      <c r="C5911" s="24" t="s">
        <v>282</v>
      </c>
      <c r="D5911" s="35">
        <f>Prec.!$C$168</f>
        <v>5700</v>
      </c>
      <c r="E5911" s="31">
        <f>ROUND(B5911*D5911,2)</f>
        <v>188.1</v>
      </c>
      <c r="F5911" s="32"/>
      <c r="G5911" s="20"/>
      <c r="H5911" s="22"/>
      <c r="I5911" s="20"/>
      <c r="J5911" s="20"/>
      <c r="K5911" s="20"/>
      <c r="L5911" s="22"/>
      <c r="M5911" s="20"/>
    </row>
    <row r="5912" spans="1:13" s="12" customFormat="1" ht="12.75" customHeight="1">
      <c r="A5912" s="12" t="s">
        <v>520</v>
      </c>
      <c r="B5912" s="30">
        <v>3.3000000000000002E-2</v>
      </c>
      <c r="C5912" s="24" t="s">
        <v>282</v>
      </c>
      <c r="D5912" s="35">
        <f>D5897</f>
        <v>8.1999999999999993</v>
      </c>
      <c r="E5912" s="31">
        <f>ROUND(B5912*D5912,2)</f>
        <v>0.27</v>
      </c>
      <c r="F5912" s="32"/>
      <c r="G5912" s="20"/>
      <c r="H5912" s="22"/>
      <c r="I5912" s="20"/>
      <c r="J5912" s="20"/>
      <c r="K5912" s="20"/>
      <c r="L5912" s="22"/>
      <c r="M5912" s="20"/>
    </row>
    <row r="5913" spans="1:13" s="12" customFormat="1" ht="24" customHeight="1">
      <c r="A5913" s="122" t="s">
        <v>1589</v>
      </c>
      <c r="B5913" s="30">
        <v>1</v>
      </c>
      <c r="C5913" s="24" t="s">
        <v>213</v>
      </c>
      <c r="D5913" s="35">
        <f>Prec.!D482</f>
        <v>27.91</v>
      </c>
      <c r="E5913" s="31">
        <f>ROUND(B5913*D5913,2)</f>
        <v>27.91</v>
      </c>
      <c r="F5913" s="32"/>
      <c r="G5913" s="20"/>
      <c r="H5913" s="22"/>
      <c r="I5913" s="20"/>
      <c r="J5913" s="20"/>
      <c r="K5913" s="20"/>
      <c r="L5913" s="22"/>
      <c r="M5913" s="20"/>
    </row>
    <row r="5914" spans="1:13" s="12" customFormat="1" ht="12.75" customHeight="1">
      <c r="A5914" s="12" t="s">
        <v>647</v>
      </c>
      <c r="B5914" s="30">
        <v>1</v>
      </c>
      <c r="C5914" s="24" t="s">
        <v>213</v>
      </c>
      <c r="D5914" s="35">
        <f>Prec.!D483</f>
        <v>16.41</v>
      </c>
      <c r="E5914" s="31">
        <f>ROUND(B5914*D5914,2)</f>
        <v>16.41</v>
      </c>
      <c r="F5914" s="32"/>
      <c r="G5914" s="20"/>
      <c r="H5914" s="22"/>
      <c r="I5914" s="20"/>
      <c r="J5914" s="20"/>
      <c r="K5914" s="20"/>
      <c r="L5914" s="22"/>
      <c r="M5914" s="20"/>
    </row>
    <row r="5915" spans="1:13" ht="12.75" customHeight="1">
      <c r="A5915" s="12" t="s">
        <v>208</v>
      </c>
      <c r="B5915" s="14">
        <f>SUM(E5911:E5914)</f>
        <v>232.69</v>
      </c>
      <c r="C5915" s="24" t="s">
        <v>209</v>
      </c>
      <c r="D5915" s="35">
        <f>D5900</f>
        <v>1.4999999999999999E-2</v>
      </c>
      <c r="E5915" s="31">
        <f>ROUND(B5915*D5915,2)</f>
        <v>3.49</v>
      </c>
      <c r="F5915" s="32">
        <f>SUM(E5911:E5915)</f>
        <v>236.18</v>
      </c>
    </row>
    <row r="5916" spans="1:13" ht="12.75" customHeight="1">
      <c r="A5916" s="12"/>
      <c r="B5916" s="14"/>
      <c r="C5916" s="24"/>
      <c r="D5916" s="35"/>
      <c r="E5916" s="31"/>
      <c r="F5916" s="32"/>
    </row>
    <row r="5917" spans="1:13" s="166" customFormat="1" ht="12.75" customHeight="1">
      <c r="A5917" s="513" t="s">
        <v>5367</v>
      </c>
      <c r="B5917" s="505"/>
      <c r="C5917" s="506"/>
      <c r="D5917" s="507"/>
      <c r="E5917" s="514" t="s">
        <v>151</v>
      </c>
      <c r="F5917" s="515" t="s">
        <v>213</v>
      </c>
      <c r="G5917" s="15"/>
      <c r="H5917" s="21"/>
      <c r="I5917" s="15"/>
      <c r="J5917" s="15"/>
      <c r="K5917" s="15"/>
      <c r="L5917" s="21"/>
      <c r="M5917" s="15"/>
    </row>
    <row r="5918" spans="1:13" s="166" customFormat="1" ht="12.75" customHeight="1">
      <c r="A5918" s="512" t="s">
        <v>4208</v>
      </c>
      <c r="B5918" s="510">
        <v>6.7000000000000004E-2</v>
      </c>
      <c r="C5918" s="511" t="s">
        <v>282</v>
      </c>
      <c r="D5918" s="507">
        <v>6000</v>
      </c>
      <c r="E5918" s="508">
        <f>ROUND(B5918*D5918,2)</f>
        <v>402</v>
      </c>
      <c r="F5918" s="509"/>
      <c r="G5918" s="15"/>
      <c r="H5918" s="21"/>
      <c r="I5918" s="15"/>
      <c r="J5918" s="15"/>
      <c r="K5918" s="15"/>
      <c r="L5918" s="21"/>
      <c r="M5918" s="15"/>
    </row>
    <row r="5919" spans="1:13" s="166" customFormat="1" ht="12.75" customHeight="1">
      <c r="A5919" s="512" t="s">
        <v>963</v>
      </c>
      <c r="B5919" s="510">
        <v>6.7000000000000004E-2</v>
      </c>
      <c r="C5919" s="511" t="s">
        <v>282</v>
      </c>
      <c r="D5919" s="507">
        <f>D5912</f>
        <v>8.1999999999999993</v>
      </c>
      <c r="E5919" s="508">
        <f>ROUND(B5919*D5919,2)</f>
        <v>0.55000000000000004</v>
      </c>
      <c r="F5919" s="509"/>
      <c r="G5919" s="15"/>
      <c r="H5919" s="21"/>
      <c r="I5919" s="15"/>
      <c r="J5919" s="15"/>
      <c r="K5919" s="15"/>
      <c r="L5919" s="21"/>
      <c r="M5919" s="15"/>
    </row>
    <row r="5920" spans="1:13" s="166" customFormat="1" ht="12.75" customHeight="1">
      <c r="A5920" s="522" t="s">
        <v>1589</v>
      </c>
      <c r="B5920" s="510">
        <v>1</v>
      </c>
      <c r="C5920" s="511" t="s">
        <v>213</v>
      </c>
      <c r="D5920" s="507">
        <f>D5913</f>
        <v>27.91</v>
      </c>
      <c r="E5920" s="508">
        <f>ROUND(B5920*D5920,2)</f>
        <v>27.91</v>
      </c>
      <c r="F5920" s="509"/>
      <c r="G5920" s="15"/>
      <c r="H5920" s="21"/>
      <c r="I5920" s="15"/>
      <c r="J5920" s="15"/>
      <c r="K5920" s="15"/>
      <c r="L5920" s="21"/>
      <c r="M5920" s="15"/>
    </row>
    <row r="5921" spans="1:13" s="166" customFormat="1" ht="12.75" customHeight="1">
      <c r="A5921" s="512" t="s">
        <v>647</v>
      </c>
      <c r="B5921" s="510">
        <v>1</v>
      </c>
      <c r="C5921" s="511" t="s">
        <v>213</v>
      </c>
      <c r="D5921" s="507">
        <f>D5914</f>
        <v>16.41</v>
      </c>
      <c r="E5921" s="508">
        <f>ROUND(B5921*D5921,2)</f>
        <v>16.41</v>
      </c>
      <c r="F5921" s="509"/>
      <c r="G5921" s="15"/>
      <c r="H5921" s="21"/>
      <c r="I5921" s="15"/>
      <c r="J5921" s="15"/>
      <c r="K5921" s="15"/>
      <c r="L5921" s="21"/>
      <c r="M5921" s="15"/>
    </row>
    <row r="5922" spans="1:13" s="166" customFormat="1" ht="12.75" customHeight="1">
      <c r="A5922" s="512" t="s">
        <v>208</v>
      </c>
      <c r="B5922" s="516">
        <f>SUM(E5918)</f>
        <v>402</v>
      </c>
      <c r="C5922" s="511" t="s">
        <v>209</v>
      </c>
      <c r="D5922" s="507">
        <v>0.02</v>
      </c>
      <c r="E5922" s="508">
        <f>ROUND(B5922*D5922,2)</f>
        <v>8.0399999999999991</v>
      </c>
      <c r="F5922" s="509">
        <f>SUM(E5918:E5922)</f>
        <v>454.91000000000008</v>
      </c>
      <c r="G5922" s="15"/>
      <c r="H5922" s="21"/>
      <c r="I5922" s="15"/>
      <c r="J5922" s="15"/>
      <c r="K5922" s="15"/>
      <c r="L5922" s="21"/>
      <c r="M5922" s="15"/>
    </row>
    <row r="5923" spans="1:13" s="166" customFormat="1" ht="12.75" customHeight="1">
      <c r="A5923" s="12"/>
      <c r="B5923" s="14"/>
      <c r="C5923" s="24"/>
      <c r="D5923" s="35"/>
      <c r="E5923" s="31"/>
      <c r="F5923" s="32"/>
      <c r="G5923" s="15"/>
      <c r="H5923" s="21"/>
      <c r="I5923" s="15"/>
      <c r="J5923" s="15"/>
      <c r="K5923" s="15"/>
      <c r="L5923" s="21"/>
      <c r="M5923" s="15"/>
    </row>
    <row r="5924" spans="1:13" s="166" customFormat="1" ht="12.75" customHeight="1">
      <c r="A5924" s="12"/>
      <c r="B5924" s="14"/>
      <c r="C5924" s="24"/>
      <c r="D5924" s="35"/>
      <c r="E5924" s="31"/>
      <c r="F5924" s="32"/>
      <c r="G5924" s="15"/>
      <c r="H5924" s="21"/>
      <c r="I5924" s="15"/>
      <c r="J5924" s="15"/>
      <c r="K5924" s="15"/>
      <c r="L5924" s="21"/>
      <c r="M5924" s="15"/>
    </row>
    <row r="5925" spans="1:13" s="166" customFormat="1" ht="12.75" customHeight="1">
      <c r="A5925" s="12"/>
      <c r="B5925" s="14"/>
      <c r="C5925" s="24"/>
      <c r="D5925" s="35"/>
      <c r="E5925" s="31"/>
      <c r="F5925" s="32"/>
      <c r="G5925" s="15"/>
      <c r="H5925" s="21"/>
      <c r="I5925" s="15"/>
      <c r="J5925" s="15"/>
      <c r="K5925" s="15"/>
      <c r="L5925" s="21"/>
      <c r="M5925" s="15"/>
    </row>
    <row r="5926" spans="1:13" s="166" customFormat="1" ht="12.75" customHeight="1">
      <c r="A5926" s="12"/>
      <c r="B5926" s="14"/>
      <c r="C5926" s="24"/>
      <c r="D5926" s="35"/>
      <c r="E5926" s="31"/>
      <c r="F5926" s="32"/>
      <c r="G5926" s="15"/>
      <c r="H5926" s="21"/>
      <c r="I5926" s="15"/>
      <c r="J5926" s="15"/>
      <c r="K5926" s="15"/>
      <c r="L5926" s="21"/>
      <c r="M5926" s="15"/>
    </row>
    <row r="5927" spans="1:13" s="166" customFormat="1" ht="12.75" customHeight="1">
      <c r="A5927" s="12"/>
      <c r="B5927" s="14"/>
      <c r="C5927" s="24"/>
      <c r="D5927" s="35"/>
      <c r="E5927" s="31"/>
      <c r="F5927" s="32"/>
      <c r="G5927" s="15"/>
      <c r="H5927" s="21"/>
      <c r="I5927" s="15"/>
      <c r="J5927" s="15"/>
      <c r="K5927" s="15"/>
      <c r="L5927" s="21"/>
      <c r="M5927" s="15"/>
    </row>
    <row r="5928" spans="1:13" s="166" customFormat="1" ht="12.75" customHeight="1">
      <c r="A5928" s="12"/>
      <c r="B5928" s="14"/>
      <c r="C5928" s="24"/>
      <c r="D5928" s="35"/>
      <c r="E5928" s="31"/>
      <c r="F5928" s="32"/>
      <c r="G5928" s="15"/>
      <c r="H5928" s="21"/>
      <c r="I5928" s="15"/>
      <c r="J5928" s="15"/>
      <c r="K5928" s="15"/>
      <c r="L5928" s="21"/>
      <c r="M5928" s="15"/>
    </row>
    <row r="5929" spans="1:13" s="166" customFormat="1" ht="12.75" customHeight="1">
      <c r="A5929" s="12"/>
      <c r="B5929" s="14"/>
      <c r="C5929" s="24"/>
      <c r="D5929" s="35"/>
      <c r="E5929" s="31"/>
      <c r="F5929" s="32"/>
      <c r="G5929" s="15"/>
      <c r="H5929" s="21"/>
      <c r="I5929" s="15"/>
      <c r="J5929" s="15"/>
      <c r="K5929" s="15"/>
      <c r="L5929" s="21"/>
      <c r="M5929" s="15"/>
    </row>
    <row r="5930" spans="1:13" s="166" customFormat="1" ht="12.75" customHeight="1">
      <c r="A5930" s="12"/>
      <c r="B5930" s="14"/>
      <c r="C5930" s="24"/>
      <c r="D5930" s="35"/>
      <c r="E5930" s="31"/>
      <c r="F5930" s="32"/>
      <c r="G5930" s="15"/>
      <c r="H5930" s="21"/>
      <c r="I5930" s="15"/>
      <c r="J5930" s="15"/>
      <c r="K5930" s="15"/>
      <c r="L5930" s="21"/>
      <c r="M5930" s="15"/>
    </row>
    <row r="5931" spans="1:13" s="166" customFormat="1" ht="12.75" customHeight="1">
      <c r="A5931" s="12"/>
      <c r="B5931" s="14"/>
      <c r="C5931" s="24"/>
      <c r="D5931" s="35"/>
      <c r="E5931" s="31"/>
      <c r="F5931" s="32"/>
      <c r="G5931" s="15"/>
      <c r="H5931" s="21"/>
      <c r="I5931" s="15"/>
      <c r="J5931" s="15"/>
      <c r="K5931" s="15"/>
      <c r="L5931" s="21"/>
      <c r="M5931" s="15"/>
    </row>
    <row r="5932" spans="1:13" ht="12.75" customHeight="1">
      <c r="A5932" s="23" t="s">
        <v>989</v>
      </c>
      <c r="B5932" s="7"/>
    </row>
    <row r="5933" spans="1:13" ht="12.75" customHeight="1">
      <c r="A5933" s="2"/>
      <c r="B5933" s="7"/>
    </row>
    <row r="5934" spans="1:13" ht="12.75" customHeight="1">
      <c r="A5934" s="513" t="s">
        <v>276</v>
      </c>
      <c r="B5934" s="505"/>
      <c r="C5934" s="506"/>
      <c r="D5934" s="507"/>
      <c r="E5934" s="514" t="s">
        <v>151</v>
      </c>
      <c r="F5934" s="515" t="s">
        <v>213</v>
      </c>
    </row>
    <row r="5935" spans="1:13" ht="12.75" customHeight="1">
      <c r="A5935" s="512" t="s">
        <v>277</v>
      </c>
      <c r="B5935" s="510">
        <v>4.2000000000000003E-2</v>
      </c>
      <c r="C5935" s="511" t="s">
        <v>825</v>
      </c>
      <c r="D5935" s="507">
        <f>F348</f>
        <v>7012.85</v>
      </c>
      <c r="E5935" s="508">
        <f>ROUND(B5935*D5935,2)</f>
        <v>294.54000000000002</v>
      </c>
      <c r="F5935" s="509"/>
      <c r="G5935" s="15">
        <v>7252.76</v>
      </c>
      <c r="H5935" s="21" t="s">
        <v>4206</v>
      </c>
    </row>
    <row r="5936" spans="1:13" ht="12.75" customHeight="1">
      <c r="A5936" s="512" t="s">
        <v>183</v>
      </c>
      <c r="B5936" s="510">
        <v>1.2999999999999999E-2</v>
      </c>
      <c r="C5936" s="511" t="s">
        <v>211</v>
      </c>
      <c r="D5936" s="507">
        <f>D5877</f>
        <v>38</v>
      </c>
      <c r="E5936" s="508">
        <f>ROUND(B5936*D5936,2)</f>
        <v>0.49</v>
      </c>
      <c r="F5936" s="509"/>
      <c r="G5936" s="15">
        <v>600</v>
      </c>
    </row>
    <row r="5937" spans="1:13" ht="12.75" customHeight="1">
      <c r="A5937" s="512" t="s">
        <v>1168</v>
      </c>
      <c r="B5937" s="510">
        <v>1</v>
      </c>
      <c r="C5937" s="511" t="s">
        <v>213</v>
      </c>
      <c r="D5937" s="507">
        <f>Prec.!C475</f>
        <v>136.5</v>
      </c>
      <c r="E5937" s="508">
        <f>ROUND(B5937*D5937,2)</f>
        <v>136.5</v>
      </c>
      <c r="F5937" s="509"/>
    </row>
    <row r="5938" spans="1:13" ht="12.75" customHeight="1">
      <c r="A5938" s="512" t="s">
        <v>208</v>
      </c>
      <c r="B5938" s="516">
        <f>SUM(E5935:E5936)</f>
        <v>295.03000000000003</v>
      </c>
      <c r="C5938" s="511" t="s">
        <v>209</v>
      </c>
      <c r="D5938" s="507">
        <v>0.02</v>
      </c>
      <c r="E5938" s="508">
        <f>ROUND(B5938*D5938,2)</f>
        <v>5.9</v>
      </c>
      <c r="F5938" s="509">
        <f>SUM(E5935:E5938)</f>
        <v>437.43</v>
      </c>
    </row>
    <row r="5939" spans="1:13" ht="12.75" customHeight="1">
      <c r="A5939" s="12"/>
      <c r="B5939" s="14"/>
      <c r="C5939" s="24"/>
      <c r="D5939" s="35"/>
      <c r="E5939" s="31"/>
      <c r="F5939" s="32"/>
    </row>
    <row r="5940" spans="1:13" s="166" customFormat="1" ht="12.75" customHeight="1">
      <c r="A5940" s="698" t="s">
        <v>276</v>
      </c>
      <c r="B5940" s="706"/>
      <c r="C5940" s="707"/>
      <c r="D5940" s="708"/>
      <c r="E5940" s="709" t="s">
        <v>151</v>
      </c>
      <c r="F5940" s="710" t="s">
        <v>213</v>
      </c>
      <c r="G5940" s="15"/>
      <c r="H5940" s="21"/>
      <c r="I5940" s="15"/>
      <c r="J5940" s="15"/>
      <c r="K5940" s="15"/>
      <c r="L5940" s="21"/>
      <c r="M5940" s="15"/>
    </row>
    <row r="5941" spans="1:13" s="166" customFormat="1" ht="12.75" customHeight="1">
      <c r="A5941" s="704" t="s">
        <v>4416</v>
      </c>
      <c r="B5941" s="705">
        <v>6.5000000000000002E-2</v>
      </c>
      <c r="C5941" s="700" t="s">
        <v>825</v>
      </c>
      <c r="D5941" s="708">
        <f>Prec.!C47</f>
        <v>6850</v>
      </c>
      <c r="E5941" s="702">
        <f>ROUND(B5941*D5941,2)</f>
        <v>445.25</v>
      </c>
      <c r="F5941" s="703"/>
      <c r="G5941" s="15"/>
      <c r="H5941" s="21"/>
      <c r="I5941" s="15"/>
      <c r="J5941" s="15"/>
      <c r="K5941" s="15"/>
      <c r="L5941" s="21"/>
      <c r="M5941" s="15"/>
    </row>
    <row r="5942" spans="1:13" s="166" customFormat="1" ht="12.75" customHeight="1">
      <c r="A5942" s="704" t="s">
        <v>183</v>
      </c>
      <c r="B5942" s="705">
        <v>1.2999999999999999E-2</v>
      </c>
      <c r="C5942" s="700" t="s">
        <v>211</v>
      </c>
      <c r="D5942" s="708">
        <f>D5859</f>
        <v>38</v>
      </c>
      <c r="E5942" s="702">
        <f>ROUND(B5942*D5942,2)</f>
        <v>0.49</v>
      </c>
      <c r="F5942" s="703"/>
      <c r="G5942" s="15"/>
      <c r="H5942" s="21"/>
      <c r="I5942" s="15"/>
      <c r="J5942" s="15"/>
      <c r="K5942" s="15"/>
      <c r="L5942" s="21"/>
      <c r="M5942" s="15"/>
    </row>
    <row r="5943" spans="1:13" s="166" customFormat="1" ht="12.75" customHeight="1">
      <c r="A5943" s="704" t="s">
        <v>1168</v>
      </c>
      <c r="B5943" s="705">
        <v>1</v>
      </c>
      <c r="C5943" s="700" t="s">
        <v>213</v>
      </c>
      <c r="D5943" s="708">
        <f>D5860</f>
        <v>136.5</v>
      </c>
      <c r="E5943" s="702">
        <f>ROUND(B5943*D5943,2)</f>
        <v>136.5</v>
      </c>
      <c r="F5943" s="703"/>
      <c r="G5943" s="15"/>
      <c r="H5943" s="21"/>
      <c r="I5943" s="15"/>
      <c r="J5943" s="15"/>
      <c r="K5943" s="15"/>
      <c r="L5943" s="21"/>
      <c r="M5943" s="15"/>
    </row>
    <row r="5944" spans="1:13" s="166" customFormat="1" ht="12.75" customHeight="1">
      <c r="A5944" s="704" t="s">
        <v>208</v>
      </c>
      <c r="B5944" s="711">
        <f>SUM(E5941:E5942)</f>
        <v>445.74</v>
      </c>
      <c r="C5944" s="700" t="s">
        <v>209</v>
      </c>
      <c r="D5944" s="708">
        <v>0.02</v>
      </c>
      <c r="E5944" s="702">
        <f>ROUND(B5944*D5944,2)</f>
        <v>8.91</v>
      </c>
      <c r="F5944" s="703">
        <f>SUM(E5941:E5944)</f>
        <v>591.15</v>
      </c>
      <c r="G5944" s="15"/>
      <c r="H5944" s="21"/>
      <c r="I5944" s="15"/>
      <c r="J5944" s="15"/>
      <c r="K5944" s="15"/>
      <c r="L5944" s="21"/>
      <c r="M5944" s="15"/>
    </row>
    <row r="5945" spans="1:13" s="166" customFormat="1" ht="12.75" customHeight="1">
      <c r="A5945" s="12"/>
      <c r="B5945" s="14"/>
      <c r="C5945" s="24"/>
      <c r="D5945" s="35"/>
      <c r="E5945" s="31"/>
      <c r="F5945" s="32"/>
      <c r="G5945" s="15"/>
      <c r="H5945" s="21"/>
      <c r="I5945" s="15"/>
      <c r="J5945" s="15"/>
      <c r="K5945" s="15"/>
      <c r="L5945" s="21"/>
      <c r="M5945" s="15"/>
    </row>
    <row r="5946" spans="1:13" ht="12.75" customHeight="1">
      <c r="A5946" s="13" t="s">
        <v>278</v>
      </c>
      <c r="B5946" s="42"/>
      <c r="C5946" s="29"/>
      <c r="D5946" s="35"/>
      <c r="E5946" s="43" t="s">
        <v>151</v>
      </c>
      <c r="F5946" s="44" t="s">
        <v>213</v>
      </c>
    </row>
    <row r="5947" spans="1:13" ht="12.75" customHeight="1">
      <c r="A5947" s="12" t="s">
        <v>277</v>
      </c>
      <c r="B5947" s="30">
        <v>2.1000000000000001E-2</v>
      </c>
      <c r="C5947" s="24" t="s">
        <v>825</v>
      </c>
      <c r="D5947" s="35">
        <f>D5935</f>
        <v>7012.85</v>
      </c>
      <c r="E5947" s="31">
        <f>ROUND(B5947*D5947,2)</f>
        <v>147.27000000000001</v>
      </c>
      <c r="F5947" s="32"/>
    </row>
    <row r="5948" spans="1:13" ht="12.75" customHeight="1">
      <c r="A5948" s="12" t="s">
        <v>183</v>
      </c>
      <c r="B5948" s="30">
        <v>1.2999999999999999E-2</v>
      </c>
      <c r="C5948" s="24" t="s">
        <v>211</v>
      </c>
      <c r="D5948" s="35">
        <f>D5936</f>
        <v>38</v>
      </c>
      <c r="E5948" s="31">
        <f>ROUND(B5948*D5948,2)</f>
        <v>0.49</v>
      </c>
      <c r="F5948" s="32"/>
    </row>
    <row r="5949" spans="1:13" ht="12.75" customHeight="1">
      <c r="A5949" s="12" t="s">
        <v>1168</v>
      </c>
      <c r="B5949" s="30">
        <v>1</v>
      </c>
      <c r="C5949" s="24" t="s">
        <v>213</v>
      </c>
      <c r="D5949" s="35">
        <f>Prec.!$D$476</f>
        <v>0</v>
      </c>
      <c r="E5949" s="31">
        <f>ROUND(B5949*D5949,2)</f>
        <v>0</v>
      </c>
      <c r="F5949" s="32"/>
    </row>
    <row r="5950" spans="1:13" ht="12.75" customHeight="1">
      <c r="A5950" s="12" t="s">
        <v>208</v>
      </c>
      <c r="B5950" s="14">
        <f>SUM(E5947:E5949)</f>
        <v>147.76000000000002</v>
      </c>
      <c r="C5950" s="24" t="s">
        <v>209</v>
      </c>
      <c r="D5950" s="35">
        <f>Prec.!C302</f>
        <v>1.4999999999999999E-2</v>
      </c>
      <c r="E5950" s="31">
        <f>ROUND(B5950*D5950,2)</f>
        <v>2.2200000000000002</v>
      </c>
      <c r="F5950" s="32">
        <f>SUM(E5947:E5950)</f>
        <v>149.98000000000002</v>
      </c>
    </row>
    <row r="5951" spans="1:13" ht="12.75" customHeight="1">
      <c r="A5951" s="12"/>
      <c r="B5951" s="14"/>
      <c r="C5951" s="24"/>
      <c r="D5951" s="35"/>
      <c r="E5951" s="31"/>
      <c r="F5951" s="32"/>
    </row>
    <row r="5952" spans="1:13" ht="12.75" customHeight="1">
      <c r="A5952" s="13" t="s">
        <v>279</v>
      </c>
      <c r="B5952" s="42"/>
      <c r="C5952" s="29"/>
      <c r="D5952" s="35"/>
      <c r="E5952" s="43" t="s">
        <v>151</v>
      </c>
      <c r="F5952" s="44" t="s">
        <v>213</v>
      </c>
    </row>
    <row r="5953" spans="1:13" ht="12.75" customHeight="1">
      <c r="A5953" s="12" t="s">
        <v>277</v>
      </c>
      <c r="B5953" s="30">
        <v>5.2999999999999999E-2</v>
      </c>
      <c r="C5953" s="24" t="s">
        <v>825</v>
      </c>
      <c r="D5953" s="35">
        <f>D5935</f>
        <v>7012.85</v>
      </c>
      <c r="E5953" s="31">
        <f>ROUND(B5953*D5953,2)</f>
        <v>371.68</v>
      </c>
      <c r="F5953" s="32"/>
    </row>
    <row r="5954" spans="1:13" ht="12.75" customHeight="1">
      <c r="A5954" s="12" t="s">
        <v>183</v>
      </c>
      <c r="B5954" s="30">
        <v>0.13</v>
      </c>
      <c r="C5954" s="24" t="s">
        <v>211</v>
      </c>
      <c r="D5954" s="35">
        <f>D5948</f>
        <v>38</v>
      </c>
      <c r="E5954" s="31">
        <f>ROUND(B5954*D5954,2)</f>
        <v>4.9400000000000004</v>
      </c>
      <c r="F5954" s="32"/>
    </row>
    <row r="5955" spans="1:13" ht="12.75" customHeight="1">
      <c r="A5955" s="12" t="s">
        <v>1168</v>
      </c>
      <c r="B5955" s="30">
        <v>1</v>
      </c>
      <c r="C5955" s="24" t="s">
        <v>213</v>
      </c>
      <c r="D5955" s="35">
        <f>Prec.!$D$478</f>
        <v>0</v>
      </c>
      <c r="E5955" s="31">
        <f>ROUND(B5955*D5955,2)</f>
        <v>0</v>
      </c>
      <c r="F5955" s="32"/>
    </row>
    <row r="5956" spans="1:13" ht="12.75" customHeight="1">
      <c r="A5956" s="12" t="s">
        <v>208</v>
      </c>
      <c r="B5956" s="14">
        <f>SUM(E5953:E5955)</f>
        <v>376.62</v>
      </c>
      <c r="C5956" s="24" t="s">
        <v>209</v>
      </c>
      <c r="D5956" s="35">
        <f>Prec.!C302</f>
        <v>1.4999999999999999E-2</v>
      </c>
      <c r="E5956" s="31">
        <f>ROUND(B5956*D5956,2)</f>
        <v>5.65</v>
      </c>
      <c r="F5956" s="32">
        <f>SUM(E5953:E5956)</f>
        <v>382.27</v>
      </c>
    </row>
    <row r="5957" spans="1:13" ht="12.75" customHeight="1">
      <c r="A5957" s="12"/>
      <c r="B5957" s="14"/>
      <c r="C5957" s="24"/>
      <c r="D5957" s="35"/>
      <c r="E5957" s="31"/>
      <c r="F5957" s="32"/>
    </row>
    <row r="5958" spans="1:13" ht="12.75" customHeight="1">
      <c r="A5958" s="698" t="s">
        <v>13</v>
      </c>
      <c r="B5958" s="706"/>
      <c r="C5958" s="707"/>
      <c r="D5958" s="708"/>
      <c r="E5958" s="709" t="s">
        <v>151</v>
      </c>
      <c r="F5958" s="710" t="s">
        <v>213</v>
      </c>
    </row>
    <row r="5959" spans="1:13" ht="12.75" customHeight="1">
      <c r="A5959" s="704" t="s">
        <v>277</v>
      </c>
      <c r="B5959" s="705">
        <v>8.0000000000000002E-3</v>
      </c>
      <c r="C5959" s="700" t="s">
        <v>825</v>
      </c>
      <c r="D5959" s="708">
        <f>D5953</f>
        <v>7012.85</v>
      </c>
      <c r="E5959" s="702">
        <f>ROUND(B5959*D5959,2)</f>
        <v>56.1</v>
      </c>
      <c r="F5959" s="703"/>
    </row>
    <row r="5960" spans="1:13" ht="12.75" customHeight="1">
      <c r="A5960" s="704" t="s">
        <v>1168</v>
      </c>
      <c r="B5960" s="705">
        <v>1</v>
      </c>
      <c r="C5960" s="700" t="s">
        <v>1171</v>
      </c>
      <c r="D5960" s="708">
        <f>Prec.!C485</f>
        <v>72.819999999999993</v>
      </c>
      <c r="E5960" s="702">
        <f>ROUND(B5960*D5960,2)</f>
        <v>72.819999999999993</v>
      </c>
      <c r="F5960" s="703"/>
    </row>
    <row r="5961" spans="1:13" ht="12.75" customHeight="1">
      <c r="A5961" s="704" t="s">
        <v>208</v>
      </c>
      <c r="B5961" s="711">
        <f>SUM(E5959)</f>
        <v>56.1</v>
      </c>
      <c r="C5961" s="700" t="s">
        <v>209</v>
      </c>
      <c r="D5961" s="708">
        <v>0.02</v>
      </c>
      <c r="E5961" s="702">
        <f>ROUND(B5961*D5961,2)</f>
        <v>1.1200000000000001</v>
      </c>
      <c r="F5961" s="703">
        <f>SUM(E5959:E5961)</f>
        <v>130.04</v>
      </c>
    </row>
    <row r="5962" spans="1:13" s="166" customFormat="1" ht="12.75" customHeight="1">
      <c r="A5962" s="12"/>
      <c r="B5962" s="14"/>
      <c r="C5962" s="24"/>
      <c r="D5962" s="35"/>
      <c r="E5962" s="31"/>
      <c r="F5962" s="32"/>
      <c r="G5962" s="15"/>
      <c r="H5962" s="21"/>
      <c r="I5962" s="15"/>
      <c r="J5962" s="15"/>
      <c r="K5962" s="15"/>
      <c r="L5962" s="21"/>
      <c r="M5962" s="15"/>
    </row>
    <row r="5963" spans="1:13" ht="12.75" customHeight="1">
      <c r="A5963" s="13" t="s">
        <v>962</v>
      </c>
      <c r="B5963" s="42"/>
      <c r="C5963" s="29"/>
      <c r="D5963" s="35"/>
      <c r="E5963" s="43" t="s">
        <v>151</v>
      </c>
      <c r="F5963" s="44" t="s">
        <v>213</v>
      </c>
    </row>
    <row r="5964" spans="1:13" ht="12.75" customHeight="1">
      <c r="A5964" s="12" t="s">
        <v>491</v>
      </c>
      <c r="B5964" s="30">
        <v>1</v>
      </c>
      <c r="C5964" s="24" t="s">
        <v>213</v>
      </c>
      <c r="D5964" s="35">
        <f>Prec.!$C$179</f>
        <v>344</v>
      </c>
      <c r="E5964" s="31">
        <f>ROUND(B5964*D5964,2)</f>
        <v>344</v>
      </c>
      <c r="F5964" s="32"/>
    </row>
    <row r="5965" spans="1:13" ht="12.75" customHeight="1">
      <c r="A5965" s="12" t="s">
        <v>277</v>
      </c>
      <c r="B5965" s="30">
        <v>6.0000000000000001E-3</v>
      </c>
      <c r="C5965" s="24" t="s">
        <v>825</v>
      </c>
      <c r="D5965" s="35">
        <f>D5959</f>
        <v>7012.85</v>
      </c>
      <c r="E5965" s="31">
        <f>ROUND(B5965*D5965,2)</f>
        <v>42.08</v>
      </c>
      <c r="F5965" s="32"/>
    </row>
    <row r="5966" spans="1:13" ht="12.75" customHeight="1">
      <c r="A5966" s="12" t="s">
        <v>1168</v>
      </c>
      <c r="B5966" s="30">
        <v>1</v>
      </c>
      <c r="C5966" s="24" t="s">
        <v>213</v>
      </c>
      <c r="D5966" s="35">
        <f>Prec.!$D$480</f>
        <v>227.94</v>
      </c>
      <c r="E5966" s="31">
        <f>ROUND(B5966*D5966,2)</f>
        <v>227.94</v>
      </c>
      <c r="F5966" s="32"/>
    </row>
    <row r="5967" spans="1:13" ht="12.75" customHeight="1">
      <c r="A5967" s="12" t="s">
        <v>317</v>
      </c>
      <c r="B5967" s="30">
        <v>1</v>
      </c>
      <c r="C5967" s="24" t="s">
        <v>213</v>
      </c>
      <c r="D5967" s="35">
        <f>Prec.!$D$550</f>
        <v>13.48</v>
      </c>
      <c r="E5967" s="31">
        <f>ROUND(B5967*D5967,2)</f>
        <v>13.48</v>
      </c>
      <c r="F5967" s="32"/>
    </row>
    <row r="5968" spans="1:13" ht="12.75" customHeight="1">
      <c r="A5968" s="12" t="s">
        <v>208</v>
      </c>
      <c r="B5968" s="14">
        <f>SUM(E5964:E5966)</f>
        <v>614.02</v>
      </c>
      <c r="C5968" s="24" t="s">
        <v>209</v>
      </c>
      <c r="D5968" s="35">
        <f>Prec.!C302</f>
        <v>1.4999999999999999E-2</v>
      </c>
      <c r="E5968" s="31">
        <f>ROUND(B5968*D5968,2)</f>
        <v>9.2100000000000009</v>
      </c>
      <c r="F5968" s="32">
        <f>SUM(E5964:E5968)</f>
        <v>636.71</v>
      </c>
    </row>
    <row r="5969" spans="1:13" ht="12.75" customHeight="1">
      <c r="A5969" s="12"/>
      <c r="B5969" s="14"/>
      <c r="C5969" s="24"/>
      <c r="D5969" s="35"/>
      <c r="E5969" s="31"/>
      <c r="F5969" s="32"/>
    </row>
    <row r="5970" spans="1:13" s="12" customFormat="1" ht="12.75" customHeight="1">
      <c r="A5970" s="513" t="s">
        <v>4207</v>
      </c>
      <c r="B5970" s="505"/>
      <c r="C5970" s="506"/>
      <c r="D5970" s="507"/>
      <c r="E5970" s="514" t="s">
        <v>151</v>
      </c>
      <c r="F5970" s="515" t="s">
        <v>213</v>
      </c>
      <c r="G5970" s="20"/>
      <c r="H5970" s="22"/>
      <c r="I5970" s="20"/>
      <c r="J5970" s="20"/>
      <c r="K5970" s="20"/>
      <c r="L5970" s="22"/>
      <c r="M5970" s="20"/>
    </row>
    <row r="5971" spans="1:13" s="12" customFormat="1" ht="12.75" customHeight="1">
      <c r="A5971" s="512" t="s">
        <v>4208</v>
      </c>
      <c r="B5971" s="510">
        <v>6.7000000000000004E-2</v>
      </c>
      <c r="C5971" s="511" t="s">
        <v>282</v>
      </c>
      <c r="D5971" s="507">
        <v>6000</v>
      </c>
      <c r="E5971" s="508">
        <f>ROUND(B5971*D5971,2)</f>
        <v>402</v>
      </c>
      <c r="F5971" s="509"/>
      <c r="G5971" s="20"/>
      <c r="H5971" s="22"/>
      <c r="I5971" s="20"/>
      <c r="J5971" s="20"/>
      <c r="K5971" s="20"/>
      <c r="L5971" s="22"/>
      <c r="M5971" s="20"/>
    </row>
    <row r="5972" spans="1:13" s="12" customFormat="1" ht="12.75" customHeight="1">
      <c r="A5972" s="512" t="s">
        <v>963</v>
      </c>
      <c r="B5972" s="510">
        <v>6.7000000000000004E-2</v>
      </c>
      <c r="C5972" s="511" t="s">
        <v>282</v>
      </c>
      <c r="D5972" s="507">
        <f>Prec.!D665</f>
        <v>14.450000000000001</v>
      </c>
      <c r="E5972" s="508">
        <f>ROUND(B5972*D5972,2)</f>
        <v>0.97</v>
      </c>
      <c r="F5972" s="509"/>
      <c r="G5972" s="20"/>
      <c r="H5972" s="22"/>
      <c r="I5972" s="20"/>
      <c r="J5972" s="20"/>
      <c r="K5972" s="20"/>
      <c r="L5972" s="22"/>
      <c r="M5972" s="20"/>
    </row>
    <row r="5973" spans="1:13" s="12" customFormat="1" ht="24" customHeight="1">
      <c r="A5973" s="522" t="s">
        <v>1589</v>
      </c>
      <c r="B5973" s="510">
        <v>1</v>
      </c>
      <c r="C5973" s="511" t="s">
        <v>213</v>
      </c>
      <c r="D5973" s="507">
        <f>Prec.!D482</f>
        <v>27.91</v>
      </c>
      <c r="E5973" s="508">
        <f>ROUND(B5973*D5973,2)</f>
        <v>27.91</v>
      </c>
      <c r="F5973" s="509"/>
      <c r="G5973" s="20">
        <v>16</v>
      </c>
      <c r="H5973" s="22">
        <f>1/G5973</f>
        <v>6.25E-2</v>
      </c>
      <c r="I5973" s="20"/>
      <c r="J5973" s="20"/>
      <c r="K5973" s="20"/>
      <c r="L5973" s="22"/>
      <c r="M5973" s="20"/>
    </row>
    <row r="5974" spans="1:13" s="12" customFormat="1" ht="12.75" customHeight="1">
      <c r="A5974" s="512" t="s">
        <v>647</v>
      </c>
      <c r="B5974" s="510">
        <v>1</v>
      </c>
      <c r="C5974" s="511" t="s">
        <v>213</v>
      </c>
      <c r="D5974" s="507">
        <f>Prec.!C483</f>
        <v>18.871499999999997</v>
      </c>
      <c r="E5974" s="508">
        <f>ROUND(B5974*D5974,2)</f>
        <v>18.87</v>
      </c>
      <c r="F5974" s="509"/>
      <c r="G5974" s="20"/>
      <c r="H5974" s="22"/>
      <c r="I5974" s="20"/>
      <c r="J5974" s="20"/>
      <c r="K5974" s="20"/>
      <c r="L5974" s="22"/>
      <c r="M5974" s="20"/>
    </row>
    <row r="5975" spans="1:13" ht="12.75" customHeight="1">
      <c r="A5975" s="512" t="s">
        <v>208</v>
      </c>
      <c r="B5975" s="516">
        <f>SUM(E5971)</f>
        <v>402</v>
      </c>
      <c r="C5975" s="511" t="s">
        <v>209</v>
      </c>
      <c r="D5975" s="507">
        <v>0.02</v>
      </c>
      <c r="E5975" s="508">
        <f>ROUND(B5975*D5975,2)</f>
        <v>8.0399999999999991</v>
      </c>
      <c r="F5975" s="509">
        <f>SUM(E5971:E5975)</f>
        <v>457.79000000000008</v>
      </c>
    </row>
    <row r="5976" spans="1:13" s="12" customFormat="1" ht="12.75" customHeight="1">
      <c r="B5976" s="30"/>
      <c r="C5976" s="24"/>
      <c r="D5976" s="35"/>
      <c r="E5976" s="31"/>
      <c r="F5976" s="32"/>
      <c r="G5976" s="20"/>
      <c r="H5976" s="22"/>
      <c r="I5976" s="20"/>
      <c r="J5976" s="20"/>
      <c r="K5976" s="20"/>
      <c r="L5976" s="22"/>
      <c r="M5976" s="20"/>
    </row>
    <row r="5977" spans="1:13" s="12" customFormat="1" ht="12.75" customHeight="1">
      <c r="A5977" s="13" t="s">
        <v>690</v>
      </c>
      <c r="B5977" s="42"/>
      <c r="C5977" s="29"/>
      <c r="D5977" s="35"/>
      <c r="E5977" s="43" t="s">
        <v>151</v>
      </c>
      <c r="F5977" s="44" t="s">
        <v>213</v>
      </c>
      <c r="G5977" s="20"/>
      <c r="H5977" s="22"/>
      <c r="I5977" s="20"/>
      <c r="J5977" s="20"/>
      <c r="K5977" s="20"/>
      <c r="L5977" s="22"/>
      <c r="M5977" s="20"/>
    </row>
    <row r="5978" spans="1:13" s="12" customFormat="1" ht="12.75" customHeight="1">
      <c r="A5978" s="12" t="s">
        <v>281</v>
      </c>
      <c r="B5978" s="30">
        <v>3.3000000000000002E-2</v>
      </c>
      <c r="C5978" s="24" t="s">
        <v>282</v>
      </c>
      <c r="D5978" s="35">
        <f>Prec.!$C$168</f>
        <v>5700</v>
      </c>
      <c r="E5978" s="31">
        <f>ROUND(B5978*D5978,2)</f>
        <v>188.1</v>
      </c>
      <c r="F5978" s="32"/>
      <c r="G5978" s="20"/>
      <c r="H5978" s="22"/>
      <c r="I5978" s="20"/>
      <c r="J5978" s="20"/>
      <c r="K5978" s="20"/>
      <c r="L5978" s="22"/>
      <c r="M5978" s="20"/>
    </row>
    <row r="5979" spans="1:13" s="12" customFormat="1" ht="12.75" customHeight="1">
      <c r="A5979" s="12" t="s">
        <v>963</v>
      </c>
      <c r="B5979" s="30">
        <v>3.3000000000000002E-2</v>
      </c>
      <c r="C5979" s="24" t="s">
        <v>282</v>
      </c>
      <c r="D5979" s="35">
        <f>D5972</f>
        <v>14.450000000000001</v>
      </c>
      <c r="E5979" s="31">
        <f>ROUND(B5979*D5979,2)</f>
        <v>0.48</v>
      </c>
      <c r="F5979" s="32"/>
      <c r="G5979" s="20"/>
      <c r="H5979" s="22"/>
      <c r="I5979" s="20"/>
      <c r="J5979" s="20"/>
      <c r="K5979" s="20"/>
      <c r="L5979" s="22"/>
      <c r="M5979" s="20"/>
    </row>
    <row r="5980" spans="1:13" s="12" customFormat="1" ht="24" customHeight="1">
      <c r="A5980" s="122" t="s">
        <v>1589</v>
      </c>
      <c r="B5980" s="30">
        <v>1</v>
      </c>
      <c r="C5980" s="24" t="s">
        <v>213</v>
      </c>
      <c r="D5980" s="35">
        <f>D5973</f>
        <v>27.91</v>
      </c>
      <c r="E5980" s="31">
        <f>ROUND(B5980*D5980,2)</f>
        <v>27.91</v>
      </c>
      <c r="F5980" s="32"/>
      <c r="G5980" s="20"/>
      <c r="H5980" s="22"/>
      <c r="I5980" s="20"/>
      <c r="J5980" s="20"/>
      <c r="K5980" s="20"/>
      <c r="L5980" s="22"/>
      <c r="M5980" s="20"/>
    </row>
    <row r="5981" spans="1:13" s="12" customFormat="1" ht="12.75" customHeight="1">
      <c r="A5981" s="12" t="s">
        <v>647</v>
      </c>
      <c r="B5981" s="30">
        <v>1</v>
      </c>
      <c r="C5981" s="24" t="s">
        <v>213</v>
      </c>
      <c r="D5981" s="35">
        <f>D5974</f>
        <v>18.871499999999997</v>
      </c>
      <c r="E5981" s="31">
        <f>ROUND(B5981*D5981,2)</f>
        <v>18.87</v>
      </c>
      <c r="F5981" s="32"/>
      <c r="G5981" s="20"/>
      <c r="H5981" s="22"/>
      <c r="I5981" s="20"/>
      <c r="J5981" s="20"/>
      <c r="K5981" s="20"/>
      <c r="L5981" s="22"/>
      <c r="M5981" s="20"/>
    </row>
    <row r="5982" spans="1:13" ht="12.75" customHeight="1">
      <c r="A5982" s="12" t="s">
        <v>208</v>
      </c>
      <c r="B5982" s="14">
        <f>SUM(E5978:E5981)</f>
        <v>235.35999999999999</v>
      </c>
      <c r="C5982" s="24" t="s">
        <v>209</v>
      </c>
      <c r="D5982" s="35">
        <f>D5975</f>
        <v>0.02</v>
      </c>
      <c r="E5982" s="31">
        <f>ROUND(B5982*D5982,2)</f>
        <v>4.71</v>
      </c>
      <c r="F5982" s="32">
        <f>SUM(E5978:E5982)</f>
        <v>240.07</v>
      </c>
    </row>
    <row r="5983" spans="1:13" s="12" customFormat="1" ht="12.75" customHeight="1">
      <c r="B5983" s="30"/>
      <c r="C5983" s="24"/>
      <c r="D5983" s="35"/>
      <c r="E5983" s="31"/>
      <c r="F5983" s="32"/>
      <c r="G5983" s="20"/>
      <c r="H5983" s="22"/>
      <c r="I5983" s="20"/>
      <c r="J5983" s="20"/>
      <c r="K5983" s="20"/>
      <c r="L5983" s="22"/>
      <c r="M5983" s="20"/>
    </row>
    <row r="5984" spans="1:13" ht="12.75" customHeight="1">
      <c r="A5984" s="23" t="s">
        <v>1159</v>
      </c>
      <c r="B5984" s="7"/>
    </row>
    <row r="5985" spans="1:6" ht="12.75" customHeight="1">
      <c r="A5985" s="2"/>
      <c r="B5985" s="7"/>
    </row>
    <row r="5986" spans="1:6" ht="12.75" customHeight="1">
      <c r="A5986" s="1586" t="s">
        <v>665</v>
      </c>
      <c r="B5986" s="1587"/>
      <c r="C5986" s="1588"/>
      <c r="D5986" s="1589"/>
      <c r="E5986" s="1590" t="s">
        <v>151</v>
      </c>
      <c r="F5986" s="1591" t="s">
        <v>213</v>
      </c>
    </row>
    <row r="5987" spans="1:6" ht="12.75" customHeight="1">
      <c r="A5987" s="1592" t="s">
        <v>5370</v>
      </c>
      <c r="B5987" s="705">
        <v>6.5000000000000002E-2</v>
      </c>
      <c r="C5987" s="1594" t="s">
        <v>825</v>
      </c>
      <c r="D5987" s="1589">
        <f>F509</f>
        <v>7163.99</v>
      </c>
      <c r="E5987" s="1595">
        <f>ROUND(B5987*D5987,2)</f>
        <v>465.66</v>
      </c>
      <c r="F5987" s="1596"/>
    </row>
    <row r="5988" spans="1:6" ht="12.75" customHeight="1">
      <c r="A5988" s="1592" t="s">
        <v>183</v>
      </c>
      <c r="B5988" s="1593">
        <v>1.2999999999999999E-2</v>
      </c>
      <c r="C5988" s="1594" t="s">
        <v>211</v>
      </c>
      <c r="D5988" s="1589">
        <f>D5948</f>
        <v>38</v>
      </c>
      <c r="E5988" s="1595">
        <f>ROUND(B5988*D5988,2)</f>
        <v>0.49</v>
      </c>
      <c r="F5988" s="1596"/>
    </row>
    <row r="5989" spans="1:6" ht="12.75" customHeight="1">
      <c r="A5989" s="1592" t="s">
        <v>1168</v>
      </c>
      <c r="B5989" s="1593">
        <v>1</v>
      </c>
      <c r="C5989" s="1594" t="s">
        <v>213</v>
      </c>
      <c r="D5989" s="1589">
        <f>D6042</f>
        <v>136.5</v>
      </c>
      <c r="E5989" s="1595">
        <f>ROUND(B5989*D5989,2)</f>
        <v>136.5</v>
      </c>
      <c r="F5989" s="1596"/>
    </row>
    <row r="5990" spans="1:6" ht="12.75" customHeight="1">
      <c r="A5990" s="1592" t="s">
        <v>208</v>
      </c>
      <c r="B5990" s="1597">
        <f>SUM(E5987:E5989)</f>
        <v>602.65000000000009</v>
      </c>
      <c r="C5990" s="1594" t="s">
        <v>209</v>
      </c>
      <c r="D5990" s="1589">
        <v>0.02</v>
      </c>
      <c r="E5990" s="1595">
        <f>ROUND(B5990*D5990,2)</f>
        <v>12.05</v>
      </c>
      <c r="F5990" s="1596">
        <f>SUM(E5987:E5990)</f>
        <v>614.70000000000005</v>
      </c>
    </row>
    <row r="5991" spans="1:6" ht="12.75" customHeight="1">
      <c r="A5991" s="12"/>
      <c r="B5991" s="14"/>
      <c r="C5991" s="24"/>
      <c r="D5991" s="35"/>
      <c r="E5991" s="31"/>
      <c r="F5991" s="32"/>
    </row>
    <row r="5992" spans="1:6" ht="12.75" customHeight="1">
      <c r="A5992" s="13" t="s">
        <v>666</v>
      </c>
      <c r="B5992" s="42"/>
      <c r="C5992" s="29"/>
      <c r="D5992" s="35"/>
      <c r="E5992" s="43" t="s">
        <v>151</v>
      </c>
      <c r="F5992" s="44" t="s">
        <v>213</v>
      </c>
    </row>
    <row r="5993" spans="1:6" ht="12.75" customHeight="1">
      <c r="A5993" s="12" t="s">
        <v>1118</v>
      </c>
      <c r="B5993" s="30">
        <v>2.1000000000000001E-2</v>
      </c>
      <c r="C5993" s="24" t="s">
        <v>825</v>
      </c>
      <c r="D5993" s="35">
        <f>D5987</f>
        <v>7163.99</v>
      </c>
      <c r="E5993" s="31">
        <f>ROUND(B5993*D5993,2)</f>
        <v>150.44</v>
      </c>
      <c r="F5993" s="32"/>
    </row>
    <row r="5994" spans="1:6" ht="12.75" customHeight="1">
      <c r="A5994" s="12" t="s">
        <v>183</v>
      </c>
      <c r="B5994" s="30">
        <v>1.2999999999999999E-2</v>
      </c>
      <c r="C5994" s="24" t="s">
        <v>211</v>
      </c>
      <c r="D5994" s="35">
        <f>D5988</f>
        <v>38</v>
      </c>
      <c r="E5994" s="31">
        <f>ROUND(B5994*D5994,2)</f>
        <v>0.49</v>
      </c>
      <c r="F5994" s="32"/>
    </row>
    <row r="5995" spans="1:6" ht="12.75" customHeight="1">
      <c r="A5995" s="12" t="s">
        <v>1168</v>
      </c>
      <c r="B5995" s="30">
        <v>1</v>
      </c>
      <c r="C5995" s="24" t="s">
        <v>213</v>
      </c>
      <c r="D5995" s="35">
        <f>Prec.!$D$476</f>
        <v>0</v>
      </c>
      <c r="E5995" s="31">
        <f>ROUND(B5995*D5995,2)</f>
        <v>0</v>
      </c>
      <c r="F5995" s="32"/>
    </row>
    <row r="5996" spans="1:6" ht="12.75" customHeight="1">
      <c r="A5996" s="12" t="s">
        <v>208</v>
      </c>
      <c r="B5996" s="14">
        <f>SUM(E5993:E5995)</f>
        <v>150.93</v>
      </c>
      <c r="C5996" s="24" t="s">
        <v>209</v>
      </c>
      <c r="D5996" s="35">
        <f>D5990</f>
        <v>0.02</v>
      </c>
      <c r="E5996" s="31">
        <f>ROUND(B5996*D5996,2)</f>
        <v>3.02</v>
      </c>
      <c r="F5996" s="32">
        <f>SUM(E5993:E5996)</f>
        <v>153.95000000000002</v>
      </c>
    </row>
    <row r="5997" spans="1:6" ht="12.75" customHeight="1">
      <c r="A5997" s="12"/>
      <c r="B5997" s="14"/>
      <c r="C5997" s="24"/>
      <c r="D5997" s="35"/>
      <c r="E5997" s="31"/>
      <c r="F5997" s="32"/>
    </row>
    <row r="5998" spans="1:6" ht="12.75" customHeight="1">
      <c r="A5998" s="13" t="s">
        <v>667</v>
      </c>
      <c r="B5998" s="42"/>
      <c r="C5998" s="29"/>
      <c r="D5998" s="35"/>
      <c r="E5998" s="43" t="s">
        <v>151</v>
      </c>
      <c r="F5998" s="44" t="s">
        <v>213</v>
      </c>
    </row>
    <row r="5999" spans="1:6" ht="12.75" customHeight="1">
      <c r="A5999" s="12" t="s">
        <v>1118</v>
      </c>
      <c r="B5999" s="30">
        <v>5.2999999999999999E-2</v>
      </c>
      <c r="C5999" s="24" t="s">
        <v>825</v>
      </c>
      <c r="D5999" s="35">
        <f>D5993</f>
        <v>7163.99</v>
      </c>
      <c r="E5999" s="31">
        <f>ROUND(B5999*D5999,2)</f>
        <v>379.69</v>
      </c>
      <c r="F5999" s="32"/>
    </row>
    <row r="6000" spans="1:6" ht="12.75" customHeight="1">
      <c r="A6000" s="12" t="s">
        <v>183</v>
      </c>
      <c r="B6000" s="30">
        <v>0.13</v>
      </c>
      <c r="C6000" s="24" t="s">
        <v>211</v>
      </c>
      <c r="D6000" s="35">
        <f>D5988</f>
        <v>38</v>
      </c>
      <c r="E6000" s="31">
        <f>ROUND(B6000*D6000,2)</f>
        <v>4.9400000000000004</v>
      </c>
      <c r="F6000" s="32"/>
    </row>
    <row r="6001" spans="1:13" ht="12.75" customHeight="1">
      <c r="A6001" s="12" t="s">
        <v>1168</v>
      </c>
      <c r="B6001" s="30">
        <v>1</v>
      </c>
      <c r="C6001" s="24" t="s">
        <v>213</v>
      </c>
      <c r="D6001" s="35">
        <f>Prec.!$D$478</f>
        <v>0</v>
      </c>
      <c r="E6001" s="31">
        <f>ROUND(B6001*D6001,2)</f>
        <v>0</v>
      </c>
      <c r="F6001" s="32"/>
    </row>
    <row r="6002" spans="1:13" ht="12.75" customHeight="1">
      <c r="A6002" s="12" t="s">
        <v>208</v>
      </c>
      <c r="B6002" s="14">
        <f>SUM(E5999:E6001)</f>
        <v>384.63</v>
      </c>
      <c r="C6002" s="24" t="s">
        <v>209</v>
      </c>
      <c r="D6002" s="35">
        <f>D5996</f>
        <v>0.02</v>
      </c>
      <c r="E6002" s="31">
        <f>ROUND(B6002*D6002,2)</f>
        <v>7.69</v>
      </c>
      <c r="F6002" s="32">
        <f>SUM(E5999:E6002)</f>
        <v>392.32</v>
      </c>
    </row>
    <row r="6003" spans="1:13" s="166" customFormat="1" ht="12.75" customHeight="1">
      <c r="A6003" s="12"/>
      <c r="B6003" s="14"/>
      <c r="C6003" s="24"/>
      <c r="D6003" s="35"/>
      <c r="E6003" s="31"/>
      <c r="F6003" s="32"/>
      <c r="G6003" s="15"/>
      <c r="H6003" s="21"/>
      <c r="I6003" s="15"/>
      <c r="J6003" s="15"/>
      <c r="K6003" s="15"/>
      <c r="L6003" s="21"/>
      <c r="M6003" s="15"/>
    </row>
    <row r="6004" spans="1:13" ht="12.75" customHeight="1">
      <c r="A6004" s="1586" t="s">
        <v>668</v>
      </c>
      <c r="B6004" s="1587"/>
      <c r="C6004" s="1588"/>
      <c r="D6004" s="1589"/>
      <c r="E6004" s="1590" t="s">
        <v>151</v>
      </c>
      <c r="F6004" s="1591" t="s">
        <v>213</v>
      </c>
    </row>
    <row r="6005" spans="1:13" ht="12.75" customHeight="1">
      <c r="A6005" s="1592" t="s">
        <v>1118</v>
      </c>
      <c r="B6005" s="1593">
        <v>8.0000000000000002E-3</v>
      </c>
      <c r="C6005" s="1594" t="s">
        <v>825</v>
      </c>
      <c r="D6005" s="1589">
        <f>D5999</f>
        <v>7163.99</v>
      </c>
      <c r="E6005" s="1595">
        <f>ROUND(B6005*D6005,2)</f>
        <v>57.31</v>
      </c>
      <c r="F6005" s="1596"/>
    </row>
    <row r="6006" spans="1:13" ht="12.75" customHeight="1">
      <c r="A6006" s="1592" t="s">
        <v>1168</v>
      </c>
      <c r="B6006" s="1593">
        <v>1</v>
      </c>
      <c r="C6006" s="1594" t="s">
        <v>1171</v>
      </c>
      <c r="D6006" s="1589">
        <f>Prec.!C485</f>
        <v>72.819999999999993</v>
      </c>
      <c r="E6006" s="1595">
        <f>ROUND(B6006*D6006,2)</f>
        <v>72.819999999999993</v>
      </c>
      <c r="F6006" s="1596"/>
    </row>
    <row r="6007" spans="1:13" ht="12.75" customHeight="1">
      <c r="A6007" s="1592" t="s">
        <v>208</v>
      </c>
      <c r="B6007" s="1597">
        <f>SUM(E6005:E6006)</f>
        <v>130.13</v>
      </c>
      <c r="C6007" s="1594" t="s">
        <v>209</v>
      </c>
      <c r="D6007" s="1589">
        <f>D6002</f>
        <v>0.02</v>
      </c>
      <c r="E6007" s="1595">
        <f>ROUND(B6007*D6007,2)</f>
        <v>2.6</v>
      </c>
      <c r="F6007" s="1596">
        <f>SUM(E6005:E6007)</f>
        <v>132.72999999999999</v>
      </c>
    </row>
    <row r="6008" spans="1:13" ht="12.75" customHeight="1">
      <c r="A6008" s="12"/>
      <c r="B6008" s="14"/>
      <c r="C6008" s="24"/>
      <c r="D6008" s="35"/>
      <c r="E6008" s="31"/>
      <c r="F6008" s="32"/>
    </row>
    <row r="6009" spans="1:13" ht="12.75" customHeight="1">
      <c r="A6009" s="13" t="s">
        <v>669</v>
      </c>
      <c r="B6009" s="42"/>
      <c r="C6009" s="29"/>
      <c r="D6009" s="35"/>
      <c r="E6009" s="43" t="s">
        <v>151</v>
      </c>
      <c r="F6009" s="44" t="s">
        <v>213</v>
      </c>
    </row>
    <row r="6010" spans="1:13" ht="12.75" customHeight="1">
      <c r="A6010" s="12" t="s">
        <v>491</v>
      </c>
      <c r="B6010" s="30">
        <v>1</v>
      </c>
      <c r="C6010" s="24" t="s">
        <v>213</v>
      </c>
      <c r="D6010" s="35">
        <f>Prec.!$C$179</f>
        <v>344</v>
      </c>
      <c r="E6010" s="31">
        <f>ROUND(B6010*D6010,2)</f>
        <v>344</v>
      </c>
      <c r="F6010" s="32"/>
    </row>
    <row r="6011" spans="1:13" ht="12.75" customHeight="1">
      <c r="A6011" s="12" t="s">
        <v>1118</v>
      </c>
      <c r="B6011" s="30">
        <v>6.0000000000000001E-3</v>
      </c>
      <c r="C6011" s="24" t="s">
        <v>825</v>
      </c>
      <c r="D6011" s="35">
        <f>D6005</f>
        <v>7163.99</v>
      </c>
      <c r="E6011" s="31">
        <f>ROUND(B6011*D6011,2)</f>
        <v>42.98</v>
      </c>
      <c r="F6011" s="32"/>
    </row>
    <row r="6012" spans="1:13" ht="12.75" customHeight="1">
      <c r="A6012" s="12" t="s">
        <v>1168</v>
      </c>
      <c r="B6012" s="30">
        <v>1</v>
      </c>
      <c r="C6012" s="24" t="s">
        <v>213</v>
      </c>
      <c r="D6012" s="35">
        <f>Prec.!$D$480</f>
        <v>227.94</v>
      </c>
      <c r="E6012" s="31">
        <f>ROUND(B6012*D6012,2)</f>
        <v>227.94</v>
      </c>
      <c r="F6012" s="32"/>
    </row>
    <row r="6013" spans="1:13" ht="12.75" customHeight="1">
      <c r="A6013" s="12" t="s">
        <v>587</v>
      </c>
      <c r="B6013" s="30">
        <v>1</v>
      </c>
      <c r="C6013" s="24" t="s">
        <v>213</v>
      </c>
      <c r="D6013" s="35">
        <f>Prec.!D551</f>
        <v>20.32</v>
      </c>
      <c r="E6013" s="31">
        <f>ROUND(B6013*D6013,2)</f>
        <v>20.32</v>
      </c>
      <c r="F6013" s="32"/>
    </row>
    <row r="6014" spans="1:13" ht="12.75" customHeight="1">
      <c r="A6014" s="12" t="s">
        <v>208</v>
      </c>
      <c r="B6014" s="14">
        <f>SUM(E6010:E6012)</f>
        <v>614.92000000000007</v>
      </c>
      <c r="C6014" s="24" t="s">
        <v>209</v>
      </c>
      <c r="D6014" s="35">
        <f>D6007</f>
        <v>0.02</v>
      </c>
      <c r="E6014" s="31">
        <f>ROUND(B6014*D6014,2)</f>
        <v>12.3</v>
      </c>
      <c r="F6014" s="32">
        <f>SUM(E6010:E6014)</f>
        <v>647.54000000000008</v>
      </c>
    </row>
    <row r="6015" spans="1:13" ht="12.75" customHeight="1">
      <c r="A6015" s="12"/>
      <c r="B6015" s="14"/>
      <c r="C6015" s="24"/>
      <c r="D6015" s="35"/>
      <c r="E6015" s="31"/>
      <c r="F6015" s="32"/>
    </row>
    <row r="6016" spans="1:13" s="12" customFormat="1" ht="12.75" customHeight="1">
      <c r="A6016" s="13" t="s">
        <v>280</v>
      </c>
      <c r="B6016" s="42"/>
      <c r="C6016" s="29"/>
      <c r="D6016" s="35"/>
      <c r="E6016" s="43" t="s">
        <v>151</v>
      </c>
      <c r="F6016" s="44" t="s">
        <v>213</v>
      </c>
      <c r="G6016" s="20"/>
      <c r="H6016" s="22"/>
      <c r="I6016" s="20"/>
      <c r="J6016" s="20"/>
      <c r="K6016" s="20"/>
      <c r="L6016" s="22"/>
      <c r="M6016" s="20"/>
    </row>
    <row r="6017" spans="1:13" s="12" customFormat="1" ht="12.75" customHeight="1">
      <c r="A6017" s="12" t="s">
        <v>281</v>
      </c>
      <c r="B6017" s="30">
        <v>6.7000000000000004E-2</v>
      </c>
      <c r="C6017" s="24" t="s">
        <v>282</v>
      </c>
      <c r="D6017" s="35">
        <f>Prec.!$C$168</f>
        <v>5700</v>
      </c>
      <c r="E6017" s="31">
        <f>ROUND(B6017*D6017,2)</f>
        <v>381.9</v>
      </c>
      <c r="F6017" s="32"/>
      <c r="G6017" s="20"/>
      <c r="H6017" s="22"/>
      <c r="I6017" s="20"/>
      <c r="J6017" s="20"/>
      <c r="K6017" s="20"/>
      <c r="L6017" s="22"/>
      <c r="M6017" s="20"/>
    </row>
    <row r="6018" spans="1:13" s="12" customFormat="1" ht="12.75" customHeight="1">
      <c r="A6018" s="12" t="s">
        <v>963</v>
      </c>
      <c r="B6018" s="30">
        <v>6.7000000000000004E-2</v>
      </c>
      <c r="C6018" s="24" t="s">
        <v>282</v>
      </c>
      <c r="D6018" s="35">
        <f>Prec.!D666</f>
        <v>20.6</v>
      </c>
      <c r="E6018" s="31">
        <f>ROUND(B6018*D6018,2)</f>
        <v>1.38</v>
      </c>
      <c r="F6018" s="32"/>
      <c r="G6018" s="20"/>
      <c r="H6018" s="22"/>
      <c r="I6018" s="20"/>
      <c r="J6018" s="20"/>
      <c r="K6018" s="20"/>
      <c r="L6018" s="22"/>
      <c r="M6018" s="20"/>
    </row>
    <row r="6019" spans="1:13" s="12" customFormat="1" ht="24" customHeight="1">
      <c r="A6019" s="122" t="s">
        <v>1589</v>
      </c>
      <c r="B6019" s="30">
        <v>1</v>
      </c>
      <c r="C6019" s="24" t="s">
        <v>213</v>
      </c>
      <c r="D6019" s="35">
        <f>Prec.!D482</f>
        <v>27.91</v>
      </c>
      <c r="E6019" s="31">
        <f>ROUND(B6019*D6019,2)</f>
        <v>27.91</v>
      </c>
      <c r="F6019" s="32"/>
      <c r="G6019" s="20"/>
      <c r="H6019" s="22"/>
      <c r="I6019" s="20"/>
      <c r="J6019" s="20"/>
      <c r="K6019" s="20"/>
      <c r="L6019" s="22"/>
      <c r="M6019" s="20"/>
    </row>
    <row r="6020" spans="1:13" s="12" customFormat="1" ht="12.75" customHeight="1">
      <c r="A6020" s="12" t="s">
        <v>647</v>
      </c>
      <c r="B6020" s="30">
        <v>1</v>
      </c>
      <c r="C6020" s="24" t="s">
        <v>213</v>
      </c>
      <c r="D6020" s="35">
        <f>Prec.!D483</f>
        <v>16.41</v>
      </c>
      <c r="E6020" s="31">
        <f>ROUND(B6020*D6020,2)</f>
        <v>16.41</v>
      </c>
      <c r="F6020" s="32"/>
      <c r="G6020" s="20"/>
      <c r="H6020" s="22"/>
      <c r="I6020" s="20"/>
      <c r="J6020" s="20"/>
      <c r="K6020" s="20"/>
      <c r="L6020" s="22"/>
      <c r="M6020" s="20"/>
    </row>
    <row r="6021" spans="1:13" ht="12.75" customHeight="1">
      <c r="A6021" s="12" t="s">
        <v>208</v>
      </c>
      <c r="B6021" s="14">
        <f>SUM(E6017:E6020)</f>
        <v>427.6</v>
      </c>
      <c r="C6021" s="24" t="s">
        <v>209</v>
      </c>
      <c r="D6021" s="35">
        <f>D6014</f>
        <v>0.02</v>
      </c>
      <c r="E6021" s="31">
        <f>ROUND(B6021*D6021,2)</f>
        <v>8.5500000000000007</v>
      </c>
      <c r="F6021" s="32">
        <f>SUM(E6017:E6021)</f>
        <v>436.15000000000003</v>
      </c>
    </row>
    <row r="6022" spans="1:13" s="12" customFormat="1" ht="12.75" customHeight="1">
      <c r="B6022" s="30"/>
      <c r="C6022" s="24"/>
      <c r="D6022" s="35"/>
      <c r="E6022" s="31"/>
      <c r="F6022" s="32"/>
      <c r="G6022" s="20"/>
      <c r="H6022" s="22"/>
      <c r="I6022" s="20"/>
      <c r="J6022" s="20"/>
      <c r="K6022" s="20"/>
      <c r="L6022" s="22"/>
      <c r="M6022" s="20"/>
    </row>
    <row r="6023" spans="1:13" s="12" customFormat="1" ht="12.75" customHeight="1">
      <c r="A6023" s="13" t="s">
        <v>690</v>
      </c>
      <c r="B6023" s="42"/>
      <c r="C6023" s="29"/>
      <c r="D6023" s="35"/>
      <c r="E6023" s="43" t="s">
        <v>151</v>
      </c>
      <c r="F6023" s="44" t="s">
        <v>213</v>
      </c>
      <c r="G6023" s="20"/>
      <c r="H6023" s="22"/>
      <c r="I6023" s="20"/>
      <c r="J6023" s="20"/>
      <c r="K6023" s="20"/>
      <c r="L6023" s="22"/>
      <c r="M6023" s="20"/>
    </row>
    <row r="6024" spans="1:13" s="12" customFormat="1" ht="12.75" customHeight="1">
      <c r="A6024" s="12" t="s">
        <v>281</v>
      </c>
      <c r="B6024" s="30">
        <v>3.3000000000000002E-2</v>
      </c>
      <c r="C6024" s="24" t="s">
        <v>282</v>
      </c>
      <c r="D6024" s="35">
        <f>Prec.!$C$168</f>
        <v>5700</v>
      </c>
      <c r="E6024" s="31">
        <f>ROUND(B6024*D6024,2)</f>
        <v>188.1</v>
      </c>
      <c r="F6024" s="32"/>
      <c r="G6024" s="20"/>
      <c r="H6024" s="22"/>
      <c r="I6024" s="20"/>
      <c r="J6024" s="20"/>
      <c r="K6024" s="20"/>
      <c r="L6024" s="22"/>
      <c r="M6024" s="20"/>
    </row>
    <row r="6025" spans="1:13" s="12" customFormat="1" ht="12.75" customHeight="1">
      <c r="A6025" s="12" t="s">
        <v>963</v>
      </c>
      <c r="B6025" s="30">
        <v>3.3000000000000002E-2</v>
      </c>
      <c r="C6025" s="24" t="s">
        <v>282</v>
      </c>
      <c r="D6025" s="35">
        <f>D6018</f>
        <v>20.6</v>
      </c>
      <c r="E6025" s="31">
        <f>ROUND(B6025*D6025,2)</f>
        <v>0.68</v>
      </c>
      <c r="F6025" s="32"/>
      <c r="G6025" s="20"/>
      <c r="H6025" s="22"/>
      <c r="I6025" s="20"/>
      <c r="J6025" s="20"/>
      <c r="K6025" s="20"/>
      <c r="L6025" s="22"/>
      <c r="M6025" s="20"/>
    </row>
    <row r="6026" spans="1:13" s="12" customFormat="1" ht="24" customHeight="1">
      <c r="A6026" s="122" t="s">
        <v>1589</v>
      </c>
      <c r="B6026" s="30">
        <v>1</v>
      </c>
      <c r="C6026" s="24" t="s">
        <v>213</v>
      </c>
      <c r="D6026" s="35">
        <f>Prec.!D482</f>
        <v>27.91</v>
      </c>
      <c r="E6026" s="31">
        <f>ROUND(B6026*D6026,2)</f>
        <v>27.91</v>
      </c>
      <c r="F6026" s="32"/>
      <c r="G6026" s="20"/>
      <c r="H6026" s="22"/>
      <c r="I6026" s="20"/>
      <c r="J6026" s="20"/>
      <c r="K6026" s="20"/>
      <c r="L6026" s="22"/>
      <c r="M6026" s="20"/>
    </row>
    <row r="6027" spans="1:13" s="12" customFormat="1" ht="12.75" customHeight="1">
      <c r="A6027" s="12" t="s">
        <v>647</v>
      </c>
      <c r="B6027" s="30">
        <v>1</v>
      </c>
      <c r="C6027" s="24" t="s">
        <v>213</v>
      </c>
      <c r="D6027" s="35">
        <f>Prec.!D483</f>
        <v>16.41</v>
      </c>
      <c r="E6027" s="31">
        <f>ROUND(B6027*D6027,2)</f>
        <v>16.41</v>
      </c>
      <c r="F6027" s="32"/>
      <c r="G6027" s="20"/>
      <c r="H6027" s="22"/>
      <c r="I6027" s="20"/>
      <c r="J6027" s="20"/>
      <c r="K6027" s="20"/>
      <c r="L6027" s="22"/>
      <c r="M6027" s="20"/>
    </row>
    <row r="6028" spans="1:13" ht="12.75" customHeight="1">
      <c r="A6028" s="4" t="s">
        <v>208</v>
      </c>
      <c r="B6028" s="7">
        <f>SUM(E6024:E6027)</f>
        <v>233.1</v>
      </c>
      <c r="C6028" s="6" t="s">
        <v>209</v>
      </c>
      <c r="D6028" s="37">
        <f>D6021</f>
        <v>0.02</v>
      </c>
      <c r="E6028" s="25">
        <f>ROUND(B6028*D6028,2)</f>
        <v>4.66</v>
      </c>
      <c r="F6028" s="26">
        <f>SUM(E6024:E6028)</f>
        <v>237.76</v>
      </c>
    </row>
    <row r="6029" spans="1:13" s="12" customFormat="1" ht="12.75" customHeight="1">
      <c r="B6029" s="30"/>
      <c r="C6029" s="24"/>
      <c r="D6029" s="35"/>
      <c r="E6029" s="31"/>
      <c r="F6029" s="32"/>
      <c r="G6029" s="20"/>
      <c r="H6029" s="22"/>
      <c r="I6029" s="20"/>
      <c r="J6029" s="20"/>
      <c r="K6029" s="20"/>
      <c r="L6029" s="22"/>
      <c r="M6029" s="20"/>
    </row>
    <row r="6030" spans="1:13" s="12" customFormat="1" ht="12.75" customHeight="1">
      <c r="A6030" s="513" t="s">
        <v>5368</v>
      </c>
      <c r="B6030" s="505"/>
      <c r="C6030" s="506"/>
      <c r="D6030" s="507"/>
      <c r="E6030" s="514" t="s">
        <v>151</v>
      </c>
      <c r="F6030" s="515" t="s">
        <v>213</v>
      </c>
      <c r="G6030" s="20"/>
      <c r="H6030" s="22"/>
      <c r="I6030" s="20"/>
      <c r="J6030" s="20"/>
      <c r="K6030" s="20"/>
      <c r="L6030" s="22"/>
      <c r="M6030" s="20"/>
    </row>
    <row r="6031" spans="1:13" s="12" customFormat="1" ht="12.75" customHeight="1">
      <c r="A6031" s="512" t="s">
        <v>4208</v>
      </c>
      <c r="B6031" s="510">
        <v>6.7000000000000004E-2</v>
      </c>
      <c r="C6031" s="511" t="s">
        <v>282</v>
      </c>
      <c r="D6031" s="507">
        <v>6000</v>
      </c>
      <c r="E6031" s="508">
        <f>ROUND(B6031*D6031,2)</f>
        <v>402</v>
      </c>
      <c r="F6031" s="509"/>
      <c r="G6031" s="20"/>
      <c r="H6031" s="22"/>
      <c r="I6031" s="20"/>
      <c r="J6031" s="20"/>
      <c r="K6031" s="20"/>
      <c r="L6031" s="22"/>
      <c r="M6031" s="20"/>
    </row>
    <row r="6032" spans="1:13" s="12" customFormat="1" ht="12.75" customHeight="1">
      <c r="A6032" s="512" t="s">
        <v>963</v>
      </c>
      <c r="B6032" s="510">
        <v>6.7000000000000004E-2</v>
      </c>
      <c r="C6032" s="511" t="s">
        <v>282</v>
      </c>
      <c r="D6032" s="507">
        <f>D6025</f>
        <v>20.6</v>
      </c>
      <c r="E6032" s="508">
        <f>ROUND(B6032*D6032,2)</f>
        <v>1.38</v>
      </c>
      <c r="F6032" s="509"/>
      <c r="G6032" s="20"/>
      <c r="H6032" s="22"/>
      <c r="I6032" s="20"/>
      <c r="J6032" s="20"/>
      <c r="K6032" s="20"/>
      <c r="L6032" s="22"/>
      <c r="M6032" s="20"/>
    </row>
    <row r="6033" spans="1:13" s="12" customFormat="1" ht="12.75" customHeight="1">
      <c r="A6033" s="522" t="s">
        <v>1589</v>
      </c>
      <c r="B6033" s="510">
        <v>1</v>
      </c>
      <c r="C6033" s="511" t="s">
        <v>213</v>
      </c>
      <c r="D6033" s="507">
        <f>Prec.!C482</f>
        <v>32.096499999999999</v>
      </c>
      <c r="E6033" s="508">
        <f>ROUND(B6033*D6033,2)</f>
        <v>32.1</v>
      </c>
      <c r="F6033" s="509"/>
      <c r="G6033" s="20"/>
      <c r="H6033" s="22"/>
      <c r="I6033" s="20"/>
      <c r="J6033" s="20"/>
      <c r="K6033" s="20"/>
      <c r="L6033" s="22"/>
      <c r="M6033" s="20"/>
    </row>
    <row r="6034" spans="1:13" s="12" customFormat="1" ht="12.75" customHeight="1">
      <c r="A6034" s="512" t="s">
        <v>647</v>
      </c>
      <c r="B6034" s="510">
        <v>1</v>
      </c>
      <c r="C6034" s="511" t="s">
        <v>213</v>
      </c>
      <c r="D6034" s="507">
        <f>Prec.!C483</f>
        <v>18.871499999999997</v>
      </c>
      <c r="E6034" s="508">
        <f>ROUND(B6034*D6034,2)</f>
        <v>18.87</v>
      </c>
      <c r="F6034" s="509"/>
      <c r="G6034" s="20"/>
      <c r="H6034" s="22"/>
      <c r="I6034" s="20"/>
      <c r="J6034" s="20"/>
      <c r="K6034" s="20"/>
      <c r="L6034" s="22"/>
      <c r="M6034" s="20"/>
    </row>
    <row r="6035" spans="1:13" s="12" customFormat="1" ht="12.75" customHeight="1">
      <c r="A6035" s="512" t="s">
        <v>208</v>
      </c>
      <c r="B6035" s="516">
        <f>SUM(E6031)</f>
        <v>402</v>
      </c>
      <c r="C6035" s="511" t="s">
        <v>209</v>
      </c>
      <c r="D6035" s="507">
        <v>0.02</v>
      </c>
      <c r="E6035" s="508">
        <f>ROUND(B6035*D6035,2)</f>
        <v>8.0399999999999991</v>
      </c>
      <c r="F6035" s="509">
        <f>SUM(E6031:E6035)</f>
        <v>462.39000000000004</v>
      </c>
      <c r="G6035" s="20"/>
      <c r="H6035" s="22"/>
      <c r="I6035" s="20"/>
      <c r="J6035" s="20"/>
      <c r="K6035" s="20"/>
      <c r="L6035" s="22"/>
      <c r="M6035" s="20"/>
    </row>
    <row r="6036" spans="1:13" s="12" customFormat="1" ht="12.75" customHeight="1">
      <c r="B6036" s="30"/>
      <c r="C6036" s="24"/>
      <c r="D6036" s="35"/>
      <c r="E6036" s="31"/>
      <c r="F6036" s="32"/>
      <c r="G6036" s="20"/>
      <c r="H6036" s="22"/>
      <c r="I6036" s="20"/>
      <c r="J6036" s="20"/>
      <c r="K6036" s="20"/>
      <c r="L6036" s="22"/>
      <c r="M6036" s="20"/>
    </row>
    <row r="6037" spans="1:13" ht="12.75" customHeight="1">
      <c r="A6037" s="23" t="s">
        <v>662</v>
      </c>
      <c r="B6037" s="7"/>
    </row>
    <row r="6038" spans="1:13" ht="12.75" customHeight="1">
      <c r="A6038" s="2"/>
      <c r="B6038" s="7"/>
    </row>
    <row r="6039" spans="1:13" ht="12.75" customHeight="1">
      <c r="A6039" s="1586" t="s">
        <v>711</v>
      </c>
      <c r="B6039" s="1587"/>
      <c r="C6039" s="1588"/>
      <c r="D6039" s="1589"/>
      <c r="E6039" s="1590" t="s">
        <v>151</v>
      </c>
      <c r="F6039" s="1591" t="s">
        <v>213</v>
      </c>
    </row>
    <row r="6040" spans="1:13" ht="12.75" customHeight="1">
      <c r="A6040" s="1592" t="s">
        <v>5369</v>
      </c>
      <c r="B6040" s="705">
        <v>6.5000000000000002E-2</v>
      </c>
      <c r="C6040" s="1594" t="s">
        <v>825</v>
      </c>
      <c r="D6040" s="1589">
        <f>F558</f>
        <v>7329.6200000000008</v>
      </c>
      <c r="E6040" s="1595">
        <f>ROUND(B6040*D6040,2)</f>
        <v>476.43</v>
      </c>
      <c r="F6040" s="1596"/>
    </row>
    <row r="6041" spans="1:13" ht="12.75" customHeight="1">
      <c r="A6041" s="1592" t="s">
        <v>183</v>
      </c>
      <c r="B6041" s="1593">
        <v>1.2999999999999999E-2</v>
      </c>
      <c r="C6041" s="1594" t="s">
        <v>211</v>
      </c>
      <c r="D6041" s="1589">
        <f>D6000</f>
        <v>38</v>
      </c>
      <c r="E6041" s="1595">
        <f>ROUND(B6041*D6041,2)</f>
        <v>0.49</v>
      </c>
      <c r="F6041" s="1596"/>
    </row>
    <row r="6042" spans="1:13" ht="12.75" customHeight="1">
      <c r="A6042" s="1592" t="s">
        <v>1168</v>
      </c>
      <c r="B6042" s="1593">
        <v>1</v>
      </c>
      <c r="C6042" s="1594" t="s">
        <v>213</v>
      </c>
      <c r="D6042" s="1589">
        <f>Prec.!C475</f>
        <v>136.5</v>
      </c>
      <c r="E6042" s="1595">
        <f>ROUND(B6042*D6042,2)</f>
        <v>136.5</v>
      </c>
      <c r="F6042" s="1596"/>
    </row>
    <row r="6043" spans="1:13" ht="12.75" customHeight="1">
      <c r="A6043" s="1592" t="s">
        <v>208</v>
      </c>
      <c r="B6043" s="1597">
        <f>SUM(E6040:E6042)</f>
        <v>613.42000000000007</v>
      </c>
      <c r="C6043" s="1594" t="s">
        <v>209</v>
      </c>
      <c r="D6043" s="1589">
        <v>0.02</v>
      </c>
      <c r="E6043" s="1595">
        <f>ROUND(B6043*D6043,2)</f>
        <v>12.27</v>
      </c>
      <c r="F6043" s="1596">
        <f>SUM(E6040:E6043)</f>
        <v>625.69000000000005</v>
      </c>
    </row>
    <row r="6044" spans="1:13" ht="12.75" customHeight="1">
      <c r="A6044" s="12"/>
      <c r="B6044" s="14"/>
      <c r="C6044" s="24"/>
      <c r="D6044" s="35"/>
      <c r="E6044" s="31"/>
      <c r="F6044" s="32"/>
    </row>
    <row r="6045" spans="1:13" ht="12.75" customHeight="1">
      <c r="A6045" s="13" t="s">
        <v>885</v>
      </c>
      <c r="B6045" s="42"/>
      <c r="C6045" s="29"/>
      <c r="D6045" s="35"/>
      <c r="E6045" s="43" t="s">
        <v>151</v>
      </c>
      <c r="F6045" s="44" t="s">
        <v>213</v>
      </c>
    </row>
    <row r="6046" spans="1:13" ht="12.75" customHeight="1">
      <c r="A6046" s="12" t="s">
        <v>575</v>
      </c>
      <c r="B6046" s="30">
        <v>2.1000000000000001E-2</v>
      </c>
      <c r="C6046" s="24" t="s">
        <v>825</v>
      </c>
      <c r="D6046" s="35">
        <f>D6040</f>
        <v>7329.6200000000008</v>
      </c>
      <c r="E6046" s="31">
        <f>ROUND(B6046*D6046,2)</f>
        <v>153.91999999999999</v>
      </c>
      <c r="F6046" s="32"/>
    </row>
    <row r="6047" spans="1:13" ht="12.75" customHeight="1">
      <c r="A6047" s="4" t="s">
        <v>183</v>
      </c>
      <c r="B6047" s="8">
        <v>1.2999999999999999E-2</v>
      </c>
      <c r="C6047" s="6" t="s">
        <v>211</v>
      </c>
      <c r="D6047" s="37">
        <f>D6041</f>
        <v>38</v>
      </c>
      <c r="E6047" s="25">
        <f>ROUND(B6047*D6047,2)</f>
        <v>0.49</v>
      </c>
    </row>
    <row r="6048" spans="1:13" ht="12.75" customHeight="1">
      <c r="A6048" s="4" t="s">
        <v>1168</v>
      </c>
      <c r="B6048" s="8">
        <v>1</v>
      </c>
      <c r="C6048" s="6" t="s">
        <v>213</v>
      </c>
      <c r="D6048" s="37">
        <f>Prec.!$D$476</f>
        <v>0</v>
      </c>
      <c r="E6048" s="25">
        <f>ROUND(B6048*D6048,2)</f>
        <v>0</v>
      </c>
    </row>
    <row r="6049" spans="1:6" ht="12.75" customHeight="1">
      <c r="A6049" s="4" t="s">
        <v>208</v>
      </c>
      <c r="B6049" s="7">
        <f>SUM(E6046:E6048)</f>
        <v>154.41</v>
      </c>
      <c r="C6049" s="6" t="s">
        <v>209</v>
      </c>
      <c r="D6049" s="37">
        <f>D6043</f>
        <v>0.02</v>
      </c>
      <c r="E6049" s="25">
        <f>ROUND(B6049*D6049,2)</f>
        <v>3.09</v>
      </c>
      <c r="F6049" s="26">
        <f>SUM(E6046:E6049)</f>
        <v>157.5</v>
      </c>
    </row>
    <row r="6050" spans="1:6" ht="12.75" customHeight="1">
      <c r="B6050" s="7"/>
    </row>
    <row r="6051" spans="1:6" ht="12.75" customHeight="1">
      <c r="A6051" s="1" t="s">
        <v>886</v>
      </c>
      <c r="B6051" s="11"/>
      <c r="C6051" s="2"/>
      <c r="E6051" s="27" t="s">
        <v>151</v>
      </c>
      <c r="F6051" s="28" t="s">
        <v>213</v>
      </c>
    </row>
    <row r="6052" spans="1:6" ht="12.75" customHeight="1">
      <c r="A6052" s="4" t="s">
        <v>575</v>
      </c>
      <c r="B6052" s="8">
        <v>5.2999999999999999E-2</v>
      </c>
      <c r="C6052" s="6" t="s">
        <v>825</v>
      </c>
      <c r="D6052" s="37">
        <f>D6046</f>
        <v>7329.6200000000008</v>
      </c>
      <c r="E6052" s="25">
        <f>ROUND(B6052*D6052,2)</f>
        <v>388.47</v>
      </c>
    </row>
    <row r="6053" spans="1:6" ht="12.75" customHeight="1">
      <c r="A6053" s="4" t="s">
        <v>183</v>
      </c>
      <c r="B6053" s="8">
        <v>0.13</v>
      </c>
      <c r="C6053" s="6" t="s">
        <v>211</v>
      </c>
      <c r="D6053" s="37">
        <f>D6047</f>
        <v>38</v>
      </c>
      <c r="E6053" s="25">
        <f>ROUND(B6053*D6053,2)</f>
        <v>4.9400000000000004</v>
      </c>
    </row>
    <row r="6054" spans="1:6" ht="12.75" customHeight="1">
      <c r="A6054" s="4" t="s">
        <v>1168</v>
      </c>
      <c r="B6054" s="8">
        <v>1</v>
      </c>
      <c r="C6054" s="6" t="s">
        <v>213</v>
      </c>
      <c r="D6054" s="37">
        <f>Prec.!$D$478</f>
        <v>0</v>
      </c>
      <c r="E6054" s="25">
        <f>ROUND(B6054*D6054,2)</f>
        <v>0</v>
      </c>
    </row>
    <row r="6055" spans="1:6" ht="12.75" customHeight="1">
      <c r="A6055" s="4" t="s">
        <v>208</v>
      </c>
      <c r="B6055" s="7">
        <f>SUM(E6052:E6054)</f>
        <v>393.41</v>
      </c>
      <c r="C6055" s="6" t="s">
        <v>209</v>
      </c>
      <c r="D6055" s="37">
        <f>D6049</f>
        <v>0.02</v>
      </c>
      <c r="E6055" s="25">
        <f>ROUND(B6055*D6055,2)</f>
        <v>7.87</v>
      </c>
      <c r="F6055" s="26">
        <f>SUM(E6052:E6055)</f>
        <v>401.28000000000003</v>
      </c>
    </row>
    <row r="6056" spans="1:6" ht="12.75" customHeight="1">
      <c r="B6056" s="7"/>
    </row>
    <row r="6057" spans="1:6" ht="12.75" customHeight="1">
      <c r="B6057" s="7"/>
    </row>
    <row r="6058" spans="1:6" ht="12.75" customHeight="1">
      <c r="B6058" s="7"/>
    </row>
    <row r="6059" spans="1:6" ht="12.75" customHeight="1">
      <c r="A6059" s="1586" t="s">
        <v>887</v>
      </c>
      <c r="B6059" s="1587"/>
      <c r="C6059" s="1588"/>
      <c r="D6059" s="1589"/>
      <c r="E6059" s="1590" t="s">
        <v>151</v>
      </c>
      <c r="F6059" s="1591" t="s">
        <v>213</v>
      </c>
    </row>
    <row r="6060" spans="1:6" ht="12.75" customHeight="1">
      <c r="A6060" s="1592" t="s">
        <v>575</v>
      </c>
      <c r="B6060" s="1593">
        <v>8.0000000000000002E-3</v>
      </c>
      <c r="C6060" s="1594" t="s">
        <v>825</v>
      </c>
      <c r="D6060" s="1589">
        <f>D6052</f>
        <v>7329.6200000000008</v>
      </c>
      <c r="E6060" s="1595">
        <f>ROUND(B6060*D6060,2)</f>
        <v>58.64</v>
      </c>
      <c r="F6060" s="1596"/>
    </row>
    <row r="6061" spans="1:6" ht="12.75" customHeight="1">
      <c r="A6061" s="1592" t="s">
        <v>1168</v>
      </c>
      <c r="B6061" s="1593">
        <v>1</v>
      </c>
      <c r="C6061" s="1594" t="s">
        <v>1171</v>
      </c>
      <c r="D6061" s="1589">
        <f>Prec.!C485</f>
        <v>72.819999999999993</v>
      </c>
      <c r="E6061" s="1595">
        <f>ROUND(B6061*D6061,2)</f>
        <v>72.819999999999993</v>
      </c>
      <c r="F6061" s="1596"/>
    </row>
    <row r="6062" spans="1:6" ht="12.75" customHeight="1">
      <c r="A6062" s="1592" t="s">
        <v>208</v>
      </c>
      <c r="B6062" s="1597">
        <f>SUM(E6060:E6061)</f>
        <v>131.45999999999998</v>
      </c>
      <c r="C6062" s="1594" t="s">
        <v>209</v>
      </c>
      <c r="D6062" s="1589">
        <f>D6055</f>
        <v>0.02</v>
      </c>
      <c r="E6062" s="1595">
        <f>ROUND(B6062*D6062,2)</f>
        <v>2.63</v>
      </c>
      <c r="F6062" s="1596">
        <f>SUM(E6060:E6062)</f>
        <v>134.08999999999997</v>
      </c>
    </row>
    <row r="6063" spans="1:6" ht="12.75" customHeight="1">
      <c r="A6063" s="12"/>
      <c r="B6063" s="14"/>
      <c r="C6063" s="24"/>
      <c r="D6063" s="35"/>
      <c r="E6063" s="31"/>
      <c r="F6063" s="32"/>
    </row>
    <row r="6064" spans="1:6" ht="12.75" customHeight="1">
      <c r="A6064" s="13" t="s">
        <v>712</v>
      </c>
      <c r="B6064" s="42"/>
      <c r="C6064" s="29"/>
      <c r="D6064" s="35"/>
      <c r="E6064" s="43" t="s">
        <v>151</v>
      </c>
      <c r="F6064" s="44" t="s">
        <v>213</v>
      </c>
    </row>
    <row r="6065" spans="1:13" ht="12.75" customHeight="1">
      <c r="A6065" s="12" t="s">
        <v>491</v>
      </c>
      <c r="B6065" s="30">
        <v>1</v>
      </c>
      <c r="C6065" s="24" t="s">
        <v>213</v>
      </c>
      <c r="D6065" s="35">
        <f>Prec.!$C$179</f>
        <v>344</v>
      </c>
      <c r="E6065" s="31">
        <f>ROUND(B6065*D6065,2)</f>
        <v>344</v>
      </c>
      <c r="F6065" s="32"/>
    </row>
    <row r="6066" spans="1:13" ht="12.75" customHeight="1">
      <c r="A6066" s="4" t="s">
        <v>575</v>
      </c>
      <c r="B6066" s="8">
        <v>6.0000000000000001E-3</v>
      </c>
      <c r="C6066" s="6" t="s">
        <v>825</v>
      </c>
      <c r="D6066" s="37">
        <f>D6060</f>
        <v>7329.6200000000008</v>
      </c>
      <c r="E6066" s="25">
        <f>ROUND(B6066*D6066,2)</f>
        <v>43.98</v>
      </c>
    </row>
    <row r="6067" spans="1:13" ht="12.75" customHeight="1">
      <c r="A6067" s="4" t="s">
        <v>1168</v>
      </c>
      <c r="B6067" s="8">
        <v>1</v>
      </c>
      <c r="C6067" s="6" t="s">
        <v>213</v>
      </c>
      <c r="D6067" s="37">
        <f>Prec.!$D$480</f>
        <v>227.94</v>
      </c>
      <c r="E6067" s="25">
        <f>ROUND(B6067*D6067,2)</f>
        <v>227.94</v>
      </c>
    </row>
    <row r="6068" spans="1:13" ht="12.75" customHeight="1">
      <c r="A6068" s="4" t="s">
        <v>586</v>
      </c>
      <c r="B6068" s="8">
        <v>1</v>
      </c>
      <c r="C6068" s="6" t="s">
        <v>213</v>
      </c>
      <c r="D6068" s="37">
        <f>Prec.!D552</f>
        <v>27.85</v>
      </c>
      <c r="E6068" s="25">
        <f>ROUND(B6068*D6068,2)</f>
        <v>27.85</v>
      </c>
    </row>
    <row r="6069" spans="1:13" ht="12.75" customHeight="1">
      <c r="A6069" s="4" t="s">
        <v>208</v>
      </c>
      <c r="B6069" s="7">
        <f>SUM(E6065:E6067)</f>
        <v>615.92000000000007</v>
      </c>
      <c r="C6069" s="6" t="s">
        <v>209</v>
      </c>
      <c r="D6069" s="37">
        <f>D6062</f>
        <v>0.02</v>
      </c>
      <c r="E6069" s="25">
        <f>ROUND(B6069*D6069,2)</f>
        <v>12.32</v>
      </c>
      <c r="F6069" s="26">
        <f>SUM(E6065:E6069)</f>
        <v>656.09000000000015</v>
      </c>
    </row>
    <row r="6070" spans="1:13" ht="12.75" customHeight="1">
      <c r="B6070" s="7"/>
    </row>
    <row r="6071" spans="1:13" s="12" customFormat="1" ht="12.75" customHeight="1">
      <c r="A6071" s="13" t="s">
        <v>280</v>
      </c>
      <c r="B6071" s="42"/>
      <c r="C6071" s="29"/>
      <c r="D6071" s="35"/>
      <c r="E6071" s="43" t="s">
        <v>151</v>
      </c>
      <c r="F6071" s="44" t="s">
        <v>213</v>
      </c>
      <c r="G6071" s="20"/>
      <c r="H6071" s="22"/>
      <c r="I6071" s="20"/>
      <c r="J6071" s="20"/>
      <c r="K6071" s="20"/>
      <c r="L6071" s="22"/>
      <c r="M6071" s="20"/>
    </row>
    <row r="6072" spans="1:13" s="12" customFormat="1" ht="12.75" customHeight="1">
      <c r="A6072" s="12" t="s">
        <v>281</v>
      </c>
      <c r="B6072" s="30">
        <v>6.7000000000000004E-2</v>
      </c>
      <c r="C6072" s="24" t="s">
        <v>282</v>
      </c>
      <c r="D6072" s="35">
        <f>Prec.!$C$168</f>
        <v>5700</v>
      </c>
      <c r="E6072" s="31">
        <f>ROUND(B6072*D6072,2)</f>
        <v>381.9</v>
      </c>
      <c r="F6072" s="32"/>
      <c r="G6072" s="20"/>
      <c r="H6072" s="22"/>
      <c r="I6072" s="20"/>
      <c r="J6072" s="20"/>
      <c r="K6072" s="20"/>
      <c r="L6072" s="22"/>
      <c r="M6072" s="20"/>
    </row>
    <row r="6073" spans="1:13" s="12" customFormat="1" ht="12.75" customHeight="1">
      <c r="A6073" s="12" t="s">
        <v>963</v>
      </c>
      <c r="B6073" s="30">
        <v>6.7000000000000004E-2</v>
      </c>
      <c r="C6073" s="24" t="s">
        <v>282</v>
      </c>
      <c r="D6073" s="35">
        <f>Prec.!D667</f>
        <v>26.8</v>
      </c>
      <c r="E6073" s="31">
        <f>ROUND(B6073*D6073,2)</f>
        <v>1.8</v>
      </c>
      <c r="F6073" s="32"/>
      <c r="G6073" s="20"/>
      <c r="H6073" s="22"/>
      <c r="I6073" s="20"/>
      <c r="J6073" s="20"/>
      <c r="K6073" s="20"/>
      <c r="L6073" s="22"/>
      <c r="M6073" s="20"/>
    </row>
    <row r="6074" spans="1:13" s="12" customFormat="1" ht="24" customHeight="1">
      <c r="A6074" s="122" t="s">
        <v>1589</v>
      </c>
      <c r="B6074" s="30">
        <v>1</v>
      </c>
      <c r="C6074" s="24" t="s">
        <v>213</v>
      </c>
      <c r="D6074" s="35">
        <f>Prec.!D482</f>
        <v>27.91</v>
      </c>
      <c r="E6074" s="31">
        <f>ROUND(B6074*D6074,2)</f>
        <v>27.91</v>
      </c>
      <c r="F6074" s="32"/>
      <c r="G6074" s="20"/>
      <c r="H6074" s="22"/>
      <c r="I6074" s="20"/>
      <c r="J6074" s="20"/>
      <c r="K6074" s="20"/>
      <c r="L6074" s="22"/>
      <c r="M6074" s="20"/>
    </row>
    <row r="6075" spans="1:13" s="12" customFormat="1" ht="12.75" customHeight="1">
      <c r="A6075" s="12" t="s">
        <v>647</v>
      </c>
      <c r="B6075" s="30">
        <v>1</v>
      </c>
      <c r="C6075" s="24" t="s">
        <v>213</v>
      </c>
      <c r="D6075" s="35">
        <f>Prec.!D483</f>
        <v>16.41</v>
      </c>
      <c r="E6075" s="31">
        <f>ROUND(B6075*D6075,2)</f>
        <v>16.41</v>
      </c>
      <c r="F6075" s="32"/>
      <c r="G6075" s="20"/>
      <c r="H6075" s="22"/>
      <c r="I6075" s="20"/>
      <c r="J6075" s="20"/>
      <c r="K6075" s="20"/>
      <c r="L6075" s="22"/>
      <c r="M6075" s="20"/>
    </row>
    <row r="6076" spans="1:13" ht="12.75" customHeight="1">
      <c r="A6076" s="4" t="s">
        <v>208</v>
      </c>
      <c r="B6076" s="7">
        <f>SUM(E6072:E6075)</f>
        <v>428.02000000000004</v>
      </c>
      <c r="C6076" s="6" t="s">
        <v>209</v>
      </c>
      <c r="D6076" s="37">
        <f>D6069</f>
        <v>0.02</v>
      </c>
      <c r="E6076" s="25">
        <f>ROUND(B6076*D6076,2)</f>
        <v>8.56</v>
      </c>
      <c r="F6076" s="26">
        <f>SUM(E6072:E6076)</f>
        <v>436.58000000000004</v>
      </c>
    </row>
    <row r="6077" spans="1:13" s="12" customFormat="1" ht="12.75" customHeight="1">
      <c r="B6077" s="30"/>
      <c r="C6077" s="24"/>
      <c r="D6077" s="35"/>
      <c r="E6077" s="31"/>
      <c r="F6077" s="32"/>
      <c r="G6077" s="20"/>
      <c r="H6077" s="22"/>
      <c r="I6077" s="20"/>
      <c r="J6077" s="20"/>
      <c r="K6077" s="20"/>
      <c r="L6077" s="22"/>
      <c r="M6077" s="20"/>
    </row>
    <row r="6078" spans="1:13" s="12" customFormat="1" ht="12.75" customHeight="1">
      <c r="A6078" s="13" t="s">
        <v>690</v>
      </c>
      <c r="B6078" s="42"/>
      <c r="C6078" s="29"/>
      <c r="D6078" s="35"/>
      <c r="E6078" s="43" t="s">
        <v>151</v>
      </c>
      <c r="F6078" s="44" t="s">
        <v>213</v>
      </c>
      <c r="G6078" s="20"/>
      <c r="H6078" s="22"/>
      <c r="I6078" s="20"/>
      <c r="J6078" s="20"/>
      <c r="K6078" s="20"/>
      <c r="L6078" s="22"/>
      <c r="M6078" s="20"/>
    </row>
    <row r="6079" spans="1:13" s="12" customFormat="1" ht="12.75" customHeight="1">
      <c r="A6079" s="12" t="s">
        <v>281</v>
      </c>
      <c r="B6079" s="30">
        <v>3.3000000000000002E-2</v>
      </c>
      <c r="C6079" s="24" t="s">
        <v>282</v>
      </c>
      <c r="D6079" s="35">
        <f>Prec.!$C$168</f>
        <v>5700</v>
      </c>
      <c r="E6079" s="31">
        <f>ROUND(B6079*D6079,2)</f>
        <v>188.1</v>
      </c>
      <c r="F6079" s="32"/>
      <c r="G6079" s="20"/>
      <c r="H6079" s="22"/>
      <c r="I6079" s="20"/>
      <c r="J6079" s="20"/>
      <c r="K6079" s="20"/>
      <c r="L6079" s="22"/>
      <c r="M6079" s="20"/>
    </row>
    <row r="6080" spans="1:13" s="12" customFormat="1" ht="12.75" customHeight="1">
      <c r="A6080" s="12" t="s">
        <v>963</v>
      </c>
      <c r="B6080" s="30">
        <v>3.3000000000000002E-2</v>
      </c>
      <c r="C6080" s="24" t="s">
        <v>282</v>
      </c>
      <c r="D6080" s="35">
        <f>D6073</f>
        <v>26.8</v>
      </c>
      <c r="E6080" s="31">
        <f>ROUND(B6080*D6080,2)</f>
        <v>0.88</v>
      </c>
      <c r="F6080" s="32"/>
      <c r="G6080" s="20"/>
      <c r="H6080" s="22"/>
      <c r="I6080" s="20"/>
      <c r="J6080" s="20"/>
      <c r="K6080" s="20"/>
      <c r="L6080" s="22"/>
      <c r="M6080" s="20"/>
    </row>
    <row r="6081" spans="1:13" s="12" customFormat="1" ht="24" customHeight="1">
      <c r="A6081" s="122" t="s">
        <v>1589</v>
      </c>
      <c r="B6081" s="30">
        <v>1</v>
      </c>
      <c r="C6081" s="24" t="s">
        <v>213</v>
      </c>
      <c r="D6081" s="35">
        <f>Prec.!D482</f>
        <v>27.91</v>
      </c>
      <c r="E6081" s="31">
        <f>ROUND(B6081*D6081,2)</f>
        <v>27.91</v>
      </c>
      <c r="F6081" s="32"/>
      <c r="G6081" s="20"/>
      <c r="H6081" s="22"/>
      <c r="I6081" s="20"/>
      <c r="J6081" s="20"/>
      <c r="K6081" s="20"/>
      <c r="L6081" s="22"/>
      <c r="M6081" s="20"/>
    </row>
    <row r="6082" spans="1:13" s="12" customFormat="1" ht="12.75" customHeight="1">
      <c r="A6082" s="12" t="s">
        <v>647</v>
      </c>
      <c r="B6082" s="30">
        <v>1</v>
      </c>
      <c r="C6082" s="24" t="s">
        <v>213</v>
      </c>
      <c r="D6082" s="35">
        <f>Prec.!D483</f>
        <v>16.41</v>
      </c>
      <c r="E6082" s="31">
        <f>ROUND(B6082*D6082,2)</f>
        <v>16.41</v>
      </c>
      <c r="F6082" s="32"/>
      <c r="G6082" s="20"/>
      <c r="H6082" s="22"/>
      <c r="I6082" s="20"/>
      <c r="J6082" s="20"/>
      <c r="K6082" s="20"/>
      <c r="L6082" s="22"/>
      <c r="M6082" s="20"/>
    </row>
    <row r="6083" spans="1:13" ht="12.75" customHeight="1">
      <c r="A6083" s="4" t="s">
        <v>208</v>
      </c>
      <c r="B6083" s="7">
        <f>SUM(E6079:E6082)</f>
        <v>233.29999999999998</v>
      </c>
      <c r="C6083" s="6" t="s">
        <v>209</v>
      </c>
      <c r="D6083" s="37">
        <f>D6076</f>
        <v>0.02</v>
      </c>
      <c r="E6083" s="25">
        <f>ROUND(B6083*D6083,2)</f>
        <v>4.67</v>
      </c>
      <c r="F6083" s="26">
        <f>SUM(E6079:E6083)</f>
        <v>237.96999999999997</v>
      </c>
    </row>
    <row r="6084" spans="1:13" s="12" customFormat="1" ht="12.75" customHeight="1">
      <c r="B6084" s="30"/>
      <c r="C6084" s="24"/>
      <c r="D6084" s="35"/>
      <c r="E6084" s="31"/>
      <c r="F6084" s="32"/>
      <c r="G6084" s="20"/>
      <c r="H6084" s="22"/>
      <c r="I6084" s="20"/>
      <c r="J6084" s="20"/>
      <c r="K6084" s="20"/>
      <c r="L6084" s="22"/>
      <c r="M6084" s="20"/>
    </row>
    <row r="6085" spans="1:13" s="12" customFormat="1" ht="12.75" customHeight="1">
      <c r="A6085" s="513" t="s">
        <v>5368</v>
      </c>
      <c r="B6085" s="505"/>
      <c r="C6085" s="506"/>
      <c r="D6085" s="507"/>
      <c r="E6085" s="514" t="s">
        <v>151</v>
      </c>
      <c r="F6085" s="515" t="s">
        <v>213</v>
      </c>
      <c r="G6085" s="20"/>
      <c r="H6085" s="22"/>
      <c r="I6085" s="20"/>
      <c r="J6085" s="20"/>
      <c r="K6085" s="20"/>
      <c r="L6085" s="22"/>
      <c r="M6085" s="20"/>
    </row>
    <row r="6086" spans="1:13" s="12" customFormat="1" ht="12.75" customHeight="1">
      <c r="A6086" s="512" t="s">
        <v>4208</v>
      </c>
      <c r="B6086" s="510">
        <v>6.7000000000000004E-2</v>
      </c>
      <c r="C6086" s="511" t="s">
        <v>282</v>
      </c>
      <c r="D6086" s="507">
        <v>6000</v>
      </c>
      <c r="E6086" s="508">
        <f>ROUND(B6086*D6086,2)</f>
        <v>402</v>
      </c>
      <c r="F6086" s="509"/>
      <c r="G6086" s="20"/>
      <c r="H6086" s="22"/>
      <c r="I6086" s="20"/>
      <c r="J6086" s="20"/>
      <c r="K6086" s="20"/>
      <c r="L6086" s="22"/>
      <c r="M6086" s="20"/>
    </row>
    <row r="6087" spans="1:13" s="12" customFormat="1" ht="12.75" customHeight="1">
      <c r="A6087" s="512" t="s">
        <v>963</v>
      </c>
      <c r="B6087" s="510">
        <v>6.7000000000000004E-2</v>
      </c>
      <c r="C6087" s="511" t="s">
        <v>282</v>
      </c>
      <c r="D6087" s="507">
        <f>Prec.!C666</f>
        <v>23.69</v>
      </c>
      <c r="E6087" s="508">
        <f>ROUND(B6087*D6087,2)</f>
        <v>1.59</v>
      </c>
      <c r="F6087" s="509"/>
      <c r="G6087" s="20"/>
      <c r="H6087" s="22"/>
      <c r="I6087" s="20"/>
      <c r="J6087" s="20"/>
      <c r="K6087" s="20"/>
      <c r="L6087" s="22"/>
      <c r="M6087" s="20"/>
    </row>
    <row r="6088" spans="1:13" s="12" customFormat="1" ht="12.75" customHeight="1">
      <c r="A6088" s="522" t="s">
        <v>1589</v>
      </c>
      <c r="B6088" s="510">
        <v>1</v>
      </c>
      <c r="C6088" s="511" t="s">
        <v>213</v>
      </c>
      <c r="D6088" s="507">
        <f>Prec.!C482</f>
        <v>32.096499999999999</v>
      </c>
      <c r="E6088" s="508">
        <f>ROUND(B6088*D6088,2)</f>
        <v>32.1</v>
      </c>
      <c r="F6088" s="509"/>
      <c r="G6088" s="20"/>
      <c r="H6088" s="22"/>
      <c r="I6088" s="20"/>
      <c r="J6088" s="20"/>
      <c r="K6088" s="20"/>
      <c r="L6088" s="22"/>
      <c r="M6088" s="20"/>
    </row>
    <row r="6089" spans="1:13" s="12" customFormat="1" ht="12.75" customHeight="1">
      <c r="A6089" s="512" t="s">
        <v>647</v>
      </c>
      <c r="B6089" s="510">
        <v>1</v>
      </c>
      <c r="C6089" s="511" t="s">
        <v>213</v>
      </c>
      <c r="D6089" s="507">
        <f>Prec.!C483</f>
        <v>18.871499999999997</v>
      </c>
      <c r="E6089" s="508">
        <f>ROUND(B6089*D6089,2)</f>
        <v>18.87</v>
      </c>
      <c r="F6089" s="509"/>
      <c r="G6089" s="20"/>
      <c r="H6089" s="22"/>
      <c r="I6089" s="20"/>
      <c r="J6089" s="20"/>
      <c r="K6089" s="20"/>
      <c r="L6089" s="22"/>
      <c r="M6089" s="20"/>
    </row>
    <row r="6090" spans="1:13" s="12" customFormat="1" ht="12.75" customHeight="1">
      <c r="A6090" s="512" t="s">
        <v>208</v>
      </c>
      <c r="B6090" s="516">
        <f>SUM(E6086)</f>
        <v>402</v>
      </c>
      <c r="C6090" s="511" t="s">
        <v>209</v>
      </c>
      <c r="D6090" s="507">
        <v>0.02</v>
      </c>
      <c r="E6090" s="508">
        <f>ROUND(B6090*D6090,2)</f>
        <v>8.0399999999999991</v>
      </c>
      <c r="F6090" s="509">
        <f>SUM(E6086:E6090)</f>
        <v>462.6</v>
      </c>
      <c r="G6090" s="20"/>
      <c r="H6090" s="22"/>
      <c r="I6090" s="20"/>
      <c r="J6090" s="20"/>
      <c r="K6090" s="20"/>
      <c r="L6090" s="22"/>
      <c r="M6090" s="20"/>
    </row>
    <row r="6091" spans="1:13" s="12" customFormat="1" ht="12.75" customHeight="1">
      <c r="B6091" s="30"/>
      <c r="C6091" s="24"/>
      <c r="D6091" s="35"/>
      <c r="E6091" s="31"/>
      <c r="F6091" s="32"/>
      <c r="G6091" s="20"/>
      <c r="H6091" s="22"/>
      <c r="I6091" s="20"/>
      <c r="J6091" s="20"/>
      <c r="K6091" s="20"/>
      <c r="L6091" s="22"/>
      <c r="M6091" s="20"/>
    </row>
    <row r="6092" spans="1:13" s="12" customFormat="1" ht="12.75" customHeight="1">
      <c r="B6092" s="30"/>
      <c r="C6092" s="24"/>
      <c r="D6092" s="35"/>
      <c r="E6092" s="31"/>
      <c r="F6092" s="32"/>
      <c r="G6092" s="20"/>
      <c r="H6092" s="22"/>
      <c r="I6092" s="20"/>
      <c r="J6092" s="20"/>
      <c r="K6092" s="20"/>
      <c r="L6092" s="22"/>
      <c r="M6092" s="20"/>
    </row>
    <row r="6093" spans="1:13" s="12" customFormat="1" ht="12.75" customHeight="1">
      <c r="B6093" s="30"/>
      <c r="C6093" s="24"/>
      <c r="D6093" s="35"/>
      <c r="E6093" s="31"/>
      <c r="F6093" s="32"/>
      <c r="G6093" s="20"/>
      <c r="H6093" s="22"/>
      <c r="I6093" s="20"/>
      <c r="J6093" s="20"/>
      <c r="K6093" s="20"/>
      <c r="L6093" s="22"/>
      <c r="M6093" s="20"/>
    </row>
    <row r="6094" spans="1:13" s="12" customFormat="1" ht="12.75" customHeight="1">
      <c r="B6094" s="30"/>
      <c r="C6094" s="24"/>
      <c r="D6094" s="35"/>
      <c r="E6094" s="31"/>
      <c r="F6094" s="32"/>
      <c r="G6094" s="20"/>
      <c r="H6094" s="22"/>
      <c r="I6094" s="20"/>
      <c r="J6094" s="20"/>
      <c r="K6094" s="20"/>
      <c r="L6094" s="22"/>
      <c r="M6094" s="20"/>
    </row>
    <row r="6095" spans="1:13" s="12" customFormat="1" ht="12.75" customHeight="1">
      <c r="B6095" s="30"/>
      <c r="C6095" s="24"/>
      <c r="D6095" s="35"/>
      <c r="E6095" s="31"/>
      <c r="F6095" s="32"/>
      <c r="G6095" s="20"/>
      <c r="H6095" s="22"/>
      <c r="I6095" s="20"/>
      <c r="J6095" s="20"/>
      <c r="K6095" s="20"/>
      <c r="L6095" s="22"/>
      <c r="M6095" s="20"/>
    </row>
    <row r="6096" spans="1:13" s="12" customFormat="1" ht="12.75" customHeight="1">
      <c r="B6096" s="30"/>
      <c r="C6096" s="24"/>
      <c r="D6096" s="35"/>
      <c r="E6096" s="31"/>
      <c r="F6096" s="32"/>
      <c r="G6096" s="20"/>
      <c r="H6096" s="22"/>
      <c r="I6096" s="20"/>
      <c r="J6096" s="20"/>
      <c r="K6096" s="20"/>
      <c r="L6096" s="22"/>
      <c r="M6096" s="20"/>
    </row>
    <row r="6097" spans="1:13" s="12" customFormat="1" ht="12.75" customHeight="1">
      <c r="B6097" s="30"/>
      <c r="C6097" s="24"/>
      <c r="D6097" s="35"/>
      <c r="E6097" s="31"/>
      <c r="F6097" s="32"/>
      <c r="G6097" s="20"/>
      <c r="H6097" s="22"/>
      <c r="I6097" s="20"/>
      <c r="J6097" s="20"/>
      <c r="K6097" s="20"/>
      <c r="L6097" s="22"/>
      <c r="M6097" s="20"/>
    </row>
    <row r="6098" spans="1:13" ht="12.75" customHeight="1">
      <c r="A6098" s="23" t="s">
        <v>745</v>
      </c>
      <c r="B6098" s="7"/>
    </row>
    <row r="6099" spans="1:13" ht="12.75" customHeight="1">
      <c r="A6099" s="2"/>
      <c r="B6099" s="7"/>
    </row>
    <row r="6100" spans="1:13" ht="12.75" customHeight="1">
      <c r="A6100" s="13" t="s">
        <v>713</v>
      </c>
      <c r="B6100" s="42"/>
      <c r="C6100" s="29"/>
      <c r="D6100" s="35"/>
      <c r="E6100" s="43" t="s">
        <v>151</v>
      </c>
      <c r="F6100" s="44" t="s">
        <v>213</v>
      </c>
    </row>
    <row r="6101" spans="1:13" ht="12.75" customHeight="1">
      <c r="A6101" s="12" t="s">
        <v>40</v>
      </c>
      <c r="B6101" s="30">
        <v>4.2000000000000003E-2</v>
      </c>
      <c r="C6101" s="24" t="s">
        <v>825</v>
      </c>
      <c r="D6101" s="35">
        <f>horm.ymez.!H8</f>
        <v>6795.98</v>
      </c>
      <c r="E6101" s="31">
        <f>ROUND(B6101*D6101,2)</f>
        <v>285.43</v>
      </c>
      <c r="F6101" s="32"/>
    </row>
    <row r="6102" spans="1:13" ht="12.75" customHeight="1">
      <c r="A6102" s="12" t="s">
        <v>183</v>
      </c>
      <c r="B6102" s="30">
        <v>1.2999999999999999E-2</v>
      </c>
      <c r="C6102" s="24" t="s">
        <v>211</v>
      </c>
      <c r="D6102" s="35">
        <f>D6053</f>
        <v>38</v>
      </c>
      <c r="E6102" s="31">
        <f>ROUND(B6102*D6102,2)</f>
        <v>0.49</v>
      </c>
      <c r="F6102" s="32"/>
    </row>
    <row r="6103" spans="1:13" ht="12.75" customHeight="1">
      <c r="A6103" s="12" t="s">
        <v>1168</v>
      </c>
      <c r="B6103" s="30">
        <v>1</v>
      </c>
      <c r="C6103" s="24" t="s">
        <v>213</v>
      </c>
      <c r="D6103" s="35">
        <f>Prec.!$D$475</f>
        <v>0</v>
      </c>
      <c r="E6103" s="31">
        <f>ROUND(B6103*D6103,2)</f>
        <v>0</v>
      </c>
      <c r="F6103" s="32"/>
    </row>
    <row r="6104" spans="1:13" ht="12.75" customHeight="1">
      <c r="A6104" s="12" t="s">
        <v>208</v>
      </c>
      <c r="B6104" s="14">
        <f>SUM(E6101:E6103)</f>
        <v>285.92</v>
      </c>
      <c r="C6104" s="24" t="s">
        <v>209</v>
      </c>
      <c r="D6104" s="35">
        <v>0.02</v>
      </c>
      <c r="E6104" s="31">
        <f>ROUND(B6104*D6104,2)</f>
        <v>5.72</v>
      </c>
      <c r="F6104" s="32">
        <f>SUM(E6101:E6104)</f>
        <v>291.64000000000004</v>
      </c>
    </row>
    <row r="6105" spans="1:13" ht="12.75" customHeight="1">
      <c r="A6105" s="12"/>
      <c r="B6105" s="14"/>
      <c r="C6105" s="24"/>
      <c r="D6105" s="35"/>
      <c r="E6105" s="31"/>
      <c r="F6105" s="32"/>
    </row>
    <row r="6106" spans="1:13" ht="12.75" customHeight="1">
      <c r="A6106" s="13" t="s">
        <v>738</v>
      </c>
      <c r="B6106" s="42"/>
      <c r="C6106" s="29"/>
      <c r="D6106" s="35"/>
      <c r="E6106" s="43" t="s">
        <v>151</v>
      </c>
      <c r="F6106" s="44" t="s">
        <v>213</v>
      </c>
    </row>
    <row r="6107" spans="1:13" ht="12.75" customHeight="1">
      <c r="A6107" s="12" t="s">
        <v>40</v>
      </c>
      <c r="B6107" s="30">
        <v>2.1000000000000001E-2</v>
      </c>
      <c r="C6107" s="24" t="s">
        <v>825</v>
      </c>
      <c r="D6107" s="35">
        <f>D6101</f>
        <v>6795.98</v>
      </c>
      <c r="E6107" s="31">
        <f>ROUND(B6107*D6107,2)</f>
        <v>142.72</v>
      </c>
      <c r="F6107" s="32"/>
    </row>
    <row r="6108" spans="1:13" ht="12.75" customHeight="1">
      <c r="A6108" s="12" t="s">
        <v>183</v>
      </c>
      <c r="B6108" s="30">
        <v>1.2999999999999999E-2</v>
      </c>
      <c r="C6108" s="24" t="s">
        <v>211</v>
      </c>
      <c r="D6108" s="35">
        <f>D6102</f>
        <v>38</v>
      </c>
      <c r="E6108" s="31">
        <f>ROUND(B6108*D6108,2)</f>
        <v>0.49</v>
      </c>
      <c r="F6108" s="32"/>
    </row>
    <row r="6109" spans="1:13" ht="12.75" customHeight="1">
      <c r="A6109" s="12" t="s">
        <v>1168</v>
      </c>
      <c r="B6109" s="30">
        <v>1</v>
      </c>
      <c r="C6109" s="24" t="s">
        <v>213</v>
      </c>
      <c r="D6109" s="35">
        <f>Prec.!$D$476</f>
        <v>0</v>
      </c>
      <c r="E6109" s="31">
        <f>ROUND(B6109*D6109,2)</f>
        <v>0</v>
      </c>
      <c r="F6109" s="32"/>
    </row>
    <row r="6110" spans="1:13" ht="12.75" customHeight="1">
      <c r="A6110" s="12" t="s">
        <v>208</v>
      </c>
      <c r="B6110" s="14">
        <f>SUM(E6107:E6109)</f>
        <v>143.21</v>
      </c>
      <c r="C6110" s="24" t="s">
        <v>209</v>
      </c>
      <c r="D6110" s="35">
        <f>D6104</f>
        <v>0.02</v>
      </c>
      <c r="E6110" s="31">
        <f>ROUND(B6110*D6110,2)</f>
        <v>2.86</v>
      </c>
      <c r="F6110" s="32">
        <f>SUM(E6107:E6110)</f>
        <v>146.07000000000002</v>
      </c>
    </row>
    <row r="6111" spans="1:13" ht="12.75" customHeight="1">
      <c r="A6111" s="12"/>
      <c r="B6111" s="14"/>
      <c r="C6111" s="24"/>
      <c r="D6111" s="35"/>
      <c r="E6111" s="31"/>
      <c r="F6111" s="32"/>
    </row>
    <row r="6112" spans="1:13" ht="12.75" customHeight="1">
      <c r="A6112" s="13" t="s">
        <v>654</v>
      </c>
      <c r="B6112" s="42"/>
      <c r="C6112" s="29"/>
      <c r="D6112" s="35"/>
      <c r="E6112" s="43" t="s">
        <v>151</v>
      </c>
      <c r="F6112" s="44" t="s">
        <v>213</v>
      </c>
    </row>
    <row r="6113" spans="1:13" ht="12.75" customHeight="1">
      <c r="A6113" s="12" t="s">
        <v>40</v>
      </c>
      <c r="B6113" s="30">
        <v>5.2999999999999999E-2</v>
      </c>
      <c r="C6113" s="24" t="s">
        <v>825</v>
      </c>
      <c r="D6113" s="35">
        <f>D6107</f>
        <v>6795.98</v>
      </c>
      <c r="E6113" s="31">
        <f>ROUND(B6113*D6113,2)</f>
        <v>360.19</v>
      </c>
      <c r="F6113" s="32"/>
    </row>
    <row r="6114" spans="1:13" ht="12.75" customHeight="1">
      <c r="A6114" s="12" t="s">
        <v>183</v>
      </c>
      <c r="B6114" s="30">
        <v>0.13</v>
      </c>
      <c r="C6114" s="24" t="s">
        <v>211</v>
      </c>
      <c r="D6114" s="35">
        <f>D6108</f>
        <v>38</v>
      </c>
      <c r="E6114" s="31">
        <f>ROUND(B6114*D6114,2)</f>
        <v>4.9400000000000004</v>
      </c>
      <c r="F6114" s="32"/>
    </row>
    <row r="6115" spans="1:13" ht="12.75" customHeight="1">
      <c r="A6115" s="12" t="s">
        <v>1168</v>
      </c>
      <c r="B6115" s="30">
        <v>1</v>
      </c>
      <c r="C6115" s="24" t="s">
        <v>213</v>
      </c>
      <c r="D6115" s="35">
        <f>Prec.!$D$478</f>
        <v>0</v>
      </c>
      <c r="E6115" s="31">
        <f>ROUND(B6115*D6115,2)</f>
        <v>0</v>
      </c>
      <c r="F6115" s="32"/>
    </row>
    <row r="6116" spans="1:13" ht="12.75" customHeight="1">
      <c r="A6116" s="12" t="s">
        <v>208</v>
      </c>
      <c r="B6116" s="14">
        <f>SUM(E6113:E6115)</f>
        <v>365.13</v>
      </c>
      <c r="C6116" s="24" t="s">
        <v>209</v>
      </c>
      <c r="D6116" s="35">
        <f>D6110</f>
        <v>0.02</v>
      </c>
      <c r="E6116" s="31">
        <f>ROUND(B6116*D6116,2)</f>
        <v>7.3</v>
      </c>
      <c r="F6116" s="32">
        <f>SUM(E6113:E6116)</f>
        <v>372.43</v>
      </c>
    </row>
    <row r="6117" spans="1:13" ht="12.75" customHeight="1">
      <c r="A6117" s="12"/>
      <c r="B6117" s="14"/>
      <c r="C6117" s="24"/>
      <c r="D6117" s="35"/>
      <c r="E6117" s="31"/>
      <c r="F6117" s="32"/>
    </row>
    <row r="6118" spans="1:13" ht="12.75" customHeight="1">
      <c r="A6118" s="12"/>
      <c r="B6118" s="14"/>
      <c r="C6118" s="24"/>
      <c r="D6118" s="35"/>
      <c r="E6118" s="31"/>
      <c r="F6118" s="32"/>
    </row>
    <row r="6119" spans="1:13" ht="12.75" customHeight="1">
      <c r="A6119" s="12"/>
      <c r="B6119" s="14"/>
      <c r="C6119" s="24"/>
      <c r="D6119" s="35"/>
      <c r="E6119" s="31"/>
      <c r="F6119" s="32"/>
    </row>
    <row r="6120" spans="1:13" s="166" customFormat="1" ht="12.75" customHeight="1">
      <c r="A6120" s="13" t="s">
        <v>713</v>
      </c>
      <c r="B6120" s="42"/>
      <c r="C6120" s="29"/>
      <c r="D6120" s="35"/>
      <c r="E6120" s="43" t="s">
        <v>151</v>
      </c>
      <c r="F6120" s="44" t="s">
        <v>213</v>
      </c>
      <c r="G6120" s="15"/>
      <c r="H6120" s="21"/>
      <c r="I6120" s="15"/>
      <c r="J6120" s="15"/>
      <c r="K6120" s="15"/>
      <c r="L6120" s="21"/>
      <c r="M6120" s="15"/>
    </row>
    <row r="6121" spans="1:13" s="166" customFormat="1" ht="12.75" customHeight="1">
      <c r="A6121" s="12" t="s">
        <v>40</v>
      </c>
      <c r="B6121" s="30">
        <v>0.08</v>
      </c>
      <c r="C6121" s="24" t="s">
        <v>825</v>
      </c>
      <c r="D6121" s="35">
        <f>D6101</f>
        <v>6795.98</v>
      </c>
      <c r="E6121" s="31">
        <f>ROUND(B6121*D6121,2)</f>
        <v>543.67999999999995</v>
      </c>
      <c r="F6121" s="32"/>
      <c r="G6121" s="15"/>
      <c r="H6121" s="21"/>
      <c r="I6121" s="15"/>
      <c r="J6121" s="15"/>
      <c r="K6121" s="15"/>
      <c r="L6121" s="21"/>
      <c r="M6121" s="15"/>
    </row>
    <row r="6122" spans="1:13" s="166" customFormat="1" ht="12.75" customHeight="1">
      <c r="A6122" s="12" t="s">
        <v>183</v>
      </c>
      <c r="B6122" s="30">
        <v>1.2999999999999999E-2</v>
      </c>
      <c r="C6122" s="24" t="s">
        <v>211</v>
      </c>
      <c r="D6122" s="35">
        <f t="shared" ref="D6122:D6124" si="467">D6102</f>
        <v>38</v>
      </c>
      <c r="E6122" s="31">
        <f>ROUND(B6122*D6122,2)</f>
        <v>0.49</v>
      </c>
      <c r="F6122" s="32"/>
      <c r="G6122" s="15"/>
      <c r="H6122" s="21"/>
      <c r="I6122" s="15"/>
      <c r="J6122" s="15"/>
      <c r="K6122" s="15"/>
      <c r="L6122" s="21"/>
      <c r="M6122" s="15"/>
    </row>
    <row r="6123" spans="1:13" s="166" customFormat="1" ht="12.75" customHeight="1">
      <c r="A6123" s="12" t="s">
        <v>1168</v>
      </c>
      <c r="B6123" s="30">
        <v>1</v>
      </c>
      <c r="C6123" s="24" t="s">
        <v>213</v>
      </c>
      <c r="D6123" s="35">
        <f t="shared" si="467"/>
        <v>0</v>
      </c>
      <c r="E6123" s="31">
        <f>ROUND(B6123*D6123,2)</f>
        <v>0</v>
      </c>
      <c r="F6123" s="32"/>
      <c r="G6123" s="15"/>
      <c r="H6123" s="21"/>
      <c r="I6123" s="15"/>
      <c r="J6123" s="15"/>
      <c r="K6123" s="15"/>
      <c r="L6123" s="21"/>
      <c r="M6123" s="15"/>
    </row>
    <row r="6124" spans="1:13" s="166" customFormat="1" ht="12.75" customHeight="1">
      <c r="A6124" s="12" t="s">
        <v>208</v>
      </c>
      <c r="B6124" s="14">
        <f>SUM(E6121:E6123)</f>
        <v>544.16999999999996</v>
      </c>
      <c r="C6124" s="24" t="s">
        <v>209</v>
      </c>
      <c r="D6124" s="35">
        <f t="shared" si="467"/>
        <v>0.02</v>
      </c>
      <c r="E6124" s="31">
        <f>ROUND(B6124*D6124,2)</f>
        <v>10.88</v>
      </c>
      <c r="F6124" s="32">
        <f>SUM(E6121:E6124)</f>
        <v>555.04999999999995</v>
      </c>
      <c r="G6124" s="15"/>
      <c r="H6124" s="21"/>
      <c r="I6124" s="15"/>
      <c r="J6124" s="15"/>
      <c r="K6124" s="15"/>
      <c r="L6124" s="21"/>
      <c r="M6124" s="15"/>
    </row>
    <row r="6125" spans="1:13" s="166" customFormat="1" ht="12.75" customHeight="1">
      <c r="A6125" s="12"/>
      <c r="B6125" s="14"/>
      <c r="C6125" s="24"/>
      <c r="D6125" s="35"/>
      <c r="E6125" s="31"/>
      <c r="F6125" s="32"/>
      <c r="G6125" s="15"/>
      <c r="H6125" s="21"/>
      <c r="I6125" s="15"/>
      <c r="J6125" s="15"/>
      <c r="K6125" s="15"/>
      <c r="L6125" s="21"/>
      <c r="M6125" s="15"/>
    </row>
    <row r="6126" spans="1:13" ht="12.75" customHeight="1">
      <c r="A6126" s="13" t="s">
        <v>655</v>
      </c>
      <c r="B6126" s="42"/>
      <c r="C6126" s="29"/>
      <c r="D6126" s="35"/>
      <c r="E6126" s="43" t="s">
        <v>151</v>
      </c>
      <c r="F6126" s="44" t="s">
        <v>213</v>
      </c>
    </row>
    <row r="6127" spans="1:13" ht="12.75" customHeight="1">
      <c r="A6127" s="12" t="s">
        <v>40</v>
      </c>
      <c r="B6127" s="30">
        <v>8.0000000000000002E-3</v>
      </c>
      <c r="C6127" s="24" t="s">
        <v>825</v>
      </c>
      <c r="D6127" s="35">
        <f>D6113</f>
        <v>6795.98</v>
      </c>
      <c r="E6127" s="31">
        <f>ROUND(B6127*D6127,2)</f>
        <v>54.37</v>
      </c>
      <c r="F6127" s="32"/>
    </row>
    <row r="6128" spans="1:13" ht="12.75" customHeight="1">
      <c r="A6128" s="12" t="s">
        <v>1168</v>
      </c>
      <c r="B6128" s="30">
        <v>1</v>
      </c>
      <c r="C6128" s="24" t="s">
        <v>1171</v>
      </c>
      <c r="D6128" s="35">
        <f>Prec.!D485</f>
        <v>0</v>
      </c>
      <c r="E6128" s="31">
        <f>ROUND(B6128*D6128,2)</f>
        <v>0</v>
      </c>
      <c r="F6128" s="32"/>
    </row>
    <row r="6129" spans="1:13" ht="12.75" customHeight="1">
      <c r="A6129" s="12" t="s">
        <v>208</v>
      </c>
      <c r="B6129" s="14">
        <f>SUM(E6127:E6128)</f>
        <v>54.37</v>
      </c>
      <c r="C6129" s="24" t="s">
        <v>209</v>
      </c>
      <c r="D6129" s="35">
        <f>D6116</f>
        <v>0.02</v>
      </c>
      <c r="E6129" s="31">
        <f>ROUND(B6129*D6129,2)</f>
        <v>1.0900000000000001</v>
      </c>
      <c r="F6129" s="32">
        <f>SUM(E6127:E6129)</f>
        <v>55.46</v>
      </c>
    </row>
    <row r="6130" spans="1:13" ht="12.75" customHeight="1">
      <c r="B6130" s="7"/>
    </row>
    <row r="6131" spans="1:13" ht="12.75" customHeight="1">
      <c r="A6131" s="13" t="s">
        <v>714</v>
      </c>
      <c r="B6131" s="11"/>
      <c r="C6131" s="2"/>
      <c r="E6131" s="27" t="s">
        <v>151</v>
      </c>
      <c r="F6131" s="28" t="s">
        <v>213</v>
      </c>
    </row>
    <row r="6132" spans="1:13" ht="12.75" customHeight="1">
      <c r="A6132" s="4" t="s">
        <v>491</v>
      </c>
      <c r="B6132" s="8">
        <v>1</v>
      </c>
      <c r="C6132" s="6" t="s">
        <v>213</v>
      </c>
      <c r="D6132" s="37">
        <f>Prec.!$C$179</f>
        <v>344</v>
      </c>
      <c r="E6132" s="25">
        <f>ROUND(B6132*D6132,2)</f>
        <v>344</v>
      </c>
    </row>
    <row r="6133" spans="1:13" ht="12.75" customHeight="1">
      <c r="A6133" s="4" t="s">
        <v>40</v>
      </c>
      <c r="B6133" s="8">
        <v>6.0000000000000001E-3</v>
      </c>
      <c r="C6133" s="6" t="s">
        <v>825</v>
      </c>
      <c r="D6133" s="37">
        <f>D6127</f>
        <v>6795.98</v>
      </c>
      <c r="E6133" s="25">
        <f>ROUND(B6133*D6133,2)</f>
        <v>40.78</v>
      </c>
    </row>
    <row r="6134" spans="1:13" ht="12.75" customHeight="1">
      <c r="A6134" s="4" t="s">
        <v>1168</v>
      </c>
      <c r="B6134" s="8">
        <v>1</v>
      </c>
      <c r="C6134" s="6" t="s">
        <v>213</v>
      </c>
      <c r="D6134" s="37">
        <f>Prec.!$D$480</f>
        <v>227.94</v>
      </c>
      <c r="E6134" s="25">
        <f>ROUND(B6134*D6134,2)</f>
        <v>227.94</v>
      </c>
    </row>
    <row r="6135" spans="1:13" ht="12.75" customHeight="1">
      <c r="A6135" s="4" t="s">
        <v>588</v>
      </c>
      <c r="B6135" s="8">
        <v>1</v>
      </c>
      <c r="C6135" s="6" t="s">
        <v>213</v>
      </c>
      <c r="D6135" s="37">
        <f>Prec.!D553</f>
        <v>35.369999999999997</v>
      </c>
      <c r="E6135" s="25">
        <f>ROUND(B6135*D6135,2)</f>
        <v>35.369999999999997</v>
      </c>
    </row>
    <row r="6136" spans="1:13" ht="12.75" customHeight="1">
      <c r="A6136" s="4" t="s">
        <v>208</v>
      </c>
      <c r="B6136" s="7">
        <f>SUM(E6132:E6134)</f>
        <v>612.72</v>
      </c>
      <c r="C6136" s="6" t="s">
        <v>209</v>
      </c>
      <c r="D6136" s="37">
        <f>D6129</f>
        <v>0.02</v>
      </c>
      <c r="E6136" s="25">
        <f>ROUND(B6136*D6136,2)</f>
        <v>12.25</v>
      </c>
      <c r="F6136" s="26">
        <f>SUM(E6132:E6136)</f>
        <v>660.34</v>
      </c>
    </row>
    <row r="6137" spans="1:13" ht="12.75" customHeight="1">
      <c r="B6137" s="7"/>
    </row>
    <row r="6138" spans="1:13" s="12" customFormat="1" ht="12.75" customHeight="1">
      <c r="A6138" s="13" t="s">
        <v>280</v>
      </c>
      <c r="B6138" s="42"/>
      <c r="C6138" s="29"/>
      <c r="D6138" s="35"/>
      <c r="E6138" s="43" t="s">
        <v>151</v>
      </c>
      <c r="F6138" s="44" t="s">
        <v>213</v>
      </c>
      <c r="G6138" s="20"/>
      <c r="H6138" s="22"/>
      <c r="I6138" s="20"/>
      <c r="J6138" s="20"/>
      <c r="K6138" s="20"/>
      <c r="L6138" s="22"/>
      <c r="M6138" s="20"/>
    </row>
    <row r="6139" spans="1:13" s="12" customFormat="1" ht="12.75" customHeight="1">
      <c r="A6139" s="12" t="s">
        <v>281</v>
      </c>
      <c r="B6139" s="30">
        <v>6.7000000000000004E-2</v>
      </c>
      <c r="C6139" s="24" t="s">
        <v>282</v>
      </c>
      <c r="D6139" s="35">
        <f>Prec.!$C$168</f>
        <v>5700</v>
      </c>
      <c r="E6139" s="31">
        <f>ROUND(B6139*D6139,2)</f>
        <v>381.9</v>
      </c>
      <c r="F6139" s="32"/>
      <c r="G6139" s="20"/>
      <c r="H6139" s="22"/>
      <c r="I6139" s="20"/>
      <c r="J6139" s="20"/>
      <c r="K6139" s="20"/>
      <c r="L6139" s="22"/>
      <c r="M6139" s="20"/>
    </row>
    <row r="6140" spans="1:13" s="12" customFormat="1" ht="12.75" customHeight="1">
      <c r="A6140" s="12" t="s">
        <v>963</v>
      </c>
      <c r="B6140" s="30">
        <v>6.7000000000000004E-2</v>
      </c>
      <c r="C6140" s="24" t="s">
        <v>282</v>
      </c>
      <c r="D6140" s="35">
        <f>Prec.!D668</f>
        <v>32.9</v>
      </c>
      <c r="E6140" s="31">
        <f>ROUND(B6140*D6140,2)</f>
        <v>2.2000000000000002</v>
      </c>
      <c r="F6140" s="32"/>
      <c r="G6140" s="20"/>
      <c r="H6140" s="22"/>
      <c r="I6140" s="20"/>
      <c r="J6140" s="20"/>
      <c r="K6140" s="20"/>
      <c r="L6140" s="22"/>
      <c r="M6140" s="20"/>
    </row>
    <row r="6141" spans="1:13" s="12" customFormat="1" ht="24" customHeight="1">
      <c r="A6141" s="122" t="s">
        <v>1589</v>
      </c>
      <c r="B6141" s="30">
        <v>1</v>
      </c>
      <c r="C6141" s="24" t="s">
        <v>213</v>
      </c>
      <c r="D6141" s="35">
        <f>Prec.!D482</f>
        <v>27.91</v>
      </c>
      <c r="E6141" s="31">
        <f>ROUND(B6141*D6141,2)</f>
        <v>27.91</v>
      </c>
      <c r="F6141" s="32"/>
      <c r="G6141" s="20"/>
      <c r="H6141" s="22"/>
      <c r="I6141" s="20"/>
      <c r="J6141" s="20"/>
      <c r="K6141" s="20"/>
      <c r="L6141" s="22"/>
      <c r="M6141" s="20"/>
    </row>
    <row r="6142" spans="1:13" s="12" customFormat="1" ht="12.75" customHeight="1">
      <c r="A6142" s="12" t="s">
        <v>647</v>
      </c>
      <c r="B6142" s="30">
        <v>1</v>
      </c>
      <c r="C6142" s="24" t="s">
        <v>213</v>
      </c>
      <c r="D6142" s="35">
        <f>Prec.!D483</f>
        <v>16.41</v>
      </c>
      <c r="E6142" s="31">
        <f>ROUND(B6142*D6142,2)</f>
        <v>16.41</v>
      </c>
      <c r="F6142" s="32"/>
      <c r="G6142" s="20"/>
      <c r="H6142" s="22"/>
      <c r="I6142" s="20"/>
      <c r="J6142" s="20"/>
      <c r="K6142" s="20"/>
      <c r="L6142" s="22"/>
      <c r="M6142" s="20"/>
    </row>
    <row r="6143" spans="1:13" ht="12.75" customHeight="1">
      <c r="A6143" s="4" t="s">
        <v>208</v>
      </c>
      <c r="B6143" s="7">
        <f>SUM(E6139:E6142)</f>
        <v>428.42</v>
      </c>
      <c r="C6143" s="6" t="s">
        <v>209</v>
      </c>
      <c r="D6143" s="37">
        <f>D6136</f>
        <v>0.02</v>
      </c>
      <c r="E6143" s="25">
        <f>ROUND(B6143*D6143,2)</f>
        <v>8.57</v>
      </c>
      <c r="F6143" s="26">
        <f>SUM(E6139:E6143)</f>
        <v>436.99</v>
      </c>
    </row>
    <row r="6144" spans="1:13" s="12" customFormat="1" ht="12.75" customHeight="1">
      <c r="B6144" s="30"/>
      <c r="C6144" s="24"/>
      <c r="D6144" s="35"/>
      <c r="E6144" s="31"/>
      <c r="F6144" s="32"/>
      <c r="G6144" s="20"/>
      <c r="H6144" s="22"/>
      <c r="I6144" s="20"/>
      <c r="J6144" s="20"/>
      <c r="K6144" s="20"/>
      <c r="L6144" s="22"/>
      <c r="M6144" s="20"/>
    </row>
    <row r="6145" spans="1:13" s="12" customFormat="1" ht="12.75" customHeight="1">
      <c r="A6145" s="13" t="s">
        <v>690</v>
      </c>
      <c r="B6145" s="42"/>
      <c r="C6145" s="29"/>
      <c r="D6145" s="35"/>
      <c r="E6145" s="43" t="s">
        <v>151</v>
      </c>
      <c r="F6145" s="44" t="s">
        <v>213</v>
      </c>
      <c r="G6145" s="20"/>
      <c r="H6145" s="22"/>
      <c r="I6145" s="20"/>
      <c r="J6145" s="20"/>
      <c r="K6145" s="20"/>
      <c r="L6145" s="22"/>
      <c r="M6145" s="20"/>
    </row>
    <row r="6146" spans="1:13" s="12" customFormat="1" ht="12.75" customHeight="1">
      <c r="A6146" s="12" t="s">
        <v>281</v>
      </c>
      <c r="B6146" s="30">
        <v>3.3000000000000002E-2</v>
      </c>
      <c r="C6146" s="24" t="s">
        <v>282</v>
      </c>
      <c r="D6146" s="35">
        <f>Prec.!$C$168</f>
        <v>5700</v>
      </c>
      <c r="E6146" s="31">
        <f>ROUND(B6146*D6146,2)</f>
        <v>188.1</v>
      </c>
      <c r="F6146" s="32"/>
      <c r="G6146" s="20"/>
      <c r="H6146" s="22"/>
      <c r="I6146" s="20"/>
      <c r="J6146" s="20"/>
      <c r="K6146" s="20"/>
      <c r="L6146" s="22"/>
      <c r="M6146" s="20"/>
    </row>
    <row r="6147" spans="1:13" s="12" customFormat="1" ht="12.75" customHeight="1">
      <c r="A6147" s="12" t="s">
        <v>963</v>
      </c>
      <c r="B6147" s="30">
        <v>3.3000000000000002E-2</v>
      </c>
      <c r="C6147" s="24" t="s">
        <v>282</v>
      </c>
      <c r="D6147" s="35">
        <f>D6140</f>
        <v>32.9</v>
      </c>
      <c r="E6147" s="31">
        <f>ROUND(B6147*D6147,2)</f>
        <v>1.0900000000000001</v>
      </c>
      <c r="F6147" s="32"/>
      <c r="G6147" s="20"/>
      <c r="H6147" s="22"/>
      <c r="I6147" s="20"/>
      <c r="J6147" s="20"/>
      <c r="K6147" s="20"/>
      <c r="L6147" s="22"/>
      <c r="M6147" s="20"/>
    </row>
    <row r="6148" spans="1:13" s="12" customFormat="1" ht="24" customHeight="1">
      <c r="A6148" s="122" t="s">
        <v>1589</v>
      </c>
      <c r="B6148" s="30">
        <v>1</v>
      </c>
      <c r="C6148" s="24" t="s">
        <v>213</v>
      </c>
      <c r="D6148" s="35">
        <f>Prec.!D482</f>
        <v>27.91</v>
      </c>
      <c r="E6148" s="31">
        <f>ROUND(B6148*D6148,2)</f>
        <v>27.91</v>
      </c>
      <c r="F6148" s="32"/>
      <c r="G6148" s="20"/>
      <c r="H6148" s="22"/>
      <c r="I6148" s="20"/>
      <c r="J6148" s="20"/>
      <c r="K6148" s="20"/>
      <c r="L6148" s="22"/>
      <c r="M6148" s="20"/>
    </row>
    <row r="6149" spans="1:13" s="12" customFormat="1" ht="12.75" customHeight="1">
      <c r="A6149" s="12" t="s">
        <v>647</v>
      </c>
      <c r="B6149" s="30">
        <v>1</v>
      </c>
      <c r="C6149" s="24" t="s">
        <v>213</v>
      </c>
      <c r="D6149" s="35">
        <f>Prec.!D483</f>
        <v>16.41</v>
      </c>
      <c r="E6149" s="31">
        <f>ROUND(B6149*D6149,2)</f>
        <v>16.41</v>
      </c>
      <c r="F6149" s="32"/>
      <c r="G6149" s="20"/>
      <c r="H6149" s="22"/>
      <c r="I6149" s="20"/>
      <c r="J6149" s="20"/>
      <c r="K6149" s="20"/>
      <c r="L6149" s="22"/>
      <c r="M6149" s="20"/>
    </row>
    <row r="6150" spans="1:13" ht="12.75" customHeight="1">
      <c r="A6150" s="4" t="s">
        <v>208</v>
      </c>
      <c r="B6150" s="7">
        <f>SUM(E6146:E6149)</f>
        <v>233.51</v>
      </c>
      <c r="C6150" s="6" t="s">
        <v>209</v>
      </c>
      <c r="D6150" s="37">
        <f>D6143</f>
        <v>0.02</v>
      </c>
      <c r="E6150" s="25">
        <f>ROUND(B6150*D6150,2)</f>
        <v>4.67</v>
      </c>
      <c r="F6150" s="26">
        <f>SUM(E6146:E6150)</f>
        <v>238.17999999999998</v>
      </c>
    </row>
    <row r="6151" spans="1:13" ht="12.75" customHeight="1">
      <c r="B6151" s="7"/>
    </row>
    <row r="6152" spans="1:13" ht="12.75" customHeight="1">
      <c r="A6152" s="23" t="s">
        <v>1189</v>
      </c>
      <c r="B6152" s="7"/>
    </row>
    <row r="6153" spans="1:13" ht="12.75" customHeight="1">
      <c r="A6153" s="2"/>
      <c r="B6153" s="7"/>
    </row>
    <row r="6154" spans="1:13" ht="12.75" customHeight="1">
      <c r="A6154" s="1" t="s">
        <v>349</v>
      </c>
      <c r="B6154" s="11"/>
      <c r="C6154" s="2"/>
      <c r="E6154" s="27" t="s">
        <v>151</v>
      </c>
      <c r="F6154" s="28" t="s">
        <v>213</v>
      </c>
    </row>
    <row r="6155" spans="1:13" ht="12.75" customHeight="1">
      <c r="A6155" s="4" t="s">
        <v>350</v>
      </c>
      <c r="B6155" s="8">
        <v>4.2000000000000003E-2</v>
      </c>
      <c r="C6155" s="6" t="s">
        <v>825</v>
      </c>
      <c r="D6155" s="37">
        <f>horm.ymez.!I8</f>
        <v>6949.2699999999995</v>
      </c>
      <c r="E6155" s="25">
        <f>ROUND(B6155*D6155,2)</f>
        <v>291.87</v>
      </c>
    </row>
    <row r="6156" spans="1:13" ht="12.75" customHeight="1">
      <c r="A6156" s="4" t="s">
        <v>183</v>
      </c>
      <c r="B6156" s="8">
        <v>1.2999999999999999E-2</v>
      </c>
      <c r="C6156" s="6" t="s">
        <v>211</v>
      </c>
      <c r="D6156" s="37">
        <f>D6114</f>
        <v>38</v>
      </c>
      <c r="E6156" s="25">
        <f>ROUND(B6156*D6156,2)</f>
        <v>0.49</v>
      </c>
    </row>
    <row r="6157" spans="1:13" ht="12.75" customHeight="1">
      <c r="A6157" s="4" t="s">
        <v>1168</v>
      </c>
      <c r="B6157" s="8">
        <v>1</v>
      </c>
      <c r="C6157" s="6" t="s">
        <v>213</v>
      </c>
      <c r="D6157" s="37">
        <f>Prec.!$D$475</f>
        <v>0</v>
      </c>
      <c r="E6157" s="25">
        <f>ROUND(B6157*D6157,2)</f>
        <v>0</v>
      </c>
    </row>
    <row r="6158" spans="1:13" ht="12.75" customHeight="1">
      <c r="A6158" s="4" t="s">
        <v>208</v>
      </c>
      <c r="B6158" s="7">
        <f>SUM(E6155:E6157)</f>
        <v>292.36</v>
      </c>
      <c r="C6158" s="6" t="s">
        <v>209</v>
      </c>
      <c r="D6158" s="37">
        <f>Prec.!C302</f>
        <v>1.4999999999999999E-2</v>
      </c>
      <c r="E6158" s="25">
        <f>ROUND(B6158*D6158,2)</f>
        <v>4.3899999999999997</v>
      </c>
      <c r="F6158" s="26">
        <f>SUM(E6155:E6158)</f>
        <v>296.75</v>
      </c>
    </row>
    <row r="6159" spans="1:13" ht="12.75" customHeight="1">
      <c r="B6159" s="7"/>
    </row>
    <row r="6160" spans="1:13" ht="12.75" customHeight="1">
      <c r="A6160" s="1" t="s">
        <v>888</v>
      </c>
      <c r="B6160" s="11"/>
      <c r="C6160" s="2"/>
      <c r="E6160" s="27" t="s">
        <v>151</v>
      </c>
      <c r="F6160" s="28" t="s">
        <v>213</v>
      </c>
    </row>
    <row r="6161" spans="1:6" ht="12.75" customHeight="1">
      <c r="A6161" s="4" t="s">
        <v>350</v>
      </c>
      <c r="B6161" s="8">
        <v>2.1000000000000001E-2</v>
      </c>
      <c r="C6161" s="6" t="s">
        <v>825</v>
      </c>
      <c r="D6161" s="37">
        <f>D6155</f>
        <v>6949.2699999999995</v>
      </c>
      <c r="E6161" s="25">
        <f>ROUND(B6161*D6161,2)</f>
        <v>145.93</v>
      </c>
    </row>
    <row r="6162" spans="1:6" ht="12.75" customHeight="1">
      <c r="A6162" s="4" t="s">
        <v>183</v>
      </c>
      <c r="B6162" s="8">
        <v>1.2999999999999999E-2</v>
      </c>
      <c r="C6162" s="6" t="s">
        <v>211</v>
      </c>
      <c r="D6162" s="37">
        <f>D6156</f>
        <v>38</v>
      </c>
      <c r="E6162" s="25">
        <f>ROUND(B6162*D6162,2)</f>
        <v>0.49</v>
      </c>
    </row>
    <row r="6163" spans="1:6" ht="12.75" customHeight="1">
      <c r="A6163" s="4" t="s">
        <v>1168</v>
      </c>
      <c r="B6163" s="8">
        <v>1</v>
      </c>
      <c r="C6163" s="6" t="s">
        <v>213</v>
      </c>
      <c r="D6163" s="37">
        <f>Prec.!$D$476</f>
        <v>0</v>
      </c>
      <c r="E6163" s="25">
        <f>ROUND(B6163*D6163,2)</f>
        <v>0</v>
      </c>
    </row>
    <row r="6164" spans="1:6" ht="12.75" customHeight="1">
      <c r="A6164" s="4" t="s">
        <v>208</v>
      </c>
      <c r="B6164" s="7">
        <f>SUM(E6161:E6163)</f>
        <v>146.42000000000002</v>
      </c>
      <c r="C6164" s="6" t="s">
        <v>209</v>
      </c>
      <c r="D6164" s="37">
        <f>D6158</f>
        <v>1.4999999999999999E-2</v>
      </c>
      <c r="E6164" s="25">
        <f>ROUND(B6164*D6164,2)</f>
        <v>2.2000000000000002</v>
      </c>
      <c r="F6164" s="26">
        <f>SUM(E6161:E6164)</f>
        <v>148.62</v>
      </c>
    </row>
    <row r="6165" spans="1:6" ht="12.75" customHeight="1">
      <c r="B6165" s="7"/>
    </row>
    <row r="6166" spans="1:6" ht="12.75" customHeight="1">
      <c r="A6166" s="1" t="s">
        <v>889</v>
      </c>
      <c r="B6166" s="11"/>
      <c r="C6166" s="2"/>
      <c r="E6166" s="27" t="s">
        <v>151</v>
      </c>
      <c r="F6166" s="28" t="s">
        <v>213</v>
      </c>
    </row>
    <row r="6167" spans="1:6" ht="12.75" customHeight="1">
      <c r="A6167" s="4" t="s">
        <v>350</v>
      </c>
      <c r="B6167" s="8">
        <v>5.2999999999999999E-2</v>
      </c>
      <c r="C6167" s="6" t="s">
        <v>825</v>
      </c>
      <c r="D6167" s="37">
        <f>D6161</f>
        <v>6949.2699999999995</v>
      </c>
      <c r="E6167" s="25">
        <f>ROUND(B6167*D6167,2)</f>
        <v>368.31</v>
      </c>
    </row>
    <row r="6168" spans="1:6" ht="12.75" customHeight="1">
      <c r="A6168" s="4" t="s">
        <v>183</v>
      </c>
      <c r="B6168" s="8">
        <v>0.13</v>
      </c>
      <c r="C6168" s="6" t="s">
        <v>211</v>
      </c>
      <c r="D6168" s="37">
        <f>D6162</f>
        <v>38</v>
      </c>
      <c r="E6168" s="25">
        <f>ROUND(B6168*D6168,2)</f>
        <v>4.9400000000000004</v>
      </c>
    </row>
    <row r="6169" spans="1:6" ht="12.75" customHeight="1">
      <c r="A6169" s="4" t="s">
        <v>1168</v>
      </c>
      <c r="B6169" s="8">
        <v>1</v>
      </c>
      <c r="C6169" s="6" t="s">
        <v>213</v>
      </c>
      <c r="D6169" s="37">
        <f>Prec.!$D$478</f>
        <v>0</v>
      </c>
      <c r="E6169" s="25">
        <f>ROUND(B6169*D6169,2)</f>
        <v>0</v>
      </c>
    </row>
    <row r="6170" spans="1:6" ht="12.75" customHeight="1">
      <c r="A6170" s="4" t="s">
        <v>208</v>
      </c>
      <c r="B6170" s="7">
        <f>SUM(E6167:E6169)</f>
        <v>373.25</v>
      </c>
      <c r="C6170" s="6" t="s">
        <v>209</v>
      </c>
      <c r="D6170" s="37">
        <f>D6164</f>
        <v>1.4999999999999999E-2</v>
      </c>
      <c r="E6170" s="25">
        <f>ROUND(B6170*D6170,2)</f>
        <v>5.6</v>
      </c>
      <c r="F6170" s="26">
        <f>SUM(E6167:E6170)</f>
        <v>378.85</v>
      </c>
    </row>
    <row r="6171" spans="1:6" ht="12.75" customHeight="1">
      <c r="B6171" s="7"/>
    </row>
    <row r="6172" spans="1:6" ht="12.75" customHeight="1">
      <c r="B6172" s="7"/>
    </row>
    <row r="6173" spans="1:6" ht="12.75" customHeight="1">
      <c r="B6173" s="7"/>
    </row>
    <row r="6174" spans="1:6" ht="12.75" customHeight="1">
      <c r="A6174" s="1" t="s">
        <v>737</v>
      </c>
      <c r="B6174" s="11"/>
      <c r="C6174" s="2"/>
      <c r="E6174" s="27" t="s">
        <v>151</v>
      </c>
      <c r="F6174" s="28" t="s">
        <v>213</v>
      </c>
    </row>
    <row r="6175" spans="1:6" ht="12.75" customHeight="1">
      <c r="A6175" s="4" t="s">
        <v>350</v>
      </c>
      <c r="B6175" s="8">
        <v>8.0000000000000002E-3</v>
      </c>
      <c r="C6175" s="6" t="s">
        <v>825</v>
      </c>
      <c r="D6175" s="37">
        <f>D6167</f>
        <v>6949.2699999999995</v>
      </c>
      <c r="E6175" s="25">
        <f>ROUND(B6175*D6175,2)</f>
        <v>55.59</v>
      </c>
    </row>
    <row r="6176" spans="1:6" ht="12.75" customHeight="1">
      <c r="A6176" s="4" t="s">
        <v>1168</v>
      </c>
      <c r="B6176" s="8">
        <v>1</v>
      </c>
      <c r="C6176" s="6" t="s">
        <v>1171</v>
      </c>
      <c r="D6176" s="37">
        <f>Prec.!D485</f>
        <v>0</v>
      </c>
      <c r="E6176" s="25">
        <f>ROUND(B6176*D6176,2)</f>
        <v>0</v>
      </c>
    </row>
    <row r="6177" spans="1:13" ht="12.75" customHeight="1">
      <c r="A6177" s="4" t="s">
        <v>208</v>
      </c>
      <c r="B6177" s="7">
        <f>SUM(E6175:E6176)</f>
        <v>55.59</v>
      </c>
      <c r="C6177" s="6" t="s">
        <v>209</v>
      </c>
      <c r="D6177" s="37">
        <f>D6170</f>
        <v>1.4999999999999999E-2</v>
      </c>
      <c r="E6177" s="25">
        <f>ROUND(B6177*D6177,2)</f>
        <v>0.83</v>
      </c>
      <c r="F6177" s="26">
        <f>SUM(E6175:E6177)</f>
        <v>56.42</v>
      </c>
    </row>
    <row r="6178" spans="1:13" ht="12.75" customHeight="1">
      <c r="B6178" s="7"/>
    </row>
    <row r="6179" spans="1:13" ht="12.75" customHeight="1">
      <c r="A6179" s="13" t="s">
        <v>351</v>
      </c>
      <c r="B6179" s="11"/>
      <c r="C6179" s="2"/>
      <c r="E6179" s="27" t="s">
        <v>151</v>
      </c>
      <c r="F6179" s="28" t="s">
        <v>213</v>
      </c>
    </row>
    <row r="6180" spans="1:13" ht="12.75" customHeight="1">
      <c r="A6180" s="4" t="s">
        <v>491</v>
      </c>
      <c r="B6180" s="8">
        <v>1</v>
      </c>
      <c r="C6180" s="6" t="s">
        <v>213</v>
      </c>
      <c r="D6180" s="37">
        <f>Prec.!$C$179</f>
        <v>344</v>
      </c>
      <c r="E6180" s="25">
        <f>ROUND(B6180*D6180,2)</f>
        <v>344</v>
      </c>
    </row>
    <row r="6181" spans="1:13" ht="12.75" customHeight="1">
      <c r="A6181" s="4" t="s">
        <v>350</v>
      </c>
      <c r="B6181" s="8">
        <v>6.0000000000000001E-3</v>
      </c>
      <c r="C6181" s="6" t="s">
        <v>825</v>
      </c>
      <c r="D6181" s="37">
        <f>D6175</f>
        <v>6949.2699999999995</v>
      </c>
      <c r="E6181" s="25">
        <f>ROUND(B6181*D6181,2)</f>
        <v>41.7</v>
      </c>
    </row>
    <row r="6182" spans="1:13" ht="12.75" customHeight="1">
      <c r="A6182" s="4" t="s">
        <v>1168</v>
      </c>
      <c r="B6182" s="8">
        <v>1</v>
      </c>
      <c r="C6182" s="6" t="s">
        <v>213</v>
      </c>
      <c r="D6182" s="37">
        <f>Prec.!$D$480</f>
        <v>227.94</v>
      </c>
      <c r="E6182" s="25">
        <f>ROUND(B6182*D6182,2)</f>
        <v>227.94</v>
      </c>
    </row>
    <row r="6183" spans="1:13" ht="12.75" customHeight="1">
      <c r="A6183" s="4" t="s">
        <v>585</v>
      </c>
      <c r="B6183" s="8">
        <v>1</v>
      </c>
      <c r="C6183" s="6" t="s">
        <v>213</v>
      </c>
      <c r="D6183" s="37">
        <f>Prec.!D554</f>
        <v>42.42</v>
      </c>
      <c r="E6183" s="25">
        <f>ROUND(B6183*D6183,2)</f>
        <v>42.42</v>
      </c>
    </row>
    <row r="6184" spans="1:13" ht="12.75" customHeight="1">
      <c r="A6184" s="4" t="s">
        <v>208</v>
      </c>
      <c r="B6184" s="7">
        <f>SUM(E6180:E6182)</f>
        <v>613.64</v>
      </c>
      <c r="C6184" s="6" t="s">
        <v>209</v>
      </c>
      <c r="D6184" s="37">
        <f>D6177</f>
        <v>1.4999999999999999E-2</v>
      </c>
      <c r="E6184" s="25">
        <f>ROUND(B6184*D6184,2)</f>
        <v>9.1999999999999993</v>
      </c>
      <c r="F6184" s="26">
        <f>SUM(E6180:E6184)</f>
        <v>665.26</v>
      </c>
    </row>
    <row r="6185" spans="1:13" ht="12.75" customHeight="1">
      <c r="B6185" s="7"/>
    </row>
    <row r="6186" spans="1:13" s="12" customFormat="1" ht="12.75" customHeight="1">
      <c r="A6186" s="13" t="s">
        <v>280</v>
      </c>
      <c r="B6186" s="42"/>
      <c r="C6186" s="29"/>
      <c r="D6186" s="35"/>
      <c r="E6186" s="43" t="s">
        <v>151</v>
      </c>
      <c r="F6186" s="44" t="s">
        <v>213</v>
      </c>
      <c r="G6186" s="20"/>
      <c r="H6186" s="22"/>
      <c r="I6186" s="20"/>
      <c r="J6186" s="20"/>
      <c r="K6186" s="20"/>
      <c r="L6186" s="22"/>
      <c r="M6186" s="20"/>
    </row>
    <row r="6187" spans="1:13" s="12" customFormat="1" ht="12.75" customHeight="1">
      <c r="A6187" s="12" t="s">
        <v>281</v>
      </c>
      <c r="B6187" s="30">
        <v>6.7000000000000004E-2</v>
      </c>
      <c r="C6187" s="24" t="s">
        <v>282</v>
      </c>
      <c r="D6187" s="35">
        <f>Prec.!$C$168</f>
        <v>5700</v>
      </c>
      <c r="E6187" s="31">
        <f>ROUND(B6187*D6187,2)</f>
        <v>381.9</v>
      </c>
      <c r="F6187" s="32"/>
      <c r="G6187" s="20"/>
      <c r="H6187" s="22"/>
      <c r="I6187" s="20"/>
      <c r="J6187" s="20"/>
      <c r="K6187" s="20"/>
      <c r="L6187" s="22"/>
      <c r="M6187" s="20"/>
    </row>
    <row r="6188" spans="1:13" s="12" customFormat="1" ht="12.75" customHeight="1">
      <c r="A6188" s="12" t="s">
        <v>963</v>
      </c>
      <c r="B6188" s="30">
        <v>6.7000000000000004E-2</v>
      </c>
      <c r="C6188" s="24" t="s">
        <v>282</v>
      </c>
      <c r="D6188" s="35">
        <f>Prec.!D669</f>
        <v>33.82</v>
      </c>
      <c r="E6188" s="31">
        <f>ROUND(B6188*D6188,2)</f>
        <v>2.27</v>
      </c>
      <c r="F6188" s="32"/>
      <c r="G6188" s="20"/>
      <c r="H6188" s="22"/>
      <c r="I6188" s="20"/>
      <c r="J6188" s="20"/>
      <c r="K6188" s="20"/>
      <c r="L6188" s="22"/>
      <c r="M6188" s="20"/>
    </row>
    <row r="6189" spans="1:13" s="12" customFormat="1" ht="24" customHeight="1">
      <c r="A6189" s="122" t="s">
        <v>1589</v>
      </c>
      <c r="B6189" s="30">
        <v>1</v>
      </c>
      <c r="C6189" s="24" t="s">
        <v>213</v>
      </c>
      <c r="D6189" s="35">
        <f>Prec.!D482</f>
        <v>27.91</v>
      </c>
      <c r="E6189" s="31">
        <f>ROUND(B6189*D6189,2)</f>
        <v>27.91</v>
      </c>
      <c r="F6189" s="32"/>
      <c r="G6189" s="20"/>
      <c r="H6189" s="22"/>
      <c r="I6189" s="20"/>
      <c r="J6189" s="20"/>
      <c r="K6189" s="20"/>
      <c r="L6189" s="22"/>
      <c r="M6189" s="20"/>
    </row>
    <row r="6190" spans="1:13" s="12" customFormat="1" ht="12.75" customHeight="1">
      <c r="A6190" s="12" t="s">
        <v>647</v>
      </c>
      <c r="B6190" s="30">
        <v>1</v>
      </c>
      <c r="C6190" s="24" t="s">
        <v>213</v>
      </c>
      <c r="D6190" s="35">
        <f>Prec.!D483</f>
        <v>16.41</v>
      </c>
      <c r="E6190" s="31">
        <f>ROUND(B6190*D6190,2)</f>
        <v>16.41</v>
      </c>
      <c r="F6190" s="32"/>
      <c r="G6190" s="20"/>
      <c r="H6190" s="22"/>
      <c r="I6190" s="20"/>
      <c r="J6190" s="20"/>
      <c r="K6190" s="20"/>
      <c r="L6190" s="22"/>
      <c r="M6190" s="20"/>
    </row>
    <row r="6191" spans="1:13" ht="12.75" customHeight="1">
      <c r="A6191" s="4" t="s">
        <v>208</v>
      </c>
      <c r="B6191" s="7">
        <f>SUM(E6187:E6190)</f>
        <v>428.49</v>
      </c>
      <c r="C6191" s="6" t="s">
        <v>209</v>
      </c>
      <c r="D6191" s="37">
        <f>D6184</f>
        <v>1.4999999999999999E-2</v>
      </c>
      <c r="E6191" s="25">
        <f>ROUND(B6191*D6191,2)</f>
        <v>6.43</v>
      </c>
      <c r="F6191" s="26">
        <f>SUM(E6187:E6191)</f>
        <v>434.92</v>
      </c>
    </row>
    <row r="6192" spans="1:13" s="166" customFormat="1" ht="12.75" customHeight="1">
      <c r="B6192" s="7"/>
      <c r="C6192" s="165"/>
      <c r="D6192" s="37"/>
      <c r="E6192" s="25"/>
      <c r="F6192" s="26"/>
      <c r="G6192" s="15"/>
      <c r="H6192" s="21"/>
      <c r="I6192" s="15"/>
      <c r="J6192" s="15"/>
      <c r="K6192" s="15"/>
      <c r="L6192" s="21"/>
      <c r="M6192" s="15"/>
    </row>
    <row r="6193" spans="1:13" ht="12.75" customHeight="1">
      <c r="A6193" s="40" t="s">
        <v>232</v>
      </c>
      <c r="B6193" s="7"/>
    </row>
    <row r="6194" spans="1:13" ht="12.75" customHeight="1">
      <c r="B6194" s="7"/>
    </row>
    <row r="6195" spans="1:13" ht="12.75" customHeight="1">
      <c r="A6195" s="23" t="s">
        <v>321</v>
      </c>
      <c r="B6195" s="7"/>
    </row>
    <row r="6196" spans="1:13" ht="12.75" customHeight="1">
      <c r="A6196" s="2"/>
      <c r="B6196" s="7"/>
    </row>
    <row r="6197" spans="1:13" ht="12.75" customHeight="1">
      <c r="A6197" s="1" t="s">
        <v>1297</v>
      </c>
      <c r="B6197" s="11"/>
      <c r="C6197" s="2"/>
      <c r="E6197" s="27" t="s">
        <v>151</v>
      </c>
      <c r="F6197" s="28" t="s">
        <v>213</v>
      </c>
    </row>
    <row r="6198" spans="1:13" ht="12.75" customHeight="1">
      <c r="A6198" s="4" t="s">
        <v>863</v>
      </c>
      <c r="B6198" s="8">
        <v>1.05</v>
      </c>
      <c r="C6198" s="6" t="s">
        <v>213</v>
      </c>
      <c r="D6198" s="37">
        <f>Prec.!C121</f>
        <v>290</v>
      </c>
      <c r="E6198" s="25">
        <f t="shared" ref="E6198:E6204" si="468">ROUND(B6198*D6198,2)</f>
        <v>304.5</v>
      </c>
    </row>
    <row r="6199" spans="1:13" ht="12.75" customHeight="1">
      <c r="A6199" s="4" t="s">
        <v>673</v>
      </c>
      <c r="B6199" s="8">
        <v>7.0000000000000007E-2</v>
      </c>
      <c r="C6199" s="6" t="s">
        <v>1172</v>
      </c>
      <c r="D6199" s="37">
        <f>Prec.!$C$8</f>
        <v>250</v>
      </c>
      <c r="E6199" s="25">
        <f t="shared" si="468"/>
        <v>17.5</v>
      </c>
    </row>
    <row r="6200" spans="1:13" ht="12.75" customHeight="1">
      <c r="A6200" s="4" t="s">
        <v>1119</v>
      </c>
      <c r="B6200" s="8">
        <v>2.1999999999999999E-2</v>
      </c>
      <c r="C6200" s="6" t="s">
        <v>825</v>
      </c>
      <c r="D6200" s="37">
        <f>horm.ymez.!C12</f>
        <v>7269.64</v>
      </c>
      <c r="E6200" s="25">
        <f t="shared" si="468"/>
        <v>159.93</v>
      </c>
    </row>
    <row r="6201" spans="1:13" ht="12.75" customHeight="1">
      <c r="A6201" s="4" t="s">
        <v>1173</v>
      </c>
      <c r="B6201" s="8">
        <v>0.05</v>
      </c>
      <c r="C6201" s="6" t="s">
        <v>1018</v>
      </c>
      <c r="D6201" s="37">
        <f>Prec.!$C$82</f>
        <v>75</v>
      </c>
      <c r="E6201" s="25">
        <f t="shared" si="468"/>
        <v>3.75</v>
      </c>
    </row>
    <row r="6202" spans="1:13" ht="12.75" customHeight="1">
      <c r="A6202" s="4" t="s">
        <v>623</v>
      </c>
      <c r="B6202" s="8">
        <v>3.5</v>
      </c>
      <c r="C6202" s="6" t="s">
        <v>1017</v>
      </c>
      <c r="D6202" s="37">
        <f>Prec.!D488</f>
        <v>5.97</v>
      </c>
      <c r="E6202" s="25">
        <f t="shared" si="468"/>
        <v>20.9</v>
      </c>
    </row>
    <row r="6203" spans="1:13" ht="12.75" customHeight="1">
      <c r="A6203" s="4" t="s">
        <v>674</v>
      </c>
      <c r="B6203" s="8">
        <v>1</v>
      </c>
      <c r="C6203" s="6" t="s">
        <v>213</v>
      </c>
      <c r="D6203" s="37">
        <f>Prec.!$D$519</f>
        <v>389.35</v>
      </c>
      <c r="E6203" s="25">
        <f t="shared" si="468"/>
        <v>389.35</v>
      </c>
    </row>
    <row r="6204" spans="1:13" ht="12.75" customHeight="1">
      <c r="A6204" s="4" t="s">
        <v>208</v>
      </c>
      <c r="B6204" s="7">
        <f>SUM(E6198:E6203)</f>
        <v>895.93000000000006</v>
      </c>
      <c r="C6204" s="6" t="s">
        <v>209</v>
      </c>
      <c r="D6204" s="37">
        <f>Prec.!C302</f>
        <v>1.4999999999999999E-2</v>
      </c>
      <c r="E6204" s="25">
        <f t="shared" si="468"/>
        <v>13.44</v>
      </c>
      <c r="F6204" s="26">
        <f>SUM(E6198:E6204)</f>
        <v>909.37000000000012</v>
      </c>
    </row>
    <row r="6205" spans="1:13" ht="12.75" customHeight="1">
      <c r="B6205" s="7"/>
    </row>
    <row r="6206" spans="1:13" s="12" customFormat="1" ht="12.75" customHeight="1">
      <c r="A6206" s="698" t="s">
        <v>4394</v>
      </c>
      <c r="B6206" s="706"/>
      <c r="C6206" s="707"/>
      <c r="D6206" s="708"/>
      <c r="E6206" s="709" t="s">
        <v>151</v>
      </c>
      <c r="F6206" s="710" t="s">
        <v>213</v>
      </c>
      <c r="G6206" s="20"/>
      <c r="H6206" s="22"/>
      <c r="I6206" s="20"/>
      <c r="J6206" s="20"/>
      <c r="K6206" s="20"/>
      <c r="L6206" s="22"/>
      <c r="M6206" s="20"/>
    </row>
    <row r="6207" spans="1:13" s="12" customFormat="1" ht="12.75" customHeight="1">
      <c r="A6207" s="704" t="s">
        <v>863</v>
      </c>
      <c r="B6207" s="705">
        <v>1.05</v>
      </c>
      <c r="C6207" s="700" t="s">
        <v>213</v>
      </c>
      <c r="D6207" s="708">
        <v>600</v>
      </c>
      <c r="E6207" s="702">
        <f t="shared" ref="E6207:E6213" si="469">ROUND(B6207*D6207,2)</f>
        <v>630</v>
      </c>
      <c r="F6207" s="703"/>
      <c r="G6207" s="20"/>
      <c r="H6207" s="22"/>
      <c r="I6207" s="20"/>
      <c r="J6207" s="20"/>
      <c r="K6207" s="20"/>
      <c r="L6207" s="22"/>
      <c r="M6207" s="20"/>
    </row>
    <row r="6208" spans="1:13" s="12" customFormat="1" ht="12.75" customHeight="1">
      <c r="A6208" s="704" t="s">
        <v>673</v>
      </c>
      <c r="B6208" s="705">
        <v>7.0000000000000007E-2</v>
      </c>
      <c r="C6208" s="700" t="s">
        <v>1172</v>
      </c>
      <c r="D6208" s="708">
        <f>Prec.!$C$8</f>
        <v>250</v>
      </c>
      <c r="E6208" s="702">
        <f t="shared" si="469"/>
        <v>17.5</v>
      </c>
      <c r="F6208" s="703"/>
      <c r="G6208" s="20"/>
      <c r="H6208" s="22"/>
      <c r="I6208" s="20"/>
      <c r="J6208" s="20"/>
      <c r="K6208" s="20"/>
      <c r="L6208" s="22"/>
      <c r="M6208" s="20"/>
    </row>
    <row r="6209" spans="1:13" s="12" customFormat="1" ht="12.75" customHeight="1">
      <c r="A6209" s="704" t="s">
        <v>1119</v>
      </c>
      <c r="B6209" s="705">
        <v>2.1999999999999999E-2</v>
      </c>
      <c r="C6209" s="700" t="s">
        <v>825</v>
      </c>
      <c r="D6209" s="708">
        <f>D6200</f>
        <v>7269.64</v>
      </c>
      <c r="E6209" s="702">
        <f t="shared" si="469"/>
        <v>159.93</v>
      </c>
      <c r="F6209" s="703"/>
      <c r="G6209" s="20"/>
      <c r="H6209" s="22"/>
      <c r="I6209" s="20"/>
      <c r="J6209" s="20"/>
      <c r="K6209" s="20"/>
      <c r="L6209" s="22"/>
      <c r="M6209" s="20"/>
    </row>
    <row r="6210" spans="1:13" s="12" customFormat="1" ht="12.75" customHeight="1">
      <c r="A6210" s="704" t="s">
        <v>1173</v>
      </c>
      <c r="B6210" s="705">
        <v>0.05</v>
      </c>
      <c r="C6210" s="700" t="s">
        <v>1018</v>
      </c>
      <c r="D6210" s="708">
        <f>D6201</f>
        <v>75</v>
      </c>
      <c r="E6210" s="702">
        <f t="shared" si="469"/>
        <v>3.75</v>
      </c>
      <c r="F6210" s="703"/>
      <c r="G6210" s="20"/>
      <c r="H6210" s="22"/>
      <c r="I6210" s="20"/>
      <c r="J6210" s="20"/>
      <c r="K6210" s="20"/>
      <c r="L6210" s="22"/>
      <c r="M6210" s="20"/>
    </row>
    <row r="6211" spans="1:13" s="12" customFormat="1" ht="12.75" customHeight="1">
      <c r="A6211" s="704" t="s">
        <v>623</v>
      </c>
      <c r="B6211" s="705">
        <v>3.5</v>
      </c>
      <c r="C6211" s="700" t="s">
        <v>1017</v>
      </c>
      <c r="D6211" s="708">
        <f>D6202</f>
        <v>5.97</v>
      </c>
      <c r="E6211" s="702">
        <f t="shared" si="469"/>
        <v>20.9</v>
      </c>
      <c r="F6211" s="703"/>
      <c r="G6211" s="20"/>
      <c r="H6211" s="22"/>
      <c r="I6211" s="20"/>
      <c r="J6211" s="20"/>
      <c r="K6211" s="20"/>
      <c r="L6211" s="22"/>
      <c r="M6211" s="20"/>
    </row>
    <row r="6212" spans="1:13" s="12" customFormat="1" ht="12.75" customHeight="1">
      <c r="A6212" s="704" t="s">
        <v>674</v>
      </c>
      <c r="B6212" s="705">
        <v>1</v>
      </c>
      <c r="C6212" s="700" t="s">
        <v>213</v>
      </c>
      <c r="D6212" s="708">
        <f>Prec.!D520</f>
        <v>445.02</v>
      </c>
      <c r="E6212" s="702">
        <f t="shared" si="469"/>
        <v>445.02</v>
      </c>
      <c r="F6212" s="703"/>
      <c r="G6212" s="20"/>
      <c r="H6212" s="22"/>
      <c r="I6212" s="20"/>
      <c r="J6212" s="20"/>
      <c r="K6212" s="20"/>
      <c r="L6212" s="22"/>
      <c r="M6212" s="20"/>
    </row>
    <row r="6213" spans="1:13" s="12" customFormat="1" ht="12.75" customHeight="1">
      <c r="A6213" s="704" t="s">
        <v>208</v>
      </c>
      <c r="B6213" s="711">
        <f>SUM(E6207:E6210)</f>
        <v>811.18000000000006</v>
      </c>
      <c r="C6213" s="700" t="s">
        <v>209</v>
      </c>
      <c r="D6213" s="708">
        <v>0.02</v>
      </c>
      <c r="E6213" s="702">
        <f t="shared" si="469"/>
        <v>16.22</v>
      </c>
      <c r="F6213" s="703">
        <f>SUM(E6207:E6213)</f>
        <v>1293.32</v>
      </c>
      <c r="G6213" s="20"/>
      <c r="H6213" s="22"/>
      <c r="I6213" s="20"/>
      <c r="J6213" s="20"/>
      <c r="K6213" s="20"/>
      <c r="L6213" s="22"/>
      <c r="M6213" s="20"/>
    </row>
    <row r="6214" spans="1:13" s="12" customFormat="1" ht="12.75" customHeight="1">
      <c r="B6214" s="14"/>
      <c r="C6214" s="24"/>
      <c r="D6214" s="35"/>
      <c r="E6214" s="31"/>
      <c r="F6214" s="32"/>
      <c r="G6214" s="20"/>
      <c r="H6214" s="22"/>
      <c r="I6214" s="20"/>
      <c r="J6214" s="20"/>
      <c r="K6214" s="20"/>
      <c r="L6214" s="22"/>
      <c r="M6214" s="20"/>
    </row>
    <row r="6215" spans="1:13" ht="12.75" customHeight="1">
      <c r="A6215" s="1" t="s">
        <v>1298</v>
      </c>
      <c r="B6215" s="11"/>
      <c r="C6215" s="2"/>
      <c r="E6215" s="27" t="s">
        <v>151</v>
      </c>
      <c r="F6215" s="28" t="s">
        <v>213</v>
      </c>
    </row>
    <row r="6216" spans="1:13" ht="12.75" customHeight="1">
      <c r="A6216" s="4" t="s">
        <v>864</v>
      </c>
      <c r="B6216" s="8">
        <v>1.05</v>
      </c>
      <c r="C6216" s="6" t="s">
        <v>213</v>
      </c>
      <c r="D6216" s="37">
        <f>Prec.!$C$122</f>
        <v>350</v>
      </c>
      <c r="E6216" s="25">
        <f t="shared" ref="E6216:E6222" si="470">ROUND(B6216*D6216,2)</f>
        <v>367.5</v>
      </c>
    </row>
    <row r="6217" spans="1:13" ht="12.75" customHeight="1">
      <c r="A6217" s="4" t="s">
        <v>673</v>
      </c>
      <c r="B6217" s="8">
        <v>7.0000000000000007E-2</v>
      </c>
      <c r="C6217" s="6" t="s">
        <v>1172</v>
      </c>
      <c r="D6217" s="37">
        <f>Prec.!$C$8</f>
        <v>250</v>
      </c>
      <c r="E6217" s="25">
        <f t="shared" si="470"/>
        <v>17.5</v>
      </c>
    </row>
    <row r="6218" spans="1:13" ht="12.75" customHeight="1">
      <c r="A6218" s="4" t="s">
        <v>1119</v>
      </c>
      <c r="B6218" s="8">
        <v>2.1999999999999999E-2</v>
      </c>
      <c r="C6218" s="6" t="s">
        <v>825</v>
      </c>
      <c r="D6218" s="37">
        <f>horm.ymez.!C12</f>
        <v>7269.64</v>
      </c>
      <c r="E6218" s="25">
        <f t="shared" si="470"/>
        <v>159.93</v>
      </c>
    </row>
    <row r="6219" spans="1:13" ht="12.75" customHeight="1">
      <c r="A6219" s="4" t="s">
        <v>1173</v>
      </c>
      <c r="B6219" s="8">
        <v>0.05</v>
      </c>
      <c r="C6219" s="6" t="s">
        <v>1018</v>
      </c>
      <c r="D6219" s="37">
        <f>Prec.!$C$82</f>
        <v>75</v>
      </c>
      <c r="E6219" s="25">
        <f t="shared" si="470"/>
        <v>3.75</v>
      </c>
    </row>
    <row r="6220" spans="1:13" ht="12.75" customHeight="1">
      <c r="A6220" s="4" t="s">
        <v>623</v>
      </c>
      <c r="B6220" s="8">
        <v>3.5</v>
      </c>
      <c r="C6220" s="6" t="s">
        <v>1017</v>
      </c>
      <c r="D6220" s="37">
        <f>D6202</f>
        <v>5.97</v>
      </c>
      <c r="E6220" s="25">
        <f t="shared" si="470"/>
        <v>20.9</v>
      </c>
    </row>
    <row r="6221" spans="1:13" ht="12.75" customHeight="1">
      <c r="A6221" s="4" t="s">
        <v>674</v>
      </c>
      <c r="B6221" s="8">
        <v>1</v>
      </c>
      <c r="C6221" s="6" t="s">
        <v>213</v>
      </c>
      <c r="D6221" s="37">
        <f>Prec.!$D$517</f>
        <v>0</v>
      </c>
      <c r="E6221" s="25">
        <f t="shared" si="470"/>
        <v>0</v>
      </c>
    </row>
    <row r="6222" spans="1:13" ht="12.75" customHeight="1">
      <c r="A6222" s="4" t="s">
        <v>208</v>
      </c>
      <c r="B6222" s="7">
        <f>SUM(E6216:E6221)</f>
        <v>569.58000000000004</v>
      </c>
      <c r="C6222" s="6" t="s">
        <v>209</v>
      </c>
      <c r="D6222" s="37">
        <f>Prec.!C302</f>
        <v>1.4999999999999999E-2</v>
      </c>
      <c r="E6222" s="25">
        <f t="shared" si="470"/>
        <v>8.5399999999999991</v>
      </c>
      <c r="F6222" s="26">
        <f>SUM(E6216:E6222)</f>
        <v>578.12</v>
      </c>
    </row>
    <row r="6223" spans="1:13" ht="12.75" customHeight="1">
      <c r="A6223" s="1" t="s">
        <v>1299</v>
      </c>
      <c r="B6223" s="11"/>
      <c r="C6223" s="2"/>
      <c r="E6223" s="27" t="s">
        <v>151</v>
      </c>
      <c r="F6223" s="28" t="s">
        <v>213</v>
      </c>
    </row>
    <row r="6224" spans="1:13" ht="12.75" customHeight="1">
      <c r="A6224" s="4" t="s">
        <v>862</v>
      </c>
      <c r="B6224" s="8">
        <v>1.05</v>
      </c>
      <c r="C6224" s="6" t="s">
        <v>213</v>
      </c>
      <c r="D6224" s="37">
        <f>Prec.!$C$123</f>
        <v>250</v>
      </c>
      <c r="E6224" s="25">
        <f t="shared" ref="E6224:E6230" si="471">ROUND(B6224*D6224,2)</f>
        <v>262.5</v>
      </c>
    </row>
    <row r="6225" spans="1:6" ht="12.75" customHeight="1">
      <c r="A6225" s="4" t="s">
        <v>673</v>
      </c>
      <c r="B6225" s="8">
        <v>7.0000000000000007E-2</v>
      </c>
      <c r="C6225" s="6" t="s">
        <v>1172</v>
      </c>
      <c r="D6225" s="37">
        <f>Prec.!$C$8</f>
        <v>250</v>
      </c>
      <c r="E6225" s="25">
        <f t="shared" si="471"/>
        <v>17.5</v>
      </c>
    </row>
    <row r="6226" spans="1:6" ht="12.75" customHeight="1">
      <c r="A6226" s="4" t="s">
        <v>1119</v>
      </c>
      <c r="B6226" s="8">
        <v>2.1999999999999999E-2</v>
      </c>
      <c r="C6226" s="6" t="s">
        <v>825</v>
      </c>
      <c r="D6226" s="37">
        <f>horm.ymez.!C12</f>
        <v>7269.64</v>
      </c>
      <c r="E6226" s="25">
        <f t="shared" si="471"/>
        <v>159.93</v>
      </c>
    </row>
    <row r="6227" spans="1:6" ht="12.75" customHeight="1">
      <c r="A6227" s="4" t="s">
        <v>1173</v>
      </c>
      <c r="B6227" s="8">
        <v>0.05</v>
      </c>
      <c r="C6227" s="6" t="s">
        <v>1018</v>
      </c>
      <c r="D6227" s="37">
        <f>Prec.!$C$82</f>
        <v>75</v>
      </c>
      <c r="E6227" s="25">
        <f t="shared" si="471"/>
        <v>3.75</v>
      </c>
    </row>
    <row r="6228" spans="1:6" ht="12.75" customHeight="1">
      <c r="A6228" s="4" t="s">
        <v>623</v>
      </c>
      <c r="B6228" s="8">
        <v>3.5</v>
      </c>
      <c r="C6228" s="6" t="s">
        <v>1017</v>
      </c>
      <c r="D6228" s="37">
        <f>D6220</f>
        <v>5.97</v>
      </c>
      <c r="E6228" s="25">
        <f t="shared" si="471"/>
        <v>20.9</v>
      </c>
    </row>
    <row r="6229" spans="1:6" ht="12.75" customHeight="1">
      <c r="A6229" s="4" t="s">
        <v>674</v>
      </c>
      <c r="B6229" s="8">
        <v>1</v>
      </c>
      <c r="C6229" s="6" t="s">
        <v>213</v>
      </c>
      <c r="D6229" s="37">
        <f>Prec.!$D$517</f>
        <v>0</v>
      </c>
      <c r="E6229" s="25">
        <f t="shared" si="471"/>
        <v>0</v>
      </c>
    </row>
    <row r="6230" spans="1:6" ht="12.75" customHeight="1">
      <c r="A6230" s="4" t="s">
        <v>208</v>
      </c>
      <c r="B6230" s="7">
        <f>SUM(E6224:E6229)</f>
        <v>464.58</v>
      </c>
      <c r="C6230" s="6" t="s">
        <v>209</v>
      </c>
      <c r="D6230" s="37">
        <f>Prec.!C302</f>
        <v>1.4999999999999999E-2</v>
      </c>
      <c r="E6230" s="25">
        <f t="shared" si="471"/>
        <v>6.97</v>
      </c>
      <c r="F6230" s="26">
        <f>SUM(E6224:E6230)</f>
        <v>471.55</v>
      </c>
    </row>
    <row r="6231" spans="1:6" ht="12.75" customHeight="1">
      <c r="B6231" s="7"/>
    </row>
    <row r="6232" spans="1:6" ht="12.75" customHeight="1">
      <c r="A6232" s="1" t="s">
        <v>1300</v>
      </c>
      <c r="B6232" s="11"/>
      <c r="C6232" s="2"/>
      <c r="E6232" s="27" t="s">
        <v>151</v>
      </c>
      <c r="F6232" s="28" t="s">
        <v>213</v>
      </c>
    </row>
    <row r="6233" spans="1:6" ht="12.75" customHeight="1">
      <c r="A6233" s="4" t="s">
        <v>862</v>
      </c>
      <c r="B6233" s="8">
        <v>1.05</v>
      </c>
      <c r="C6233" s="6" t="s">
        <v>213</v>
      </c>
      <c r="D6233" s="37">
        <f>Prec.!C124</f>
        <v>261</v>
      </c>
      <c r="E6233" s="25">
        <f t="shared" ref="E6233:E6239" si="472">ROUND(B6233*D6233,2)</f>
        <v>274.05</v>
      </c>
    </row>
    <row r="6234" spans="1:6" ht="12.75" customHeight="1">
      <c r="A6234" s="4" t="s">
        <v>673</v>
      </c>
      <c r="B6234" s="8">
        <v>7.0000000000000007E-2</v>
      </c>
      <c r="C6234" s="6" t="s">
        <v>1172</v>
      </c>
      <c r="D6234" s="37">
        <f>Prec.!$C$8</f>
        <v>250</v>
      </c>
      <c r="E6234" s="25">
        <f t="shared" si="472"/>
        <v>17.5</v>
      </c>
    </row>
    <row r="6235" spans="1:6" ht="12.75" customHeight="1">
      <c r="A6235" s="4" t="s">
        <v>1119</v>
      </c>
      <c r="B6235" s="8">
        <v>2.1999999999999999E-2</v>
      </c>
      <c r="C6235" s="6" t="s">
        <v>825</v>
      </c>
      <c r="D6235" s="37">
        <f>horm.ymez.!C12</f>
        <v>7269.64</v>
      </c>
      <c r="E6235" s="25">
        <f t="shared" si="472"/>
        <v>159.93</v>
      </c>
    </row>
    <row r="6236" spans="1:6" ht="12.75" customHeight="1">
      <c r="A6236" s="4" t="s">
        <v>1173</v>
      </c>
      <c r="B6236" s="8">
        <v>0.05</v>
      </c>
      <c r="C6236" s="6" t="s">
        <v>1018</v>
      </c>
      <c r="D6236" s="37">
        <f>Prec.!$C$82</f>
        <v>75</v>
      </c>
      <c r="E6236" s="25">
        <f t="shared" si="472"/>
        <v>3.75</v>
      </c>
    </row>
    <row r="6237" spans="1:6" ht="12.75" customHeight="1">
      <c r="A6237" s="4" t="s">
        <v>623</v>
      </c>
      <c r="B6237" s="8">
        <v>3.5</v>
      </c>
      <c r="C6237" s="6" t="s">
        <v>1017</v>
      </c>
      <c r="D6237" s="37">
        <f>D6228</f>
        <v>5.97</v>
      </c>
      <c r="E6237" s="25">
        <f t="shared" si="472"/>
        <v>20.9</v>
      </c>
    </row>
    <row r="6238" spans="1:6" ht="12.75" customHeight="1">
      <c r="A6238" s="4" t="s">
        <v>674</v>
      </c>
      <c r="B6238" s="8">
        <v>1</v>
      </c>
      <c r="C6238" s="6" t="s">
        <v>213</v>
      </c>
      <c r="D6238" s="37">
        <f>Prec.!$D$517</f>
        <v>0</v>
      </c>
      <c r="E6238" s="25">
        <f t="shared" si="472"/>
        <v>0</v>
      </c>
    </row>
    <row r="6239" spans="1:6" ht="12.75" customHeight="1">
      <c r="A6239" s="4" t="s">
        <v>208</v>
      </c>
      <c r="B6239" s="7">
        <f>SUM(E6233:E6238)</f>
        <v>476.13</v>
      </c>
      <c r="C6239" s="6" t="s">
        <v>209</v>
      </c>
      <c r="D6239" s="37">
        <f>Prec.!C302</f>
        <v>1.4999999999999999E-2</v>
      </c>
      <c r="E6239" s="25">
        <f t="shared" si="472"/>
        <v>7.14</v>
      </c>
      <c r="F6239" s="26">
        <f>SUM(E6233:E6239)</f>
        <v>483.27</v>
      </c>
    </row>
    <row r="6240" spans="1:6" ht="12.75" customHeight="1">
      <c r="B6240" s="7"/>
    </row>
    <row r="6241" spans="1:6" ht="12.75" customHeight="1">
      <c r="A6241" s="13" t="s">
        <v>1301</v>
      </c>
      <c r="B6241" s="11"/>
      <c r="C6241" s="2"/>
      <c r="E6241" s="27" t="s">
        <v>151</v>
      </c>
      <c r="F6241" s="28" t="s">
        <v>213</v>
      </c>
    </row>
    <row r="6242" spans="1:6" ht="12.75" customHeight="1">
      <c r="A6242" s="4" t="s">
        <v>103</v>
      </c>
      <c r="B6242" s="8">
        <v>1.05</v>
      </c>
      <c r="C6242" s="6" t="s">
        <v>213</v>
      </c>
      <c r="D6242" s="37">
        <f>Prec.!C125</f>
        <v>238.96</v>
      </c>
      <c r="E6242" s="25">
        <f t="shared" ref="E6242:E6248" si="473">ROUND(B6242*D6242,2)</f>
        <v>250.91</v>
      </c>
    </row>
    <row r="6243" spans="1:6" ht="12.75" customHeight="1">
      <c r="A6243" s="4" t="s">
        <v>673</v>
      </c>
      <c r="B6243" s="8">
        <v>7.0000000000000007E-2</v>
      </c>
      <c r="C6243" s="6" t="s">
        <v>1172</v>
      </c>
      <c r="D6243" s="37">
        <f>Prec.!$C$8</f>
        <v>250</v>
      </c>
      <c r="E6243" s="25">
        <f t="shared" si="473"/>
        <v>17.5</v>
      </c>
    </row>
    <row r="6244" spans="1:6" ht="12.75" customHeight="1">
      <c r="A6244" s="4" t="s">
        <v>1119</v>
      </c>
      <c r="B6244" s="8">
        <v>2.1999999999999999E-2</v>
      </c>
      <c r="C6244" s="6" t="s">
        <v>825</v>
      </c>
      <c r="D6244" s="37">
        <f>horm.ymez.!C12</f>
        <v>7269.64</v>
      </c>
      <c r="E6244" s="25">
        <f t="shared" si="473"/>
        <v>159.93</v>
      </c>
    </row>
    <row r="6245" spans="1:6" ht="12.75" customHeight="1">
      <c r="A6245" s="4" t="s">
        <v>1173</v>
      </c>
      <c r="B6245" s="8">
        <v>0.05</v>
      </c>
      <c r="C6245" s="6" t="s">
        <v>1018</v>
      </c>
      <c r="D6245" s="37">
        <f>Prec.!$C$82</f>
        <v>75</v>
      </c>
      <c r="E6245" s="25">
        <f t="shared" si="473"/>
        <v>3.75</v>
      </c>
    </row>
    <row r="6246" spans="1:6" ht="12.75" customHeight="1">
      <c r="A6246" s="4" t="s">
        <v>623</v>
      </c>
      <c r="B6246" s="8">
        <v>3.5</v>
      </c>
      <c r="C6246" s="6" t="s">
        <v>1017</v>
      </c>
      <c r="D6246" s="37">
        <f>D6237</f>
        <v>5.97</v>
      </c>
      <c r="E6246" s="25">
        <f t="shared" si="473"/>
        <v>20.9</v>
      </c>
    </row>
    <row r="6247" spans="1:6" ht="12.75" customHeight="1">
      <c r="A6247" s="4" t="s">
        <v>674</v>
      </c>
      <c r="B6247" s="8">
        <v>1</v>
      </c>
      <c r="C6247" s="6" t="s">
        <v>213</v>
      </c>
      <c r="D6247" s="37">
        <f>Prec.!$D$517</f>
        <v>0</v>
      </c>
      <c r="E6247" s="25">
        <f t="shared" si="473"/>
        <v>0</v>
      </c>
    </row>
    <row r="6248" spans="1:6" ht="12.75" customHeight="1">
      <c r="A6248" s="4" t="s">
        <v>208</v>
      </c>
      <c r="B6248" s="7">
        <f>SUM(E6242:E6247)</f>
        <v>452.98999999999995</v>
      </c>
      <c r="C6248" s="6" t="s">
        <v>209</v>
      </c>
      <c r="D6248" s="37">
        <f>Prec.!C302</f>
        <v>1.4999999999999999E-2</v>
      </c>
      <c r="E6248" s="25">
        <f t="shared" si="473"/>
        <v>6.79</v>
      </c>
      <c r="F6248" s="26">
        <f>SUM(E6242:E6248)</f>
        <v>459.78</v>
      </c>
    </row>
    <row r="6249" spans="1:6" ht="12.75" customHeight="1">
      <c r="B6249" s="7"/>
    </row>
    <row r="6250" spans="1:6" ht="12.75" customHeight="1">
      <c r="A6250" s="13" t="s">
        <v>221</v>
      </c>
      <c r="B6250" s="11"/>
      <c r="C6250" s="2"/>
      <c r="E6250" s="27" t="s">
        <v>151</v>
      </c>
      <c r="F6250" s="28" t="s">
        <v>213</v>
      </c>
    </row>
    <row r="6251" spans="1:6" ht="12.75" customHeight="1">
      <c r="A6251" s="4" t="s">
        <v>190</v>
      </c>
      <c r="B6251" s="8">
        <v>50</v>
      </c>
      <c r="C6251" s="6" t="s">
        <v>1017</v>
      </c>
      <c r="D6251" s="37">
        <f>Prec.!$C$131</f>
        <v>10.82</v>
      </c>
      <c r="E6251" s="25">
        <f t="shared" ref="E6251:E6257" si="474">ROUND(B6251*D6251,2)</f>
        <v>541</v>
      </c>
    </row>
    <row r="6252" spans="1:6" ht="12.75" customHeight="1">
      <c r="A6252" s="4" t="s">
        <v>191</v>
      </c>
      <c r="B6252" s="8">
        <v>5.0000000000000001E-3</v>
      </c>
      <c r="C6252" s="6" t="s">
        <v>1228</v>
      </c>
      <c r="D6252" s="37">
        <f>Prec.!$C$28</f>
        <v>200</v>
      </c>
      <c r="E6252" s="25">
        <f t="shared" si="474"/>
        <v>1</v>
      </c>
    </row>
    <row r="6253" spans="1:6" ht="12.75" customHeight="1">
      <c r="A6253" s="4" t="s">
        <v>427</v>
      </c>
      <c r="B6253" s="8">
        <v>1.2E-2</v>
      </c>
      <c r="C6253" s="6" t="s">
        <v>825</v>
      </c>
      <c r="D6253" s="37">
        <f>horm.ymez.!C8</f>
        <v>6653.49</v>
      </c>
      <c r="E6253" s="25">
        <f t="shared" si="474"/>
        <v>79.84</v>
      </c>
    </row>
    <row r="6254" spans="1:6" ht="12.75" customHeight="1">
      <c r="A6254" s="4" t="s">
        <v>1173</v>
      </c>
      <c r="B6254" s="8">
        <v>0.05</v>
      </c>
      <c r="C6254" s="6" t="s">
        <v>1018</v>
      </c>
      <c r="D6254" s="37">
        <f>Prec.!$C$82</f>
        <v>75</v>
      </c>
      <c r="E6254" s="25">
        <f t="shared" si="474"/>
        <v>3.75</v>
      </c>
    </row>
    <row r="6255" spans="1:6" ht="12.75" customHeight="1">
      <c r="A6255" s="4" t="s">
        <v>293</v>
      </c>
      <c r="B6255" s="8">
        <v>7.0999999999999994E-2</v>
      </c>
      <c r="C6255" s="6" t="s">
        <v>1017</v>
      </c>
      <c r="D6255" s="35">
        <f>Prec.!D494</f>
        <v>11.93</v>
      </c>
      <c r="E6255" s="25">
        <f t="shared" si="474"/>
        <v>0.85</v>
      </c>
    </row>
    <row r="6256" spans="1:6" ht="12.75" customHeight="1">
      <c r="A6256" s="4" t="s">
        <v>294</v>
      </c>
      <c r="B6256" s="8">
        <v>50</v>
      </c>
      <c r="C6256" s="6" t="s">
        <v>1017</v>
      </c>
      <c r="D6256" s="37">
        <f>Prec.!$D$521</f>
        <v>7.81</v>
      </c>
      <c r="E6256" s="25">
        <f t="shared" si="474"/>
        <v>390.5</v>
      </c>
    </row>
    <row r="6257" spans="1:6" ht="12.75" customHeight="1">
      <c r="A6257" s="4" t="s">
        <v>208</v>
      </c>
      <c r="B6257" s="7">
        <f>SUM(E6251:E6256)</f>
        <v>1016.94</v>
      </c>
      <c r="C6257" s="6" t="s">
        <v>209</v>
      </c>
      <c r="D6257" s="37">
        <f>Prec.!C302</f>
        <v>1.4999999999999999E-2</v>
      </c>
      <c r="E6257" s="25">
        <f t="shared" si="474"/>
        <v>15.25</v>
      </c>
      <c r="F6257" s="26">
        <f>SUM(E6251:E6257)</f>
        <v>1032.19</v>
      </c>
    </row>
    <row r="6258" spans="1:6" ht="12.75" customHeight="1">
      <c r="B6258" s="7"/>
    </row>
    <row r="6259" spans="1:6" ht="12.75" customHeight="1">
      <c r="A6259" s="13" t="s">
        <v>439</v>
      </c>
      <c r="B6259" s="11"/>
      <c r="C6259" s="2"/>
      <c r="E6259" s="27" t="s">
        <v>151</v>
      </c>
      <c r="F6259" s="28" t="s">
        <v>213</v>
      </c>
    </row>
    <row r="6260" spans="1:6" ht="12.75" customHeight="1">
      <c r="A6260" s="4" t="s">
        <v>376</v>
      </c>
      <c r="B6260" s="8">
        <v>100</v>
      </c>
      <c r="C6260" s="6" t="s">
        <v>1017</v>
      </c>
      <c r="D6260" s="37">
        <f>Prec.!$C$132</f>
        <v>8.7899999999999991</v>
      </c>
      <c r="E6260" s="25">
        <f t="shared" ref="E6260:E6266" si="475">ROUND(B6260*D6260,2)</f>
        <v>879</v>
      </c>
    </row>
    <row r="6261" spans="1:6" ht="12.75" customHeight="1">
      <c r="A6261" s="4" t="s">
        <v>191</v>
      </c>
      <c r="B6261" s="8">
        <v>5.0000000000000001E-3</v>
      </c>
      <c r="C6261" s="6" t="s">
        <v>1228</v>
      </c>
      <c r="D6261" s="37">
        <f>Prec.!$C$28</f>
        <v>200</v>
      </c>
      <c r="E6261" s="25">
        <f t="shared" si="475"/>
        <v>1</v>
      </c>
    </row>
    <row r="6262" spans="1:6" ht="12.75" customHeight="1">
      <c r="A6262" s="4" t="s">
        <v>427</v>
      </c>
      <c r="B6262" s="8">
        <v>1.2E-2</v>
      </c>
      <c r="C6262" s="6" t="s">
        <v>825</v>
      </c>
      <c r="D6262" s="37">
        <f>horm.ymez.!C8</f>
        <v>6653.49</v>
      </c>
      <c r="E6262" s="25">
        <f t="shared" si="475"/>
        <v>79.84</v>
      </c>
    </row>
    <row r="6263" spans="1:6" ht="12.75" customHeight="1">
      <c r="A6263" s="4" t="s">
        <v>1173</v>
      </c>
      <c r="B6263" s="8">
        <v>0.05</v>
      </c>
      <c r="C6263" s="6" t="s">
        <v>1018</v>
      </c>
      <c r="D6263" s="37">
        <f>Prec.!$C$82</f>
        <v>75</v>
      </c>
      <c r="E6263" s="25">
        <f t="shared" si="475"/>
        <v>3.75</v>
      </c>
    </row>
    <row r="6264" spans="1:6" ht="12.75" customHeight="1">
      <c r="A6264" s="4" t="s">
        <v>293</v>
      </c>
      <c r="B6264" s="8">
        <v>7.0999999999999994E-2</v>
      </c>
      <c r="C6264" s="6" t="s">
        <v>1017</v>
      </c>
      <c r="D6264" s="37">
        <f>Prec.!D495</f>
        <v>9.5500000000000007</v>
      </c>
      <c r="E6264" s="25">
        <f t="shared" si="475"/>
        <v>0.68</v>
      </c>
    </row>
    <row r="6265" spans="1:6" ht="12.75" customHeight="1">
      <c r="A6265" s="4" t="s">
        <v>294</v>
      </c>
      <c r="B6265" s="8">
        <v>100</v>
      </c>
      <c r="C6265" s="6" t="s">
        <v>1017</v>
      </c>
      <c r="D6265" s="37">
        <f>Prec.!$D$521</f>
        <v>7.81</v>
      </c>
      <c r="E6265" s="25">
        <f t="shared" si="475"/>
        <v>781</v>
      </c>
    </row>
    <row r="6266" spans="1:6" ht="12.75" customHeight="1">
      <c r="A6266" s="4" t="s">
        <v>208</v>
      </c>
      <c r="B6266" s="7">
        <f>SUM(E6260:E6265)</f>
        <v>1745.27</v>
      </c>
      <c r="C6266" s="6" t="s">
        <v>209</v>
      </c>
      <c r="D6266" s="37">
        <f>Prec.!C302</f>
        <v>1.4999999999999999E-2</v>
      </c>
      <c r="E6266" s="25">
        <f t="shared" si="475"/>
        <v>26.18</v>
      </c>
      <c r="F6266" s="26">
        <f>SUM(E6260:E6266)</f>
        <v>1771.45</v>
      </c>
    </row>
    <row r="6267" spans="1:6" ht="12.75" customHeight="1">
      <c r="B6267" s="7"/>
    </row>
    <row r="6268" spans="1:6" ht="12.75" customHeight="1">
      <c r="A6268" s="1" t="s">
        <v>1296</v>
      </c>
      <c r="B6268" s="11"/>
      <c r="C6268" s="2"/>
      <c r="E6268" s="27" t="s">
        <v>151</v>
      </c>
      <c r="F6268" s="28" t="s">
        <v>213</v>
      </c>
    </row>
    <row r="6269" spans="1:6" ht="12.75" customHeight="1">
      <c r="A6269" s="4" t="s">
        <v>1098</v>
      </c>
      <c r="B6269" s="8">
        <v>1.1000000000000001</v>
      </c>
      <c r="C6269" s="6" t="s">
        <v>213</v>
      </c>
      <c r="D6269" s="37">
        <f>Prec.!$C$175</f>
        <v>180</v>
      </c>
      <c r="E6269" s="25">
        <f>ROUND(B6269*D6269,2)</f>
        <v>198</v>
      </c>
    </row>
    <row r="6270" spans="1:6" ht="12.75" customHeight="1">
      <c r="A6270" s="4" t="s">
        <v>427</v>
      </c>
      <c r="B6270" s="8">
        <v>2.1000000000000001E-2</v>
      </c>
      <c r="C6270" s="6" t="s">
        <v>825</v>
      </c>
      <c r="D6270" s="37">
        <f>D6262</f>
        <v>6653.49</v>
      </c>
      <c r="E6270" s="25">
        <f>ROUND(B6270*D6270,2)</f>
        <v>139.72</v>
      </c>
    </row>
    <row r="6271" spans="1:6" ht="12.75" customHeight="1">
      <c r="A6271" s="4" t="s">
        <v>1100</v>
      </c>
      <c r="B6271" s="8">
        <v>1</v>
      </c>
      <c r="C6271" s="6" t="s">
        <v>213</v>
      </c>
      <c r="D6271" s="37">
        <f>Prec.!$D$522</f>
        <v>598.63</v>
      </c>
      <c r="E6271" s="25">
        <f>ROUND(B6271*D6271,2)</f>
        <v>598.63</v>
      </c>
    </row>
    <row r="6272" spans="1:6" ht="12.75" customHeight="1">
      <c r="A6272" s="4" t="s">
        <v>208</v>
      </c>
      <c r="B6272" s="7">
        <f>SUM(E6269:E6271)</f>
        <v>936.35</v>
      </c>
      <c r="C6272" s="6" t="s">
        <v>209</v>
      </c>
      <c r="D6272" s="37">
        <f>Prec.!C302</f>
        <v>1.4999999999999999E-2</v>
      </c>
      <c r="E6272" s="25">
        <f>ROUND(B6272*D6272,2)</f>
        <v>14.05</v>
      </c>
      <c r="F6272" s="26">
        <f>SUM(E6269:E6272)</f>
        <v>950.4</v>
      </c>
    </row>
    <row r="6273" spans="1:13" ht="12.75" customHeight="1">
      <c r="A6273" s="13" t="s">
        <v>944</v>
      </c>
      <c r="B6273" s="11"/>
      <c r="C6273" s="2"/>
      <c r="E6273" s="11" t="s">
        <v>151</v>
      </c>
      <c r="F6273" s="10" t="s">
        <v>1171</v>
      </c>
    </row>
    <row r="6274" spans="1:13" ht="12.75" customHeight="1">
      <c r="A6274" s="4" t="s">
        <v>819</v>
      </c>
      <c r="B6274" s="8">
        <v>1.05</v>
      </c>
      <c r="C6274" s="6" t="s">
        <v>1171</v>
      </c>
      <c r="D6274" s="37">
        <f>Prec.!C126</f>
        <v>356.93</v>
      </c>
      <c r="E6274" s="7">
        <f t="shared" ref="E6274:E6280" si="476">ROUND(B6274*D6274,2)</f>
        <v>374.78</v>
      </c>
      <c r="F6274" s="3"/>
    </row>
    <row r="6275" spans="1:13" ht="12.75" customHeight="1">
      <c r="A6275" s="4" t="s">
        <v>673</v>
      </c>
      <c r="B6275" s="8">
        <v>2.1999999999999999E-2</v>
      </c>
      <c r="C6275" s="6" t="s">
        <v>1172</v>
      </c>
      <c r="D6275" s="37">
        <f>Prec.!C8</f>
        <v>250</v>
      </c>
      <c r="E6275" s="7">
        <f t="shared" si="476"/>
        <v>5.5</v>
      </c>
      <c r="F6275" s="3"/>
    </row>
    <row r="6276" spans="1:13" ht="12.75" customHeight="1">
      <c r="A6276" s="4" t="s">
        <v>1173</v>
      </c>
      <c r="B6276" s="8">
        <v>5.0000000000000001E-3</v>
      </c>
      <c r="C6276" s="6" t="s">
        <v>1018</v>
      </c>
      <c r="D6276" s="37">
        <f>Prec.!C82</f>
        <v>75</v>
      </c>
      <c r="E6276" s="7">
        <f t="shared" si="476"/>
        <v>0.38</v>
      </c>
      <c r="F6276" s="3"/>
    </row>
    <row r="6277" spans="1:13" ht="12.75" customHeight="1">
      <c r="A6277" s="15" t="s">
        <v>943</v>
      </c>
      <c r="B6277" s="8">
        <v>2E-3</v>
      </c>
      <c r="C6277" s="6" t="s">
        <v>825</v>
      </c>
      <c r="D6277" s="37">
        <f>F75</f>
        <v>7269.64</v>
      </c>
      <c r="E6277" s="7">
        <f t="shared" si="476"/>
        <v>14.54</v>
      </c>
      <c r="F6277" s="3"/>
    </row>
    <row r="6278" spans="1:13" ht="12.75" customHeight="1">
      <c r="A6278" s="4" t="s">
        <v>1015</v>
      </c>
      <c r="B6278" s="8">
        <v>4</v>
      </c>
      <c r="C6278" s="6" t="s">
        <v>1017</v>
      </c>
      <c r="D6278" s="37">
        <f>Prec.!D488</f>
        <v>5.97</v>
      </c>
      <c r="E6278" s="7">
        <f t="shared" si="476"/>
        <v>23.88</v>
      </c>
      <c r="F6278" s="3"/>
    </row>
    <row r="6279" spans="1:13" ht="12.75" customHeight="1">
      <c r="A6279" s="4" t="s">
        <v>674</v>
      </c>
      <c r="B6279" s="8">
        <v>1</v>
      </c>
      <c r="C6279" s="6" t="s">
        <v>1171</v>
      </c>
      <c r="D6279" s="37">
        <f>Prec.!D500</f>
        <v>58.61</v>
      </c>
      <c r="E6279" s="7">
        <f t="shared" si="476"/>
        <v>58.61</v>
      </c>
      <c r="F6279" s="3"/>
    </row>
    <row r="6280" spans="1:13" ht="12.75" customHeight="1">
      <c r="A6280" s="4" t="s">
        <v>208</v>
      </c>
      <c r="B6280" s="7">
        <f>SUM(E6274:E6279)</f>
        <v>477.69</v>
      </c>
      <c r="C6280" s="6" t="s">
        <v>1038</v>
      </c>
      <c r="D6280" s="37">
        <f>D6272</f>
        <v>1.4999999999999999E-2</v>
      </c>
      <c r="E6280" s="7">
        <f t="shared" si="476"/>
        <v>7.17</v>
      </c>
      <c r="F6280" s="3">
        <f>SUM(E6274:E6280)</f>
        <v>484.86</v>
      </c>
    </row>
    <row r="6281" spans="1:13" ht="12.75" customHeight="1">
      <c r="B6281" s="7"/>
    </row>
    <row r="6282" spans="1:13" ht="12.75" customHeight="1">
      <c r="A6282" s="23" t="s">
        <v>989</v>
      </c>
      <c r="B6282" s="7"/>
    </row>
    <row r="6283" spans="1:13" s="12" customFormat="1" ht="12.75" customHeight="1">
      <c r="A6283" s="29"/>
      <c r="B6283" s="14"/>
      <c r="C6283" s="24"/>
      <c r="D6283" s="35"/>
      <c r="E6283" s="31"/>
      <c r="F6283" s="32"/>
      <c r="G6283" s="20"/>
      <c r="H6283" s="22"/>
      <c r="I6283" s="20"/>
      <c r="J6283" s="20"/>
      <c r="K6283" s="20"/>
      <c r="L6283" s="22"/>
      <c r="M6283" s="20"/>
    </row>
    <row r="6284" spans="1:13" ht="12.75" customHeight="1">
      <c r="A6284" s="1" t="s">
        <v>1201</v>
      </c>
      <c r="B6284" s="11"/>
      <c r="C6284" s="2"/>
      <c r="E6284" s="27" t="s">
        <v>151</v>
      </c>
      <c r="F6284" s="28" t="s">
        <v>213</v>
      </c>
    </row>
    <row r="6285" spans="1:13" ht="12.75" customHeight="1">
      <c r="A6285" s="4" t="s">
        <v>863</v>
      </c>
      <c r="B6285" s="8">
        <v>1.05</v>
      </c>
      <c r="C6285" s="6" t="s">
        <v>213</v>
      </c>
      <c r="D6285" s="37">
        <f>Prec.!C121</f>
        <v>290</v>
      </c>
      <c r="E6285" s="25">
        <f t="shared" ref="E6285:E6293" si="477">ROUND(B6285*D6285,2)</f>
        <v>304.5</v>
      </c>
    </row>
    <row r="6286" spans="1:13" ht="12.75" customHeight="1">
      <c r="A6286" s="4" t="s">
        <v>673</v>
      </c>
      <c r="B6286" s="8">
        <v>7.0000000000000007E-2</v>
      </c>
      <c r="C6286" s="6" t="s">
        <v>1172</v>
      </c>
      <c r="D6286" s="37">
        <f>Prec.!$C$8</f>
        <v>250</v>
      </c>
      <c r="E6286" s="25">
        <f t="shared" si="477"/>
        <v>17.5</v>
      </c>
    </row>
    <row r="6287" spans="1:13" ht="12.75" customHeight="1">
      <c r="A6287" s="4" t="s">
        <v>1119</v>
      </c>
      <c r="B6287" s="8">
        <v>2.1999999999999999E-2</v>
      </c>
      <c r="C6287" s="6" t="s">
        <v>825</v>
      </c>
      <c r="D6287" s="37">
        <f>horm.ymez.!D12</f>
        <v>7489.3199999999988</v>
      </c>
      <c r="E6287" s="25">
        <f t="shared" si="477"/>
        <v>164.77</v>
      </c>
    </row>
    <row r="6288" spans="1:13" ht="12.75" customHeight="1">
      <c r="A6288" s="4" t="s">
        <v>1173</v>
      </c>
      <c r="B6288" s="8">
        <v>0.05</v>
      </c>
      <c r="C6288" s="6" t="s">
        <v>1018</v>
      </c>
      <c r="D6288" s="37">
        <f>Prec.!$C$82</f>
        <v>75</v>
      </c>
      <c r="E6288" s="25">
        <f t="shared" si="477"/>
        <v>3.75</v>
      </c>
    </row>
    <row r="6289" spans="1:6" ht="12.75" customHeight="1">
      <c r="A6289" s="4" t="s">
        <v>623</v>
      </c>
      <c r="B6289" s="8">
        <v>3.5</v>
      </c>
      <c r="C6289" s="6" t="s">
        <v>1017</v>
      </c>
      <c r="D6289" s="37">
        <f>D6246</f>
        <v>5.97</v>
      </c>
      <c r="E6289" s="25">
        <f t="shared" si="477"/>
        <v>20.9</v>
      </c>
    </row>
    <row r="6290" spans="1:6" ht="12.75" customHeight="1">
      <c r="A6290" s="4" t="s">
        <v>674</v>
      </c>
      <c r="B6290" s="8">
        <v>1</v>
      </c>
      <c r="C6290" s="6" t="s">
        <v>213</v>
      </c>
      <c r="D6290" s="37">
        <f>Prec.!$D$519</f>
        <v>389.35</v>
      </c>
      <c r="E6290" s="25">
        <f t="shared" si="477"/>
        <v>389.35</v>
      </c>
    </row>
    <row r="6291" spans="1:6" ht="12.75" customHeight="1">
      <c r="A6291" s="4" t="s">
        <v>1155</v>
      </c>
      <c r="B6291" s="8">
        <v>1</v>
      </c>
      <c r="C6291" s="6" t="s">
        <v>213</v>
      </c>
      <c r="D6291" s="37">
        <f>Prec.!$D$549</f>
        <v>8.34</v>
      </c>
      <c r="E6291" s="25">
        <f t="shared" si="477"/>
        <v>8.34</v>
      </c>
    </row>
    <row r="6292" spans="1:6" ht="12.75" customHeight="1">
      <c r="A6292" s="4" t="s">
        <v>1154</v>
      </c>
      <c r="B6292" s="8">
        <v>7.0000000000000007E-2</v>
      </c>
      <c r="C6292" s="6" t="s">
        <v>1172</v>
      </c>
      <c r="D6292" s="37">
        <f>Prec.!$D$562</f>
        <v>7.57</v>
      </c>
      <c r="E6292" s="25">
        <f t="shared" si="477"/>
        <v>0.53</v>
      </c>
    </row>
    <row r="6293" spans="1:6" ht="12.75" customHeight="1">
      <c r="A6293" s="4" t="s">
        <v>208</v>
      </c>
      <c r="B6293" s="7">
        <f>SUM(E6285:E6292)</f>
        <v>909.64</v>
      </c>
      <c r="C6293" s="6" t="s">
        <v>209</v>
      </c>
      <c r="D6293" s="37">
        <f>Prec.!C302</f>
        <v>1.4999999999999999E-2</v>
      </c>
      <c r="E6293" s="25">
        <f t="shared" si="477"/>
        <v>13.64</v>
      </c>
      <c r="F6293" s="26">
        <f>SUM(E6285:E6293)</f>
        <v>923.28</v>
      </c>
    </row>
    <row r="6294" spans="1:6" ht="12.75" customHeight="1">
      <c r="B6294" s="7"/>
    </row>
    <row r="6295" spans="1:6" ht="12.75" customHeight="1">
      <c r="A6295" s="698" t="s">
        <v>521</v>
      </c>
      <c r="B6295" s="706"/>
      <c r="C6295" s="707"/>
      <c r="D6295" s="708"/>
      <c r="E6295" s="709" t="s">
        <v>151</v>
      </c>
      <c r="F6295" s="710" t="s">
        <v>213</v>
      </c>
    </row>
    <row r="6296" spans="1:6" ht="12.75" customHeight="1">
      <c r="A6296" s="704" t="s">
        <v>863</v>
      </c>
      <c r="B6296" s="705">
        <v>1.05</v>
      </c>
      <c r="C6296" s="700" t="s">
        <v>213</v>
      </c>
      <c r="D6296" s="708">
        <f>Prec.!C120</f>
        <v>600</v>
      </c>
      <c r="E6296" s="702">
        <f t="shared" ref="E6296:E6304" si="478">ROUND(B6296*D6296,2)</f>
        <v>630</v>
      </c>
      <c r="F6296" s="703"/>
    </row>
    <row r="6297" spans="1:6" ht="12.75" customHeight="1">
      <c r="A6297" s="704" t="s">
        <v>673</v>
      </c>
      <c r="B6297" s="705">
        <v>7.0000000000000007E-2</v>
      </c>
      <c r="C6297" s="700" t="s">
        <v>1172</v>
      </c>
      <c r="D6297" s="708">
        <f>D6286</f>
        <v>250</v>
      </c>
      <c r="E6297" s="702">
        <f t="shared" si="478"/>
        <v>17.5</v>
      </c>
      <c r="F6297" s="703"/>
    </row>
    <row r="6298" spans="1:6" ht="12.75" customHeight="1">
      <c r="A6298" s="704" t="s">
        <v>1119</v>
      </c>
      <c r="B6298" s="705">
        <v>2.1999999999999999E-2</v>
      </c>
      <c r="C6298" s="700" t="s">
        <v>825</v>
      </c>
      <c r="D6298" s="708">
        <f>D6287</f>
        <v>7489.3199999999988</v>
      </c>
      <c r="E6298" s="702">
        <f t="shared" si="478"/>
        <v>164.77</v>
      </c>
      <c r="F6298" s="703"/>
    </row>
    <row r="6299" spans="1:6" ht="12.75" customHeight="1">
      <c r="A6299" s="704" t="s">
        <v>1173</v>
      </c>
      <c r="B6299" s="705">
        <v>0.05</v>
      </c>
      <c r="C6299" s="700" t="s">
        <v>1018</v>
      </c>
      <c r="D6299" s="708">
        <f>Prec.!$C$82</f>
        <v>75</v>
      </c>
      <c r="E6299" s="702">
        <f t="shared" si="478"/>
        <v>3.75</v>
      </c>
      <c r="F6299" s="703"/>
    </row>
    <row r="6300" spans="1:6" ht="12.75" customHeight="1">
      <c r="A6300" s="704" t="s">
        <v>623</v>
      </c>
      <c r="B6300" s="705">
        <v>3.5</v>
      </c>
      <c r="C6300" s="700" t="s">
        <v>1017</v>
      </c>
      <c r="D6300" s="708">
        <f>D6289</f>
        <v>5.97</v>
      </c>
      <c r="E6300" s="702">
        <f t="shared" si="478"/>
        <v>20.9</v>
      </c>
      <c r="F6300" s="703"/>
    </row>
    <row r="6301" spans="1:6" ht="12.75" customHeight="1">
      <c r="A6301" s="704" t="s">
        <v>674</v>
      </c>
      <c r="B6301" s="705">
        <v>1</v>
      </c>
      <c r="C6301" s="700" t="s">
        <v>213</v>
      </c>
      <c r="D6301" s="708">
        <f>Prec.!D520</f>
        <v>445.02</v>
      </c>
      <c r="E6301" s="702">
        <f t="shared" si="478"/>
        <v>445.02</v>
      </c>
      <c r="F6301" s="703"/>
    </row>
    <row r="6302" spans="1:6" ht="12.75" customHeight="1">
      <c r="A6302" s="704" t="s">
        <v>1155</v>
      </c>
      <c r="B6302" s="705">
        <v>1</v>
      </c>
      <c r="C6302" s="700" t="s">
        <v>213</v>
      </c>
      <c r="D6302" s="708">
        <f>Prec.!$D$549</f>
        <v>8.34</v>
      </c>
      <c r="E6302" s="702">
        <f t="shared" si="478"/>
        <v>8.34</v>
      </c>
      <c r="F6302" s="703"/>
    </row>
    <row r="6303" spans="1:6" ht="12.75" customHeight="1">
      <c r="A6303" s="704" t="s">
        <v>1154</v>
      </c>
      <c r="B6303" s="705">
        <v>7.0000000000000007E-2</v>
      </c>
      <c r="C6303" s="700" t="s">
        <v>1172</v>
      </c>
      <c r="D6303" s="708">
        <f>Prec.!$D$562</f>
        <v>7.57</v>
      </c>
      <c r="E6303" s="702">
        <f t="shared" si="478"/>
        <v>0.53</v>
      </c>
      <c r="F6303" s="703"/>
    </row>
    <row r="6304" spans="1:6" ht="12.75" customHeight="1">
      <c r="A6304" s="704" t="s">
        <v>208</v>
      </c>
      <c r="B6304" s="711">
        <f>SUM(E6296:E6299)</f>
        <v>816.02</v>
      </c>
      <c r="C6304" s="700" t="s">
        <v>209</v>
      </c>
      <c r="D6304" s="708">
        <v>0.02</v>
      </c>
      <c r="E6304" s="702">
        <f t="shared" si="478"/>
        <v>16.32</v>
      </c>
      <c r="F6304" s="703">
        <f>SUM(E6296:E6304)</f>
        <v>1307.1299999999999</v>
      </c>
    </row>
    <row r="6305" spans="1:13" ht="12.75" customHeight="1">
      <c r="A6305" s="12"/>
      <c r="B6305" s="14"/>
      <c r="C6305" s="24"/>
      <c r="D6305" s="35"/>
      <c r="E6305" s="31"/>
      <c r="F6305" s="32"/>
    </row>
    <row r="6306" spans="1:13" ht="12.75" customHeight="1">
      <c r="A6306" s="13" t="s">
        <v>1202</v>
      </c>
      <c r="B6306" s="42"/>
      <c r="C6306" s="29"/>
      <c r="D6306" s="35"/>
      <c r="E6306" s="43" t="s">
        <v>151</v>
      </c>
      <c r="F6306" s="44" t="s">
        <v>213</v>
      </c>
    </row>
    <row r="6307" spans="1:13" ht="12.75" customHeight="1">
      <c r="A6307" s="12" t="s">
        <v>864</v>
      </c>
      <c r="B6307" s="30">
        <v>1.05</v>
      </c>
      <c r="C6307" s="24" t="s">
        <v>213</v>
      </c>
      <c r="D6307" s="35">
        <f>Prec.!$C$122</f>
        <v>350</v>
      </c>
      <c r="E6307" s="31">
        <f t="shared" ref="E6307:E6315" si="479">ROUND(B6307*D6307,2)</f>
        <v>367.5</v>
      </c>
      <c r="F6307" s="32"/>
    </row>
    <row r="6308" spans="1:13" ht="12.75" customHeight="1">
      <c r="A6308" s="12" t="s">
        <v>673</v>
      </c>
      <c r="B6308" s="30">
        <v>7.0000000000000007E-2</v>
      </c>
      <c r="C6308" s="24" t="s">
        <v>1172</v>
      </c>
      <c r="D6308" s="35">
        <f>Prec.!$C$8</f>
        <v>250</v>
      </c>
      <c r="E6308" s="31">
        <f t="shared" si="479"/>
        <v>17.5</v>
      </c>
      <c r="F6308" s="32"/>
    </row>
    <row r="6309" spans="1:13" ht="12.75" customHeight="1">
      <c r="A6309" s="4" t="s">
        <v>1119</v>
      </c>
      <c r="B6309" s="8">
        <v>2.1999999999999999E-2</v>
      </c>
      <c r="C6309" s="6" t="s">
        <v>825</v>
      </c>
      <c r="D6309" s="37">
        <f>horm.ymez.!D12</f>
        <v>7489.3199999999988</v>
      </c>
      <c r="E6309" s="25">
        <f t="shared" si="479"/>
        <v>164.77</v>
      </c>
    </row>
    <row r="6310" spans="1:13" ht="12.75" customHeight="1">
      <c r="A6310" s="4" t="s">
        <v>1173</v>
      </c>
      <c r="B6310" s="8">
        <v>0.05</v>
      </c>
      <c r="C6310" s="6" t="s">
        <v>1018</v>
      </c>
      <c r="D6310" s="37">
        <f>Prec.!$C$82</f>
        <v>75</v>
      </c>
      <c r="E6310" s="25">
        <f t="shared" si="479"/>
        <v>3.75</v>
      </c>
    </row>
    <row r="6311" spans="1:13" ht="12.75" customHeight="1">
      <c r="A6311" s="4" t="s">
        <v>623</v>
      </c>
      <c r="B6311" s="8">
        <v>3.5</v>
      </c>
      <c r="C6311" s="6" t="s">
        <v>1017</v>
      </c>
      <c r="D6311" s="37">
        <f>D6289</f>
        <v>5.97</v>
      </c>
      <c r="E6311" s="25">
        <f t="shared" si="479"/>
        <v>20.9</v>
      </c>
    </row>
    <row r="6312" spans="1:13" ht="12.75" customHeight="1">
      <c r="A6312" s="4" t="s">
        <v>674</v>
      </c>
      <c r="B6312" s="8">
        <v>1</v>
      </c>
      <c r="C6312" s="6" t="s">
        <v>213</v>
      </c>
      <c r="D6312" s="37">
        <f>Prec.!$D$517</f>
        <v>0</v>
      </c>
      <c r="E6312" s="25">
        <f t="shared" si="479"/>
        <v>0</v>
      </c>
    </row>
    <row r="6313" spans="1:13" ht="12.75" customHeight="1">
      <c r="A6313" s="4" t="s">
        <v>1155</v>
      </c>
      <c r="B6313" s="8">
        <v>1</v>
      </c>
      <c r="C6313" s="6" t="s">
        <v>213</v>
      </c>
      <c r="D6313" s="37">
        <f>Prec.!$D$549</f>
        <v>8.34</v>
      </c>
      <c r="E6313" s="25">
        <f t="shared" si="479"/>
        <v>8.34</v>
      </c>
    </row>
    <row r="6314" spans="1:13" ht="12.75" customHeight="1">
      <c r="A6314" s="4" t="s">
        <v>1154</v>
      </c>
      <c r="B6314" s="8">
        <v>7.0000000000000007E-2</v>
      </c>
      <c r="C6314" s="6" t="s">
        <v>1172</v>
      </c>
      <c r="D6314" s="37">
        <f>Prec.!$D$562</f>
        <v>7.57</v>
      </c>
      <c r="E6314" s="25">
        <f t="shared" si="479"/>
        <v>0.53</v>
      </c>
    </row>
    <row r="6315" spans="1:13" ht="12.75" customHeight="1">
      <c r="A6315" s="4" t="s">
        <v>208</v>
      </c>
      <c r="B6315" s="7">
        <f>SUM(E6307:E6314)</f>
        <v>583.29</v>
      </c>
      <c r="C6315" s="6" t="s">
        <v>209</v>
      </c>
      <c r="D6315" s="37">
        <f>Prec.!C302</f>
        <v>1.4999999999999999E-2</v>
      </c>
      <c r="E6315" s="25">
        <f t="shared" si="479"/>
        <v>8.75</v>
      </c>
      <c r="F6315" s="26">
        <f>SUM(E6307:E6315)</f>
        <v>592.04</v>
      </c>
    </row>
    <row r="6316" spans="1:13" ht="12.75" customHeight="1">
      <c r="B6316" s="7"/>
    </row>
    <row r="6317" spans="1:13" s="166" customFormat="1" ht="12.75" customHeight="1">
      <c r="B6317" s="7"/>
      <c r="C6317" s="165"/>
      <c r="D6317" s="37"/>
      <c r="E6317" s="25"/>
      <c r="F6317" s="26"/>
      <c r="G6317" s="15"/>
      <c r="H6317" s="21"/>
      <c r="I6317" s="15"/>
      <c r="J6317" s="15"/>
      <c r="K6317" s="15"/>
      <c r="L6317" s="21"/>
      <c r="M6317" s="15"/>
    </row>
    <row r="6318" spans="1:13" s="166" customFormat="1" ht="12.75" customHeight="1">
      <c r="B6318" s="7"/>
      <c r="C6318" s="165"/>
      <c r="D6318" s="37"/>
      <c r="E6318" s="25"/>
      <c r="F6318" s="26"/>
      <c r="G6318" s="15"/>
      <c r="H6318" s="21"/>
      <c r="I6318" s="15"/>
      <c r="J6318" s="15"/>
      <c r="K6318" s="15"/>
      <c r="L6318" s="21"/>
      <c r="M6318" s="15"/>
    </row>
    <row r="6319" spans="1:13" s="166" customFormat="1" ht="12.75" customHeight="1">
      <c r="B6319" s="7"/>
      <c r="C6319" s="165"/>
      <c r="D6319" s="37"/>
      <c r="E6319" s="25"/>
      <c r="F6319" s="26"/>
      <c r="G6319" s="15"/>
      <c r="H6319" s="21"/>
      <c r="I6319" s="15"/>
      <c r="J6319" s="15"/>
      <c r="K6319" s="15"/>
      <c r="L6319" s="21"/>
      <c r="M6319" s="15"/>
    </row>
    <row r="6320" spans="1:13" s="166" customFormat="1" ht="12.75" customHeight="1">
      <c r="B6320" s="7"/>
      <c r="C6320" s="165"/>
      <c r="D6320" s="37"/>
      <c r="E6320" s="25"/>
      <c r="F6320" s="26"/>
      <c r="G6320" s="15"/>
      <c r="H6320" s="21"/>
      <c r="I6320" s="15"/>
      <c r="J6320" s="15"/>
      <c r="K6320" s="15"/>
      <c r="L6320" s="21"/>
      <c r="M6320" s="15"/>
    </row>
    <row r="6321" spans="1:13" s="166" customFormat="1" ht="12.75" customHeight="1">
      <c r="B6321" s="7"/>
      <c r="C6321" s="165"/>
      <c r="D6321" s="37"/>
      <c r="E6321" s="25"/>
      <c r="F6321" s="26"/>
      <c r="G6321" s="15"/>
      <c r="H6321" s="21"/>
      <c r="I6321" s="15"/>
      <c r="J6321" s="15"/>
      <c r="K6321" s="15"/>
      <c r="L6321" s="21"/>
      <c r="M6321" s="15"/>
    </row>
    <row r="6322" spans="1:13" s="166" customFormat="1" ht="12.75" customHeight="1">
      <c r="B6322" s="7"/>
      <c r="C6322" s="165"/>
      <c r="D6322" s="37"/>
      <c r="E6322" s="25"/>
      <c r="F6322" s="26"/>
      <c r="G6322" s="15"/>
      <c r="H6322" s="21"/>
      <c r="I6322" s="15"/>
      <c r="J6322" s="15"/>
      <c r="K6322" s="15"/>
      <c r="L6322" s="21"/>
      <c r="M6322" s="15"/>
    </row>
    <row r="6323" spans="1:13" ht="12.75" customHeight="1">
      <c r="A6323" s="1" t="s">
        <v>631</v>
      </c>
      <c r="B6323" s="11"/>
      <c r="C6323" s="2"/>
      <c r="E6323" s="27" t="s">
        <v>151</v>
      </c>
      <c r="F6323" s="28" t="s">
        <v>213</v>
      </c>
    </row>
    <row r="6324" spans="1:13" ht="12.75" customHeight="1">
      <c r="A6324" s="4" t="s">
        <v>862</v>
      </c>
      <c r="B6324" s="8">
        <v>1.05</v>
      </c>
      <c r="C6324" s="6" t="s">
        <v>213</v>
      </c>
      <c r="D6324" s="37">
        <f>Prec.!$C$123</f>
        <v>250</v>
      </c>
      <c r="E6324" s="25">
        <f t="shared" ref="E6324:E6332" si="480">ROUND(B6324*D6324,2)</f>
        <v>262.5</v>
      </c>
    </row>
    <row r="6325" spans="1:13" ht="12.75" customHeight="1">
      <c r="A6325" s="4" t="s">
        <v>673</v>
      </c>
      <c r="B6325" s="8">
        <v>7.0000000000000007E-2</v>
      </c>
      <c r="C6325" s="6" t="s">
        <v>1172</v>
      </c>
      <c r="D6325" s="37">
        <f>Prec.!$C$8</f>
        <v>250</v>
      </c>
      <c r="E6325" s="25">
        <f t="shared" si="480"/>
        <v>17.5</v>
      </c>
    </row>
    <row r="6326" spans="1:13" ht="12.75" customHeight="1">
      <c r="A6326" s="4" t="s">
        <v>1119</v>
      </c>
      <c r="B6326" s="8">
        <v>2.1999999999999999E-2</v>
      </c>
      <c r="C6326" s="6" t="s">
        <v>825</v>
      </c>
      <c r="D6326" s="37">
        <f>horm.ymez.!D12</f>
        <v>7489.3199999999988</v>
      </c>
      <c r="E6326" s="25">
        <f t="shared" si="480"/>
        <v>164.77</v>
      </c>
    </row>
    <row r="6327" spans="1:13" ht="12.75" customHeight="1">
      <c r="A6327" s="4" t="s">
        <v>1173</v>
      </c>
      <c r="B6327" s="8">
        <v>0.05</v>
      </c>
      <c r="C6327" s="6" t="s">
        <v>1018</v>
      </c>
      <c r="D6327" s="37">
        <f>Prec.!$C$82</f>
        <v>75</v>
      </c>
      <c r="E6327" s="25">
        <f t="shared" si="480"/>
        <v>3.75</v>
      </c>
    </row>
    <row r="6328" spans="1:13" ht="12.75" customHeight="1">
      <c r="A6328" s="4" t="s">
        <v>623</v>
      </c>
      <c r="B6328" s="8">
        <v>3.5</v>
      </c>
      <c r="C6328" s="6" t="s">
        <v>1017</v>
      </c>
      <c r="D6328" s="37">
        <f>D6311</f>
        <v>5.97</v>
      </c>
      <c r="E6328" s="25">
        <f t="shared" si="480"/>
        <v>20.9</v>
      </c>
    </row>
    <row r="6329" spans="1:13" ht="12.75" customHeight="1">
      <c r="A6329" s="4" t="s">
        <v>674</v>
      </c>
      <c r="B6329" s="8">
        <v>1</v>
      </c>
      <c r="C6329" s="6" t="s">
        <v>213</v>
      </c>
      <c r="D6329" s="37">
        <f>Prec.!$D$517</f>
        <v>0</v>
      </c>
      <c r="E6329" s="25">
        <f t="shared" si="480"/>
        <v>0</v>
      </c>
    </row>
    <row r="6330" spans="1:13" ht="12.75" customHeight="1">
      <c r="A6330" s="4" t="s">
        <v>1155</v>
      </c>
      <c r="B6330" s="8">
        <v>1</v>
      </c>
      <c r="C6330" s="6" t="s">
        <v>213</v>
      </c>
      <c r="D6330" s="37">
        <f>Prec.!$D$549</f>
        <v>8.34</v>
      </c>
      <c r="E6330" s="25">
        <f t="shared" si="480"/>
        <v>8.34</v>
      </c>
    </row>
    <row r="6331" spans="1:13" ht="12.75" customHeight="1">
      <c r="A6331" s="4" t="s">
        <v>1154</v>
      </c>
      <c r="B6331" s="8">
        <v>7.0000000000000007E-2</v>
      </c>
      <c r="C6331" s="6" t="s">
        <v>1172</v>
      </c>
      <c r="D6331" s="37">
        <f>Prec.!$D$562</f>
        <v>7.57</v>
      </c>
      <c r="E6331" s="25">
        <f t="shared" si="480"/>
        <v>0.53</v>
      </c>
    </row>
    <row r="6332" spans="1:13" ht="12.75" customHeight="1">
      <c r="A6332" s="4" t="s">
        <v>208</v>
      </c>
      <c r="B6332" s="7">
        <f>SUM(E6324:E6331)</f>
        <v>478.28999999999991</v>
      </c>
      <c r="C6332" s="6" t="s">
        <v>209</v>
      </c>
      <c r="D6332" s="37">
        <f>Prec.!C302</f>
        <v>1.4999999999999999E-2</v>
      </c>
      <c r="E6332" s="25">
        <f t="shared" si="480"/>
        <v>7.17</v>
      </c>
      <c r="F6332" s="26">
        <f>SUM(E6324:E6332)</f>
        <v>485.45999999999992</v>
      </c>
    </row>
    <row r="6333" spans="1:13" ht="6" customHeight="1">
      <c r="B6333" s="7"/>
    </row>
    <row r="6334" spans="1:13" ht="12.75" customHeight="1">
      <c r="A6334" s="1" t="s">
        <v>187</v>
      </c>
      <c r="B6334" s="11"/>
      <c r="C6334" s="2"/>
      <c r="E6334" s="27" t="s">
        <v>151</v>
      </c>
      <c r="F6334" s="28" t="s">
        <v>213</v>
      </c>
    </row>
    <row r="6335" spans="1:13" ht="12.75" customHeight="1">
      <c r="A6335" s="4" t="s">
        <v>862</v>
      </c>
      <c r="B6335" s="8">
        <v>1.05</v>
      </c>
      <c r="C6335" s="6" t="s">
        <v>213</v>
      </c>
      <c r="D6335" s="37">
        <f>Prec.!C124</f>
        <v>261</v>
      </c>
      <c r="E6335" s="25">
        <f t="shared" ref="E6335:E6343" si="481">ROUND(B6335*D6335,2)</f>
        <v>274.05</v>
      </c>
    </row>
    <row r="6336" spans="1:13" ht="12.75" customHeight="1">
      <c r="A6336" s="4" t="s">
        <v>673</v>
      </c>
      <c r="B6336" s="8">
        <v>7.0000000000000007E-2</v>
      </c>
      <c r="C6336" s="6" t="s">
        <v>1172</v>
      </c>
      <c r="D6336" s="37">
        <f>Prec.!$C$8</f>
        <v>250</v>
      </c>
      <c r="E6336" s="25">
        <f t="shared" si="481"/>
        <v>17.5</v>
      </c>
    </row>
    <row r="6337" spans="1:6" ht="12.75" customHeight="1">
      <c r="A6337" s="4" t="s">
        <v>1119</v>
      </c>
      <c r="B6337" s="8">
        <v>2.1999999999999999E-2</v>
      </c>
      <c r="C6337" s="6" t="s">
        <v>825</v>
      </c>
      <c r="D6337" s="37">
        <f>horm.ymez.!D12</f>
        <v>7489.3199999999988</v>
      </c>
      <c r="E6337" s="25">
        <f t="shared" si="481"/>
        <v>164.77</v>
      </c>
    </row>
    <row r="6338" spans="1:6" ht="12.75" customHeight="1">
      <c r="A6338" s="4" t="s">
        <v>1173</v>
      </c>
      <c r="B6338" s="8">
        <v>0.05</v>
      </c>
      <c r="C6338" s="6" t="s">
        <v>1018</v>
      </c>
      <c r="D6338" s="37">
        <f>Prec.!$C$82</f>
        <v>75</v>
      </c>
      <c r="E6338" s="25">
        <f t="shared" si="481"/>
        <v>3.75</v>
      </c>
    </row>
    <row r="6339" spans="1:6" ht="12.75" customHeight="1">
      <c r="A6339" s="4" t="s">
        <v>623</v>
      </c>
      <c r="B6339" s="8">
        <v>3.5</v>
      </c>
      <c r="C6339" s="6" t="s">
        <v>1017</v>
      </c>
      <c r="D6339" s="37">
        <f>D6328</f>
        <v>5.97</v>
      </c>
      <c r="E6339" s="25">
        <f t="shared" si="481"/>
        <v>20.9</v>
      </c>
    </row>
    <row r="6340" spans="1:6" ht="12.75" customHeight="1">
      <c r="A6340" s="4" t="s">
        <v>674</v>
      </c>
      <c r="B6340" s="8">
        <v>1</v>
      </c>
      <c r="C6340" s="6" t="s">
        <v>213</v>
      </c>
      <c r="D6340" s="37">
        <f>Prec.!$D$517</f>
        <v>0</v>
      </c>
      <c r="E6340" s="25">
        <f t="shared" si="481"/>
        <v>0</v>
      </c>
    </row>
    <row r="6341" spans="1:6" ht="12.75" customHeight="1">
      <c r="A6341" s="4" t="s">
        <v>1155</v>
      </c>
      <c r="B6341" s="8">
        <v>1</v>
      </c>
      <c r="C6341" s="6" t="s">
        <v>213</v>
      </c>
      <c r="D6341" s="37">
        <f>Prec.!$D$549</f>
        <v>8.34</v>
      </c>
      <c r="E6341" s="25">
        <f t="shared" si="481"/>
        <v>8.34</v>
      </c>
    </row>
    <row r="6342" spans="1:6" ht="12.75" customHeight="1">
      <c r="A6342" s="4" t="s">
        <v>1154</v>
      </c>
      <c r="B6342" s="8">
        <v>7.0000000000000007E-2</v>
      </c>
      <c r="C6342" s="6" t="s">
        <v>1172</v>
      </c>
      <c r="D6342" s="37">
        <f>Prec.!$D$562</f>
        <v>7.57</v>
      </c>
      <c r="E6342" s="25">
        <f t="shared" si="481"/>
        <v>0.53</v>
      </c>
    </row>
    <row r="6343" spans="1:6" ht="12.75" customHeight="1">
      <c r="A6343" s="4" t="s">
        <v>208</v>
      </c>
      <c r="B6343" s="7">
        <f>SUM(E6335:E6342)</f>
        <v>489.84</v>
      </c>
      <c r="C6343" s="6" t="s">
        <v>209</v>
      </c>
      <c r="D6343" s="37">
        <f>Prec.!C302</f>
        <v>1.4999999999999999E-2</v>
      </c>
      <c r="E6343" s="25">
        <f t="shared" si="481"/>
        <v>7.35</v>
      </c>
      <c r="F6343" s="26">
        <f>SUM(E6335:E6343)</f>
        <v>497.19</v>
      </c>
    </row>
    <row r="6344" spans="1:6" ht="12.75" customHeight="1">
      <c r="B6344" s="7"/>
    </row>
    <row r="6345" spans="1:6" ht="12.75" customHeight="1">
      <c r="A6345" s="13" t="s">
        <v>188</v>
      </c>
      <c r="B6345" s="11"/>
      <c r="C6345" s="2"/>
      <c r="E6345" s="27" t="s">
        <v>151</v>
      </c>
      <c r="F6345" s="28" t="s">
        <v>213</v>
      </c>
    </row>
    <row r="6346" spans="1:6" ht="12.75" customHeight="1">
      <c r="A6346" s="4" t="s">
        <v>103</v>
      </c>
      <c r="B6346" s="8">
        <v>1.05</v>
      </c>
      <c r="C6346" s="6" t="s">
        <v>213</v>
      </c>
      <c r="D6346" s="37">
        <f>Prec.!C125</f>
        <v>238.96</v>
      </c>
      <c r="E6346" s="25">
        <f t="shared" ref="E6346:E6354" si="482">ROUND(B6346*D6346,2)</f>
        <v>250.91</v>
      </c>
    </row>
    <row r="6347" spans="1:6" ht="12.75" customHeight="1">
      <c r="A6347" s="4" t="s">
        <v>673</v>
      </c>
      <c r="B6347" s="8">
        <v>7.0000000000000007E-2</v>
      </c>
      <c r="C6347" s="6" t="s">
        <v>1172</v>
      </c>
      <c r="D6347" s="37">
        <f>Prec.!$C$8</f>
        <v>250</v>
      </c>
      <c r="E6347" s="25">
        <f t="shared" si="482"/>
        <v>17.5</v>
      </c>
    </row>
    <row r="6348" spans="1:6" ht="12.75" customHeight="1">
      <c r="A6348" s="4" t="s">
        <v>1119</v>
      </c>
      <c r="B6348" s="8">
        <v>2.1999999999999999E-2</v>
      </c>
      <c r="C6348" s="6" t="s">
        <v>825</v>
      </c>
      <c r="D6348" s="37">
        <f>D6337</f>
        <v>7489.3199999999988</v>
      </c>
      <c r="E6348" s="25">
        <f t="shared" si="482"/>
        <v>164.77</v>
      </c>
    </row>
    <row r="6349" spans="1:6" ht="12.75" customHeight="1">
      <c r="A6349" s="4" t="s">
        <v>1173</v>
      </c>
      <c r="B6349" s="8">
        <v>0.05</v>
      </c>
      <c r="C6349" s="6" t="s">
        <v>1018</v>
      </c>
      <c r="D6349" s="37">
        <f>Prec.!$C$82</f>
        <v>75</v>
      </c>
      <c r="E6349" s="25">
        <f t="shared" si="482"/>
        <v>3.75</v>
      </c>
    </row>
    <row r="6350" spans="1:6" ht="12.75" customHeight="1">
      <c r="A6350" s="4" t="s">
        <v>623</v>
      </c>
      <c r="B6350" s="8">
        <v>3.5</v>
      </c>
      <c r="C6350" s="6" t="s">
        <v>1017</v>
      </c>
      <c r="D6350" s="37">
        <f>D6339</f>
        <v>5.97</v>
      </c>
      <c r="E6350" s="25">
        <f t="shared" si="482"/>
        <v>20.9</v>
      </c>
    </row>
    <row r="6351" spans="1:6" ht="12.75" customHeight="1">
      <c r="A6351" s="4" t="s">
        <v>674</v>
      </c>
      <c r="B6351" s="8">
        <v>1</v>
      </c>
      <c r="C6351" s="6" t="s">
        <v>213</v>
      </c>
      <c r="D6351" s="37">
        <f>Prec.!$D$517</f>
        <v>0</v>
      </c>
      <c r="E6351" s="25">
        <f t="shared" si="482"/>
        <v>0</v>
      </c>
    </row>
    <row r="6352" spans="1:6" ht="12.75" customHeight="1">
      <c r="A6352" s="4" t="s">
        <v>1155</v>
      </c>
      <c r="B6352" s="8">
        <v>1</v>
      </c>
      <c r="C6352" s="6" t="s">
        <v>213</v>
      </c>
      <c r="D6352" s="37">
        <f>Prec.!$D$549</f>
        <v>8.34</v>
      </c>
      <c r="E6352" s="25">
        <f t="shared" si="482"/>
        <v>8.34</v>
      </c>
    </row>
    <row r="6353" spans="1:6" ht="12.75" customHeight="1">
      <c r="A6353" s="4" t="s">
        <v>1154</v>
      </c>
      <c r="B6353" s="8">
        <v>7.0000000000000007E-2</v>
      </c>
      <c r="C6353" s="6" t="s">
        <v>1172</v>
      </c>
      <c r="D6353" s="37">
        <f>Prec.!$D$562</f>
        <v>7.57</v>
      </c>
      <c r="E6353" s="25">
        <f t="shared" si="482"/>
        <v>0.53</v>
      </c>
    </row>
    <row r="6354" spans="1:6" ht="12.75" customHeight="1">
      <c r="A6354" s="4" t="s">
        <v>208</v>
      </c>
      <c r="B6354" s="7">
        <f>SUM(E6346:E6351)</f>
        <v>457.82999999999993</v>
      </c>
      <c r="C6354" s="6" t="s">
        <v>209</v>
      </c>
      <c r="D6354" s="37">
        <f>Prec.!C302</f>
        <v>1.4999999999999999E-2</v>
      </c>
      <c r="E6354" s="25">
        <f t="shared" si="482"/>
        <v>6.87</v>
      </c>
      <c r="F6354" s="26">
        <f>SUM(E6346:E6354)</f>
        <v>473.56999999999988</v>
      </c>
    </row>
    <row r="6355" spans="1:6" ht="3.75" customHeight="1">
      <c r="B6355" s="7"/>
    </row>
    <row r="6356" spans="1:6" ht="12.75" customHeight="1">
      <c r="A6356" s="13" t="s">
        <v>993</v>
      </c>
      <c r="B6356" s="11"/>
      <c r="C6356" s="2"/>
      <c r="E6356" s="27" t="s">
        <v>151</v>
      </c>
      <c r="F6356" s="28" t="s">
        <v>213</v>
      </c>
    </row>
    <row r="6357" spans="1:6" ht="12.75" customHeight="1">
      <c r="A6357" s="4" t="s">
        <v>190</v>
      </c>
      <c r="B6357" s="8">
        <v>50</v>
      </c>
      <c r="C6357" s="6" t="s">
        <v>1017</v>
      </c>
      <c r="D6357" s="37">
        <f>Prec.!$C$131</f>
        <v>10.82</v>
      </c>
      <c r="E6357" s="25">
        <f t="shared" ref="E6357:E6364" si="483">ROUND(B6357*D6357,2)</f>
        <v>541</v>
      </c>
    </row>
    <row r="6358" spans="1:6" ht="12.75" customHeight="1">
      <c r="A6358" s="4" t="s">
        <v>191</v>
      </c>
      <c r="B6358" s="8">
        <v>5.0000000000000001E-3</v>
      </c>
      <c r="C6358" s="6" t="s">
        <v>1228</v>
      </c>
      <c r="D6358" s="37">
        <f>Prec.!$C$28</f>
        <v>200</v>
      </c>
      <c r="E6358" s="25">
        <f t="shared" si="483"/>
        <v>1</v>
      </c>
    </row>
    <row r="6359" spans="1:6" ht="12.75" customHeight="1">
      <c r="A6359" s="4" t="s">
        <v>427</v>
      </c>
      <c r="B6359" s="8">
        <v>1.2E-2</v>
      </c>
      <c r="C6359" s="6" t="s">
        <v>825</v>
      </c>
      <c r="D6359" s="37">
        <f>horm.ymez.!D8</f>
        <v>6851.01</v>
      </c>
      <c r="E6359" s="25">
        <f t="shared" si="483"/>
        <v>82.21</v>
      </c>
    </row>
    <row r="6360" spans="1:6" ht="12.75" customHeight="1">
      <c r="A6360" s="4" t="s">
        <v>1173</v>
      </c>
      <c r="B6360" s="8">
        <v>0.05</v>
      </c>
      <c r="C6360" s="6" t="s">
        <v>1018</v>
      </c>
      <c r="D6360" s="37">
        <f>Prec.!$C$82</f>
        <v>75</v>
      </c>
      <c r="E6360" s="25">
        <f t="shared" si="483"/>
        <v>3.75</v>
      </c>
    </row>
    <row r="6361" spans="1:6" ht="12.75" customHeight="1">
      <c r="A6361" s="4" t="s">
        <v>293</v>
      </c>
      <c r="B6361" s="8">
        <v>7.0999999999999994E-2</v>
      </c>
      <c r="C6361" s="6" t="s">
        <v>1017</v>
      </c>
      <c r="D6361" s="35">
        <f>Prec.!D494</f>
        <v>11.93</v>
      </c>
      <c r="E6361" s="25">
        <f t="shared" si="483"/>
        <v>0.85</v>
      </c>
    </row>
    <row r="6362" spans="1:6" ht="12.75" customHeight="1">
      <c r="A6362" s="4" t="s">
        <v>294</v>
      </c>
      <c r="B6362" s="8">
        <v>50</v>
      </c>
      <c r="C6362" s="6" t="s">
        <v>1017</v>
      </c>
      <c r="D6362" s="37">
        <f>Prec.!$D$521</f>
        <v>7.81</v>
      </c>
      <c r="E6362" s="25">
        <f t="shared" si="483"/>
        <v>390.5</v>
      </c>
    </row>
    <row r="6363" spans="1:6" ht="12.75" customHeight="1">
      <c r="A6363" s="4" t="s">
        <v>638</v>
      </c>
      <c r="B6363" s="8">
        <v>50</v>
      </c>
      <c r="C6363" s="6" t="s">
        <v>1017</v>
      </c>
      <c r="D6363" s="37">
        <f>Prec.!$D$580</f>
        <v>0.3</v>
      </c>
      <c r="E6363" s="25">
        <f t="shared" si="483"/>
        <v>15</v>
      </c>
    </row>
    <row r="6364" spans="1:6" ht="12.75" customHeight="1">
      <c r="A6364" s="4" t="s">
        <v>208</v>
      </c>
      <c r="B6364" s="7">
        <f>SUM(E6357:E6362)</f>
        <v>1019.3100000000001</v>
      </c>
      <c r="C6364" s="6" t="s">
        <v>209</v>
      </c>
      <c r="D6364" s="37">
        <f>Prec.!C302</f>
        <v>1.4999999999999999E-2</v>
      </c>
      <c r="E6364" s="25">
        <f t="shared" si="483"/>
        <v>15.29</v>
      </c>
      <c r="F6364" s="26">
        <f>SUM(E6357:E6364)</f>
        <v>1049.5999999999999</v>
      </c>
    </row>
    <row r="6365" spans="1:6" ht="4.5" customHeight="1">
      <c r="B6365" s="7"/>
    </row>
    <row r="6366" spans="1:6" ht="12.75" customHeight="1">
      <c r="A6366" s="13" t="s">
        <v>1097</v>
      </c>
      <c r="B6366" s="11"/>
      <c r="C6366" s="2"/>
      <c r="E6366" s="27" t="s">
        <v>151</v>
      </c>
      <c r="F6366" s="28" t="s">
        <v>213</v>
      </c>
    </row>
    <row r="6367" spans="1:6" ht="12.75" customHeight="1">
      <c r="A6367" s="4" t="s">
        <v>376</v>
      </c>
      <c r="B6367" s="8">
        <v>100</v>
      </c>
      <c r="C6367" s="6" t="s">
        <v>1017</v>
      </c>
      <c r="D6367" s="37">
        <f>Prec.!$C$132</f>
        <v>8.7899999999999991</v>
      </c>
      <c r="E6367" s="25">
        <f t="shared" ref="E6367:E6374" si="484">ROUND(B6367*D6367,2)</f>
        <v>879</v>
      </c>
    </row>
    <row r="6368" spans="1:6" ht="12.75" customHeight="1">
      <c r="A6368" s="4" t="s">
        <v>191</v>
      </c>
      <c r="B6368" s="8">
        <v>5.0000000000000001E-3</v>
      </c>
      <c r="C6368" s="6" t="s">
        <v>1228</v>
      </c>
      <c r="D6368" s="37">
        <f>Prec.!$C$28</f>
        <v>200</v>
      </c>
      <c r="E6368" s="25">
        <f t="shared" si="484"/>
        <v>1</v>
      </c>
    </row>
    <row r="6369" spans="1:6" ht="12.75" customHeight="1">
      <c r="A6369" s="4" t="s">
        <v>427</v>
      </c>
      <c r="B6369" s="8">
        <v>1.2E-2</v>
      </c>
      <c r="C6369" s="6" t="s">
        <v>825</v>
      </c>
      <c r="D6369" s="37">
        <f>horm.ymez.!D8</f>
        <v>6851.01</v>
      </c>
      <c r="E6369" s="25">
        <f t="shared" si="484"/>
        <v>82.21</v>
      </c>
    </row>
    <row r="6370" spans="1:6" ht="12.75" customHeight="1">
      <c r="A6370" s="4" t="s">
        <v>1173</v>
      </c>
      <c r="B6370" s="8">
        <v>0.05</v>
      </c>
      <c r="C6370" s="6" t="s">
        <v>1018</v>
      </c>
      <c r="D6370" s="37">
        <f>Prec.!$C$82</f>
        <v>75</v>
      </c>
      <c r="E6370" s="25">
        <f t="shared" si="484"/>
        <v>3.75</v>
      </c>
    </row>
    <row r="6371" spans="1:6" ht="12.75" customHeight="1">
      <c r="A6371" s="4" t="s">
        <v>293</v>
      </c>
      <c r="B6371" s="8">
        <v>7.0999999999999994E-2</v>
      </c>
      <c r="C6371" s="6" t="s">
        <v>1017</v>
      </c>
      <c r="D6371" s="37">
        <f>Prec.!D495</f>
        <v>9.5500000000000007</v>
      </c>
      <c r="E6371" s="25">
        <f t="shared" si="484"/>
        <v>0.68</v>
      </c>
    </row>
    <row r="6372" spans="1:6" ht="12.75" customHeight="1">
      <c r="A6372" s="4" t="s">
        <v>294</v>
      </c>
      <c r="B6372" s="8">
        <v>100</v>
      </c>
      <c r="C6372" s="6" t="s">
        <v>1017</v>
      </c>
      <c r="D6372" s="37">
        <f>Prec.!$D$521</f>
        <v>7.81</v>
      </c>
      <c r="E6372" s="25">
        <f t="shared" si="484"/>
        <v>781</v>
      </c>
    </row>
    <row r="6373" spans="1:6" ht="12.75" customHeight="1">
      <c r="A6373" s="4" t="s">
        <v>638</v>
      </c>
      <c r="B6373" s="8">
        <v>100</v>
      </c>
      <c r="C6373" s="6" t="s">
        <v>1017</v>
      </c>
      <c r="D6373" s="37">
        <f>Prec.!$D$580</f>
        <v>0.3</v>
      </c>
      <c r="E6373" s="25">
        <f t="shared" si="484"/>
        <v>30</v>
      </c>
    </row>
    <row r="6374" spans="1:6" ht="12.75" customHeight="1">
      <c r="A6374" s="4" t="s">
        <v>208</v>
      </c>
      <c r="B6374" s="7">
        <f>SUM(E6367:E6372)</f>
        <v>1747.6399999999999</v>
      </c>
      <c r="C6374" s="6" t="s">
        <v>209</v>
      </c>
      <c r="D6374" s="37">
        <f>Prec.!C302</f>
        <v>1.4999999999999999E-2</v>
      </c>
      <c r="E6374" s="25">
        <f t="shared" si="484"/>
        <v>26.21</v>
      </c>
      <c r="F6374" s="26">
        <f>SUM(E6367:E6374)</f>
        <v>1803.85</v>
      </c>
    </row>
    <row r="6375" spans="1:6" ht="12.75" customHeight="1">
      <c r="A6375" s="1" t="s">
        <v>670</v>
      </c>
      <c r="B6375" s="11"/>
      <c r="C6375" s="2"/>
      <c r="E6375" s="27" t="s">
        <v>151</v>
      </c>
      <c r="F6375" s="28" t="s">
        <v>213</v>
      </c>
    </row>
    <row r="6376" spans="1:6" ht="12.75" customHeight="1">
      <c r="A6376" s="4" t="s">
        <v>1098</v>
      </c>
      <c r="B6376" s="8">
        <v>1.1000000000000001</v>
      </c>
      <c r="C6376" s="6" t="s">
        <v>213</v>
      </c>
      <c r="D6376" s="37">
        <f>Prec.!$C$175</f>
        <v>180</v>
      </c>
      <c r="E6376" s="25">
        <f>ROUND(B6376*D6376,2)</f>
        <v>198</v>
      </c>
    </row>
    <row r="6377" spans="1:6" ht="12.75" customHeight="1">
      <c r="A6377" s="4" t="s">
        <v>427</v>
      </c>
      <c r="B6377" s="8">
        <v>2.1000000000000001E-2</v>
      </c>
      <c r="C6377" s="6" t="s">
        <v>825</v>
      </c>
      <c r="D6377" s="37">
        <f>horm.ymez.!D8</f>
        <v>6851.01</v>
      </c>
      <c r="E6377" s="25">
        <f>ROUND(B6377*D6377,2)</f>
        <v>143.87</v>
      </c>
    </row>
    <row r="6378" spans="1:6" ht="12.75" customHeight="1">
      <c r="A6378" s="4" t="s">
        <v>1100</v>
      </c>
      <c r="B6378" s="8">
        <v>1</v>
      </c>
      <c r="C6378" s="6" t="s">
        <v>213</v>
      </c>
      <c r="D6378" s="37">
        <f>Prec.!$D$522</f>
        <v>598.63</v>
      </c>
      <c r="E6378" s="25">
        <f>ROUND(B6378*D6378,2)</f>
        <v>598.63</v>
      </c>
    </row>
    <row r="6379" spans="1:6" ht="12.75" customHeight="1">
      <c r="A6379" s="4" t="s">
        <v>1103</v>
      </c>
      <c r="B6379" s="8">
        <v>1</v>
      </c>
      <c r="C6379" s="6" t="s">
        <v>213</v>
      </c>
      <c r="D6379" s="37">
        <f>Prec.!$D$586</f>
        <v>8.34</v>
      </c>
      <c r="E6379" s="25">
        <f>ROUND(B6379*D6379,2)</f>
        <v>8.34</v>
      </c>
    </row>
    <row r="6380" spans="1:6" ht="12.75" customHeight="1">
      <c r="A6380" s="4" t="s">
        <v>208</v>
      </c>
      <c r="B6380" s="7">
        <f>SUM(E6376:E6378)</f>
        <v>940.5</v>
      </c>
      <c r="C6380" s="6" t="s">
        <v>209</v>
      </c>
      <c r="D6380" s="37">
        <f>Prec.!C302</f>
        <v>1.4999999999999999E-2</v>
      </c>
      <c r="E6380" s="25">
        <f>ROUND(B6380*D6380,2)</f>
        <v>14.11</v>
      </c>
      <c r="F6380" s="26">
        <f>SUM(E6376:E6380)</f>
        <v>962.95</v>
      </c>
    </row>
    <row r="6381" spans="1:6" ht="9" customHeight="1">
      <c r="B6381" s="7"/>
    </row>
    <row r="6382" spans="1:6" ht="12.75" customHeight="1">
      <c r="A6382" s="23" t="s">
        <v>1159</v>
      </c>
      <c r="B6382" s="7"/>
    </row>
    <row r="6383" spans="1:6" ht="7.5" customHeight="1">
      <c r="A6383" s="2"/>
      <c r="B6383" s="7"/>
    </row>
    <row r="6384" spans="1:6" ht="12.75" customHeight="1">
      <c r="A6384" s="1" t="s">
        <v>573</v>
      </c>
      <c r="B6384" s="11"/>
      <c r="C6384" s="2"/>
      <c r="E6384" s="27" t="s">
        <v>151</v>
      </c>
      <c r="F6384" s="28" t="s">
        <v>213</v>
      </c>
    </row>
    <row r="6385" spans="1:13" ht="12.75" customHeight="1">
      <c r="A6385" s="4" t="s">
        <v>863</v>
      </c>
      <c r="B6385" s="8">
        <v>1.05</v>
      </c>
      <c r="C6385" s="6" t="s">
        <v>213</v>
      </c>
      <c r="D6385" s="37">
        <f>Prec.!C121</f>
        <v>290</v>
      </c>
      <c r="E6385" s="25">
        <f t="shared" ref="E6385:E6393" si="485">ROUND(B6385*D6385,2)</f>
        <v>304.5</v>
      </c>
    </row>
    <row r="6386" spans="1:13" ht="12.75" customHeight="1">
      <c r="A6386" s="4" t="s">
        <v>673</v>
      </c>
      <c r="B6386" s="8">
        <v>7.0000000000000007E-2</v>
      </c>
      <c r="C6386" s="6" t="s">
        <v>1172</v>
      </c>
      <c r="D6386" s="37">
        <f>Prec.!$C$8</f>
        <v>250</v>
      </c>
      <c r="E6386" s="25">
        <f t="shared" si="485"/>
        <v>17.5</v>
      </c>
    </row>
    <row r="6387" spans="1:13" ht="12.75" customHeight="1">
      <c r="A6387" s="4" t="s">
        <v>1119</v>
      </c>
      <c r="B6387" s="8">
        <v>2.1999999999999999E-2</v>
      </c>
      <c r="C6387" s="6" t="s">
        <v>825</v>
      </c>
      <c r="D6387" s="37">
        <f>horm.ymez.!E12</f>
        <v>7660.1799999999994</v>
      </c>
      <c r="E6387" s="25">
        <f t="shared" si="485"/>
        <v>168.52</v>
      </c>
    </row>
    <row r="6388" spans="1:13" ht="12.75" customHeight="1">
      <c r="A6388" s="4" t="s">
        <v>1173</v>
      </c>
      <c r="B6388" s="8">
        <v>0.05</v>
      </c>
      <c r="C6388" s="6" t="s">
        <v>1018</v>
      </c>
      <c r="D6388" s="37">
        <f>Prec.!$C$82</f>
        <v>75</v>
      </c>
      <c r="E6388" s="25">
        <f t="shared" si="485"/>
        <v>3.75</v>
      </c>
    </row>
    <row r="6389" spans="1:13" ht="12.75" customHeight="1">
      <c r="A6389" s="4" t="s">
        <v>623</v>
      </c>
      <c r="B6389" s="8">
        <v>3.5</v>
      </c>
      <c r="C6389" s="6" t="s">
        <v>1017</v>
      </c>
      <c r="D6389" s="37">
        <f>Prec.!D488</f>
        <v>5.97</v>
      </c>
      <c r="E6389" s="25">
        <f t="shared" si="485"/>
        <v>20.9</v>
      </c>
    </row>
    <row r="6390" spans="1:13" ht="12.75" customHeight="1">
      <c r="A6390" s="4" t="s">
        <v>674</v>
      </c>
      <c r="B6390" s="8">
        <v>1</v>
      </c>
      <c r="C6390" s="6" t="s">
        <v>213</v>
      </c>
      <c r="D6390" s="37">
        <f>Prec.!D519</f>
        <v>389.35</v>
      </c>
      <c r="E6390" s="25">
        <f t="shared" si="485"/>
        <v>389.35</v>
      </c>
    </row>
    <row r="6391" spans="1:13" ht="12.75" customHeight="1">
      <c r="A6391" s="4" t="s">
        <v>1155</v>
      </c>
      <c r="B6391" s="8">
        <v>1</v>
      </c>
      <c r="C6391" s="6" t="s">
        <v>213</v>
      </c>
      <c r="D6391" s="37">
        <f>Prec.!$D$550</f>
        <v>13.48</v>
      </c>
      <c r="E6391" s="25">
        <f t="shared" si="485"/>
        <v>13.48</v>
      </c>
    </row>
    <row r="6392" spans="1:13" ht="12.75" customHeight="1">
      <c r="A6392" s="4" t="s">
        <v>1154</v>
      </c>
      <c r="B6392" s="8">
        <v>7.0000000000000007E-2</v>
      </c>
      <c r="C6392" s="6" t="s">
        <v>1172</v>
      </c>
      <c r="D6392" s="37">
        <f>Prec.!$D$563</f>
        <v>12.04</v>
      </c>
      <c r="E6392" s="25">
        <f t="shared" si="485"/>
        <v>0.84</v>
      </c>
    </row>
    <row r="6393" spans="1:13" ht="12.75" customHeight="1">
      <c r="A6393" s="4" t="s">
        <v>208</v>
      </c>
      <c r="B6393" s="7">
        <f>SUM(E6385:E6392)</f>
        <v>918.84</v>
      </c>
      <c r="C6393" s="6" t="s">
        <v>209</v>
      </c>
      <c r="D6393" s="37">
        <f>Prec.!C302</f>
        <v>1.4999999999999999E-2</v>
      </c>
      <c r="E6393" s="25">
        <f t="shared" si="485"/>
        <v>13.78</v>
      </c>
      <c r="F6393" s="26">
        <f>SUM(E6385:E6393)</f>
        <v>932.62</v>
      </c>
    </row>
    <row r="6394" spans="1:13" s="166" customFormat="1" ht="9" customHeight="1">
      <c r="B6394" s="7"/>
      <c r="C6394" s="165"/>
      <c r="D6394" s="37"/>
      <c r="E6394" s="25"/>
      <c r="F6394" s="26"/>
      <c r="G6394" s="15"/>
      <c r="H6394" s="21"/>
      <c r="I6394" s="15"/>
      <c r="J6394" s="15"/>
      <c r="K6394" s="15"/>
      <c r="L6394" s="21"/>
      <c r="M6394" s="15"/>
    </row>
    <row r="6395" spans="1:13" ht="12.75" customHeight="1">
      <c r="A6395" s="1530" t="s">
        <v>522</v>
      </c>
      <c r="B6395" s="1531"/>
      <c r="C6395" s="1532"/>
      <c r="D6395" s="1533"/>
      <c r="E6395" s="1534" t="s">
        <v>151</v>
      </c>
      <c r="F6395" s="1535" t="s">
        <v>213</v>
      </c>
    </row>
    <row r="6396" spans="1:13" ht="12.75" customHeight="1">
      <c r="A6396" s="1536" t="s">
        <v>863</v>
      </c>
      <c r="B6396" s="1537">
        <v>1.05</v>
      </c>
      <c r="C6396" s="1538" t="s">
        <v>213</v>
      </c>
      <c r="D6396" s="1533">
        <f>Prec.!C120</f>
        <v>600</v>
      </c>
      <c r="E6396" s="1539">
        <f t="shared" ref="E6396:E6404" si="486">ROUND(B6396*D6396,2)</f>
        <v>630</v>
      </c>
      <c r="F6396" s="1540"/>
    </row>
    <row r="6397" spans="1:13" ht="12.75" customHeight="1">
      <c r="A6397" s="1536" t="s">
        <v>673</v>
      </c>
      <c r="B6397" s="1537">
        <v>7.0000000000000007E-2</v>
      </c>
      <c r="C6397" s="1538" t="s">
        <v>1172</v>
      </c>
      <c r="D6397" s="1533">
        <f>Prec.!$C$8</f>
        <v>250</v>
      </c>
      <c r="E6397" s="1539">
        <f t="shared" si="486"/>
        <v>17.5</v>
      </c>
      <c r="F6397" s="1540"/>
    </row>
    <row r="6398" spans="1:13" ht="12.75" customHeight="1">
      <c r="A6398" s="1536" t="s">
        <v>1119</v>
      </c>
      <c r="B6398" s="1537">
        <v>2.1999999999999999E-2</v>
      </c>
      <c r="C6398" s="1538" t="s">
        <v>825</v>
      </c>
      <c r="D6398" s="1533">
        <f>D6387</f>
        <v>7660.1799999999994</v>
      </c>
      <c r="E6398" s="1539">
        <f t="shared" si="486"/>
        <v>168.52</v>
      </c>
      <c r="F6398" s="1540"/>
    </row>
    <row r="6399" spans="1:13" ht="12.75" customHeight="1">
      <c r="A6399" s="1536" t="s">
        <v>1173</v>
      </c>
      <c r="B6399" s="1537">
        <v>0.05</v>
      </c>
      <c r="C6399" s="1538" t="s">
        <v>1018</v>
      </c>
      <c r="D6399" s="1533">
        <f>Prec.!$C$82</f>
        <v>75</v>
      </c>
      <c r="E6399" s="1539">
        <f t="shared" si="486"/>
        <v>3.75</v>
      </c>
      <c r="F6399" s="1540"/>
    </row>
    <row r="6400" spans="1:13" ht="12.75" customHeight="1">
      <c r="A6400" s="1536" t="s">
        <v>623</v>
      </c>
      <c r="B6400" s="1537">
        <v>3.5</v>
      </c>
      <c r="C6400" s="1538" t="s">
        <v>1017</v>
      </c>
      <c r="D6400" s="1533">
        <f>D6389</f>
        <v>5.97</v>
      </c>
      <c r="E6400" s="1539">
        <f t="shared" si="486"/>
        <v>20.9</v>
      </c>
      <c r="F6400" s="1540"/>
    </row>
    <row r="6401" spans="1:6" ht="12.75" customHeight="1">
      <c r="A6401" s="1536" t="s">
        <v>674</v>
      </c>
      <c r="B6401" s="1537">
        <v>1</v>
      </c>
      <c r="C6401" s="1538" t="s">
        <v>213</v>
      </c>
      <c r="D6401" s="1533">
        <f>Prec.!D520</f>
        <v>445.02</v>
      </c>
      <c r="E6401" s="1539">
        <f t="shared" si="486"/>
        <v>445.02</v>
      </c>
      <c r="F6401" s="1540"/>
    </row>
    <row r="6402" spans="1:6" ht="12.75" customHeight="1">
      <c r="A6402" s="1536" t="s">
        <v>1155</v>
      </c>
      <c r="B6402" s="1537">
        <v>1</v>
      </c>
      <c r="C6402" s="1538" t="s">
        <v>213</v>
      </c>
      <c r="D6402" s="1533">
        <f>D6391</f>
        <v>13.48</v>
      </c>
      <c r="E6402" s="1539">
        <f t="shared" si="486"/>
        <v>13.48</v>
      </c>
      <c r="F6402" s="1540"/>
    </row>
    <row r="6403" spans="1:6" ht="12.75" customHeight="1">
      <c r="A6403" s="1536" t="s">
        <v>1154</v>
      </c>
      <c r="B6403" s="1537">
        <v>7.0000000000000007E-2</v>
      </c>
      <c r="C6403" s="1538" t="s">
        <v>1172</v>
      </c>
      <c r="D6403" s="1533">
        <f>D6392</f>
        <v>12.04</v>
      </c>
      <c r="E6403" s="1539">
        <f t="shared" si="486"/>
        <v>0.84</v>
      </c>
      <c r="F6403" s="1540"/>
    </row>
    <row r="6404" spans="1:6" ht="12.75" customHeight="1">
      <c r="A6404" s="1536" t="s">
        <v>208</v>
      </c>
      <c r="B6404" s="1541">
        <f>SUM(E6396:E6403)</f>
        <v>1300.01</v>
      </c>
      <c r="C6404" s="1538" t="s">
        <v>209</v>
      </c>
      <c r="D6404" s="1533">
        <v>0.02</v>
      </c>
      <c r="E6404" s="1539">
        <f t="shared" si="486"/>
        <v>26</v>
      </c>
      <c r="F6404" s="1540">
        <f>SUM(E6396:E6404)</f>
        <v>1326.01</v>
      </c>
    </row>
    <row r="6405" spans="1:6" ht="7.5" customHeight="1">
      <c r="A6405" s="12"/>
      <c r="B6405" s="14"/>
      <c r="C6405" s="24"/>
      <c r="D6405" s="35"/>
      <c r="E6405" s="31"/>
      <c r="F6405" s="32"/>
    </row>
    <row r="6406" spans="1:6" ht="12.75" customHeight="1">
      <c r="A6406" s="13" t="s">
        <v>242</v>
      </c>
      <c r="B6406" s="42"/>
      <c r="C6406" s="29"/>
      <c r="D6406" s="35"/>
      <c r="E6406" s="43" t="s">
        <v>151</v>
      </c>
      <c r="F6406" s="44" t="s">
        <v>213</v>
      </c>
    </row>
    <row r="6407" spans="1:6" ht="12.75" customHeight="1">
      <c r="A6407" s="12" t="s">
        <v>864</v>
      </c>
      <c r="B6407" s="30">
        <v>1.05</v>
      </c>
      <c r="C6407" s="24" t="s">
        <v>213</v>
      </c>
      <c r="D6407" s="35">
        <f>Prec.!$C$122</f>
        <v>350</v>
      </c>
      <c r="E6407" s="31">
        <f t="shared" ref="E6407:E6415" si="487">ROUND(B6407*D6407,2)</f>
        <v>367.5</v>
      </c>
      <c r="F6407" s="32"/>
    </row>
    <row r="6408" spans="1:6" ht="12.75" customHeight="1">
      <c r="A6408" s="12" t="s">
        <v>673</v>
      </c>
      <c r="B6408" s="30">
        <v>7.0000000000000007E-2</v>
      </c>
      <c r="C6408" s="24" t="s">
        <v>1172</v>
      </c>
      <c r="D6408" s="35">
        <f>Prec.!$C$8</f>
        <v>250</v>
      </c>
      <c r="E6408" s="31">
        <f t="shared" si="487"/>
        <v>17.5</v>
      </c>
      <c r="F6408" s="32"/>
    </row>
    <row r="6409" spans="1:6" ht="12.75" customHeight="1">
      <c r="A6409" s="12" t="s">
        <v>1119</v>
      </c>
      <c r="B6409" s="30">
        <v>2.1999999999999999E-2</v>
      </c>
      <c r="C6409" s="24" t="s">
        <v>825</v>
      </c>
      <c r="D6409" s="35">
        <f>D6387</f>
        <v>7660.1799999999994</v>
      </c>
      <c r="E6409" s="31">
        <f t="shared" si="487"/>
        <v>168.52</v>
      </c>
      <c r="F6409" s="32"/>
    </row>
    <row r="6410" spans="1:6" ht="12.75" customHeight="1">
      <c r="A6410" s="12" t="s">
        <v>1173</v>
      </c>
      <c r="B6410" s="30">
        <v>0.05</v>
      </c>
      <c r="C6410" s="24" t="s">
        <v>1018</v>
      </c>
      <c r="D6410" s="35">
        <f>Prec.!$C$82</f>
        <v>75</v>
      </c>
      <c r="E6410" s="31">
        <f t="shared" si="487"/>
        <v>3.75</v>
      </c>
      <c r="F6410" s="32"/>
    </row>
    <row r="6411" spans="1:6" ht="12.75" customHeight="1">
      <c r="A6411" s="12" t="s">
        <v>623</v>
      </c>
      <c r="B6411" s="30">
        <v>3.5</v>
      </c>
      <c r="C6411" s="24" t="s">
        <v>1017</v>
      </c>
      <c r="D6411" s="35">
        <f>D6389</f>
        <v>5.97</v>
      </c>
      <c r="E6411" s="31">
        <f t="shared" si="487"/>
        <v>20.9</v>
      </c>
      <c r="F6411" s="32"/>
    </row>
    <row r="6412" spans="1:6" ht="12.75" customHeight="1">
      <c r="A6412" s="12" t="s">
        <v>674</v>
      </c>
      <c r="B6412" s="30">
        <v>1</v>
      </c>
      <c r="C6412" s="24" t="s">
        <v>213</v>
      </c>
      <c r="D6412" s="35">
        <f>Prec.!$D$517</f>
        <v>0</v>
      </c>
      <c r="E6412" s="31">
        <f t="shared" si="487"/>
        <v>0</v>
      </c>
      <c r="F6412" s="32"/>
    </row>
    <row r="6413" spans="1:6" ht="12.75" customHeight="1">
      <c r="A6413" s="12" t="s">
        <v>1155</v>
      </c>
      <c r="B6413" s="30">
        <v>1</v>
      </c>
      <c r="C6413" s="24" t="s">
        <v>213</v>
      </c>
      <c r="D6413" s="35">
        <f>Prec.!$D$550</f>
        <v>13.48</v>
      </c>
      <c r="E6413" s="31">
        <f t="shared" si="487"/>
        <v>13.48</v>
      </c>
      <c r="F6413" s="32"/>
    </row>
    <row r="6414" spans="1:6" ht="12.75" customHeight="1">
      <c r="A6414" s="4" t="s">
        <v>1154</v>
      </c>
      <c r="B6414" s="8">
        <v>7.0000000000000007E-2</v>
      </c>
      <c r="C6414" s="6" t="s">
        <v>1172</v>
      </c>
      <c r="D6414" s="37">
        <f>Prec.!$D$563</f>
        <v>12.04</v>
      </c>
      <c r="E6414" s="25">
        <f t="shared" si="487"/>
        <v>0.84</v>
      </c>
    </row>
    <row r="6415" spans="1:6" ht="12.75" customHeight="1">
      <c r="A6415" s="4" t="s">
        <v>208</v>
      </c>
      <c r="B6415" s="7">
        <f>SUM(E6407:E6414)</f>
        <v>592.49</v>
      </c>
      <c r="C6415" s="6" t="s">
        <v>209</v>
      </c>
      <c r="D6415" s="37">
        <f>Prec.!C302</f>
        <v>1.4999999999999999E-2</v>
      </c>
      <c r="E6415" s="25">
        <f t="shared" si="487"/>
        <v>8.89</v>
      </c>
      <c r="F6415" s="26">
        <f>SUM(E6407:E6415)</f>
        <v>601.38</v>
      </c>
    </row>
    <row r="6416" spans="1:6" ht="5.25" customHeight="1">
      <c r="B6416" s="7"/>
    </row>
    <row r="6417" spans="1:6" ht="12.75" customHeight="1">
      <c r="A6417" s="1" t="s">
        <v>785</v>
      </c>
      <c r="B6417" s="11"/>
      <c r="C6417" s="2"/>
      <c r="E6417" s="27" t="s">
        <v>151</v>
      </c>
      <c r="F6417" s="28" t="s">
        <v>213</v>
      </c>
    </row>
    <row r="6418" spans="1:6" ht="12.75" customHeight="1">
      <c r="A6418" s="4" t="s">
        <v>862</v>
      </c>
      <c r="B6418" s="8">
        <v>1.05</v>
      </c>
      <c r="C6418" s="6" t="s">
        <v>213</v>
      </c>
      <c r="D6418" s="37">
        <f>Prec.!$C$123</f>
        <v>250</v>
      </c>
      <c r="E6418" s="25">
        <f t="shared" ref="E6418:E6426" si="488">ROUND(B6418*D6418,2)</f>
        <v>262.5</v>
      </c>
    </row>
    <row r="6419" spans="1:6" ht="12.75" customHeight="1">
      <c r="A6419" s="4" t="s">
        <v>673</v>
      </c>
      <c r="B6419" s="8">
        <v>7.0000000000000007E-2</v>
      </c>
      <c r="C6419" s="6" t="s">
        <v>1172</v>
      </c>
      <c r="D6419" s="37">
        <f>Prec.!$C$8</f>
        <v>250</v>
      </c>
      <c r="E6419" s="25">
        <f t="shared" si="488"/>
        <v>17.5</v>
      </c>
    </row>
    <row r="6420" spans="1:6" ht="12.75" customHeight="1">
      <c r="A6420" s="4" t="s">
        <v>1119</v>
      </c>
      <c r="B6420" s="8">
        <v>2.1999999999999999E-2</v>
      </c>
      <c r="C6420" s="6" t="s">
        <v>825</v>
      </c>
      <c r="D6420" s="37">
        <f>D6409</f>
        <v>7660.1799999999994</v>
      </c>
      <c r="E6420" s="25">
        <f t="shared" si="488"/>
        <v>168.52</v>
      </c>
    </row>
    <row r="6421" spans="1:6" ht="12.75" customHeight="1">
      <c r="A6421" s="4" t="s">
        <v>1173</v>
      </c>
      <c r="B6421" s="8">
        <v>0.05</v>
      </c>
      <c r="C6421" s="6" t="s">
        <v>1018</v>
      </c>
      <c r="D6421" s="37">
        <f>Prec.!$C$82</f>
        <v>75</v>
      </c>
      <c r="E6421" s="25">
        <f t="shared" si="488"/>
        <v>3.75</v>
      </c>
    </row>
    <row r="6422" spans="1:6" ht="12.75" customHeight="1">
      <c r="A6422" s="4" t="s">
        <v>623</v>
      </c>
      <c r="B6422" s="8">
        <v>3.5</v>
      </c>
      <c r="C6422" s="6" t="s">
        <v>1017</v>
      </c>
      <c r="D6422" s="37">
        <f>D6411</f>
        <v>5.97</v>
      </c>
      <c r="E6422" s="25">
        <f t="shared" si="488"/>
        <v>20.9</v>
      </c>
    </row>
    <row r="6423" spans="1:6" ht="12.75" customHeight="1">
      <c r="A6423" s="4" t="s">
        <v>674</v>
      </c>
      <c r="B6423" s="8">
        <v>1</v>
      </c>
      <c r="C6423" s="6" t="s">
        <v>213</v>
      </c>
      <c r="D6423" s="37">
        <f>Prec.!$D$517</f>
        <v>0</v>
      </c>
      <c r="E6423" s="25">
        <f t="shared" si="488"/>
        <v>0</v>
      </c>
    </row>
    <row r="6424" spans="1:6" ht="12.75" customHeight="1">
      <c r="A6424" s="4" t="s">
        <v>1155</v>
      </c>
      <c r="B6424" s="8">
        <v>1</v>
      </c>
      <c r="C6424" s="6" t="s">
        <v>213</v>
      </c>
      <c r="D6424" s="37">
        <f>Prec.!$D$550</f>
        <v>13.48</v>
      </c>
      <c r="E6424" s="25">
        <f t="shared" si="488"/>
        <v>13.48</v>
      </c>
    </row>
    <row r="6425" spans="1:6" ht="12.75" customHeight="1">
      <c r="A6425" s="4" t="s">
        <v>1154</v>
      </c>
      <c r="B6425" s="8">
        <v>7.0000000000000007E-2</v>
      </c>
      <c r="C6425" s="6" t="s">
        <v>1172</v>
      </c>
      <c r="D6425" s="37">
        <f>Prec.!$D$563</f>
        <v>12.04</v>
      </c>
      <c r="E6425" s="25">
        <f t="shared" si="488"/>
        <v>0.84</v>
      </c>
    </row>
    <row r="6426" spans="1:6" ht="12.75" customHeight="1">
      <c r="A6426" s="4" t="s">
        <v>208</v>
      </c>
      <c r="B6426" s="7">
        <f>SUM(E6418:E6425)</f>
        <v>487.48999999999995</v>
      </c>
      <c r="C6426" s="6" t="s">
        <v>209</v>
      </c>
      <c r="D6426" s="37">
        <f>Prec.!C302</f>
        <v>1.4999999999999999E-2</v>
      </c>
      <c r="E6426" s="25">
        <f t="shared" si="488"/>
        <v>7.31</v>
      </c>
      <c r="F6426" s="26">
        <f>SUM(E6418:E6426)</f>
        <v>494.79999999999995</v>
      </c>
    </row>
    <row r="6427" spans="1:6" ht="12.75" customHeight="1">
      <c r="A6427" s="1" t="s">
        <v>776</v>
      </c>
      <c r="B6427" s="11"/>
      <c r="C6427" s="2"/>
      <c r="E6427" s="27" t="s">
        <v>151</v>
      </c>
      <c r="F6427" s="28" t="s">
        <v>213</v>
      </c>
    </row>
    <row r="6428" spans="1:6" ht="12.75" customHeight="1">
      <c r="A6428" s="4" t="s">
        <v>862</v>
      </c>
      <c r="B6428" s="8">
        <v>1.05</v>
      </c>
      <c r="C6428" s="6" t="s">
        <v>213</v>
      </c>
      <c r="D6428" s="37">
        <f>Prec.!C124</f>
        <v>261</v>
      </c>
      <c r="E6428" s="25">
        <f t="shared" ref="E6428:E6436" si="489">ROUND(B6428*D6428,2)</f>
        <v>274.05</v>
      </c>
    </row>
    <row r="6429" spans="1:6" ht="12.75" customHeight="1">
      <c r="A6429" s="4" t="s">
        <v>673</v>
      </c>
      <c r="B6429" s="8">
        <v>7.0000000000000007E-2</v>
      </c>
      <c r="C6429" s="6" t="s">
        <v>1172</v>
      </c>
      <c r="D6429" s="37">
        <f>Prec.!$C$8</f>
        <v>250</v>
      </c>
      <c r="E6429" s="25">
        <f t="shared" si="489"/>
        <v>17.5</v>
      </c>
    </row>
    <row r="6430" spans="1:6" ht="12.75" customHeight="1">
      <c r="A6430" s="4" t="s">
        <v>1119</v>
      </c>
      <c r="B6430" s="8">
        <v>2.1999999999999999E-2</v>
      </c>
      <c r="C6430" s="6" t="s">
        <v>825</v>
      </c>
      <c r="D6430" s="37">
        <f>horm.ymez.!E12</f>
        <v>7660.1799999999994</v>
      </c>
      <c r="E6430" s="25">
        <f t="shared" si="489"/>
        <v>168.52</v>
      </c>
    </row>
    <row r="6431" spans="1:6" ht="12.75" customHeight="1">
      <c r="A6431" s="4" t="s">
        <v>1173</v>
      </c>
      <c r="B6431" s="8">
        <v>0.05</v>
      </c>
      <c r="C6431" s="6" t="s">
        <v>1018</v>
      </c>
      <c r="D6431" s="37">
        <f>Prec.!$C$82</f>
        <v>75</v>
      </c>
      <c r="E6431" s="25">
        <f t="shared" si="489"/>
        <v>3.75</v>
      </c>
    </row>
    <row r="6432" spans="1:6" ht="12.75" customHeight="1">
      <c r="A6432" s="4" t="s">
        <v>623</v>
      </c>
      <c r="B6432" s="8">
        <v>3.5</v>
      </c>
      <c r="C6432" s="6" t="s">
        <v>1017</v>
      </c>
      <c r="D6432" s="37">
        <f>D6422</f>
        <v>5.97</v>
      </c>
      <c r="E6432" s="25">
        <f t="shared" si="489"/>
        <v>20.9</v>
      </c>
    </row>
    <row r="6433" spans="1:6" ht="12.75" customHeight="1">
      <c r="A6433" s="4" t="s">
        <v>674</v>
      </c>
      <c r="B6433" s="8">
        <v>1</v>
      </c>
      <c r="C6433" s="6" t="s">
        <v>213</v>
      </c>
      <c r="D6433" s="37">
        <f>Prec.!$D$517</f>
        <v>0</v>
      </c>
      <c r="E6433" s="25">
        <f t="shared" si="489"/>
        <v>0</v>
      </c>
    </row>
    <row r="6434" spans="1:6" ht="12.75" customHeight="1">
      <c r="A6434" s="4" t="s">
        <v>1155</v>
      </c>
      <c r="B6434" s="8">
        <v>1</v>
      </c>
      <c r="C6434" s="6" t="s">
        <v>213</v>
      </c>
      <c r="D6434" s="37">
        <f>Prec.!$D$550</f>
        <v>13.48</v>
      </c>
      <c r="E6434" s="25">
        <f t="shared" si="489"/>
        <v>13.48</v>
      </c>
    </row>
    <row r="6435" spans="1:6" ht="12.75" customHeight="1">
      <c r="A6435" s="4" t="s">
        <v>1154</v>
      </c>
      <c r="B6435" s="8">
        <v>7.0000000000000007E-2</v>
      </c>
      <c r="C6435" s="6" t="s">
        <v>1172</v>
      </c>
      <c r="D6435" s="37">
        <f>Prec.!$D$563</f>
        <v>12.04</v>
      </c>
      <c r="E6435" s="25">
        <f t="shared" si="489"/>
        <v>0.84</v>
      </c>
    </row>
    <row r="6436" spans="1:6" ht="12.75" customHeight="1">
      <c r="A6436" s="4" t="s">
        <v>208</v>
      </c>
      <c r="B6436" s="7">
        <f>SUM(E6428:E6435)</f>
        <v>499.04</v>
      </c>
      <c r="C6436" s="6" t="s">
        <v>209</v>
      </c>
      <c r="D6436" s="37">
        <f>Prec.!C302</f>
        <v>1.4999999999999999E-2</v>
      </c>
      <c r="E6436" s="25">
        <f t="shared" si="489"/>
        <v>7.49</v>
      </c>
      <c r="F6436" s="26">
        <f>SUM(E6428:E6436)</f>
        <v>506.53000000000003</v>
      </c>
    </row>
    <row r="6437" spans="1:6" ht="12.75" customHeight="1">
      <c r="B6437" s="7"/>
    </row>
    <row r="6438" spans="1:6" ht="12.75" customHeight="1">
      <c r="A6438" s="13" t="s">
        <v>777</v>
      </c>
      <c r="B6438" s="11"/>
      <c r="C6438" s="2"/>
      <c r="E6438" s="27" t="s">
        <v>151</v>
      </c>
      <c r="F6438" s="28" t="s">
        <v>213</v>
      </c>
    </row>
    <row r="6439" spans="1:6" ht="12.75" customHeight="1">
      <c r="A6439" s="4" t="s">
        <v>103</v>
      </c>
      <c r="B6439" s="8">
        <v>1.05</v>
      </c>
      <c r="C6439" s="6" t="s">
        <v>213</v>
      </c>
      <c r="D6439" s="35">
        <f>Prec.!C125</f>
        <v>238.96</v>
      </c>
      <c r="E6439" s="25">
        <f t="shared" ref="E6439:E6447" si="490">ROUND(B6439*D6439,2)</f>
        <v>250.91</v>
      </c>
    </row>
    <row r="6440" spans="1:6" ht="12.75" customHeight="1">
      <c r="A6440" s="4" t="s">
        <v>673</v>
      </c>
      <c r="B6440" s="8">
        <v>7.0000000000000007E-2</v>
      </c>
      <c r="C6440" s="6" t="s">
        <v>1172</v>
      </c>
      <c r="D6440" s="37">
        <f>Prec.!$C$8</f>
        <v>250</v>
      </c>
      <c r="E6440" s="25">
        <f t="shared" si="490"/>
        <v>17.5</v>
      </c>
    </row>
    <row r="6441" spans="1:6" ht="12.75" customHeight="1">
      <c r="A6441" s="4" t="s">
        <v>1119</v>
      </c>
      <c r="B6441" s="8">
        <v>2.1999999999999999E-2</v>
      </c>
      <c r="C6441" s="6" t="s">
        <v>825</v>
      </c>
      <c r="D6441" s="37">
        <f>D6430</f>
        <v>7660.1799999999994</v>
      </c>
      <c r="E6441" s="25">
        <f t="shared" si="490"/>
        <v>168.52</v>
      </c>
    </row>
    <row r="6442" spans="1:6" ht="12.75" customHeight="1">
      <c r="A6442" s="4" t="s">
        <v>1173</v>
      </c>
      <c r="B6442" s="8">
        <v>0.05</v>
      </c>
      <c r="C6442" s="6" t="s">
        <v>1018</v>
      </c>
      <c r="D6442" s="37">
        <f>Prec.!$C$82</f>
        <v>75</v>
      </c>
      <c r="E6442" s="25">
        <f t="shared" si="490"/>
        <v>3.75</v>
      </c>
    </row>
    <row r="6443" spans="1:6" ht="12.75" customHeight="1">
      <c r="A6443" s="4" t="s">
        <v>623</v>
      </c>
      <c r="B6443" s="8">
        <v>3.5</v>
      </c>
      <c r="C6443" s="6" t="s">
        <v>1017</v>
      </c>
      <c r="D6443" s="37">
        <f>D6432</f>
        <v>5.97</v>
      </c>
      <c r="E6443" s="25">
        <f t="shared" si="490"/>
        <v>20.9</v>
      </c>
    </row>
    <row r="6444" spans="1:6" ht="12.75" customHeight="1">
      <c r="A6444" s="4" t="s">
        <v>674</v>
      </c>
      <c r="B6444" s="8">
        <v>1</v>
      </c>
      <c r="C6444" s="6" t="s">
        <v>213</v>
      </c>
      <c r="D6444" s="37">
        <f>Prec.!$D$517</f>
        <v>0</v>
      </c>
      <c r="E6444" s="25">
        <f t="shared" si="490"/>
        <v>0</v>
      </c>
    </row>
    <row r="6445" spans="1:6" ht="12.75" customHeight="1">
      <c r="A6445" s="4" t="s">
        <v>1155</v>
      </c>
      <c r="B6445" s="8">
        <v>1</v>
      </c>
      <c r="C6445" s="6" t="s">
        <v>213</v>
      </c>
      <c r="D6445" s="37">
        <f>Prec.!$D$550</f>
        <v>13.48</v>
      </c>
      <c r="E6445" s="25">
        <f t="shared" si="490"/>
        <v>13.48</v>
      </c>
    </row>
    <row r="6446" spans="1:6" ht="12.75" customHeight="1">
      <c r="A6446" s="4" t="s">
        <v>1154</v>
      </c>
      <c r="B6446" s="8">
        <v>7.0000000000000007E-2</v>
      </c>
      <c r="C6446" s="6" t="s">
        <v>1172</v>
      </c>
      <c r="D6446" s="37">
        <f>Prec.!$D$563</f>
        <v>12.04</v>
      </c>
      <c r="E6446" s="25">
        <f t="shared" si="490"/>
        <v>0.84</v>
      </c>
    </row>
    <row r="6447" spans="1:6" ht="12.75" customHeight="1">
      <c r="A6447" s="4" t="s">
        <v>208</v>
      </c>
      <c r="B6447" s="7">
        <f>SUM(E6439:E6444)</f>
        <v>461.57999999999993</v>
      </c>
      <c r="C6447" s="6" t="s">
        <v>209</v>
      </c>
      <c r="D6447" s="37">
        <f>Prec.!C302</f>
        <v>1.4999999999999999E-2</v>
      </c>
      <c r="E6447" s="25">
        <f t="shared" si="490"/>
        <v>6.92</v>
      </c>
      <c r="F6447" s="26">
        <f>SUM(E6439:E6447)</f>
        <v>482.81999999999994</v>
      </c>
    </row>
    <row r="6448" spans="1:6" ht="12.75" customHeight="1">
      <c r="B6448" s="7"/>
    </row>
    <row r="6449" spans="1:6" ht="12.75" customHeight="1">
      <c r="A6449" s="13" t="s">
        <v>786</v>
      </c>
      <c r="B6449" s="11"/>
      <c r="C6449" s="2"/>
      <c r="E6449" s="27" t="s">
        <v>151</v>
      </c>
      <c r="F6449" s="28" t="s">
        <v>213</v>
      </c>
    </row>
    <row r="6450" spans="1:6" ht="12.75" customHeight="1">
      <c r="A6450" s="4" t="s">
        <v>190</v>
      </c>
      <c r="B6450" s="8">
        <v>50</v>
      </c>
      <c r="C6450" s="6" t="s">
        <v>1017</v>
      </c>
      <c r="D6450" s="37">
        <f>Prec.!$C$131</f>
        <v>10.82</v>
      </c>
      <c r="E6450" s="25">
        <f t="shared" ref="E6450:E6457" si="491">ROUND(B6450*D6450,2)</f>
        <v>541</v>
      </c>
    </row>
    <row r="6451" spans="1:6" ht="12.75" customHeight="1">
      <c r="A6451" s="4" t="s">
        <v>191</v>
      </c>
      <c r="B6451" s="8">
        <v>5.0000000000000001E-3</v>
      </c>
      <c r="C6451" s="6" t="s">
        <v>1228</v>
      </c>
      <c r="D6451" s="37">
        <f>Prec.!$C$28</f>
        <v>200</v>
      </c>
      <c r="E6451" s="25">
        <f t="shared" si="491"/>
        <v>1</v>
      </c>
    </row>
    <row r="6452" spans="1:6" ht="12.75" customHeight="1">
      <c r="A6452" s="4" t="s">
        <v>427</v>
      </c>
      <c r="B6452" s="8">
        <v>1.2E-2</v>
      </c>
      <c r="C6452" s="6" t="s">
        <v>825</v>
      </c>
      <c r="D6452" s="37">
        <f>horm.ymez.!E8</f>
        <v>7012.85</v>
      </c>
      <c r="E6452" s="25">
        <f t="shared" si="491"/>
        <v>84.15</v>
      </c>
    </row>
    <row r="6453" spans="1:6" ht="12.75" customHeight="1">
      <c r="A6453" s="4" t="s">
        <v>1173</v>
      </c>
      <c r="B6453" s="8">
        <v>0.05</v>
      </c>
      <c r="C6453" s="6" t="s">
        <v>1018</v>
      </c>
      <c r="D6453" s="37">
        <f>Prec.!$C$82</f>
        <v>75</v>
      </c>
      <c r="E6453" s="25">
        <f t="shared" si="491"/>
        <v>3.75</v>
      </c>
    </row>
    <row r="6454" spans="1:6" ht="12.75" customHeight="1">
      <c r="A6454" s="4" t="s">
        <v>293</v>
      </c>
      <c r="B6454" s="8">
        <v>7.0999999999999994E-2</v>
      </c>
      <c r="C6454" s="6" t="s">
        <v>1017</v>
      </c>
      <c r="D6454" s="35">
        <f>Prec.!D494</f>
        <v>11.93</v>
      </c>
      <c r="E6454" s="25">
        <f t="shared" si="491"/>
        <v>0.85</v>
      </c>
    </row>
    <row r="6455" spans="1:6" ht="12.75" customHeight="1">
      <c r="A6455" s="4" t="s">
        <v>294</v>
      </c>
      <c r="B6455" s="8">
        <v>50</v>
      </c>
      <c r="C6455" s="6" t="s">
        <v>1017</v>
      </c>
      <c r="D6455" s="37">
        <f>Prec.!$D$521</f>
        <v>7.81</v>
      </c>
      <c r="E6455" s="25">
        <f t="shared" si="491"/>
        <v>390.5</v>
      </c>
    </row>
    <row r="6456" spans="1:6" ht="12.75" customHeight="1">
      <c r="A6456" s="4" t="s">
        <v>638</v>
      </c>
      <c r="B6456" s="8">
        <v>50</v>
      </c>
      <c r="C6456" s="6" t="s">
        <v>1017</v>
      </c>
      <c r="D6456" s="37">
        <f>Prec.!$D$581</f>
        <v>0.46</v>
      </c>
      <c r="E6456" s="25">
        <f t="shared" si="491"/>
        <v>23</v>
      </c>
    </row>
    <row r="6457" spans="1:6" ht="12.75" customHeight="1">
      <c r="A6457" s="4" t="s">
        <v>208</v>
      </c>
      <c r="B6457" s="7">
        <f>SUM(E6450:E6455)</f>
        <v>1021.25</v>
      </c>
      <c r="C6457" s="6" t="s">
        <v>209</v>
      </c>
      <c r="D6457" s="37">
        <f>Prec.!C302</f>
        <v>1.4999999999999999E-2</v>
      </c>
      <c r="E6457" s="25">
        <f t="shared" si="491"/>
        <v>15.32</v>
      </c>
      <c r="F6457" s="26">
        <f>SUM(E6450:E6457)</f>
        <v>1059.57</v>
      </c>
    </row>
    <row r="6458" spans="1:6" ht="12.75" customHeight="1">
      <c r="B6458" s="7"/>
    </row>
    <row r="6459" spans="1:6" ht="12.75" customHeight="1">
      <c r="A6459" s="13" t="s">
        <v>524</v>
      </c>
      <c r="B6459" s="11"/>
      <c r="C6459" s="2"/>
      <c r="E6459" s="27" t="s">
        <v>151</v>
      </c>
      <c r="F6459" s="28" t="s">
        <v>213</v>
      </c>
    </row>
    <row r="6460" spans="1:6" ht="12.75" customHeight="1">
      <c r="A6460" s="4" t="s">
        <v>190</v>
      </c>
      <c r="B6460" s="8">
        <v>100</v>
      </c>
      <c r="C6460" s="6" t="s">
        <v>1017</v>
      </c>
      <c r="D6460" s="37">
        <f>Prec.!$C$132</f>
        <v>8.7899999999999991</v>
      </c>
      <c r="E6460" s="25">
        <f t="shared" ref="E6460:E6467" si="492">ROUND(B6460*D6460,2)</f>
        <v>879</v>
      </c>
    </row>
    <row r="6461" spans="1:6" ht="12.75" customHeight="1">
      <c r="A6461" s="4" t="s">
        <v>191</v>
      </c>
      <c r="B6461" s="8">
        <v>5.0000000000000001E-3</v>
      </c>
      <c r="C6461" s="6" t="s">
        <v>1228</v>
      </c>
      <c r="D6461" s="37">
        <f>Prec.!$C$28</f>
        <v>200</v>
      </c>
      <c r="E6461" s="25">
        <f t="shared" si="492"/>
        <v>1</v>
      </c>
    </row>
    <row r="6462" spans="1:6" ht="12.75" customHeight="1">
      <c r="A6462" s="4" t="s">
        <v>427</v>
      </c>
      <c r="B6462" s="8">
        <v>1.2E-2</v>
      </c>
      <c r="C6462" s="6" t="s">
        <v>825</v>
      </c>
      <c r="D6462" s="37">
        <f>horm.ymez.!E8</f>
        <v>7012.85</v>
      </c>
      <c r="E6462" s="25">
        <f t="shared" si="492"/>
        <v>84.15</v>
      </c>
    </row>
    <row r="6463" spans="1:6" ht="12.75" customHeight="1">
      <c r="A6463" s="4" t="s">
        <v>1173</v>
      </c>
      <c r="B6463" s="8">
        <v>0.05</v>
      </c>
      <c r="C6463" s="6" t="s">
        <v>1018</v>
      </c>
      <c r="D6463" s="37">
        <f>Prec.!$C$82</f>
        <v>75</v>
      </c>
      <c r="E6463" s="25">
        <f t="shared" si="492"/>
        <v>3.75</v>
      </c>
    </row>
    <row r="6464" spans="1:6" ht="12.75" customHeight="1">
      <c r="A6464" s="4" t="s">
        <v>293</v>
      </c>
      <c r="B6464" s="8">
        <v>7.0999999999999994E-2</v>
      </c>
      <c r="C6464" s="6" t="s">
        <v>1017</v>
      </c>
      <c r="D6464" s="37">
        <f>Prec.!D495</f>
        <v>9.5500000000000007</v>
      </c>
      <c r="E6464" s="25">
        <f t="shared" si="492"/>
        <v>0.68</v>
      </c>
    </row>
    <row r="6465" spans="1:13" ht="12.75" customHeight="1">
      <c r="A6465" s="4" t="s">
        <v>294</v>
      </c>
      <c r="B6465" s="8">
        <v>100</v>
      </c>
      <c r="C6465" s="6" t="s">
        <v>1017</v>
      </c>
      <c r="D6465" s="37">
        <f>Prec.!$D$521</f>
        <v>7.81</v>
      </c>
      <c r="E6465" s="25">
        <f t="shared" si="492"/>
        <v>781</v>
      </c>
    </row>
    <row r="6466" spans="1:13" ht="12.75" customHeight="1">
      <c r="A6466" s="4" t="s">
        <v>638</v>
      </c>
      <c r="B6466" s="8">
        <v>100</v>
      </c>
      <c r="C6466" s="6" t="s">
        <v>1017</v>
      </c>
      <c r="D6466" s="37">
        <f>Prec.!$D$581</f>
        <v>0.46</v>
      </c>
      <c r="E6466" s="25">
        <f t="shared" si="492"/>
        <v>46</v>
      </c>
    </row>
    <row r="6467" spans="1:13" ht="12.75" customHeight="1">
      <c r="A6467" s="4" t="s">
        <v>208</v>
      </c>
      <c r="B6467" s="7">
        <f>SUM(E6460:E6465)</f>
        <v>1749.58</v>
      </c>
      <c r="C6467" s="6" t="s">
        <v>209</v>
      </c>
      <c r="D6467" s="37">
        <f>Prec.!C302</f>
        <v>1.4999999999999999E-2</v>
      </c>
      <c r="E6467" s="25">
        <f t="shared" si="492"/>
        <v>26.24</v>
      </c>
      <c r="F6467" s="26">
        <f>SUM(E6460:E6467)</f>
        <v>1821.82</v>
      </c>
    </row>
    <row r="6468" spans="1:13" ht="12.75" customHeight="1">
      <c r="B6468" s="7"/>
    </row>
    <row r="6469" spans="1:13" ht="12.75" customHeight="1">
      <c r="A6469" s="1" t="s">
        <v>525</v>
      </c>
      <c r="B6469" s="11"/>
      <c r="C6469" s="2"/>
      <c r="E6469" s="27" t="s">
        <v>151</v>
      </c>
      <c r="F6469" s="28" t="s">
        <v>213</v>
      </c>
    </row>
    <row r="6470" spans="1:13" ht="12.75" customHeight="1">
      <c r="A6470" s="4" t="s">
        <v>1098</v>
      </c>
      <c r="B6470" s="8">
        <v>1.1000000000000001</v>
      </c>
      <c r="C6470" s="6" t="s">
        <v>213</v>
      </c>
      <c r="D6470" s="37">
        <f>Prec.!$C$175</f>
        <v>180</v>
      </c>
      <c r="E6470" s="25">
        <f>ROUND(B6470*D6470,2)</f>
        <v>198</v>
      </c>
    </row>
    <row r="6471" spans="1:13" ht="12.75" customHeight="1">
      <c r="A6471" s="4" t="s">
        <v>427</v>
      </c>
      <c r="B6471" s="8">
        <v>2.1000000000000001E-2</v>
      </c>
      <c r="C6471" s="6" t="s">
        <v>825</v>
      </c>
      <c r="D6471" s="37">
        <f>$F$348</f>
        <v>7012.85</v>
      </c>
      <c r="E6471" s="25">
        <f>ROUND(B6471*D6471,2)</f>
        <v>147.27000000000001</v>
      </c>
    </row>
    <row r="6472" spans="1:13" ht="12.75" customHeight="1">
      <c r="A6472" s="4" t="s">
        <v>1100</v>
      </c>
      <c r="B6472" s="8">
        <v>1</v>
      </c>
      <c r="C6472" s="6" t="s">
        <v>213</v>
      </c>
      <c r="D6472" s="37">
        <f>Prec.!$D$522</f>
        <v>598.63</v>
      </c>
      <c r="E6472" s="25">
        <f>ROUND(B6472*D6472,2)</f>
        <v>598.63</v>
      </c>
    </row>
    <row r="6473" spans="1:13" ht="12.75" customHeight="1">
      <c r="A6473" s="4" t="s">
        <v>1103</v>
      </c>
      <c r="B6473" s="8">
        <v>1</v>
      </c>
      <c r="C6473" s="6" t="s">
        <v>213</v>
      </c>
      <c r="D6473" s="37">
        <f>Prec.!$D$587</f>
        <v>13.48</v>
      </c>
      <c r="E6473" s="25">
        <f>ROUND(B6473*D6473,2)</f>
        <v>13.48</v>
      </c>
    </row>
    <row r="6474" spans="1:13" ht="12.75" customHeight="1">
      <c r="A6474" s="4" t="s">
        <v>208</v>
      </c>
      <c r="B6474" s="7">
        <f>SUM(E6470:E6472)</f>
        <v>943.9</v>
      </c>
      <c r="C6474" s="6" t="s">
        <v>209</v>
      </c>
      <c r="D6474" s="37">
        <f>Prec.!C302</f>
        <v>1.4999999999999999E-2</v>
      </c>
      <c r="E6474" s="25">
        <f>ROUND(B6474*D6474,2)</f>
        <v>14.16</v>
      </c>
      <c r="F6474" s="26">
        <f>SUM(E6470:E6474)</f>
        <v>971.54</v>
      </c>
    </row>
    <row r="6475" spans="1:13" ht="12.75" customHeight="1">
      <c r="B6475" s="7"/>
    </row>
    <row r="6476" spans="1:13" s="166" customFormat="1" ht="12.75" customHeight="1">
      <c r="B6476" s="7"/>
      <c r="C6476" s="165"/>
      <c r="D6476" s="37"/>
      <c r="E6476" s="25"/>
      <c r="F6476" s="26"/>
      <c r="G6476" s="15"/>
      <c r="H6476" s="21"/>
      <c r="I6476" s="15"/>
      <c r="J6476" s="15"/>
      <c r="K6476" s="15"/>
      <c r="L6476" s="21"/>
      <c r="M6476" s="15"/>
    </row>
    <row r="6477" spans="1:13" ht="12.75" customHeight="1">
      <c r="A6477" s="23" t="s">
        <v>662</v>
      </c>
      <c r="B6477" s="7"/>
    </row>
    <row r="6478" spans="1:13" ht="12.75" customHeight="1">
      <c r="A6478" s="2"/>
      <c r="B6478" s="7"/>
    </row>
    <row r="6479" spans="1:13" ht="12.75" customHeight="1">
      <c r="A6479" s="1" t="s">
        <v>336</v>
      </c>
      <c r="B6479" s="11"/>
      <c r="C6479" s="2"/>
      <c r="E6479" s="27" t="s">
        <v>151</v>
      </c>
      <c r="F6479" s="28" t="s">
        <v>213</v>
      </c>
    </row>
    <row r="6480" spans="1:13" ht="12.75" customHeight="1">
      <c r="A6480" s="4" t="s">
        <v>863</v>
      </c>
      <c r="B6480" s="8">
        <v>1.05</v>
      </c>
      <c r="C6480" s="6" t="s">
        <v>213</v>
      </c>
      <c r="D6480" s="37">
        <f>Prec.!C121</f>
        <v>290</v>
      </c>
      <c r="E6480" s="25">
        <f t="shared" ref="E6480:E6488" si="493">ROUND(B6480*D6480,2)</f>
        <v>304.5</v>
      </c>
    </row>
    <row r="6481" spans="1:13" ht="12.75" customHeight="1">
      <c r="A6481" s="4" t="s">
        <v>673</v>
      </c>
      <c r="B6481" s="8">
        <v>7.0000000000000007E-2</v>
      </c>
      <c r="C6481" s="6" t="s">
        <v>1172</v>
      </c>
      <c r="D6481" s="37">
        <f>Prec.!$C$8</f>
        <v>250</v>
      </c>
      <c r="E6481" s="25">
        <f t="shared" si="493"/>
        <v>17.5</v>
      </c>
    </row>
    <row r="6482" spans="1:13" ht="12.75" customHeight="1">
      <c r="A6482" s="4" t="s">
        <v>1119</v>
      </c>
      <c r="B6482" s="8">
        <v>2.1999999999999999E-2</v>
      </c>
      <c r="C6482" s="6" t="s">
        <v>825</v>
      </c>
      <c r="D6482" s="37">
        <f>horm.ymez.!F12</f>
        <v>7816.39</v>
      </c>
      <c r="E6482" s="25">
        <f t="shared" si="493"/>
        <v>171.96</v>
      </c>
    </row>
    <row r="6483" spans="1:13" ht="12.75" customHeight="1">
      <c r="A6483" s="4" t="s">
        <v>1173</v>
      </c>
      <c r="B6483" s="8">
        <v>0.05</v>
      </c>
      <c r="C6483" s="6" t="s">
        <v>1018</v>
      </c>
      <c r="D6483" s="37">
        <f>Prec.!$C$82</f>
        <v>75</v>
      </c>
      <c r="E6483" s="25">
        <f t="shared" si="493"/>
        <v>3.75</v>
      </c>
    </row>
    <row r="6484" spans="1:13" ht="12.75" customHeight="1">
      <c r="A6484" s="4" t="s">
        <v>623</v>
      </c>
      <c r="B6484" s="8">
        <v>3.5</v>
      </c>
      <c r="C6484" s="6" t="s">
        <v>1017</v>
      </c>
      <c r="D6484" s="37">
        <f>Prec.!D488</f>
        <v>5.97</v>
      </c>
      <c r="E6484" s="25">
        <f t="shared" si="493"/>
        <v>20.9</v>
      </c>
    </row>
    <row r="6485" spans="1:13" ht="12.75" customHeight="1">
      <c r="A6485" s="4" t="s">
        <v>674</v>
      </c>
      <c r="B6485" s="8">
        <v>1</v>
      </c>
      <c r="C6485" s="6" t="s">
        <v>213</v>
      </c>
      <c r="D6485" s="37">
        <f>Prec.!$D$519</f>
        <v>389.35</v>
      </c>
      <c r="E6485" s="25">
        <f t="shared" si="493"/>
        <v>389.35</v>
      </c>
    </row>
    <row r="6486" spans="1:13" ht="12.75" customHeight="1">
      <c r="A6486" s="4" t="s">
        <v>1155</v>
      </c>
      <c r="B6486" s="8">
        <v>1</v>
      </c>
      <c r="C6486" s="6" t="s">
        <v>213</v>
      </c>
      <c r="D6486" s="37">
        <f>Prec.!D551</f>
        <v>20.32</v>
      </c>
      <c r="E6486" s="25">
        <f t="shared" si="493"/>
        <v>20.32</v>
      </c>
    </row>
    <row r="6487" spans="1:13" ht="12.75" customHeight="1">
      <c r="A6487" s="4" t="s">
        <v>1154</v>
      </c>
      <c r="B6487" s="8">
        <v>7.0000000000000007E-2</v>
      </c>
      <c r="C6487" s="6" t="s">
        <v>1172</v>
      </c>
      <c r="D6487" s="37">
        <f>Prec.!D564</f>
        <v>15.58</v>
      </c>
      <c r="E6487" s="25">
        <f t="shared" si="493"/>
        <v>1.0900000000000001</v>
      </c>
    </row>
    <row r="6488" spans="1:13" ht="12.75" customHeight="1">
      <c r="A6488" s="4" t="s">
        <v>208</v>
      </c>
      <c r="B6488" s="7">
        <f>SUM(E6480:E6487)</f>
        <v>929.37000000000012</v>
      </c>
      <c r="C6488" s="6" t="s">
        <v>209</v>
      </c>
      <c r="D6488" s="37">
        <f>D6474</f>
        <v>1.4999999999999999E-2</v>
      </c>
      <c r="E6488" s="25">
        <f t="shared" si="493"/>
        <v>13.94</v>
      </c>
      <c r="F6488" s="26">
        <f>SUM(E6480:E6488)</f>
        <v>943.31000000000017</v>
      </c>
    </row>
    <row r="6489" spans="1:13" s="166" customFormat="1" ht="12.75" customHeight="1">
      <c r="B6489" s="7"/>
      <c r="C6489" s="165"/>
      <c r="D6489" s="37"/>
      <c r="E6489" s="25"/>
      <c r="F6489" s="26"/>
      <c r="G6489" s="15"/>
      <c r="H6489" s="21"/>
      <c r="I6489" s="15"/>
      <c r="J6489" s="15"/>
      <c r="K6489" s="15"/>
      <c r="L6489" s="21"/>
      <c r="M6489" s="15"/>
    </row>
    <row r="6490" spans="1:13" ht="12.75" customHeight="1">
      <c r="A6490" s="13" t="s">
        <v>307</v>
      </c>
      <c r="B6490" s="42"/>
      <c r="C6490" s="29"/>
      <c r="D6490" s="35"/>
      <c r="E6490" s="43" t="s">
        <v>151</v>
      </c>
      <c r="F6490" s="44" t="s">
        <v>213</v>
      </c>
    </row>
    <row r="6491" spans="1:13" ht="12.75" customHeight="1">
      <c r="A6491" s="12" t="s">
        <v>863</v>
      </c>
      <c r="B6491" s="30">
        <v>1.05</v>
      </c>
      <c r="C6491" s="24" t="s">
        <v>213</v>
      </c>
      <c r="D6491" s="35">
        <f>Prec.!$C$120</f>
        <v>600</v>
      </c>
      <c r="E6491" s="31">
        <f t="shared" ref="E6491:E6499" si="494">ROUND(B6491*D6491,2)</f>
        <v>630</v>
      </c>
      <c r="F6491" s="32"/>
    </row>
    <row r="6492" spans="1:13" ht="12.75" customHeight="1">
      <c r="A6492" s="12" t="s">
        <v>673</v>
      </c>
      <c r="B6492" s="30">
        <v>7.0000000000000007E-2</v>
      </c>
      <c r="C6492" s="24" t="s">
        <v>1172</v>
      </c>
      <c r="D6492" s="35">
        <f>Prec.!$C$8</f>
        <v>250</v>
      </c>
      <c r="E6492" s="31">
        <f t="shared" si="494"/>
        <v>17.5</v>
      </c>
      <c r="F6492" s="32"/>
    </row>
    <row r="6493" spans="1:13" ht="12.75" customHeight="1">
      <c r="A6493" s="12" t="s">
        <v>1119</v>
      </c>
      <c r="B6493" s="30">
        <v>2.1999999999999999E-2</v>
      </c>
      <c r="C6493" s="24" t="s">
        <v>825</v>
      </c>
      <c r="D6493" s="35">
        <f>D6482</f>
        <v>7816.39</v>
      </c>
      <c r="E6493" s="31">
        <f t="shared" si="494"/>
        <v>171.96</v>
      </c>
      <c r="F6493" s="32"/>
    </row>
    <row r="6494" spans="1:13" ht="12.75" customHeight="1">
      <c r="A6494" s="12" t="s">
        <v>1173</v>
      </c>
      <c r="B6494" s="30">
        <v>0.05</v>
      </c>
      <c r="C6494" s="24" t="s">
        <v>1018</v>
      </c>
      <c r="D6494" s="35">
        <f>Prec.!$C$82</f>
        <v>75</v>
      </c>
      <c r="E6494" s="31">
        <f t="shared" si="494"/>
        <v>3.75</v>
      </c>
      <c r="F6494" s="32"/>
    </row>
    <row r="6495" spans="1:13" ht="12.75" customHeight="1">
      <c r="A6495" s="12" t="s">
        <v>623</v>
      </c>
      <c r="B6495" s="30">
        <v>3.5</v>
      </c>
      <c r="C6495" s="24" t="s">
        <v>1017</v>
      </c>
      <c r="D6495" s="35">
        <f>D6484</f>
        <v>5.97</v>
      </c>
      <c r="E6495" s="31">
        <f t="shared" si="494"/>
        <v>20.9</v>
      </c>
      <c r="F6495" s="32"/>
    </row>
    <row r="6496" spans="1:13" ht="12.75" customHeight="1">
      <c r="A6496" s="12" t="s">
        <v>674</v>
      </c>
      <c r="B6496" s="30">
        <v>1</v>
      </c>
      <c r="C6496" s="24" t="s">
        <v>213</v>
      </c>
      <c r="D6496" s="35">
        <f>Prec.!D520</f>
        <v>445.02</v>
      </c>
      <c r="E6496" s="31">
        <f t="shared" si="494"/>
        <v>445.02</v>
      </c>
      <c r="F6496" s="32"/>
    </row>
    <row r="6497" spans="1:6" ht="12.75" customHeight="1">
      <c r="A6497" s="12" t="s">
        <v>1155</v>
      </c>
      <c r="B6497" s="30">
        <v>1</v>
      </c>
      <c r="C6497" s="24" t="s">
        <v>213</v>
      </c>
      <c r="D6497" s="35">
        <f>D6486</f>
        <v>20.32</v>
      </c>
      <c r="E6497" s="31">
        <f t="shared" si="494"/>
        <v>20.32</v>
      </c>
      <c r="F6497" s="32"/>
    </row>
    <row r="6498" spans="1:6" ht="12.75" customHeight="1">
      <c r="A6498" s="12" t="s">
        <v>1154</v>
      </c>
      <c r="B6498" s="30">
        <v>7.0000000000000007E-2</v>
      </c>
      <c r="C6498" s="24" t="s">
        <v>1172</v>
      </c>
      <c r="D6498" s="35">
        <f>D6487</f>
        <v>15.58</v>
      </c>
      <c r="E6498" s="31">
        <f t="shared" si="494"/>
        <v>1.0900000000000001</v>
      </c>
      <c r="F6498" s="32"/>
    </row>
    <row r="6499" spans="1:6" ht="12.75" customHeight="1">
      <c r="A6499" s="12" t="s">
        <v>208</v>
      </c>
      <c r="B6499" s="14">
        <f>SUM(E6491:E6498)</f>
        <v>1310.54</v>
      </c>
      <c r="C6499" s="24" t="s">
        <v>209</v>
      </c>
      <c r="D6499" s="35">
        <v>0.02</v>
      </c>
      <c r="E6499" s="31">
        <f t="shared" si="494"/>
        <v>26.21</v>
      </c>
      <c r="F6499" s="32">
        <f>SUM(E6491:E6499)</f>
        <v>1336.75</v>
      </c>
    </row>
    <row r="6500" spans="1:6" ht="12.75" customHeight="1">
      <c r="A6500" s="12"/>
      <c r="B6500" s="14"/>
      <c r="C6500" s="24"/>
      <c r="D6500" s="35"/>
      <c r="E6500" s="31"/>
      <c r="F6500" s="32"/>
    </row>
    <row r="6501" spans="1:6" ht="12.75" customHeight="1">
      <c r="A6501" s="13" t="s">
        <v>337</v>
      </c>
      <c r="B6501" s="42"/>
      <c r="C6501" s="29"/>
      <c r="D6501" s="35"/>
      <c r="E6501" s="43" t="s">
        <v>151</v>
      </c>
      <c r="F6501" s="44" t="s">
        <v>213</v>
      </c>
    </row>
    <row r="6502" spans="1:6" ht="12.75" customHeight="1">
      <c r="A6502" s="4" t="s">
        <v>864</v>
      </c>
      <c r="B6502" s="8">
        <v>1.05</v>
      </c>
      <c r="C6502" s="6" t="s">
        <v>213</v>
      </c>
      <c r="D6502" s="37">
        <f>Prec.!$C$122</f>
        <v>350</v>
      </c>
      <c r="E6502" s="25">
        <f t="shared" ref="E6502:E6510" si="495">ROUND(B6502*D6502,2)</f>
        <v>367.5</v>
      </c>
    </row>
    <row r="6503" spans="1:6" ht="12.75" customHeight="1">
      <c r="A6503" s="4" t="s">
        <v>673</v>
      </c>
      <c r="B6503" s="8">
        <v>7.0000000000000007E-2</v>
      </c>
      <c r="C6503" s="6" t="s">
        <v>1172</v>
      </c>
      <c r="D6503" s="37">
        <f>Prec.!$C$8</f>
        <v>250</v>
      </c>
      <c r="E6503" s="25">
        <f t="shared" si="495"/>
        <v>17.5</v>
      </c>
    </row>
    <row r="6504" spans="1:6" ht="12.75" customHeight="1">
      <c r="A6504" s="4" t="s">
        <v>1119</v>
      </c>
      <c r="B6504" s="8">
        <v>2.1999999999999999E-2</v>
      </c>
      <c r="C6504" s="6" t="s">
        <v>825</v>
      </c>
      <c r="D6504" s="37">
        <f>D6482</f>
        <v>7816.39</v>
      </c>
      <c r="E6504" s="25">
        <f t="shared" si="495"/>
        <v>171.96</v>
      </c>
    </row>
    <row r="6505" spans="1:6" ht="12.75" customHeight="1">
      <c r="A6505" s="4" t="s">
        <v>1173</v>
      </c>
      <c r="B6505" s="8">
        <v>0.05</v>
      </c>
      <c r="C6505" s="6" t="s">
        <v>1018</v>
      </c>
      <c r="D6505" s="37">
        <f>Prec.!$C$82</f>
        <v>75</v>
      </c>
      <c r="E6505" s="25">
        <f t="shared" si="495"/>
        <v>3.75</v>
      </c>
    </row>
    <row r="6506" spans="1:6" ht="12.75" customHeight="1">
      <c r="A6506" s="4" t="s">
        <v>623</v>
      </c>
      <c r="B6506" s="8">
        <v>3.5</v>
      </c>
      <c r="C6506" s="6" t="s">
        <v>1017</v>
      </c>
      <c r="D6506" s="37">
        <f>D6484</f>
        <v>5.97</v>
      </c>
      <c r="E6506" s="25">
        <f t="shared" si="495"/>
        <v>20.9</v>
      </c>
    </row>
    <row r="6507" spans="1:6" ht="12.75" customHeight="1">
      <c r="A6507" s="4" t="s">
        <v>674</v>
      </c>
      <c r="B6507" s="8">
        <v>1</v>
      </c>
      <c r="C6507" s="6" t="s">
        <v>213</v>
      </c>
      <c r="D6507" s="37">
        <f>Prec.!$D$517</f>
        <v>0</v>
      </c>
      <c r="E6507" s="25">
        <f t="shared" si="495"/>
        <v>0</v>
      </c>
    </row>
    <row r="6508" spans="1:6" ht="12.75" customHeight="1">
      <c r="A6508" s="4" t="s">
        <v>1155</v>
      </c>
      <c r="B6508" s="8">
        <v>1</v>
      </c>
      <c r="C6508" s="6" t="s">
        <v>213</v>
      </c>
      <c r="D6508" s="37">
        <f>D6486</f>
        <v>20.32</v>
      </c>
      <c r="E6508" s="25">
        <f t="shared" si="495"/>
        <v>20.32</v>
      </c>
    </row>
    <row r="6509" spans="1:6" ht="12.75" customHeight="1">
      <c r="A6509" s="4" t="s">
        <v>1154</v>
      </c>
      <c r="B6509" s="8">
        <v>7.0000000000000007E-2</v>
      </c>
      <c r="C6509" s="6" t="s">
        <v>1172</v>
      </c>
      <c r="D6509" s="37">
        <f>D6487</f>
        <v>15.58</v>
      </c>
      <c r="E6509" s="25">
        <f t="shared" si="495"/>
        <v>1.0900000000000001</v>
      </c>
    </row>
    <row r="6510" spans="1:6" ht="12.75" customHeight="1">
      <c r="A6510" s="4" t="s">
        <v>208</v>
      </c>
      <c r="B6510" s="7">
        <f>SUM(E6502:E6509)</f>
        <v>603.0200000000001</v>
      </c>
      <c r="C6510" s="6" t="s">
        <v>209</v>
      </c>
      <c r="D6510" s="37">
        <f>D6488</f>
        <v>1.4999999999999999E-2</v>
      </c>
      <c r="E6510" s="25">
        <f t="shared" si="495"/>
        <v>9.0500000000000007</v>
      </c>
      <c r="F6510" s="26">
        <f>SUM(E6502:E6510)</f>
        <v>612.07000000000005</v>
      </c>
    </row>
    <row r="6511" spans="1:6" ht="12.75" customHeight="1">
      <c r="B6511" s="7"/>
    </row>
    <row r="6512" spans="1:6" ht="12.75" customHeight="1">
      <c r="A6512" s="1" t="s">
        <v>338</v>
      </c>
      <c r="B6512" s="11"/>
      <c r="C6512" s="2"/>
      <c r="E6512" s="27" t="s">
        <v>151</v>
      </c>
      <c r="F6512" s="28" t="s">
        <v>213</v>
      </c>
    </row>
    <row r="6513" spans="1:13" ht="12.75" customHeight="1">
      <c r="A6513" s="4" t="s">
        <v>862</v>
      </c>
      <c r="B6513" s="8">
        <v>1.05</v>
      </c>
      <c r="C6513" s="6" t="s">
        <v>213</v>
      </c>
      <c r="D6513" s="37">
        <f>Prec.!$C$123</f>
        <v>250</v>
      </c>
      <c r="E6513" s="25">
        <f t="shared" ref="E6513:E6521" si="496">ROUND(B6513*D6513,2)</f>
        <v>262.5</v>
      </c>
    </row>
    <row r="6514" spans="1:13" ht="12.75" customHeight="1">
      <c r="A6514" s="4" t="s">
        <v>673</v>
      </c>
      <c r="B6514" s="8">
        <v>7.0000000000000007E-2</v>
      </c>
      <c r="C6514" s="6" t="s">
        <v>1172</v>
      </c>
      <c r="D6514" s="37">
        <f>Prec.!$C$8</f>
        <v>250</v>
      </c>
      <c r="E6514" s="25">
        <f t="shared" si="496"/>
        <v>17.5</v>
      </c>
    </row>
    <row r="6515" spans="1:13" ht="12.75" customHeight="1">
      <c r="A6515" s="4" t="s">
        <v>1119</v>
      </c>
      <c r="B6515" s="8">
        <v>2.1999999999999999E-2</v>
      </c>
      <c r="C6515" s="6" t="s">
        <v>825</v>
      </c>
      <c r="D6515" s="37">
        <f>D6504</f>
        <v>7816.39</v>
      </c>
      <c r="E6515" s="25">
        <f t="shared" si="496"/>
        <v>171.96</v>
      </c>
    </row>
    <row r="6516" spans="1:13" ht="12.75" customHeight="1">
      <c r="A6516" s="4" t="s">
        <v>1173</v>
      </c>
      <c r="B6516" s="8">
        <v>0.05</v>
      </c>
      <c r="C6516" s="6" t="s">
        <v>1018</v>
      </c>
      <c r="D6516" s="37">
        <f>Prec.!$C$82</f>
        <v>75</v>
      </c>
      <c r="E6516" s="25">
        <f t="shared" si="496"/>
        <v>3.75</v>
      </c>
    </row>
    <row r="6517" spans="1:13" ht="12.75" customHeight="1">
      <c r="A6517" s="4" t="s">
        <v>623</v>
      </c>
      <c r="B6517" s="8">
        <v>3.5</v>
      </c>
      <c r="C6517" s="6" t="s">
        <v>1017</v>
      </c>
      <c r="D6517" s="37">
        <f>D6506</f>
        <v>5.97</v>
      </c>
      <c r="E6517" s="25">
        <f t="shared" si="496"/>
        <v>20.9</v>
      </c>
    </row>
    <row r="6518" spans="1:13" ht="12.75" customHeight="1">
      <c r="A6518" s="4" t="s">
        <v>674</v>
      </c>
      <c r="B6518" s="8">
        <v>1</v>
      </c>
      <c r="C6518" s="6" t="s">
        <v>213</v>
      </c>
      <c r="D6518" s="37">
        <f>Prec.!$D$517</f>
        <v>0</v>
      </c>
      <c r="E6518" s="25">
        <f t="shared" si="496"/>
        <v>0</v>
      </c>
    </row>
    <row r="6519" spans="1:13" ht="12.75" customHeight="1">
      <c r="A6519" s="4" t="s">
        <v>1155</v>
      </c>
      <c r="B6519" s="8">
        <v>1</v>
      </c>
      <c r="C6519" s="6" t="s">
        <v>213</v>
      </c>
      <c r="D6519" s="37">
        <f>D6508</f>
        <v>20.32</v>
      </c>
      <c r="E6519" s="25">
        <f t="shared" si="496"/>
        <v>20.32</v>
      </c>
    </row>
    <row r="6520" spans="1:13" ht="12.75" customHeight="1">
      <c r="A6520" s="4" t="s">
        <v>1154</v>
      </c>
      <c r="B6520" s="8">
        <v>7.0000000000000007E-2</v>
      </c>
      <c r="C6520" s="6" t="s">
        <v>1172</v>
      </c>
      <c r="D6520" s="37">
        <f>D6509</f>
        <v>15.58</v>
      </c>
      <c r="E6520" s="25">
        <f t="shared" si="496"/>
        <v>1.0900000000000001</v>
      </c>
    </row>
    <row r="6521" spans="1:13" ht="12.75" customHeight="1">
      <c r="A6521" s="4" t="s">
        <v>208</v>
      </c>
      <c r="B6521" s="7">
        <f>SUM(E6513:E6520)</f>
        <v>498.02</v>
      </c>
      <c r="C6521" s="6" t="s">
        <v>209</v>
      </c>
      <c r="D6521" s="37">
        <f>D6510</f>
        <v>1.4999999999999999E-2</v>
      </c>
      <c r="E6521" s="25">
        <f t="shared" si="496"/>
        <v>7.47</v>
      </c>
      <c r="F6521" s="26">
        <f>SUM(E6513:E6521)</f>
        <v>505.49</v>
      </c>
    </row>
    <row r="6522" spans="1:13" ht="12.75" customHeight="1">
      <c r="B6522" s="7"/>
    </row>
    <row r="6523" spans="1:13" s="166" customFormat="1" ht="12.75" customHeight="1">
      <c r="B6523" s="7"/>
      <c r="C6523" s="165"/>
      <c r="D6523" s="37"/>
      <c r="E6523" s="25"/>
      <c r="F6523" s="26"/>
      <c r="G6523" s="15"/>
      <c r="H6523" s="21"/>
      <c r="I6523" s="15"/>
      <c r="J6523" s="15"/>
      <c r="K6523" s="15"/>
      <c r="L6523" s="21"/>
      <c r="M6523" s="15"/>
    </row>
    <row r="6524" spans="1:13" s="166" customFormat="1" ht="12.75" customHeight="1">
      <c r="B6524" s="7"/>
      <c r="C6524" s="165"/>
      <c r="D6524" s="37"/>
      <c r="E6524" s="25"/>
      <c r="F6524" s="26"/>
      <c r="G6524" s="15"/>
      <c r="H6524" s="21"/>
      <c r="I6524" s="15"/>
      <c r="J6524" s="15"/>
      <c r="K6524" s="15"/>
      <c r="L6524" s="21"/>
      <c r="M6524" s="15"/>
    </row>
    <row r="6525" spans="1:13" s="166" customFormat="1" ht="12.75" customHeight="1">
      <c r="B6525" s="7"/>
      <c r="C6525" s="165"/>
      <c r="D6525" s="37"/>
      <c r="E6525" s="25"/>
      <c r="F6525" s="26"/>
      <c r="G6525" s="15"/>
      <c r="H6525" s="21"/>
      <c r="I6525" s="15"/>
      <c r="J6525" s="15"/>
      <c r="K6525" s="15"/>
      <c r="L6525" s="21"/>
      <c r="M6525" s="15"/>
    </row>
    <row r="6526" spans="1:13" s="166" customFormat="1" ht="12.75" customHeight="1">
      <c r="B6526" s="7"/>
      <c r="C6526" s="165"/>
      <c r="D6526" s="37"/>
      <c r="E6526" s="25"/>
      <c r="F6526" s="26"/>
      <c r="G6526" s="15"/>
      <c r="H6526" s="21"/>
      <c r="I6526" s="15"/>
      <c r="J6526" s="15"/>
      <c r="K6526" s="15"/>
      <c r="L6526" s="21"/>
      <c r="M6526" s="15"/>
    </row>
    <row r="6527" spans="1:13" ht="12.75" customHeight="1">
      <c r="A6527" s="1" t="s">
        <v>291</v>
      </c>
      <c r="B6527" s="11"/>
      <c r="C6527" s="2"/>
      <c r="E6527" s="27" t="s">
        <v>151</v>
      </c>
      <c r="F6527" s="28" t="s">
        <v>213</v>
      </c>
    </row>
    <row r="6528" spans="1:13" ht="12.75" customHeight="1">
      <c r="A6528" s="4" t="s">
        <v>862</v>
      </c>
      <c r="B6528" s="8">
        <v>1.05</v>
      </c>
      <c r="C6528" s="6" t="s">
        <v>213</v>
      </c>
      <c r="D6528" s="37">
        <f>Prec.!C124</f>
        <v>261</v>
      </c>
      <c r="E6528" s="25">
        <f t="shared" ref="E6528:E6536" si="497">ROUND(B6528*D6528,2)</f>
        <v>274.05</v>
      </c>
    </row>
    <row r="6529" spans="1:6" ht="12.75" customHeight="1">
      <c r="A6529" s="4" t="s">
        <v>673</v>
      </c>
      <c r="B6529" s="8">
        <v>7.0000000000000007E-2</v>
      </c>
      <c r="C6529" s="6" t="s">
        <v>1172</v>
      </c>
      <c r="D6529" s="37">
        <f>Prec.!$C$8</f>
        <v>250</v>
      </c>
      <c r="E6529" s="25">
        <f t="shared" si="497"/>
        <v>17.5</v>
      </c>
    </row>
    <row r="6530" spans="1:6" ht="12.75" customHeight="1">
      <c r="A6530" s="4" t="s">
        <v>1119</v>
      </c>
      <c r="B6530" s="8">
        <v>2.1999999999999999E-2</v>
      </c>
      <c r="C6530" s="6" t="s">
        <v>825</v>
      </c>
      <c r="D6530" s="37">
        <f>D6515</f>
        <v>7816.39</v>
      </c>
      <c r="E6530" s="25">
        <f t="shared" si="497"/>
        <v>171.96</v>
      </c>
    </row>
    <row r="6531" spans="1:6" ht="12.75" customHeight="1">
      <c r="A6531" s="4" t="s">
        <v>1173</v>
      </c>
      <c r="B6531" s="8">
        <v>0.05</v>
      </c>
      <c r="C6531" s="6" t="s">
        <v>1018</v>
      </c>
      <c r="D6531" s="37">
        <f>Prec.!$C$82</f>
        <v>75</v>
      </c>
      <c r="E6531" s="25">
        <f t="shared" si="497"/>
        <v>3.75</v>
      </c>
    </row>
    <row r="6532" spans="1:6" ht="12.75" customHeight="1">
      <c r="A6532" s="4" t="s">
        <v>623</v>
      </c>
      <c r="B6532" s="8">
        <v>3.5</v>
      </c>
      <c r="C6532" s="6" t="s">
        <v>1017</v>
      </c>
      <c r="D6532" s="37">
        <f>D6517</f>
        <v>5.97</v>
      </c>
      <c r="E6532" s="25">
        <f t="shared" si="497"/>
        <v>20.9</v>
      </c>
    </row>
    <row r="6533" spans="1:6" ht="12.75" customHeight="1">
      <c r="A6533" s="4" t="s">
        <v>674</v>
      </c>
      <c r="B6533" s="8">
        <v>1</v>
      </c>
      <c r="C6533" s="6" t="s">
        <v>213</v>
      </c>
      <c r="D6533" s="37">
        <f>Prec.!$D$517</f>
        <v>0</v>
      </c>
      <c r="E6533" s="25">
        <f t="shared" si="497"/>
        <v>0</v>
      </c>
    </row>
    <row r="6534" spans="1:6" ht="12.75" customHeight="1">
      <c r="A6534" s="4" t="s">
        <v>1155</v>
      </c>
      <c r="B6534" s="8">
        <v>1</v>
      </c>
      <c r="C6534" s="6" t="s">
        <v>213</v>
      </c>
      <c r="D6534" s="37">
        <f>D6519</f>
        <v>20.32</v>
      </c>
      <c r="E6534" s="25">
        <f t="shared" si="497"/>
        <v>20.32</v>
      </c>
    </row>
    <row r="6535" spans="1:6" ht="12.75" customHeight="1">
      <c r="A6535" s="4" t="s">
        <v>1154</v>
      </c>
      <c r="B6535" s="8">
        <v>7.0000000000000007E-2</v>
      </c>
      <c r="C6535" s="6" t="s">
        <v>1172</v>
      </c>
      <c r="D6535" s="37">
        <f>D6520</f>
        <v>15.58</v>
      </c>
      <c r="E6535" s="25">
        <f t="shared" si="497"/>
        <v>1.0900000000000001</v>
      </c>
    </row>
    <row r="6536" spans="1:6" ht="12.75" customHeight="1">
      <c r="A6536" s="4" t="s">
        <v>208</v>
      </c>
      <c r="B6536" s="7">
        <f>SUM(E6528:E6535)</f>
        <v>509.56999999999994</v>
      </c>
      <c r="C6536" s="6" t="s">
        <v>209</v>
      </c>
      <c r="D6536" s="37">
        <f>D6521</f>
        <v>1.4999999999999999E-2</v>
      </c>
      <c r="E6536" s="25">
        <f t="shared" si="497"/>
        <v>7.64</v>
      </c>
      <c r="F6536" s="26">
        <f>SUM(E6528:E6536)</f>
        <v>517.20999999999992</v>
      </c>
    </row>
    <row r="6537" spans="1:6" ht="12.75" customHeight="1">
      <c r="B6537" s="7"/>
    </row>
    <row r="6538" spans="1:6" ht="12.75" customHeight="1">
      <c r="A6538" s="13" t="s">
        <v>1182</v>
      </c>
      <c r="B6538" s="11"/>
      <c r="C6538" s="2"/>
      <c r="E6538" s="27" t="s">
        <v>151</v>
      </c>
      <c r="F6538" s="28" t="s">
        <v>213</v>
      </c>
    </row>
    <row r="6539" spans="1:6" ht="12.75" customHeight="1">
      <c r="A6539" s="4" t="s">
        <v>103</v>
      </c>
      <c r="B6539" s="8">
        <v>1.05</v>
      </c>
      <c r="C6539" s="6" t="s">
        <v>213</v>
      </c>
      <c r="D6539" s="35">
        <f>Prec.!C125</f>
        <v>238.96</v>
      </c>
      <c r="E6539" s="25">
        <f t="shared" ref="E6539:E6547" si="498">ROUND(B6539*D6539,2)</f>
        <v>250.91</v>
      </c>
    </row>
    <row r="6540" spans="1:6" ht="12.75" customHeight="1">
      <c r="A6540" s="4" t="s">
        <v>673</v>
      </c>
      <c r="B6540" s="8">
        <v>7.0000000000000007E-2</v>
      </c>
      <c r="C6540" s="6" t="s">
        <v>1172</v>
      </c>
      <c r="D6540" s="37">
        <f>Prec.!$C$8</f>
        <v>250</v>
      </c>
      <c r="E6540" s="25">
        <f t="shared" si="498"/>
        <v>17.5</v>
      </c>
    </row>
    <row r="6541" spans="1:6" ht="12.75" customHeight="1">
      <c r="A6541" s="4" t="s">
        <v>1119</v>
      </c>
      <c r="B6541" s="8">
        <v>2.1999999999999999E-2</v>
      </c>
      <c r="C6541" s="6" t="s">
        <v>825</v>
      </c>
      <c r="D6541" s="37">
        <f>D6530</f>
        <v>7816.39</v>
      </c>
      <c r="E6541" s="25">
        <f t="shared" si="498"/>
        <v>171.96</v>
      </c>
    </row>
    <row r="6542" spans="1:6" ht="12.75" customHeight="1">
      <c r="A6542" s="4" t="s">
        <v>1173</v>
      </c>
      <c r="B6542" s="8">
        <v>0.05</v>
      </c>
      <c r="C6542" s="6" t="s">
        <v>1018</v>
      </c>
      <c r="D6542" s="37">
        <f>Prec.!$C$82</f>
        <v>75</v>
      </c>
      <c r="E6542" s="25">
        <f t="shared" si="498"/>
        <v>3.75</v>
      </c>
    </row>
    <row r="6543" spans="1:6" ht="12.75" customHeight="1">
      <c r="A6543" s="4" t="s">
        <v>623</v>
      </c>
      <c r="B6543" s="8">
        <v>3.5</v>
      </c>
      <c r="C6543" s="6" t="s">
        <v>1017</v>
      </c>
      <c r="D6543" s="37">
        <f>D6532</f>
        <v>5.97</v>
      </c>
      <c r="E6543" s="25">
        <f t="shared" si="498"/>
        <v>20.9</v>
      </c>
    </row>
    <row r="6544" spans="1:6" ht="12.75" customHeight="1">
      <c r="A6544" s="4" t="s">
        <v>674</v>
      </c>
      <c r="B6544" s="8">
        <v>1</v>
      </c>
      <c r="C6544" s="6" t="s">
        <v>213</v>
      </c>
      <c r="D6544" s="37">
        <f>Prec.!$D$517</f>
        <v>0</v>
      </c>
      <c r="E6544" s="25">
        <f t="shared" si="498"/>
        <v>0</v>
      </c>
    </row>
    <row r="6545" spans="1:6" ht="12.75" customHeight="1">
      <c r="A6545" s="4" t="s">
        <v>1155</v>
      </c>
      <c r="B6545" s="8">
        <v>1</v>
      </c>
      <c r="C6545" s="6" t="s">
        <v>213</v>
      </c>
      <c r="D6545" s="37">
        <f>D6534</f>
        <v>20.32</v>
      </c>
      <c r="E6545" s="25">
        <f t="shared" si="498"/>
        <v>20.32</v>
      </c>
    </row>
    <row r="6546" spans="1:6" ht="12.75" customHeight="1">
      <c r="A6546" s="4" t="s">
        <v>1154</v>
      </c>
      <c r="B6546" s="8">
        <v>7.0000000000000007E-2</v>
      </c>
      <c r="C6546" s="6" t="s">
        <v>1172</v>
      </c>
      <c r="D6546" s="37">
        <f>D6535</f>
        <v>15.58</v>
      </c>
      <c r="E6546" s="25">
        <f t="shared" si="498"/>
        <v>1.0900000000000001</v>
      </c>
    </row>
    <row r="6547" spans="1:6" ht="12.75" customHeight="1">
      <c r="A6547" s="4" t="s">
        <v>208</v>
      </c>
      <c r="B6547" s="7">
        <f>SUM(E6539:E6544)</f>
        <v>465.02</v>
      </c>
      <c r="C6547" s="6" t="s">
        <v>209</v>
      </c>
      <c r="D6547" s="37">
        <f>D6536</f>
        <v>1.4999999999999999E-2</v>
      </c>
      <c r="E6547" s="25">
        <f t="shared" si="498"/>
        <v>6.98</v>
      </c>
      <c r="F6547" s="26">
        <f>SUM(E6539:E6547)</f>
        <v>493.40999999999997</v>
      </c>
    </row>
    <row r="6548" spans="1:6" ht="12.75" customHeight="1">
      <c r="B6548" s="7"/>
    </row>
    <row r="6549" spans="1:6" ht="12.75" customHeight="1">
      <c r="A6549" s="13" t="s">
        <v>272</v>
      </c>
      <c r="B6549" s="11"/>
      <c r="C6549" s="2"/>
      <c r="E6549" s="27" t="s">
        <v>151</v>
      </c>
      <c r="F6549" s="28" t="s">
        <v>213</v>
      </c>
    </row>
    <row r="6550" spans="1:6" ht="12.75" customHeight="1">
      <c r="A6550" s="4" t="s">
        <v>190</v>
      </c>
      <c r="B6550" s="8">
        <v>50</v>
      </c>
      <c r="C6550" s="6" t="s">
        <v>1017</v>
      </c>
      <c r="D6550" s="37">
        <f>Prec.!$C$131</f>
        <v>10.82</v>
      </c>
      <c r="E6550" s="25">
        <f t="shared" ref="E6550:E6557" si="499">ROUND(B6550*D6550,2)</f>
        <v>541</v>
      </c>
    </row>
    <row r="6551" spans="1:6" ht="12.75" customHeight="1">
      <c r="A6551" s="4" t="s">
        <v>191</v>
      </c>
      <c r="B6551" s="8">
        <v>5.0000000000000001E-3</v>
      </c>
      <c r="C6551" s="6" t="s">
        <v>1228</v>
      </c>
      <c r="D6551" s="37">
        <f>Prec.!$C$28</f>
        <v>200</v>
      </c>
      <c r="E6551" s="25">
        <f t="shared" si="499"/>
        <v>1</v>
      </c>
    </row>
    <row r="6552" spans="1:6" ht="12.75" customHeight="1">
      <c r="A6552" s="4" t="s">
        <v>427</v>
      </c>
      <c r="B6552" s="8">
        <v>1.2E-2</v>
      </c>
      <c r="C6552" s="6" t="s">
        <v>825</v>
      </c>
      <c r="D6552" s="37">
        <f>horm.ymez.!F8</f>
        <v>7163.99</v>
      </c>
      <c r="E6552" s="25">
        <f t="shared" si="499"/>
        <v>85.97</v>
      </c>
    </row>
    <row r="6553" spans="1:6" ht="12.75" customHeight="1">
      <c r="A6553" s="4" t="s">
        <v>1173</v>
      </c>
      <c r="B6553" s="8">
        <v>0.05</v>
      </c>
      <c r="C6553" s="6" t="s">
        <v>1018</v>
      </c>
      <c r="D6553" s="37">
        <f>Prec.!$C$82</f>
        <v>75</v>
      </c>
      <c r="E6553" s="25">
        <f t="shared" si="499"/>
        <v>3.75</v>
      </c>
    </row>
    <row r="6554" spans="1:6" ht="12.75" customHeight="1">
      <c r="A6554" s="4" t="s">
        <v>293</v>
      </c>
      <c r="B6554" s="8">
        <v>7.0999999999999994E-2</v>
      </c>
      <c r="C6554" s="6" t="s">
        <v>1017</v>
      </c>
      <c r="D6554" s="35">
        <f>Prec.!D494</f>
        <v>11.93</v>
      </c>
      <c r="E6554" s="25">
        <f t="shared" si="499"/>
        <v>0.85</v>
      </c>
    </row>
    <row r="6555" spans="1:6" ht="12.75" customHeight="1">
      <c r="A6555" s="4" t="s">
        <v>294</v>
      </c>
      <c r="B6555" s="8">
        <v>50</v>
      </c>
      <c r="C6555" s="6" t="s">
        <v>1017</v>
      </c>
      <c r="D6555" s="37">
        <f>Prec.!$D$521</f>
        <v>7.81</v>
      </c>
      <c r="E6555" s="25">
        <f t="shared" si="499"/>
        <v>390.5</v>
      </c>
    </row>
    <row r="6556" spans="1:6" ht="12.75" customHeight="1">
      <c r="A6556" s="4" t="s">
        <v>638</v>
      </c>
      <c r="B6556" s="8">
        <v>50</v>
      </c>
      <c r="C6556" s="6" t="s">
        <v>1017</v>
      </c>
      <c r="D6556" s="37">
        <f>Prec.!D582</f>
        <v>0.76</v>
      </c>
      <c r="E6556" s="25">
        <f t="shared" si="499"/>
        <v>38</v>
      </c>
    </row>
    <row r="6557" spans="1:6" ht="12.75" customHeight="1">
      <c r="A6557" s="4" t="s">
        <v>208</v>
      </c>
      <c r="B6557" s="7">
        <f>SUM(E6550:E6555)</f>
        <v>1023.07</v>
      </c>
      <c r="C6557" s="6" t="s">
        <v>209</v>
      </c>
      <c r="D6557" s="37">
        <f>D6547</f>
        <v>1.4999999999999999E-2</v>
      </c>
      <c r="E6557" s="25">
        <f t="shared" si="499"/>
        <v>15.35</v>
      </c>
      <c r="F6557" s="26">
        <f>SUM(E6550:E6557)</f>
        <v>1076.42</v>
      </c>
    </row>
    <row r="6558" spans="1:6" ht="12.75" customHeight="1">
      <c r="B6558" s="7"/>
    </row>
    <row r="6559" spans="1:6" ht="12.75" customHeight="1">
      <c r="A6559" s="13" t="s">
        <v>273</v>
      </c>
      <c r="B6559" s="11"/>
      <c r="C6559" s="2"/>
      <c r="E6559" s="27" t="s">
        <v>151</v>
      </c>
      <c r="F6559" s="28" t="s">
        <v>213</v>
      </c>
    </row>
    <row r="6560" spans="1:6" ht="12.75" customHeight="1">
      <c r="A6560" s="4" t="s">
        <v>190</v>
      </c>
      <c r="B6560" s="8">
        <v>100</v>
      </c>
      <c r="C6560" s="6" t="s">
        <v>1017</v>
      </c>
      <c r="D6560" s="37">
        <f>Prec.!$C$132</f>
        <v>8.7899999999999991</v>
      </c>
      <c r="E6560" s="25">
        <f t="shared" ref="E6560:E6567" si="500">ROUND(B6560*D6560,2)</f>
        <v>879</v>
      </c>
    </row>
    <row r="6561" spans="1:13" ht="12.75" customHeight="1">
      <c r="A6561" s="4" t="s">
        <v>191</v>
      </c>
      <c r="B6561" s="8">
        <v>5.0000000000000001E-3</v>
      </c>
      <c r="C6561" s="6" t="s">
        <v>1228</v>
      </c>
      <c r="D6561" s="37">
        <f>Prec.!$C$28</f>
        <v>200</v>
      </c>
      <c r="E6561" s="25">
        <f t="shared" si="500"/>
        <v>1</v>
      </c>
    </row>
    <row r="6562" spans="1:13" ht="12.75" customHeight="1">
      <c r="A6562" s="4" t="s">
        <v>427</v>
      </c>
      <c r="B6562" s="8">
        <v>1.2E-2</v>
      </c>
      <c r="C6562" s="6" t="s">
        <v>825</v>
      </c>
      <c r="D6562" s="37">
        <f>D6552</f>
        <v>7163.99</v>
      </c>
      <c r="E6562" s="25">
        <f t="shared" si="500"/>
        <v>85.97</v>
      </c>
    </row>
    <row r="6563" spans="1:13" ht="12.75" customHeight="1">
      <c r="A6563" s="4" t="s">
        <v>1173</v>
      </c>
      <c r="B6563" s="8">
        <v>0.05</v>
      </c>
      <c r="C6563" s="6" t="s">
        <v>1018</v>
      </c>
      <c r="D6563" s="37">
        <f>Prec.!$C$82</f>
        <v>75</v>
      </c>
      <c r="E6563" s="25">
        <f t="shared" si="500"/>
        <v>3.75</v>
      </c>
    </row>
    <row r="6564" spans="1:13" ht="12.75" customHeight="1">
      <c r="A6564" s="4" t="s">
        <v>293</v>
      </c>
      <c r="B6564" s="8">
        <v>7.0999999999999994E-2</v>
      </c>
      <c r="C6564" s="6" t="s">
        <v>1017</v>
      </c>
      <c r="D6564" s="37">
        <f>Prec.!D495</f>
        <v>9.5500000000000007</v>
      </c>
      <c r="E6564" s="25">
        <f t="shared" si="500"/>
        <v>0.68</v>
      </c>
    </row>
    <row r="6565" spans="1:13" ht="12.75" customHeight="1">
      <c r="A6565" s="4" t="s">
        <v>294</v>
      </c>
      <c r="B6565" s="8">
        <v>100</v>
      </c>
      <c r="C6565" s="6" t="s">
        <v>1017</v>
      </c>
      <c r="D6565" s="37">
        <f>Prec.!$D$521</f>
        <v>7.81</v>
      </c>
      <c r="E6565" s="25">
        <f t="shared" si="500"/>
        <v>781</v>
      </c>
    </row>
    <row r="6566" spans="1:13" ht="12.75" customHeight="1">
      <c r="A6566" s="4" t="s">
        <v>638</v>
      </c>
      <c r="B6566" s="8">
        <v>100</v>
      </c>
      <c r="C6566" s="6" t="s">
        <v>1017</v>
      </c>
      <c r="D6566" s="37">
        <f>D6556</f>
        <v>0.76</v>
      </c>
      <c r="E6566" s="25">
        <f t="shared" si="500"/>
        <v>76</v>
      </c>
    </row>
    <row r="6567" spans="1:13" ht="12.75" customHeight="1">
      <c r="A6567" s="4" t="s">
        <v>208</v>
      </c>
      <c r="B6567" s="7">
        <f>SUM(E6560:E6565)</f>
        <v>1751.4</v>
      </c>
      <c r="C6567" s="6" t="s">
        <v>209</v>
      </c>
      <c r="D6567" s="37">
        <f>D6557</f>
        <v>1.4999999999999999E-2</v>
      </c>
      <c r="E6567" s="25">
        <f t="shared" si="500"/>
        <v>26.27</v>
      </c>
      <c r="F6567" s="26">
        <f>SUM(E6560:E6567)</f>
        <v>1853.67</v>
      </c>
    </row>
    <row r="6568" spans="1:13" ht="12.75" customHeight="1">
      <c r="B6568" s="7"/>
    </row>
    <row r="6569" spans="1:13" ht="12.75" customHeight="1">
      <c r="A6569" s="1" t="s">
        <v>306</v>
      </c>
      <c r="B6569" s="11"/>
      <c r="C6569" s="2"/>
      <c r="E6569" s="27" t="s">
        <v>151</v>
      </c>
      <c r="F6569" s="28" t="s">
        <v>213</v>
      </c>
    </row>
    <row r="6570" spans="1:13" ht="12.75" customHeight="1">
      <c r="A6570" s="4" t="s">
        <v>1098</v>
      </c>
      <c r="B6570" s="8">
        <v>1.1000000000000001</v>
      </c>
      <c r="C6570" s="6" t="s">
        <v>213</v>
      </c>
      <c r="D6570" s="37">
        <f>Prec.!$C$175</f>
        <v>180</v>
      </c>
      <c r="E6570" s="25">
        <f>ROUND(B6570*D6570,2)</f>
        <v>198</v>
      </c>
    </row>
    <row r="6571" spans="1:13" ht="12.75" customHeight="1">
      <c r="A6571" s="4" t="s">
        <v>427</v>
      </c>
      <c r="B6571" s="8">
        <v>2.1000000000000001E-2</v>
      </c>
      <c r="C6571" s="6" t="s">
        <v>825</v>
      </c>
      <c r="D6571" s="37">
        <f>D6562</f>
        <v>7163.99</v>
      </c>
      <c r="E6571" s="25">
        <f>ROUND(B6571*D6571,2)</f>
        <v>150.44</v>
      </c>
    </row>
    <row r="6572" spans="1:13" ht="12.75" customHeight="1">
      <c r="A6572" s="4" t="s">
        <v>1100</v>
      </c>
      <c r="B6572" s="8">
        <v>1</v>
      </c>
      <c r="C6572" s="6" t="s">
        <v>213</v>
      </c>
      <c r="D6572" s="37">
        <f>Prec.!$D$522</f>
        <v>598.63</v>
      </c>
      <c r="E6572" s="25">
        <f>ROUND(B6572*D6572,2)</f>
        <v>598.63</v>
      </c>
    </row>
    <row r="6573" spans="1:13" ht="12.75" customHeight="1">
      <c r="A6573" s="4" t="s">
        <v>1103</v>
      </c>
      <c r="B6573" s="8">
        <v>1</v>
      </c>
      <c r="C6573" s="6" t="s">
        <v>213</v>
      </c>
      <c r="D6573" s="37">
        <f>Prec.!D588</f>
        <v>20.32</v>
      </c>
      <c r="E6573" s="25">
        <f>ROUND(B6573*D6573,2)</f>
        <v>20.32</v>
      </c>
    </row>
    <row r="6574" spans="1:13" ht="12.75" customHeight="1">
      <c r="A6574" s="4" t="s">
        <v>208</v>
      </c>
      <c r="B6574" s="7">
        <f>SUM(E6570:E6572)</f>
        <v>947.06999999999994</v>
      </c>
      <c r="C6574" s="6" t="s">
        <v>209</v>
      </c>
      <c r="D6574" s="37">
        <f>D6567</f>
        <v>1.4999999999999999E-2</v>
      </c>
      <c r="E6574" s="25">
        <f>ROUND(B6574*D6574,2)</f>
        <v>14.21</v>
      </c>
      <c r="F6574" s="26">
        <f>SUM(E6570:E6574)</f>
        <v>981.6</v>
      </c>
    </row>
    <row r="6575" spans="1:13" ht="12.75" customHeight="1">
      <c r="A6575" s="2"/>
      <c r="B6575" s="7"/>
    </row>
    <row r="6576" spans="1:13" s="166" customFormat="1" ht="12.75" customHeight="1">
      <c r="A6576" s="164"/>
      <c r="B6576" s="7"/>
      <c r="C6576" s="165"/>
      <c r="D6576" s="37"/>
      <c r="E6576" s="25"/>
      <c r="F6576" s="26"/>
      <c r="G6576" s="15"/>
      <c r="H6576" s="21"/>
      <c r="I6576" s="15"/>
      <c r="J6576" s="15"/>
      <c r="K6576" s="15"/>
      <c r="L6576" s="21"/>
      <c r="M6576" s="15"/>
    </row>
    <row r="6577" spans="1:13" ht="12.75" customHeight="1">
      <c r="A6577" s="23" t="s">
        <v>745</v>
      </c>
      <c r="B6577" s="7"/>
    </row>
    <row r="6578" spans="1:13" ht="12.75" customHeight="1">
      <c r="A6578" s="2"/>
      <c r="B6578" s="7"/>
    </row>
    <row r="6579" spans="1:13" ht="12.75" customHeight="1">
      <c r="A6579" s="1" t="s">
        <v>530</v>
      </c>
      <c r="B6579" s="11"/>
      <c r="C6579" s="2"/>
      <c r="E6579" s="27" t="s">
        <v>151</v>
      </c>
      <c r="F6579" s="28" t="s">
        <v>213</v>
      </c>
    </row>
    <row r="6580" spans="1:13" ht="12.75" customHeight="1">
      <c r="A6580" s="4" t="s">
        <v>863</v>
      </c>
      <c r="B6580" s="8">
        <v>1.05</v>
      </c>
      <c r="C6580" s="6" t="s">
        <v>213</v>
      </c>
      <c r="D6580" s="37">
        <f>Prec.!C121</f>
        <v>290</v>
      </c>
      <c r="E6580" s="25">
        <f t="shared" ref="E6580:E6588" si="501">ROUND(B6580*D6580,2)</f>
        <v>304.5</v>
      </c>
    </row>
    <row r="6581" spans="1:13" ht="12.75" customHeight="1">
      <c r="A6581" s="4" t="s">
        <v>673</v>
      </c>
      <c r="B6581" s="8">
        <v>7.0000000000000007E-2</v>
      </c>
      <c r="C6581" s="6" t="s">
        <v>1172</v>
      </c>
      <c r="D6581" s="37">
        <f>Prec.!$C$8</f>
        <v>250</v>
      </c>
      <c r="E6581" s="25">
        <f t="shared" si="501"/>
        <v>17.5</v>
      </c>
    </row>
    <row r="6582" spans="1:13" ht="12.75" customHeight="1">
      <c r="A6582" s="4" t="s">
        <v>1119</v>
      </c>
      <c r="B6582" s="8">
        <v>2.1999999999999999E-2</v>
      </c>
      <c r="C6582" s="6" t="s">
        <v>825</v>
      </c>
      <c r="D6582" s="37">
        <f>horm.ymez.!G12</f>
        <v>8006.89</v>
      </c>
      <c r="E6582" s="25">
        <f t="shared" si="501"/>
        <v>176.15</v>
      </c>
    </row>
    <row r="6583" spans="1:13" ht="12.75" customHeight="1">
      <c r="A6583" s="4" t="s">
        <v>1173</v>
      </c>
      <c r="B6583" s="8">
        <v>0.05</v>
      </c>
      <c r="C6583" s="6" t="s">
        <v>1018</v>
      </c>
      <c r="D6583" s="37">
        <f>Prec.!$C$82</f>
        <v>75</v>
      </c>
      <c r="E6583" s="25">
        <f t="shared" si="501"/>
        <v>3.75</v>
      </c>
    </row>
    <row r="6584" spans="1:13" ht="12.75" customHeight="1">
      <c r="A6584" s="4" t="s">
        <v>623</v>
      </c>
      <c r="B6584" s="8">
        <v>3.5</v>
      </c>
      <c r="C6584" s="6" t="s">
        <v>1017</v>
      </c>
      <c r="D6584" s="37">
        <f>Prec.!D488</f>
        <v>5.97</v>
      </c>
      <c r="E6584" s="25">
        <f t="shared" si="501"/>
        <v>20.9</v>
      </c>
    </row>
    <row r="6585" spans="1:13" ht="12.75" customHeight="1">
      <c r="A6585" s="4" t="s">
        <v>674</v>
      </c>
      <c r="B6585" s="8">
        <v>1</v>
      </c>
      <c r="C6585" s="6" t="s">
        <v>213</v>
      </c>
      <c r="D6585" s="37">
        <f>Prec.!$D$519</f>
        <v>389.35</v>
      </c>
      <c r="E6585" s="25">
        <f t="shared" si="501"/>
        <v>389.35</v>
      </c>
    </row>
    <row r="6586" spans="1:13" ht="12.75" customHeight="1">
      <c r="A6586" s="4" t="s">
        <v>1155</v>
      </c>
      <c r="B6586" s="8">
        <v>1</v>
      </c>
      <c r="C6586" s="6" t="s">
        <v>213</v>
      </c>
      <c r="D6586" s="37">
        <f>Prec.!D552</f>
        <v>27.85</v>
      </c>
      <c r="E6586" s="25">
        <f t="shared" si="501"/>
        <v>27.85</v>
      </c>
    </row>
    <row r="6587" spans="1:13" ht="12.75" customHeight="1">
      <c r="A6587" s="4" t="s">
        <v>1154</v>
      </c>
      <c r="B6587" s="8">
        <v>7.0000000000000007E-2</v>
      </c>
      <c r="C6587" s="6" t="s">
        <v>1172</v>
      </c>
      <c r="D6587" s="37">
        <f>Prec.!D565</f>
        <v>20.38</v>
      </c>
      <c r="E6587" s="25">
        <f t="shared" si="501"/>
        <v>1.43</v>
      </c>
    </row>
    <row r="6588" spans="1:13" ht="12.75" customHeight="1">
      <c r="A6588" s="4" t="s">
        <v>208</v>
      </c>
      <c r="B6588" s="7">
        <f>SUM(E6580:E6587)</f>
        <v>941.43</v>
      </c>
      <c r="C6588" s="6" t="s">
        <v>209</v>
      </c>
      <c r="D6588" s="37">
        <f>D6574</f>
        <v>1.4999999999999999E-2</v>
      </c>
      <c r="E6588" s="25">
        <f t="shared" si="501"/>
        <v>14.12</v>
      </c>
      <c r="F6588" s="26">
        <f>SUM(E6580:E6588)</f>
        <v>955.55</v>
      </c>
    </row>
    <row r="6589" spans="1:13" s="166" customFormat="1" ht="12.75" customHeight="1">
      <c r="B6589" s="7"/>
      <c r="C6589" s="165"/>
      <c r="D6589" s="37"/>
      <c r="E6589" s="25"/>
      <c r="F6589" s="26"/>
      <c r="G6589" s="15"/>
      <c r="H6589" s="21"/>
      <c r="I6589" s="15"/>
      <c r="J6589" s="15"/>
      <c r="K6589" s="15"/>
      <c r="L6589" s="21"/>
      <c r="M6589" s="15"/>
    </row>
    <row r="6590" spans="1:13" ht="12.75" customHeight="1">
      <c r="A6590" s="1" t="s">
        <v>308</v>
      </c>
      <c r="B6590" s="11"/>
      <c r="C6590" s="2"/>
      <c r="E6590" s="27" t="s">
        <v>151</v>
      </c>
      <c r="F6590" s="28" t="s">
        <v>213</v>
      </c>
    </row>
    <row r="6591" spans="1:13" ht="12.75" customHeight="1">
      <c r="A6591" s="4" t="s">
        <v>863</v>
      </c>
      <c r="B6591" s="8">
        <v>1.05</v>
      </c>
      <c r="C6591" s="6" t="s">
        <v>213</v>
      </c>
      <c r="D6591" s="37">
        <f>Prec.!C120</f>
        <v>600</v>
      </c>
      <c r="E6591" s="25">
        <f t="shared" ref="E6591:E6599" si="502">ROUND(B6591*D6591,2)</f>
        <v>630</v>
      </c>
    </row>
    <row r="6592" spans="1:13" ht="12.75" customHeight="1">
      <c r="A6592" s="4" t="s">
        <v>673</v>
      </c>
      <c r="B6592" s="8">
        <v>7.0000000000000007E-2</v>
      </c>
      <c r="C6592" s="6" t="s">
        <v>1172</v>
      </c>
      <c r="D6592" s="37">
        <f>Prec.!$C$8</f>
        <v>250</v>
      </c>
      <c r="E6592" s="25">
        <f t="shared" si="502"/>
        <v>17.5</v>
      </c>
    </row>
    <row r="6593" spans="1:6" ht="12.75" customHeight="1">
      <c r="A6593" s="4" t="s">
        <v>1119</v>
      </c>
      <c r="B6593" s="8">
        <v>2.1999999999999999E-2</v>
      </c>
      <c r="C6593" s="6" t="s">
        <v>825</v>
      </c>
      <c r="D6593" s="37">
        <f>D6582</f>
        <v>8006.89</v>
      </c>
      <c r="E6593" s="25">
        <f t="shared" si="502"/>
        <v>176.15</v>
      </c>
    </row>
    <row r="6594" spans="1:6" ht="12.75" customHeight="1">
      <c r="A6594" s="4" t="s">
        <v>1173</v>
      </c>
      <c r="B6594" s="8">
        <v>0.05</v>
      </c>
      <c r="C6594" s="6" t="s">
        <v>1018</v>
      </c>
      <c r="D6594" s="37">
        <f>Prec.!$C$82</f>
        <v>75</v>
      </c>
      <c r="E6594" s="25">
        <f t="shared" si="502"/>
        <v>3.75</v>
      </c>
    </row>
    <row r="6595" spans="1:6" ht="12.75" customHeight="1">
      <c r="A6595" s="4" t="s">
        <v>623</v>
      </c>
      <c r="B6595" s="8">
        <v>3.5</v>
      </c>
      <c r="C6595" s="6" t="s">
        <v>1017</v>
      </c>
      <c r="D6595" s="37">
        <f>D6584</f>
        <v>5.97</v>
      </c>
      <c r="E6595" s="25">
        <f t="shared" si="502"/>
        <v>20.9</v>
      </c>
    </row>
    <row r="6596" spans="1:6" ht="12.75" customHeight="1">
      <c r="A6596" s="4" t="s">
        <v>674</v>
      </c>
      <c r="B6596" s="8">
        <v>1</v>
      </c>
      <c r="C6596" s="6" t="s">
        <v>213</v>
      </c>
      <c r="D6596" s="37">
        <f>Prec.!D520</f>
        <v>445.02</v>
      </c>
      <c r="E6596" s="25">
        <f t="shared" si="502"/>
        <v>445.02</v>
      </c>
    </row>
    <row r="6597" spans="1:6" ht="12.75" customHeight="1">
      <c r="A6597" s="4" t="s">
        <v>1155</v>
      </c>
      <c r="B6597" s="8">
        <v>1</v>
      </c>
      <c r="C6597" s="6" t="s">
        <v>213</v>
      </c>
      <c r="D6597" s="37">
        <f>D6586</f>
        <v>27.85</v>
      </c>
      <c r="E6597" s="25">
        <f t="shared" si="502"/>
        <v>27.85</v>
      </c>
    </row>
    <row r="6598" spans="1:6" ht="12.75" customHeight="1">
      <c r="A6598" s="4" t="s">
        <v>1154</v>
      </c>
      <c r="B6598" s="8">
        <v>7.0000000000000007E-2</v>
      </c>
      <c r="C6598" s="6" t="s">
        <v>1172</v>
      </c>
      <c r="D6598" s="37">
        <f>D6587</f>
        <v>20.38</v>
      </c>
      <c r="E6598" s="25">
        <f t="shared" si="502"/>
        <v>1.43</v>
      </c>
    </row>
    <row r="6599" spans="1:6" ht="12.75" customHeight="1">
      <c r="A6599" s="4" t="s">
        <v>208</v>
      </c>
      <c r="B6599" s="7">
        <f>SUM(E6591:E6598)</f>
        <v>1322.6</v>
      </c>
      <c r="C6599" s="6" t="s">
        <v>209</v>
      </c>
      <c r="D6599" s="37">
        <f>D6588</f>
        <v>1.4999999999999999E-2</v>
      </c>
      <c r="E6599" s="25">
        <f t="shared" si="502"/>
        <v>19.84</v>
      </c>
      <c r="F6599" s="26">
        <f>SUM(E6591:E6599)</f>
        <v>1342.4399999999998</v>
      </c>
    </row>
    <row r="6600" spans="1:6" ht="12.75" customHeight="1">
      <c r="B6600" s="7"/>
    </row>
    <row r="6601" spans="1:6" ht="12.75" customHeight="1">
      <c r="A6601" s="1" t="s">
        <v>976</v>
      </c>
      <c r="B6601" s="11"/>
      <c r="C6601" s="2"/>
      <c r="E6601" s="27" t="s">
        <v>151</v>
      </c>
      <c r="F6601" s="28" t="s">
        <v>213</v>
      </c>
    </row>
    <row r="6602" spans="1:6" ht="12.75" customHeight="1">
      <c r="A6602" s="4" t="s">
        <v>864</v>
      </c>
      <c r="B6602" s="8">
        <v>1.05</v>
      </c>
      <c r="C6602" s="6" t="s">
        <v>213</v>
      </c>
      <c r="D6602" s="37">
        <f>Prec.!$C$122</f>
        <v>350</v>
      </c>
      <c r="E6602" s="25">
        <f t="shared" ref="E6602:E6610" si="503">ROUND(B6602*D6602,2)</f>
        <v>367.5</v>
      </c>
    </row>
    <row r="6603" spans="1:6" ht="12.75" customHeight="1">
      <c r="A6603" s="4" t="s">
        <v>673</v>
      </c>
      <c r="B6603" s="8">
        <v>7.0000000000000007E-2</v>
      </c>
      <c r="C6603" s="6" t="s">
        <v>1172</v>
      </c>
      <c r="D6603" s="37">
        <f>Prec.!$C$8</f>
        <v>250</v>
      </c>
      <c r="E6603" s="25">
        <f t="shared" si="503"/>
        <v>17.5</v>
      </c>
    </row>
    <row r="6604" spans="1:6" ht="12.75" customHeight="1">
      <c r="A6604" s="4" t="s">
        <v>1119</v>
      </c>
      <c r="B6604" s="8">
        <v>2.1999999999999999E-2</v>
      </c>
      <c r="C6604" s="6" t="s">
        <v>825</v>
      </c>
      <c r="D6604" s="37">
        <f>D6582</f>
        <v>8006.89</v>
      </c>
      <c r="E6604" s="25">
        <f t="shared" si="503"/>
        <v>176.15</v>
      </c>
    </row>
    <row r="6605" spans="1:6" ht="12.75" customHeight="1">
      <c r="A6605" s="4" t="s">
        <v>1173</v>
      </c>
      <c r="B6605" s="8">
        <v>0.05</v>
      </c>
      <c r="C6605" s="6" t="s">
        <v>1018</v>
      </c>
      <c r="D6605" s="37">
        <f>Prec.!$C$82</f>
        <v>75</v>
      </c>
      <c r="E6605" s="25">
        <f t="shared" si="503"/>
        <v>3.75</v>
      </c>
    </row>
    <row r="6606" spans="1:6" ht="12.75" customHeight="1">
      <c r="A6606" s="4" t="s">
        <v>623</v>
      </c>
      <c r="B6606" s="8">
        <v>3.5</v>
      </c>
      <c r="C6606" s="6" t="s">
        <v>1017</v>
      </c>
      <c r="D6606" s="37">
        <f>D6584</f>
        <v>5.97</v>
      </c>
      <c r="E6606" s="25">
        <f t="shared" si="503"/>
        <v>20.9</v>
      </c>
    </row>
    <row r="6607" spans="1:6" ht="12.75" customHeight="1">
      <c r="A6607" s="4" t="s">
        <v>674</v>
      </c>
      <c r="B6607" s="8">
        <v>1</v>
      </c>
      <c r="C6607" s="6" t="s">
        <v>213</v>
      </c>
      <c r="D6607" s="37">
        <f>Prec.!$D$517</f>
        <v>0</v>
      </c>
      <c r="E6607" s="25">
        <f t="shared" si="503"/>
        <v>0</v>
      </c>
    </row>
    <row r="6608" spans="1:6" ht="12.75" customHeight="1">
      <c r="A6608" s="4" t="s">
        <v>1155</v>
      </c>
      <c r="B6608" s="8">
        <v>1</v>
      </c>
      <c r="C6608" s="6" t="s">
        <v>213</v>
      </c>
      <c r="D6608" s="37">
        <f>D6586</f>
        <v>27.85</v>
      </c>
      <c r="E6608" s="25">
        <f t="shared" si="503"/>
        <v>27.85</v>
      </c>
    </row>
    <row r="6609" spans="1:13" ht="12.75" customHeight="1">
      <c r="A6609" s="4" t="s">
        <v>1154</v>
      </c>
      <c r="B6609" s="8">
        <v>7.0000000000000007E-2</v>
      </c>
      <c r="C6609" s="6" t="s">
        <v>1172</v>
      </c>
      <c r="D6609" s="37">
        <f>D6587</f>
        <v>20.38</v>
      </c>
      <c r="E6609" s="25">
        <f t="shared" si="503"/>
        <v>1.43</v>
      </c>
    </row>
    <row r="6610" spans="1:13" ht="12.75" customHeight="1">
      <c r="A6610" s="4" t="s">
        <v>208</v>
      </c>
      <c r="B6610" s="7">
        <f>SUM(E6602:E6609)</f>
        <v>615.07999999999993</v>
      </c>
      <c r="C6610" s="6" t="s">
        <v>209</v>
      </c>
      <c r="D6610" s="37">
        <f>D6588</f>
        <v>1.4999999999999999E-2</v>
      </c>
      <c r="E6610" s="25">
        <f t="shared" si="503"/>
        <v>9.23</v>
      </c>
      <c r="F6610" s="26">
        <f>SUM(E6602:E6610)</f>
        <v>624.30999999999995</v>
      </c>
    </row>
    <row r="6611" spans="1:13" ht="12.75" customHeight="1">
      <c r="B6611" s="7"/>
    </row>
    <row r="6612" spans="1:13" ht="12.75" customHeight="1">
      <c r="A6612" s="1" t="s">
        <v>645</v>
      </c>
      <c r="B6612" s="11"/>
      <c r="C6612" s="2"/>
      <c r="E6612" s="27" t="s">
        <v>151</v>
      </c>
      <c r="F6612" s="28" t="s">
        <v>213</v>
      </c>
    </row>
    <row r="6613" spans="1:13" ht="12.75" customHeight="1">
      <c r="A6613" s="4" t="s">
        <v>862</v>
      </c>
      <c r="B6613" s="8">
        <v>1.05</v>
      </c>
      <c r="C6613" s="6" t="s">
        <v>213</v>
      </c>
      <c r="D6613" s="37">
        <f>Prec.!$C$123</f>
        <v>250</v>
      </c>
      <c r="E6613" s="25">
        <f t="shared" ref="E6613:E6621" si="504">ROUND(B6613*D6613,2)</f>
        <v>262.5</v>
      </c>
    </row>
    <row r="6614" spans="1:13" ht="12.75" customHeight="1">
      <c r="A6614" s="4" t="s">
        <v>673</v>
      </c>
      <c r="B6614" s="8">
        <v>7.0000000000000007E-2</v>
      </c>
      <c r="C6614" s="6" t="s">
        <v>1172</v>
      </c>
      <c r="D6614" s="37">
        <f>Prec.!$C$8</f>
        <v>250</v>
      </c>
      <c r="E6614" s="25">
        <f t="shared" si="504"/>
        <v>17.5</v>
      </c>
    </row>
    <row r="6615" spans="1:13" ht="12.75" customHeight="1">
      <c r="A6615" s="4" t="s">
        <v>1119</v>
      </c>
      <c r="B6615" s="8">
        <v>2.1999999999999999E-2</v>
      </c>
      <c r="C6615" s="6" t="s">
        <v>825</v>
      </c>
      <c r="D6615" s="37">
        <f>D6604</f>
        <v>8006.89</v>
      </c>
      <c r="E6615" s="25">
        <f t="shared" si="504"/>
        <v>176.15</v>
      </c>
    </row>
    <row r="6616" spans="1:13" ht="12.75" customHeight="1">
      <c r="A6616" s="4" t="s">
        <v>1173</v>
      </c>
      <c r="B6616" s="8">
        <v>0.05</v>
      </c>
      <c r="C6616" s="6" t="s">
        <v>1018</v>
      </c>
      <c r="D6616" s="37">
        <f>Prec.!$C$82</f>
        <v>75</v>
      </c>
      <c r="E6616" s="25">
        <f t="shared" si="504"/>
        <v>3.75</v>
      </c>
    </row>
    <row r="6617" spans="1:13" ht="12.75" customHeight="1">
      <c r="A6617" s="4" t="s">
        <v>623</v>
      </c>
      <c r="B6617" s="8">
        <v>3.5</v>
      </c>
      <c r="C6617" s="6" t="s">
        <v>1017</v>
      </c>
      <c r="D6617" s="37">
        <f>D6606</f>
        <v>5.97</v>
      </c>
      <c r="E6617" s="25">
        <f t="shared" si="504"/>
        <v>20.9</v>
      </c>
    </row>
    <row r="6618" spans="1:13" ht="12.75" customHeight="1">
      <c r="A6618" s="4" t="s">
        <v>674</v>
      </c>
      <c r="B6618" s="8">
        <v>1</v>
      </c>
      <c r="C6618" s="6" t="s">
        <v>213</v>
      </c>
      <c r="D6618" s="37">
        <f>Prec.!$D$517</f>
        <v>0</v>
      </c>
      <c r="E6618" s="25">
        <f t="shared" si="504"/>
        <v>0</v>
      </c>
    </row>
    <row r="6619" spans="1:13" ht="12.75" customHeight="1">
      <c r="A6619" s="4" t="s">
        <v>1155</v>
      </c>
      <c r="B6619" s="8">
        <v>1</v>
      </c>
      <c r="C6619" s="6" t="s">
        <v>213</v>
      </c>
      <c r="D6619" s="37">
        <f>D6608</f>
        <v>27.85</v>
      </c>
      <c r="E6619" s="25">
        <f t="shared" si="504"/>
        <v>27.85</v>
      </c>
    </row>
    <row r="6620" spans="1:13" ht="12.75" customHeight="1">
      <c r="A6620" s="4" t="s">
        <v>1154</v>
      </c>
      <c r="B6620" s="8">
        <v>7.0000000000000007E-2</v>
      </c>
      <c r="C6620" s="6" t="s">
        <v>1172</v>
      </c>
      <c r="D6620" s="37">
        <f>D6609</f>
        <v>20.38</v>
      </c>
      <c r="E6620" s="25">
        <f t="shared" si="504"/>
        <v>1.43</v>
      </c>
    </row>
    <row r="6621" spans="1:13" ht="12.75" customHeight="1">
      <c r="A6621" s="4" t="s">
        <v>208</v>
      </c>
      <c r="B6621" s="7">
        <f>SUM(E6613:E6620)</f>
        <v>510.08</v>
      </c>
      <c r="C6621" s="6" t="s">
        <v>209</v>
      </c>
      <c r="D6621" s="37">
        <f>D6610</f>
        <v>1.4999999999999999E-2</v>
      </c>
      <c r="E6621" s="25">
        <f t="shared" si="504"/>
        <v>7.65</v>
      </c>
      <c r="F6621" s="26">
        <f>SUM(E6613:E6621)</f>
        <v>517.73</v>
      </c>
    </row>
    <row r="6622" spans="1:13" ht="12.75" customHeight="1">
      <c r="B6622" s="7"/>
    </row>
    <row r="6623" spans="1:13" s="166" customFormat="1" ht="12.75" customHeight="1">
      <c r="B6623" s="7"/>
      <c r="C6623" s="165"/>
      <c r="D6623" s="37"/>
      <c r="E6623" s="25"/>
      <c r="F6623" s="26"/>
      <c r="G6623" s="15"/>
      <c r="H6623" s="21"/>
      <c r="I6623" s="15"/>
      <c r="J6623" s="15"/>
      <c r="K6623" s="15"/>
      <c r="L6623" s="21"/>
      <c r="M6623" s="15"/>
    </row>
    <row r="6624" spans="1:13" s="166" customFormat="1" ht="12.75" customHeight="1">
      <c r="B6624" s="7"/>
      <c r="C6624" s="165"/>
      <c r="D6624" s="37"/>
      <c r="E6624" s="25"/>
      <c r="F6624" s="26"/>
      <c r="G6624" s="15"/>
      <c r="H6624" s="21"/>
      <c r="I6624" s="15"/>
      <c r="J6624" s="15"/>
      <c r="K6624" s="15"/>
      <c r="L6624" s="21"/>
      <c r="M6624" s="15"/>
    </row>
    <row r="6625" spans="1:13" s="166" customFormat="1" ht="12.75" customHeight="1">
      <c r="B6625" s="7"/>
      <c r="C6625" s="165"/>
      <c r="D6625" s="37"/>
      <c r="E6625" s="25"/>
      <c r="F6625" s="26"/>
      <c r="G6625" s="15"/>
      <c r="H6625" s="21"/>
      <c r="I6625" s="15"/>
      <c r="J6625" s="15"/>
      <c r="K6625" s="15"/>
      <c r="L6625" s="21"/>
      <c r="M6625" s="15"/>
    </row>
    <row r="6626" spans="1:13" s="166" customFormat="1" ht="12.75" customHeight="1">
      <c r="B6626" s="7"/>
      <c r="C6626" s="165"/>
      <c r="D6626" s="37"/>
      <c r="E6626" s="25"/>
      <c r="F6626" s="26"/>
      <c r="G6626" s="15"/>
      <c r="H6626" s="21"/>
      <c r="I6626" s="15"/>
      <c r="J6626" s="15"/>
      <c r="K6626" s="15"/>
      <c r="L6626" s="21"/>
      <c r="M6626" s="15"/>
    </row>
    <row r="6627" spans="1:13" ht="12.75" customHeight="1">
      <c r="A6627" s="1" t="s">
        <v>500</v>
      </c>
      <c r="B6627" s="11"/>
      <c r="C6627" s="2"/>
      <c r="E6627" s="27" t="s">
        <v>151</v>
      </c>
      <c r="F6627" s="28" t="s">
        <v>213</v>
      </c>
    </row>
    <row r="6628" spans="1:13" ht="12.75" customHeight="1">
      <c r="A6628" s="4" t="s">
        <v>862</v>
      </c>
      <c r="B6628" s="8">
        <v>1.05</v>
      </c>
      <c r="C6628" s="6" t="s">
        <v>213</v>
      </c>
      <c r="D6628" s="37">
        <f>Prec.!C124</f>
        <v>261</v>
      </c>
      <c r="E6628" s="25">
        <f t="shared" ref="E6628:E6636" si="505">ROUND(B6628*D6628,2)</f>
        <v>274.05</v>
      </c>
    </row>
    <row r="6629" spans="1:13" ht="12.75" customHeight="1">
      <c r="A6629" s="4" t="s">
        <v>673</v>
      </c>
      <c r="B6629" s="8">
        <v>7.0000000000000007E-2</v>
      </c>
      <c r="C6629" s="6" t="s">
        <v>1172</v>
      </c>
      <c r="D6629" s="37">
        <f>Prec.!$C$8</f>
        <v>250</v>
      </c>
      <c r="E6629" s="25">
        <f t="shared" si="505"/>
        <v>17.5</v>
      </c>
    </row>
    <row r="6630" spans="1:13" ht="12.75" customHeight="1">
      <c r="A6630" s="4" t="s">
        <v>1119</v>
      </c>
      <c r="B6630" s="8">
        <v>2.1999999999999999E-2</v>
      </c>
      <c r="C6630" s="6" t="s">
        <v>825</v>
      </c>
      <c r="D6630" s="37">
        <f>D6615</f>
        <v>8006.89</v>
      </c>
      <c r="E6630" s="25">
        <f t="shared" si="505"/>
        <v>176.15</v>
      </c>
    </row>
    <row r="6631" spans="1:13" ht="12.75" customHeight="1">
      <c r="A6631" s="4" t="s">
        <v>1173</v>
      </c>
      <c r="B6631" s="8">
        <v>0.05</v>
      </c>
      <c r="C6631" s="6" t="s">
        <v>1018</v>
      </c>
      <c r="D6631" s="37">
        <f>Prec.!$C$82</f>
        <v>75</v>
      </c>
      <c r="E6631" s="25">
        <f t="shared" si="505"/>
        <v>3.75</v>
      </c>
    </row>
    <row r="6632" spans="1:13" ht="12.75" customHeight="1">
      <c r="A6632" s="4" t="s">
        <v>623</v>
      </c>
      <c r="B6632" s="8">
        <v>3.5</v>
      </c>
      <c r="C6632" s="6" t="s">
        <v>1017</v>
      </c>
      <c r="D6632" s="37">
        <f>D6617</f>
        <v>5.97</v>
      </c>
      <c r="E6632" s="25">
        <f t="shared" si="505"/>
        <v>20.9</v>
      </c>
    </row>
    <row r="6633" spans="1:13" ht="12.75" customHeight="1">
      <c r="A6633" s="4" t="s">
        <v>674</v>
      </c>
      <c r="B6633" s="8">
        <v>1</v>
      </c>
      <c r="C6633" s="6" t="s">
        <v>213</v>
      </c>
      <c r="D6633" s="37">
        <f>Prec.!$D$517</f>
        <v>0</v>
      </c>
      <c r="E6633" s="25">
        <f t="shared" si="505"/>
        <v>0</v>
      </c>
    </row>
    <row r="6634" spans="1:13" ht="12.75" customHeight="1">
      <c r="A6634" s="4" t="s">
        <v>1155</v>
      </c>
      <c r="B6634" s="8">
        <v>1</v>
      </c>
      <c r="C6634" s="6" t="s">
        <v>213</v>
      </c>
      <c r="D6634" s="37">
        <f>D6619</f>
        <v>27.85</v>
      </c>
      <c r="E6634" s="25">
        <f t="shared" si="505"/>
        <v>27.85</v>
      </c>
    </row>
    <row r="6635" spans="1:13" ht="12.75" customHeight="1">
      <c r="A6635" s="4" t="s">
        <v>1154</v>
      </c>
      <c r="B6635" s="8">
        <v>7.0000000000000007E-2</v>
      </c>
      <c r="C6635" s="6" t="s">
        <v>1172</v>
      </c>
      <c r="D6635" s="37">
        <f>D6620</f>
        <v>20.38</v>
      </c>
      <c r="E6635" s="25">
        <f t="shared" si="505"/>
        <v>1.43</v>
      </c>
    </row>
    <row r="6636" spans="1:13" ht="12.75" customHeight="1">
      <c r="A6636" s="4" t="s">
        <v>208</v>
      </c>
      <c r="B6636" s="7">
        <f>SUM(E6628:E6635)</f>
        <v>521.63</v>
      </c>
      <c r="C6636" s="6" t="s">
        <v>209</v>
      </c>
      <c r="D6636" s="37">
        <f>D6621</f>
        <v>1.4999999999999999E-2</v>
      </c>
      <c r="E6636" s="25">
        <f t="shared" si="505"/>
        <v>7.82</v>
      </c>
      <c r="F6636" s="26">
        <f>SUM(E6628:E6636)</f>
        <v>529.45000000000005</v>
      </c>
    </row>
    <row r="6637" spans="1:13" ht="12.75" customHeight="1">
      <c r="B6637" s="7"/>
    </row>
    <row r="6638" spans="1:13" ht="12.75" customHeight="1">
      <c r="A6638" s="13" t="s">
        <v>549</v>
      </c>
      <c r="B6638" s="11"/>
      <c r="C6638" s="2"/>
      <c r="E6638" s="27" t="s">
        <v>151</v>
      </c>
      <c r="F6638" s="28" t="s">
        <v>213</v>
      </c>
    </row>
    <row r="6639" spans="1:13" ht="12.75" customHeight="1">
      <c r="A6639" s="4" t="s">
        <v>103</v>
      </c>
      <c r="B6639" s="8">
        <v>1.05</v>
      </c>
      <c r="C6639" s="6" t="s">
        <v>213</v>
      </c>
      <c r="D6639" s="35">
        <f>Prec.!C125</f>
        <v>238.96</v>
      </c>
      <c r="E6639" s="25">
        <f t="shared" ref="E6639:E6647" si="506">ROUND(B6639*D6639,2)</f>
        <v>250.91</v>
      </c>
    </row>
    <row r="6640" spans="1:13" ht="12.75" customHeight="1">
      <c r="A6640" s="4" t="s">
        <v>673</v>
      </c>
      <c r="B6640" s="8">
        <v>7.0000000000000007E-2</v>
      </c>
      <c r="C6640" s="6" t="s">
        <v>1172</v>
      </c>
      <c r="D6640" s="37">
        <f>Prec.!$C$8</f>
        <v>250</v>
      </c>
      <c r="E6640" s="25">
        <f t="shared" si="506"/>
        <v>17.5</v>
      </c>
    </row>
    <row r="6641" spans="1:6" ht="12.75" customHeight="1">
      <c r="A6641" s="4" t="s">
        <v>1119</v>
      </c>
      <c r="B6641" s="8">
        <v>2.1999999999999999E-2</v>
      </c>
      <c r="C6641" s="6" t="s">
        <v>825</v>
      </c>
      <c r="D6641" s="37">
        <f>D6630</f>
        <v>8006.89</v>
      </c>
      <c r="E6641" s="25">
        <f t="shared" si="506"/>
        <v>176.15</v>
      </c>
    </row>
    <row r="6642" spans="1:6" ht="12.75" customHeight="1">
      <c r="A6642" s="4" t="s">
        <v>1173</v>
      </c>
      <c r="B6642" s="8">
        <v>0.05</v>
      </c>
      <c r="C6642" s="6" t="s">
        <v>1018</v>
      </c>
      <c r="D6642" s="37">
        <f>D6631</f>
        <v>75</v>
      </c>
      <c r="E6642" s="25">
        <f t="shared" si="506"/>
        <v>3.75</v>
      </c>
    </row>
    <row r="6643" spans="1:6" ht="12.75" customHeight="1">
      <c r="A6643" s="4" t="s">
        <v>623</v>
      </c>
      <c r="B6643" s="8">
        <v>3.5</v>
      </c>
      <c r="C6643" s="6" t="s">
        <v>1017</v>
      </c>
      <c r="D6643" s="37">
        <f>D6632</f>
        <v>5.97</v>
      </c>
      <c r="E6643" s="25">
        <f t="shared" si="506"/>
        <v>20.9</v>
      </c>
    </row>
    <row r="6644" spans="1:6" ht="12.75" customHeight="1">
      <c r="A6644" s="4" t="s">
        <v>674</v>
      </c>
      <c r="B6644" s="8">
        <v>1</v>
      </c>
      <c r="C6644" s="6" t="s">
        <v>213</v>
      </c>
      <c r="D6644" s="37">
        <f>Prec.!$D$517</f>
        <v>0</v>
      </c>
      <c r="E6644" s="25">
        <f t="shared" si="506"/>
        <v>0</v>
      </c>
    </row>
    <row r="6645" spans="1:6" ht="12.75" customHeight="1">
      <c r="A6645" s="4" t="s">
        <v>1155</v>
      </c>
      <c r="B6645" s="8">
        <v>1</v>
      </c>
      <c r="C6645" s="6" t="s">
        <v>213</v>
      </c>
      <c r="D6645" s="37">
        <f>D6634</f>
        <v>27.85</v>
      </c>
      <c r="E6645" s="25">
        <f t="shared" si="506"/>
        <v>27.85</v>
      </c>
    </row>
    <row r="6646" spans="1:6" ht="12.75" customHeight="1">
      <c r="A6646" s="4" t="s">
        <v>1154</v>
      </c>
      <c r="B6646" s="8">
        <v>7.0000000000000007E-2</v>
      </c>
      <c r="C6646" s="6" t="s">
        <v>1172</v>
      </c>
      <c r="D6646" s="37">
        <f>D6635</f>
        <v>20.38</v>
      </c>
      <c r="E6646" s="25">
        <f t="shared" si="506"/>
        <v>1.43</v>
      </c>
    </row>
    <row r="6647" spans="1:6" ht="12.75" customHeight="1">
      <c r="A6647" s="4" t="s">
        <v>208</v>
      </c>
      <c r="B6647" s="7">
        <f>SUM(E6639:E6644)</f>
        <v>469.20999999999992</v>
      </c>
      <c r="C6647" s="6" t="s">
        <v>209</v>
      </c>
      <c r="D6647" s="37">
        <f>D6636</f>
        <v>1.4999999999999999E-2</v>
      </c>
      <c r="E6647" s="25">
        <f t="shared" si="506"/>
        <v>7.04</v>
      </c>
      <c r="F6647" s="26">
        <f>SUM(E6639:E6647)</f>
        <v>505.53</v>
      </c>
    </row>
    <row r="6648" spans="1:6" ht="12.75" customHeight="1">
      <c r="B6648" s="7"/>
    </row>
    <row r="6649" spans="1:6" ht="12.75" customHeight="1">
      <c r="A6649" s="13" t="s">
        <v>1293</v>
      </c>
      <c r="B6649" s="11"/>
      <c r="C6649" s="2"/>
      <c r="E6649" s="27" t="s">
        <v>151</v>
      </c>
      <c r="F6649" s="28" t="s">
        <v>213</v>
      </c>
    </row>
    <row r="6650" spans="1:6" ht="12.75" customHeight="1">
      <c r="A6650" s="4" t="s">
        <v>190</v>
      </c>
      <c r="B6650" s="8">
        <v>50</v>
      </c>
      <c r="C6650" s="6" t="s">
        <v>1017</v>
      </c>
      <c r="D6650" s="37">
        <f>Prec.!$C$131</f>
        <v>10.82</v>
      </c>
      <c r="E6650" s="25">
        <f t="shared" ref="E6650:E6657" si="507">ROUND(B6650*D6650,2)</f>
        <v>541</v>
      </c>
    </row>
    <row r="6651" spans="1:6" ht="12.75" customHeight="1">
      <c r="A6651" s="4" t="s">
        <v>191</v>
      </c>
      <c r="B6651" s="8">
        <v>5.0000000000000001E-3</v>
      </c>
      <c r="C6651" s="6" t="s">
        <v>1228</v>
      </c>
      <c r="D6651" s="37">
        <f>Prec.!$C$28</f>
        <v>200</v>
      </c>
      <c r="E6651" s="25">
        <f t="shared" si="507"/>
        <v>1</v>
      </c>
    </row>
    <row r="6652" spans="1:6" ht="12.75" customHeight="1">
      <c r="A6652" s="4" t="s">
        <v>427</v>
      </c>
      <c r="B6652" s="8">
        <v>1.2E-2</v>
      </c>
      <c r="C6652" s="6" t="s">
        <v>825</v>
      </c>
      <c r="D6652" s="37">
        <f>horm.ymez.!G8</f>
        <v>7343.1500000000005</v>
      </c>
      <c r="E6652" s="25">
        <f t="shared" si="507"/>
        <v>88.12</v>
      </c>
    </row>
    <row r="6653" spans="1:6" ht="12.75" customHeight="1">
      <c r="A6653" s="4" t="s">
        <v>1173</v>
      </c>
      <c r="B6653" s="8">
        <v>0.05</v>
      </c>
      <c r="C6653" s="6" t="s">
        <v>1018</v>
      </c>
      <c r="D6653" s="37">
        <f>Prec.!$C$82</f>
        <v>75</v>
      </c>
      <c r="E6653" s="25">
        <f t="shared" si="507"/>
        <v>3.75</v>
      </c>
    </row>
    <row r="6654" spans="1:6" ht="12.75" customHeight="1">
      <c r="A6654" s="4" t="s">
        <v>293</v>
      </c>
      <c r="B6654" s="8">
        <v>7.0999999999999994E-2</v>
      </c>
      <c r="C6654" s="6" t="s">
        <v>1017</v>
      </c>
      <c r="D6654" s="35">
        <f>Prec.!D494</f>
        <v>11.93</v>
      </c>
      <c r="E6654" s="25">
        <f t="shared" si="507"/>
        <v>0.85</v>
      </c>
    </row>
    <row r="6655" spans="1:6" ht="12.75" customHeight="1">
      <c r="A6655" s="4" t="s">
        <v>294</v>
      </c>
      <c r="B6655" s="8">
        <v>50</v>
      </c>
      <c r="C6655" s="6" t="s">
        <v>1017</v>
      </c>
      <c r="D6655" s="37">
        <f>Prec.!$D$521</f>
        <v>7.81</v>
      </c>
      <c r="E6655" s="25">
        <f t="shared" si="507"/>
        <v>390.5</v>
      </c>
    </row>
    <row r="6656" spans="1:6" ht="12.75" customHeight="1">
      <c r="A6656" s="4" t="s">
        <v>638</v>
      </c>
      <c r="B6656" s="8">
        <v>50</v>
      </c>
      <c r="C6656" s="6" t="s">
        <v>1017</v>
      </c>
      <c r="D6656" s="37">
        <f>Prec.!D583</f>
        <v>1.04</v>
      </c>
      <c r="E6656" s="25">
        <f t="shared" si="507"/>
        <v>52</v>
      </c>
    </row>
    <row r="6657" spans="1:6" ht="12.75" customHeight="1">
      <c r="A6657" s="4" t="s">
        <v>208</v>
      </c>
      <c r="B6657" s="7">
        <f>SUM(E6650:E6655)</f>
        <v>1025.22</v>
      </c>
      <c r="C6657" s="6" t="s">
        <v>209</v>
      </c>
      <c r="D6657" s="37">
        <f>D6647</f>
        <v>1.4999999999999999E-2</v>
      </c>
      <c r="E6657" s="25">
        <f t="shared" si="507"/>
        <v>15.38</v>
      </c>
      <c r="F6657" s="26">
        <f>SUM(E6650:E6657)</f>
        <v>1092.6000000000001</v>
      </c>
    </row>
    <row r="6658" spans="1:6" ht="12.75" customHeight="1">
      <c r="B6658" s="7"/>
    </row>
    <row r="6659" spans="1:6" ht="12.75" customHeight="1">
      <c r="A6659" s="13" t="s">
        <v>1294</v>
      </c>
      <c r="B6659" s="11"/>
      <c r="C6659" s="2"/>
      <c r="E6659" s="27" t="s">
        <v>151</v>
      </c>
      <c r="F6659" s="28" t="s">
        <v>213</v>
      </c>
    </row>
    <row r="6660" spans="1:6" ht="12.75" customHeight="1">
      <c r="A6660" s="4" t="s">
        <v>190</v>
      </c>
      <c r="B6660" s="8">
        <v>100</v>
      </c>
      <c r="C6660" s="6" t="s">
        <v>1017</v>
      </c>
      <c r="D6660" s="37">
        <f>Prec.!$C$132</f>
        <v>8.7899999999999991</v>
      </c>
      <c r="E6660" s="25">
        <f t="shared" ref="E6660:E6667" si="508">ROUND(B6660*D6660,2)</f>
        <v>879</v>
      </c>
    </row>
    <row r="6661" spans="1:6" ht="12.75" customHeight="1">
      <c r="A6661" s="4" t="s">
        <v>191</v>
      </c>
      <c r="B6661" s="8">
        <v>5.0000000000000001E-3</v>
      </c>
      <c r="C6661" s="6" t="s">
        <v>1228</v>
      </c>
      <c r="D6661" s="37">
        <f>Prec.!$C$28</f>
        <v>200</v>
      </c>
      <c r="E6661" s="25">
        <f t="shared" si="508"/>
        <v>1</v>
      </c>
    </row>
    <row r="6662" spans="1:6" ht="12.75" customHeight="1">
      <c r="A6662" s="4" t="s">
        <v>427</v>
      </c>
      <c r="B6662" s="8">
        <v>1.2E-2</v>
      </c>
      <c r="C6662" s="6" t="s">
        <v>825</v>
      </c>
      <c r="D6662" s="37">
        <f>D6652</f>
        <v>7343.1500000000005</v>
      </c>
      <c r="E6662" s="25">
        <f t="shared" si="508"/>
        <v>88.12</v>
      </c>
    </row>
    <row r="6663" spans="1:6" ht="12.75" customHeight="1">
      <c r="A6663" s="4" t="s">
        <v>1173</v>
      </c>
      <c r="B6663" s="8">
        <v>0.05</v>
      </c>
      <c r="C6663" s="6" t="s">
        <v>1018</v>
      </c>
      <c r="D6663" s="37">
        <f>Prec.!$C$82</f>
        <v>75</v>
      </c>
      <c r="E6663" s="25">
        <f t="shared" si="508"/>
        <v>3.75</v>
      </c>
    </row>
    <row r="6664" spans="1:6" ht="12.75" customHeight="1">
      <c r="A6664" s="4" t="s">
        <v>293</v>
      </c>
      <c r="B6664" s="8">
        <v>7.0999999999999994E-2</v>
      </c>
      <c r="C6664" s="6" t="s">
        <v>1017</v>
      </c>
      <c r="D6664" s="37">
        <f>Prec.!D495</f>
        <v>9.5500000000000007</v>
      </c>
      <c r="E6664" s="25">
        <f t="shared" si="508"/>
        <v>0.68</v>
      </c>
    </row>
    <row r="6665" spans="1:6" ht="12.75" customHeight="1">
      <c r="A6665" s="4" t="s">
        <v>294</v>
      </c>
      <c r="B6665" s="8">
        <v>100</v>
      </c>
      <c r="C6665" s="6" t="s">
        <v>1017</v>
      </c>
      <c r="D6665" s="37">
        <f>Prec.!$D$521</f>
        <v>7.81</v>
      </c>
      <c r="E6665" s="25">
        <f t="shared" si="508"/>
        <v>781</v>
      </c>
    </row>
    <row r="6666" spans="1:6" ht="12.75" customHeight="1">
      <c r="A6666" s="4" t="s">
        <v>638</v>
      </c>
      <c r="B6666" s="8">
        <v>100</v>
      </c>
      <c r="C6666" s="6" t="s">
        <v>1017</v>
      </c>
      <c r="D6666" s="37">
        <f>D6656</f>
        <v>1.04</v>
      </c>
      <c r="E6666" s="25">
        <f t="shared" si="508"/>
        <v>104</v>
      </c>
    </row>
    <row r="6667" spans="1:6" ht="12.75" customHeight="1">
      <c r="A6667" s="4" t="s">
        <v>208</v>
      </c>
      <c r="B6667" s="7">
        <f>SUM(E6660:E6665)</f>
        <v>1753.55</v>
      </c>
      <c r="C6667" s="6" t="s">
        <v>209</v>
      </c>
      <c r="D6667" s="37">
        <f>D6657</f>
        <v>1.4999999999999999E-2</v>
      </c>
      <c r="E6667" s="25">
        <f t="shared" si="508"/>
        <v>26.3</v>
      </c>
      <c r="F6667" s="26">
        <f>SUM(E6660:E6667)</f>
        <v>1883.85</v>
      </c>
    </row>
    <row r="6668" spans="1:6" ht="12.75" customHeight="1">
      <c r="B6668" s="7"/>
    </row>
    <row r="6669" spans="1:6" ht="12.75" customHeight="1">
      <c r="A6669" s="1" t="s">
        <v>1295</v>
      </c>
      <c r="B6669" s="11"/>
      <c r="C6669" s="2"/>
      <c r="E6669" s="27" t="s">
        <v>151</v>
      </c>
      <c r="F6669" s="28" t="s">
        <v>213</v>
      </c>
    </row>
    <row r="6670" spans="1:6" ht="12.75" customHeight="1">
      <c r="A6670" s="4" t="s">
        <v>1098</v>
      </c>
      <c r="B6670" s="8">
        <v>1.1000000000000001</v>
      </c>
      <c r="C6670" s="6" t="s">
        <v>213</v>
      </c>
      <c r="D6670" s="37">
        <f>Prec.!$C$175</f>
        <v>180</v>
      </c>
      <c r="E6670" s="25">
        <f>ROUND(B6670*D6670,2)</f>
        <v>198</v>
      </c>
    </row>
    <row r="6671" spans="1:6" ht="12.75" customHeight="1">
      <c r="A6671" s="4" t="s">
        <v>427</v>
      </c>
      <c r="B6671" s="8">
        <v>2.1000000000000001E-2</v>
      </c>
      <c r="C6671" s="6" t="s">
        <v>825</v>
      </c>
      <c r="D6671" s="37">
        <f>D6662</f>
        <v>7343.1500000000005</v>
      </c>
      <c r="E6671" s="25">
        <f>ROUND(B6671*D6671,2)</f>
        <v>154.21</v>
      </c>
    </row>
    <row r="6672" spans="1:6" ht="12.75" customHeight="1">
      <c r="A6672" s="4" t="s">
        <v>1100</v>
      </c>
      <c r="B6672" s="8">
        <v>1</v>
      </c>
      <c r="C6672" s="6" t="s">
        <v>213</v>
      </c>
      <c r="D6672" s="37">
        <f>Prec.!$D$522</f>
        <v>598.63</v>
      </c>
      <c r="E6672" s="25">
        <f>ROUND(B6672*D6672,2)</f>
        <v>598.63</v>
      </c>
    </row>
    <row r="6673" spans="1:13" ht="12.75" customHeight="1">
      <c r="A6673" s="4" t="s">
        <v>1103</v>
      </c>
      <c r="B6673" s="8">
        <v>1</v>
      </c>
      <c r="C6673" s="6" t="s">
        <v>213</v>
      </c>
      <c r="D6673" s="37">
        <f>Prec.!D589</f>
        <v>27.85</v>
      </c>
      <c r="E6673" s="25">
        <f>ROUND(B6673*D6673,2)</f>
        <v>27.85</v>
      </c>
    </row>
    <row r="6674" spans="1:13" ht="12.75" customHeight="1">
      <c r="A6674" s="4" t="s">
        <v>208</v>
      </c>
      <c r="B6674" s="7">
        <f>SUM(E6670:E6672)</f>
        <v>950.84</v>
      </c>
      <c r="C6674" s="6" t="s">
        <v>209</v>
      </c>
      <c r="D6674" s="37">
        <f>D6667</f>
        <v>1.4999999999999999E-2</v>
      </c>
      <c r="E6674" s="25">
        <f>ROUND(B6674*D6674,2)</f>
        <v>14.26</v>
      </c>
      <c r="F6674" s="26">
        <f>SUM(E6670:E6674)</f>
        <v>992.95</v>
      </c>
    </row>
    <row r="6675" spans="1:13" ht="12.75" customHeight="1">
      <c r="A6675" s="2"/>
      <c r="B6675" s="7"/>
    </row>
    <row r="6676" spans="1:13" s="166" customFormat="1" ht="12.75" customHeight="1">
      <c r="A6676" s="164"/>
      <c r="B6676" s="7"/>
      <c r="C6676" s="165"/>
      <c r="D6676" s="37"/>
      <c r="E6676" s="25"/>
      <c r="F6676" s="26"/>
      <c r="G6676" s="15"/>
      <c r="H6676" s="21"/>
      <c r="I6676" s="15"/>
      <c r="J6676" s="15"/>
      <c r="K6676" s="15"/>
      <c r="L6676" s="21"/>
      <c r="M6676" s="15"/>
    </row>
    <row r="6677" spans="1:13" ht="12.75" customHeight="1">
      <c r="A6677" s="23" t="s">
        <v>1189</v>
      </c>
      <c r="B6677" s="7"/>
    </row>
    <row r="6678" spans="1:13" ht="12.75" customHeight="1">
      <c r="A6678" s="2"/>
      <c r="B6678" s="7"/>
    </row>
    <row r="6679" spans="1:13" ht="12.75" customHeight="1">
      <c r="A6679" s="1" t="s">
        <v>126</v>
      </c>
      <c r="B6679" s="11"/>
      <c r="C6679" s="2"/>
      <c r="E6679" s="27" t="s">
        <v>151</v>
      </c>
      <c r="F6679" s="28" t="s">
        <v>213</v>
      </c>
    </row>
    <row r="6680" spans="1:13" ht="12.75" customHeight="1">
      <c r="A6680" s="4" t="s">
        <v>863</v>
      </c>
      <c r="B6680" s="8">
        <v>1.05</v>
      </c>
      <c r="C6680" s="6" t="s">
        <v>213</v>
      </c>
      <c r="D6680" s="37">
        <f>Prec.!C121</f>
        <v>290</v>
      </c>
      <c r="E6680" s="25">
        <f t="shared" ref="E6680:E6688" si="509">ROUND(B6680*D6680,2)</f>
        <v>304.5</v>
      </c>
    </row>
    <row r="6681" spans="1:13" ht="12.75" customHeight="1">
      <c r="A6681" s="4" t="s">
        <v>673</v>
      </c>
      <c r="B6681" s="8">
        <v>7.0000000000000007E-2</v>
      </c>
      <c r="C6681" s="6" t="s">
        <v>1172</v>
      </c>
      <c r="D6681" s="37">
        <f>Prec.!$C$8</f>
        <v>250</v>
      </c>
      <c r="E6681" s="25">
        <f t="shared" si="509"/>
        <v>17.5</v>
      </c>
    </row>
    <row r="6682" spans="1:13" ht="12.75" customHeight="1">
      <c r="A6682" s="4" t="s">
        <v>1119</v>
      </c>
      <c r="B6682" s="8">
        <v>2.1999999999999999E-2</v>
      </c>
      <c r="C6682" s="6" t="s">
        <v>825</v>
      </c>
      <c r="D6682" s="37">
        <f>horm.ymez.!H12</f>
        <v>7472.68</v>
      </c>
      <c r="E6682" s="25">
        <f t="shared" si="509"/>
        <v>164.4</v>
      </c>
    </row>
    <row r="6683" spans="1:13" ht="12.75" customHeight="1">
      <c r="A6683" s="4" t="s">
        <v>1173</v>
      </c>
      <c r="B6683" s="8">
        <v>0.05</v>
      </c>
      <c r="C6683" s="6" t="s">
        <v>1018</v>
      </c>
      <c r="D6683" s="37">
        <f>Prec.!$C$82</f>
        <v>75</v>
      </c>
      <c r="E6683" s="25">
        <f t="shared" si="509"/>
        <v>3.75</v>
      </c>
    </row>
    <row r="6684" spans="1:13" ht="12.75" customHeight="1">
      <c r="A6684" s="4" t="s">
        <v>623</v>
      </c>
      <c r="B6684" s="8">
        <v>3.5</v>
      </c>
      <c r="C6684" s="6" t="s">
        <v>1017</v>
      </c>
      <c r="D6684" s="37">
        <f>Prec.!D488</f>
        <v>5.97</v>
      </c>
      <c r="E6684" s="25">
        <f t="shared" si="509"/>
        <v>20.9</v>
      </c>
    </row>
    <row r="6685" spans="1:13" ht="12.75" customHeight="1">
      <c r="A6685" s="4" t="s">
        <v>674</v>
      </c>
      <c r="B6685" s="8">
        <v>1</v>
      </c>
      <c r="C6685" s="6" t="s">
        <v>213</v>
      </c>
      <c r="D6685" s="37">
        <f>Prec.!$D$519</f>
        <v>389.35</v>
      </c>
      <c r="E6685" s="25">
        <f t="shared" si="509"/>
        <v>389.35</v>
      </c>
    </row>
    <row r="6686" spans="1:13" ht="12.75" customHeight="1">
      <c r="A6686" s="4" t="s">
        <v>1155</v>
      </c>
      <c r="B6686" s="8">
        <v>1</v>
      </c>
      <c r="C6686" s="6" t="s">
        <v>213</v>
      </c>
      <c r="D6686" s="37">
        <f>Prec.!D553</f>
        <v>35.369999999999997</v>
      </c>
      <c r="E6686" s="25">
        <f t="shared" si="509"/>
        <v>35.369999999999997</v>
      </c>
    </row>
    <row r="6687" spans="1:13" ht="12.75" customHeight="1">
      <c r="A6687" s="4" t="s">
        <v>1154</v>
      </c>
      <c r="B6687" s="8">
        <v>7.0000000000000007E-2</v>
      </c>
      <c r="C6687" s="6" t="s">
        <v>1172</v>
      </c>
      <c r="D6687" s="37">
        <f>Prec.!D566:D566</f>
        <v>26.49</v>
      </c>
      <c r="E6687" s="25">
        <f t="shared" si="509"/>
        <v>1.85</v>
      </c>
    </row>
    <row r="6688" spans="1:13" ht="12.75" customHeight="1">
      <c r="A6688" s="4" t="s">
        <v>208</v>
      </c>
      <c r="B6688" s="7">
        <f>SUM(E6680:E6687)</f>
        <v>937.62</v>
      </c>
      <c r="C6688" s="6" t="s">
        <v>209</v>
      </c>
      <c r="D6688" s="37">
        <f>D6674</f>
        <v>1.4999999999999999E-2</v>
      </c>
      <c r="E6688" s="25">
        <f t="shared" si="509"/>
        <v>14.06</v>
      </c>
      <c r="F6688" s="26">
        <f>SUM(E6680:E6688)</f>
        <v>951.68</v>
      </c>
    </row>
    <row r="6689" spans="1:13" s="166" customFormat="1" ht="12.75" customHeight="1">
      <c r="B6689" s="7"/>
      <c r="C6689" s="165"/>
      <c r="D6689" s="37"/>
      <c r="E6689" s="25"/>
      <c r="F6689" s="26"/>
      <c r="G6689" s="15"/>
      <c r="H6689" s="21"/>
      <c r="I6689" s="15"/>
      <c r="J6689" s="15"/>
      <c r="K6689" s="15"/>
      <c r="L6689" s="21"/>
      <c r="M6689" s="15"/>
    </row>
    <row r="6690" spans="1:13" ht="12.75" customHeight="1">
      <c r="A6690" s="1" t="s">
        <v>604</v>
      </c>
      <c r="B6690" s="11"/>
      <c r="C6690" s="2"/>
      <c r="E6690" s="27" t="s">
        <v>151</v>
      </c>
      <c r="F6690" s="44" t="s">
        <v>213</v>
      </c>
    </row>
    <row r="6691" spans="1:13" ht="12.75" customHeight="1">
      <c r="A6691" s="4" t="s">
        <v>863</v>
      </c>
      <c r="B6691" s="8">
        <v>1.05</v>
      </c>
      <c r="C6691" s="6" t="s">
        <v>213</v>
      </c>
      <c r="D6691" s="37">
        <f>Prec.!$C$120</f>
        <v>600</v>
      </c>
      <c r="E6691" s="25">
        <f t="shared" ref="E6691:E6699" si="510">ROUND(B6691*D6691,2)</f>
        <v>630</v>
      </c>
    </row>
    <row r="6692" spans="1:13" ht="12.75" customHeight="1">
      <c r="A6692" s="4" t="s">
        <v>673</v>
      </c>
      <c r="B6692" s="8">
        <v>7.0000000000000007E-2</v>
      </c>
      <c r="C6692" s="6" t="s">
        <v>1172</v>
      </c>
      <c r="D6692" s="37">
        <f>Prec.!$C$8</f>
        <v>250</v>
      </c>
      <c r="E6692" s="25">
        <f t="shared" si="510"/>
        <v>17.5</v>
      </c>
    </row>
    <row r="6693" spans="1:13" ht="12.75" customHeight="1">
      <c r="A6693" s="4" t="s">
        <v>1119</v>
      </c>
      <c r="B6693" s="8">
        <v>2.1999999999999999E-2</v>
      </c>
      <c r="C6693" s="6" t="s">
        <v>825</v>
      </c>
      <c r="D6693" s="37">
        <f>D6682</f>
        <v>7472.68</v>
      </c>
      <c r="E6693" s="25">
        <f t="shared" si="510"/>
        <v>164.4</v>
      </c>
    </row>
    <row r="6694" spans="1:13" ht="12.75" customHeight="1">
      <c r="A6694" s="4" t="s">
        <v>1173</v>
      </c>
      <c r="B6694" s="8">
        <v>0.05</v>
      </c>
      <c r="C6694" s="6" t="s">
        <v>1018</v>
      </c>
      <c r="D6694" s="37">
        <f>Prec.!$C$82</f>
        <v>75</v>
      </c>
      <c r="E6694" s="25">
        <f t="shared" si="510"/>
        <v>3.75</v>
      </c>
    </row>
    <row r="6695" spans="1:13" ht="12.75" customHeight="1">
      <c r="A6695" s="4" t="s">
        <v>623</v>
      </c>
      <c r="B6695" s="8">
        <v>3.5</v>
      </c>
      <c r="C6695" s="6" t="s">
        <v>1017</v>
      </c>
      <c r="D6695" s="37">
        <f>D6684</f>
        <v>5.97</v>
      </c>
      <c r="E6695" s="25">
        <f t="shared" si="510"/>
        <v>20.9</v>
      </c>
    </row>
    <row r="6696" spans="1:13" ht="12.75" customHeight="1">
      <c r="A6696" s="4" t="s">
        <v>674</v>
      </c>
      <c r="B6696" s="8">
        <v>1</v>
      </c>
      <c r="C6696" s="6" t="s">
        <v>213</v>
      </c>
      <c r="D6696" s="37">
        <f>Prec.!D520</f>
        <v>445.02</v>
      </c>
      <c r="E6696" s="25">
        <f t="shared" si="510"/>
        <v>445.02</v>
      </c>
    </row>
    <row r="6697" spans="1:13" ht="12.75" customHeight="1">
      <c r="A6697" s="4" t="s">
        <v>1155</v>
      </c>
      <c r="B6697" s="8">
        <v>1</v>
      </c>
      <c r="C6697" s="6" t="s">
        <v>213</v>
      </c>
      <c r="D6697" s="37">
        <f>D6686</f>
        <v>35.369999999999997</v>
      </c>
      <c r="E6697" s="25">
        <f t="shared" si="510"/>
        <v>35.369999999999997</v>
      </c>
    </row>
    <row r="6698" spans="1:13" ht="12.75" customHeight="1">
      <c r="A6698" s="4" t="s">
        <v>1154</v>
      </c>
      <c r="B6698" s="8">
        <v>7.0000000000000007E-2</v>
      </c>
      <c r="C6698" s="6" t="s">
        <v>1172</v>
      </c>
      <c r="D6698" s="37">
        <f>D6687</f>
        <v>26.49</v>
      </c>
      <c r="E6698" s="25">
        <f t="shared" si="510"/>
        <v>1.85</v>
      </c>
    </row>
    <row r="6699" spans="1:13" ht="12.75" customHeight="1">
      <c r="A6699" s="4" t="s">
        <v>208</v>
      </c>
      <c r="B6699" s="7">
        <f>SUM(E6691:E6698)</f>
        <v>1318.7899999999997</v>
      </c>
      <c r="C6699" s="6" t="s">
        <v>209</v>
      </c>
      <c r="D6699" s="37">
        <f>D6688</f>
        <v>1.4999999999999999E-2</v>
      </c>
      <c r="E6699" s="25">
        <f t="shared" si="510"/>
        <v>19.78</v>
      </c>
      <c r="F6699" s="26">
        <f>SUM(E6691:E6699)</f>
        <v>1338.5699999999997</v>
      </c>
    </row>
    <row r="6700" spans="1:13" ht="12.75" customHeight="1">
      <c r="B6700" s="7"/>
    </row>
    <row r="6701" spans="1:13" ht="12.75" customHeight="1">
      <c r="A6701" s="1" t="s">
        <v>127</v>
      </c>
      <c r="B6701" s="11"/>
      <c r="C6701" s="2"/>
      <c r="E6701" s="27" t="s">
        <v>151</v>
      </c>
      <c r="F6701" s="28" t="s">
        <v>213</v>
      </c>
    </row>
    <row r="6702" spans="1:13" ht="12.75" customHeight="1">
      <c r="A6702" s="4" t="s">
        <v>864</v>
      </c>
      <c r="B6702" s="8">
        <v>1.05</v>
      </c>
      <c r="C6702" s="6" t="s">
        <v>213</v>
      </c>
      <c r="D6702" s="37">
        <f>Prec.!$C$122</f>
        <v>350</v>
      </c>
      <c r="E6702" s="25">
        <f t="shared" ref="E6702:E6710" si="511">ROUND(B6702*D6702,2)</f>
        <v>367.5</v>
      </c>
    </row>
    <row r="6703" spans="1:13" ht="12.75" customHeight="1">
      <c r="A6703" s="4" t="s">
        <v>673</v>
      </c>
      <c r="B6703" s="8">
        <v>7.0000000000000007E-2</v>
      </c>
      <c r="C6703" s="6" t="s">
        <v>1172</v>
      </c>
      <c r="D6703" s="37">
        <f>Prec.!$C$8</f>
        <v>250</v>
      </c>
      <c r="E6703" s="25">
        <f t="shared" si="511"/>
        <v>17.5</v>
      </c>
    </row>
    <row r="6704" spans="1:13" ht="12.75" customHeight="1">
      <c r="A6704" s="4" t="s">
        <v>1119</v>
      </c>
      <c r="B6704" s="8">
        <v>2.1999999999999999E-2</v>
      </c>
      <c r="C6704" s="6" t="s">
        <v>825</v>
      </c>
      <c r="D6704" s="37">
        <f>D6682</f>
        <v>7472.68</v>
      </c>
      <c r="E6704" s="25">
        <f t="shared" si="511"/>
        <v>164.4</v>
      </c>
    </row>
    <row r="6705" spans="1:6" ht="12.75" customHeight="1">
      <c r="A6705" s="4" t="s">
        <v>1173</v>
      </c>
      <c r="B6705" s="8">
        <v>0.05</v>
      </c>
      <c r="C6705" s="6" t="s">
        <v>1018</v>
      </c>
      <c r="D6705" s="37">
        <f>Prec.!$C$82</f>
        <v>75</v>
      </c>
      <c r="E6705" s="25">
        <f t="shared" si="511"/>
        <v>3.75</v>
      </c>
    </row>
    <row r="6706" spans="1:6" ht="12.75" customHeight="1">
      <c r="A6706" s="4" t="s">
        <v>623</v>
      </c>
      <c r="B6706" s="8">
        <v>3.5</v>
      </c>
      <c r="C6706" s="6" t="s">
        <v>1017</v>
      </c>
      <c r="D6706" s="37">
        <f>D6684</f>
        <v>5.97</v>
      </c>
      <c r="E6706" s="25">
        <f t="shared" si="511"/>
        <v>20.9</v>
      </c>
    </row>
    <row r="6707" spans="1:6" ht="12.75" customHeight="1">
      <c r="A6707" s="4" t="s">
        <v>674</v>
      </c>
      <c r="B6707" s="8">
        <v>1</v>
      </c>
      <c r="C6707" s="6" t="s">
        <v>213</v>
      </c>
      <c r="D6707" s="37">
        <f>Prec.!$D$517</f>
        <v>0</v>
      </c>
      <c r="E6707" s="25">
        <f t="shared" si="511"/>
        <v>0</v>
      </c>
    </row>
    <row r="6708" spans="1:6" ht="12.75" customHeight="1">
      <c r="A6708" s="4" t="s">
        <v>1155</v>
      </c>
      <c r="B6708" s="8">
        <v>1</v>
      </c>
      <c r="C6708" s="6" t="s">
        <v>213</v>
      </c>
      <c r="D6708" s="37">
        <f>D6686</f>
        <v>35.369999999999997</v>
      </c>
      <c r="E6708" s="25">
        <f t="shared" si="511"/>
        <v>35.369999999999997</v>
      </c>
    </row>
    <row r="6709" spans="1:6" ht="12.75" customHeight="1">
      <c r="A6709" s="4" t="s">
        <v>1154</v>
      </c>
      <c r="B6709" s="8">
        <v>7.0000000000000007E-2</v>
      </c>
      <c r="C6709" s="6" t="s">
        <v>1172</v>
      </c>
      <c r="D6709" s="37">
        <f>D6687</f>
        <v>26.49</v>
      </c>
      <c r="E6709" s="25">
        <f t="shared" si="511"/>
        <v>1.85</v>
      </c>
    </row>
    <row r="6710" spans="1:6" ht="12.75" customHeight="1">
      <c r="A6710" s="4" t="s">
        <v>208</v>
      </c>
      <c r="B6710" s="7">
        <f>SUM(E6702:E6709)</f>
        <v>611.27</v>
      </c>
      <c r="C6710" s="6" t="s">
        <v>209</v>
      </c>
      <c r="D6710" s="37">
        <f>D6688</f>
        <v>1.4999999999999999E-2</v>
      </c>
      <c r="E6710" s="25">
        <f t="shared" si="511"/>
        <v>9.17</v>
      </c>
      <c r="F6710" s="26">
        <f>SUM(E6702:E6710)</f>
        <v>620.43999999999994</v>
      </c>
    </row>
    <row r="6711" spans="1:6" ht="12.75" customHeight="1">
      <c r="B6711" s="7"/>
    </row>
    <row r="6712" spans="1:6" ht="12.75" customHeight="1">
      <c r="A6712" s="1" t="s">
        <v>865</v>
      </c>
      <c r="B6712" s="11"/>
      <c r="C6712" s="2"/>
      <c r="E6712" s="27" t="s">
        <v>151</v>
      </c>
      <c r="F6712" s="28" t="s">
        <v>213</v>
      </c>
    </row>
    <row r="6713" spans="1:6" ht="12.75" customHeight="1">
      <c r="A6713" s="4" t="s">
        <v>862</v>
      </c>
      <c r="B6713" s="8">
        <v>1.05</v>
      </c>
      <c r="C6713" s="6" t="s">
        <v>213</v>
      </c>
      <c r="D6713" s="37">
        <f>Prec.!$C$123</f>
        <v>250</v>
      </c>
      <c r="E6713" s="25">
        <f t="shared" ref="E6713:E6721" si="512">ROUND(B6713*D6713,2)</f>
        <v>262.5</v>
      </c>
    </row>
    <row r="6714" spans="1:6" ht="12.75" customHeight="1">
      <c r="A6714" s="4" t="s">
        <v>673</v>
      </c>
      <c r="B6714" s="8">
        <v>7.0000000000000007E-2</v>
      </c>
      <c r="C6714" s="6" t="s">
        <v>1172</v>
      </c>
      <c r="D6714" s="37">
        <f>Prec.!$C$8</f>
        <v>250</v>
      </c>
      <c r="E6714" s="25">
        <f t="shared" si="512"/>
        <v>17.5</v>
      </c>
    </row>
    <row r="6715" spans="1:6" ht="12.75" customHeight="1">
      <c r="A6715" s="4" t="s">
        <v>1119</v>
      </c>
      <c r="B6715" s="8">
        <v>2.1999999999999999E-2</v>
      </c>
      <c r="C6715" s="6" t="s">
        <v>825</v>
      </c>
      <c r="D6715" s="37">
        <f>D6704</f>
        <v>7472.68</v>
      </c>
      <c r="E6715" s="25">
        <f t="shared" si="512"/>
        <v>164.4</v>
      </c>
    </row>
    <row r="6716" spans="1:6" ht="12.75" customHeight="1">
      <c r="A6716" s="4" t="s">
        <v>1173</v>
      </c>
      <c r="B6716" s="8">
        <v>0.05</v>
      </c>
      <c r="C6716" s="6" t="s">
        <v>1018</v>
      </c>
      <c r="D6716" s="37">
        <f>Prec.!$C$82</f>
        <v>75</v>
      </c>
      <c r="E6716" s="25">
        <f t="shared" si="512"/>
        <v>3.75</v>
      </c>
    </row>
    <row r="6717" spans="1:6" ht="12.75" customHeight="1">
      <c r="A6717" s="4" t="s">
        <v>623</v>
      </c>
      <c r="B6717" s="8">
        <v>3.5</v>
      </c>
      <c r="C6717" s="6" t="s">
        <v>1017</v>
      </c>
      <c r="D6717" s="37">
        <f>D6706</f>
        <v>5.97</v>
      </c>
      <c r="E6717" s="25">
        <f t="shared" si="512"/>
        <v>20.9</v>
      </c>
    </row>
    <row r="6718" spans="1:6" ht="12.75" customHeight="1">
      <c r="A6718" s="4" t="s">
        <v>674</v>
      </c>
      <c r="B6718" s="8">
        <v>1</v>
      </c>
      <c r="C6718" s="6" t="s">
        <v>213</v>
      </c>
      <c r="D6718" s="37">
        <f>Prec.!$D$517</f>
        <v>0</v>
      </c>
      <c r="E6718" s="25">
        <f t="shared" si="512"/>
        <v>0</v>
      </c>
    </row>
    <row r="6719" spans="1:6" ht="12.75" customHeight="1">
      <c r="A6719" s="4" t="s">
        <v>1155</v>
      </c>
      <c r="B6719" s="8">
        <v>1</v>
      </c>
      <c r="C6719" s="6" t="s">
        <v>213</v>
      </c>
      <c r="D6719" s="37">
        <f>D6708</f>
        <v>35.369999999999997</v>
      </c>
      <c r="E6719" s="25">
        <f t="shared" si="512"/>
        <v>35.369999999999997</v>
      </c>
    </row>
    <row r="6720" spans="1:6" ht="12.75" customHeight="1">
      <c r="A6720" s="4" t="s">
        <v>1154</v>
      </c>
      <c r="B6720" s="8">
        <v>7.0000000000000007E-2</v>
      </c>
      <c r="C6720" s="6" t="s">
        <v>1172</v>
      </c>
      <c r="D6720" s="37">
        <f>D6709</f>
        <v>26.49</v>
      </c>
      <c r="E6720" s="25">
        <f t="shared" si="512"/>
        <v>1.85</v>
      </c>
    </row>
    <row r="6721" spans="1:13" ht="12.75" customHeight="1">
      <c r="A6721" s="4" t="s">
        <v>208</v>
      </c>
      <c r="B6721" s="7">
        <f>SUM(E6713:E6720)</f>
        <v>506.27</v>
      </c>
      <c r="C6721" s="6" t="s">
        <v>209</v>
      </c>
      <c r="D6721" s="37">
        <f>D6710</f>
        <v>1.4999999999999999E-2</v>
      </c>
      <c r="E6721" s="25">
        <f t="shared" si="512"/>
        <v>7.59</v>
      </c>
      <c r="F6721" s="26">
        <f>SUM(E6713:E6721)</f>
        <v>513.86</v>
      </c>
    </row>
    <row r="6722" spans="1:13" ht="12.75" customHeight="1">
      <c r="B6722" s="7"/>
    </row>
    <row r="6723" spans="1:13" s="166" customFormat="1" ht="12.75" customHeight="1">
      <c r="B6723" s="7"/>
      <c r="C6723" s="165"/>
      <c r="D6723" s="37"/>
      <c r="E6723" s="25"/>
      <c r="F6723" s="26"/>
      <c r="G6723" s="15"/>
      <c r="H6723" s="21"/>
      <c r="I6723" s="15"/>
      <c r="J6723" s="15"/>
      <c r="K6723" s="15"/>
      <c r="L6723" s="21"/>
      <c r="M6723" s="15"/>
    </row>
    <row r="6724" spans="1:13" s="166" customFormat="1" ht="12.75" customHeight="1">
      <c r="B6724" s="7"/>
      <c r="C6724" s="165"/>
      <c r="D6724" s="37"/>
      <c r="E6724" s="25"/>
      <c r="F6724" s="26"/>
      <c r="G6724" s="15"/>
      <c r="H6724" s="21"/>
      <c r="I6724" s="15"/>
      <c r="J6724" s="15"/>
      <c r="K6724" s="15"/>
      <c r="L6724" s="21"/>
      <c r="M6724" s="15"/>
    </row>
    <row r="6725" spans="1:13" s="166" customFormat="1" ht="12.75" customHeight="1">
      <c r="B6725" s="7"/>
      <c r="C6725" s="165"/>
      <c r="D6725" s="37"/>
      <c r="E6725" s="25"/>
      <c r="F6725" s="26"/>
      <c r="G6725" s="15"/>
      <c r="H6725" s="21"/>
      <c r="I6725" s="15"/>
      <c r="J6725" s="15"/>
      <c r="K6725" s="15"/>
      <c r="L6725" s="21"/>
      <c r="M6725" s="15"/>
    </row>
    <row r="6726" spans="1:13" s="166" customFormat="1" ht="12.75" customHeight="1">
      <c r="B6726" s="7"/>
      <c r="C6726" s="165"/>
      <c r="D6726" s="37"/>
      <c r="E6726" s="25"/>
      <c r="F6726" s="26"/>
      <c r="G6726" s="15"/>
      <c r="H6726" s="21"/>
      <c r="I6726" s="15"/>
      <c r="J6726" s="15"/>
      <c r="K6726" s="15"/>
      <c r="L6726" s="21"/>
      <c r="M6726" s="15"/>
    </row>
    <row r="6727" spans="1:13" ht="12.75" customHeight="1">
      <c r="A6727" s="1" t="s">
        <v>246</v>
      </c>
      <c r="B6727" s="11"/>
      <c r="C6727" s="2"/>
      <c r="E6727" s="27" t="s">
        <v>151</v>
      </c>
      <c r="F6727" s="28" t="s">
        <v>213</v>
      </c>
    </row>
    <row r="6728" spans="1:13" ht="12.75" customHeight="1">
      <c r="A6728" s="4" t="s">
        <v>862</v>
      </c>
      <c r="B6728" s="8">
        <v>1.05</v>
      </c>
      <c r="C6728" s="6" t="s">
        <v>213</v>
      </c>
      <c r="D6728" s="37">
        <f>Prec.!C124</f>
        <v>261</v>
      </c>
      <c r="E6728" s="25">
        <f t="shared" ref="E6728:E6736" si="513">ROUND(B6728*D6728,2)</f>
        <v>274.05</v>
      </c>
    </row>
    <row r="6729" spans="1:13" ht="12.75" customHeight="1">
      <c r="A6729" s="4" t="s">
        <v>673</v>
      </c>
      <c r="B6729" s="8">
        <v>7.0000000000000007E-2</v>
      </c>
      <c r="C6729" s="6" t="s">
        <v>1172</v>
      </c>
      <c r="D6729" s="37">
        <f>Prec.!$C$8</f>
        <v>250</v>
      </c>
      <c r="E6729" s="25">
        <f t="shared" si="513"/>
        <v>17.5</v>
      </c>
    </row>
    <row r="6730" spans="1:13" ht="12.75" customHeight="1">
      <c r="A6730" s="4" t="s">
        <v>1119</v>
      </c>
      <c r="B6730" s="8">
        <v>2.1999999999999999E-2</v>
      </c>
      <c r="C6730" s="6" t="s">
        <v>825</v>
      </c>
      <c r="D6730" s="37">
        <f>D6715</f>
        <v>7472.68</v>
      </c>
      <c r="E6730" s="25">
        <f t="shared" si="513"/>
        <v>164.4</v>
      </c>
    </row>
    <row r="6731" spans="1:13" ht="12.75" customHeight="1">
      <c r="A6731" s="4" t="s">
        <v>1173</v>
      </c>
      <c r="B6731" s="8">
        <v>0.05</v>
      </c>
      <c r="C6731" s="6" t="s">
        <v>1018</v>
      </c>
      <c r="D6731" s="37">
        <f>Prec.!$C$82</f>
        <v>75</v>
      </c>
      <c r="E6731" s="25">
        <f t="shared" si="513"/>
        <v>3.75</v>
      </c>
    </row>
    <row r="6732" spans="1:13" ht="12.75" customHeight="1">
      <c r="A6732" s="4" t="s">
        <v>623</v>
      </c>
      <c r="B6732" s="8">
        <v>3.5</v>
      </c>
      <c r="C6732" s="6" t="s">
        <v>1017</v>
      </c>
      <c r="D6732" s="37">
        <f>D6717</f>
        <v>5.97</v>
      </c>
      <c r="E6732" s="25">
        <f t="shared" si="513"/>
        <v>20.9</v>
      </c>
    </row>
    <row r="6733" spans="1:13" ht="12.75" customHeight="1">
      <c r="A6733" s="4" t="s">
        <v>674</v>
      </c>
      <c r="B6733" s="8">
        <v>1</v>
      </c>
      <c r="C6733" s="6" t="s">
        <v>213</v>
      </c>
      <c r="D6733" s="37">
        <f>Prec.!$D$517</f>
        <v>0</v>
      </c>
      <c r="E6733" s="25">
        <f t="shared" si="513"/>
        <v>0</v>
      </c>
    </row>
    <row r="6734" spans="1:13" ht="12.75" customHeight="1">
      <c r="A6734" s="4" t="s">
        <v>1155</v>
      </c>
      <c r="B6734" s="8">
        <v>1</v>
      </c>
      <c r="C6734" s="6" t="s">
        <v>213</v>
      </c>
      <c r="D6734" s="37">
        <f>D6719</f>
        <v>35.369999999999997</v>
      </c>
      <c r="E6734" s="25">
        <f t="shared" si="513"/>
        <v>35.369999999999997</v>
      </c>
    </row>
    <row r="6735" spans="1:13" ht="12.75" customHeight="1">
      <c r="A6735" s="4" t="s">
        <v>1154</v>
      </c>
      <c r="B6735" s="8">
        <v>7.0000000000000007E-2</v>
      </c>
      <c r="C6735" s="6" t="s">
        <v>1172</v>
      </c>
      <c r="D6735" s="37">
        <f>D6720</f>
        <v>26.49</v>
      </c>
      <c r="E6735" s="25">
        <f t="shared" si="513"/>
        <v>1.85</v>
      </c>
    </row>
    <row r="6736" spans="1:13" ht="12.75" customHeight="1">
      <c r="A6736" s="4" t="s">
        <v>208</v>
      </c>
      <c r="B6736" s="7">
        <f>SUM(E6728:E6735)</f>
        <v>517.82000000000005</v>
      </c>
      <c r="C6736" s="6" t="s">
        <v>209</v>
      </c>
      <c r="D6736" s="37">
        <f>D6721</f>
        <v>1.4999999999999999E-2</v>
      </c>
      <c r="E6736" s="25">
        <f t="shared" si="513"/>
        <v>7.77</v>
      </c>
      <c r="F6736" s="26">
        <f>SUM(E6728:E6736)</f>
        <v>525.59</v>
      </c>
    </row>
    <row r="6737" spans="1:6" ht="12.75" customHeight="1">
      <c r="B6737" s="7"/>
    </row>
    <row r="6738" spans="1:6" ht="12.75" customHeight="1">
      <c r="A6738" s="13" t="s">
        <v>81</v>
      </c>
      <c r="B6738" s="11"/>
      <c r="C6738" s="2"/>
      <c r="E6738" s="27" t="s">
        <v>151</v>
      </c>
      <c r="F6738" s="28" t="s">
        <v>213</v>
      </c>
    </row>
    <row r="6739" spans="1:6" ht="12.75" customHeight="1">
      <c r="A6739" s="4" t="s">
        <v>103</v>
      </c>
      <c r="B6739" s="8">
        <v>1.05</v>
      </c>
      <c r="C6739" s="6" t="s">
        <v>213</v>
      </c>
      <c r="D6739" s="35">
        <f>Prec.!C125</f>
        <v>238.96</v>
      </c>
      <c r="E6739" s="25">
        <f t="shared" ref="E6739:E6747" si="514">ROUND(B6739*D6739,2)</f>
        <v>250.91</v>
      </c>
    </row>
    <row r="6740" spans="1:6" ht="12.75" customHeight="1">
      <c r="A6740" s="4" t="s">
        <v>673</v>
      </c>
      <c r="B6740" s="8">
        <v>7.0000000000000007E-2</v>
      </c>
      <c r="C6740" s="6" t="s">
        <v>1172</v>
      </c>
      <c r="D6740" s="37">
        <f>Prec.!$C$8</f>
        <v>250</v>
      </c>
      <c r="E6740" s="25">
        <f t="shared" si="514"/>
        <v>17.5</v>
      </c>
    </row>
    <row r="6741" spans="1:6" ht="12.75" customHeight="1">
      <c r="A6741" s="4" t="s">
        <v>1119</v>
      </c>
      <c r="B6741" s="8">
        <v>2.1999999999999999E-2</v>
      </c>
      <c r="C6741" s="6" t="s">
        <v>825</v>
      </c>
      <c r="D6741" s="37">
        <f>D6730</f>
        <v>7472.68</v>
      </c>
      <c r="E6741" s="25">
        <f t="shared" si="514"/>
        <v>164.4</v>
      </c>
    </row>
    <row r="6742" spans="1:6" ht="12.75" customHeight="1">
      <c r="A6742" s="4" t="s">
        <v>1173</v>
      </c>
      <c r="B6742" s="8">
        <v>0.05</v>
      </c>
      <c r="C6742" s="6" t="s">
        <v>1018</v>
      </c>
      <c r="D6742" s="37">
        <f>D6731</f>
        <v>75</v>
      </c>
      <c r="E6742" s="25">
        <f t="shared" si="514"/>
        <v>3.75</v>
      </c>
    </row>
    <row r="6743" spans="1:6" ht="12.75" customHeight="1">
      <c r="A6743" s="4" t="s">
        <v>623</v>
      </c>
      <c r="B6743" s="8">
        <v>3.5</v>
      </c>
      <c r="C6743" s="6" t="s">
        <v>1017</v>
      </c>
      <c r="D6743" s="37">
        <f>D6732</f>
        <v>5.97</v>
      </c>
      <c r="E6743" s="25">
        <f t="shared" si="514"/>
        <v>20.9</v>
      </c>
    </row>
    <row r="6744" spans="1:6" ht="12.75" customHeight="1">
      <c r="A6744" s="4" t="s">
        <v>674</v>
      </c>
      <c r="B6744" s="8">
        <v>1</v>
      </c>
      <c r="C6744" s="6" t="s">
        <v>213</v>
      </c>
      <c r="D6744" s="37">
        <f>Prec.!$D$517</f>
        <v>0</v>
      </c>
      <c r="E6744" s="25">
        <f t="shared" si="514"/>
        <v>0</v>
      </c>
    </row>
    <row r="6745" spans="1:6" ht="12.75" customHeight="1">
      <c r="A6745" s="4" t="s">
        <v>1155</v>
      </c>
      <c r="B6745" s="8">
        <v>1</v>
      </c>
      <c r="C6745" s="6" t="s">
        <v>213</v>
      </c>
      <c r="D6745" s="37">
        <f>D6734</f>
        <v>35.369999999999997</v>
      </c>
      <c r="E6745" s="25">
        <f t="shared" si="514"/>
        <v>35.369999999999997</v>
      </c>
    </row>
    <row r="6746" spans="1:6" ht="12.75" customHeight="1">
      <c r="A6746" s="4" t="s">
        <v>1154</v>
      </c>
      <c r="B6746" s="8">
        <v>7.0000000000000007E-2</v>
      </c>
      <c r="C6746" s="6" t="s">
        <v>1172</v>
      </c>
      <c r="D6746" s="37">
        <f>D6735</f>
        <v>26.49</v>
      </c>
      <c r="E6746" s="25">
        <f t="shared" si="514"/>
        <v>1.85</v>
      </c>
    </row>
    <row r="6747" spans="1:6" ht="12.75" customHeight="1">
      <c r="A6747" s="4" t="s">
        <v>208</v>
      </c>
      <c r="B6747" s="7">
        <f>SUM(E6739:E6744)</f>
        <v>457.45999999999992</v>
      </c>
      <c r="C6747" s="6" t="s">
        <v>209</v>
      </c>
      <c r="D6747" s="37">
        <f>D6736</f>
        <v>1.4999999999999999E-2</v>
      </c>
      <c r="E6747" s="25">
        <f t="shared" si="514"/>
        <v>6.86</v>
      </c>
      <c r="F6747" s="26">
        <f>SUM(E6739:E6747)</f>
        <v>501.53999999999996</v>
      </c>
    </row>
    <row r="6748" spans="1:6" ht="12.75" customHeight="1">
      <c r="B6748" s="7"/>
      <c r="D6748" s="35"/>
    </row>
    <row r="6749" spans="1:6" ht="12.75" customHeight="1">
      <c r="A6749" s="13" t="s">
        <v>189</v>
      </c>
      <c r="B6749" s="11"/>
      <c r="C6749" s="2"/>
      <c r="E6749" s="27" t="s">
        <v>151</v>
      </c>
      <c r="F6749" s="28" t="s">
        <v>213</v>
      </c>
    </row>
    <row r="6750" spans="1:6" ht="12.75" customHeight="1">
      <c r="A6750" s="4" t="s">
        <v>190</v>
      </c>
      <c r="B6750" s="8">
        <v>50</v>
      </c>
      <c r="C6750" s="6" t="s">
        <v>1017</v>
      </c>
      <c r="D6750" s="37">
        <f>Prec.!$C$131</f>
        <v>10.82</v>
      </c>
      <c r="E6750" s="25">
        <f t="shared" ref="E6750:E6757" si="515">ROUND(B6750*D6750,2)</f>
        <v>541</v>
      </c>
    </row>
    <row r="6751" spans="1:6" ht="12.75" customHeight="1">
      <c r="A6751" s="4" t="s">
        <v>191</v>
      </c>
      <c r="B6751" s="8">
        <v>5.0000000000000001E-3</v>
      </c>
      <c r="C6751" s="6" t="s">
        <v>1228</v>
      </c>
      <c r="D6751" s="37">
        <f>Prec.!$C$28</f>
        <v>200</v>
      </c>
      <c r="E6751" s="25">
        <f t="shared" si="515"/>
        <v>1</v>
      </c>
    </row>
    <row r="6752" spans="1:6" ht="12.75" customHeight="1">
      <c r="A6752" s="4" t="s">
        <v>427</v>
      </c>
      <c r="B6752" s="8">
        <v>1.2E-2</v>
      </c>
      <c r="C6752" s="6" t="s">
        <v>825</v>
      </c>
      <c r="D6752" s="37">
        <f>horm.ymez.!H8</f>
        <v>6795.98</v>
      </c>
      <c r="E6752" s="25">
        <f t="shared" si="515"/>
        <v>81.55</v>
      </c>
    </row>
    <row r="6753" spans="1:6" ht="12.75" customHeight="1">
      <c r="A6753" s="4" t="s">
        <v>1173</v>
      </c>
      <c r="B6753" s="8">
        <v>0.05</v>
      </c>
      <c r="C6753" s="6" t="s">
        <v>1018</v>
      </c>
      <c r="D6753" s="37">
        <f>Prec.!$C$82</f>
        <v>75</v>
      </c>
      <c r="E6753" s="25">
        <f t="shared" si="515"/>
        <v>3.75</v>
      </c>
    </row>
    <row r="6754" spans="1:6" ht="12.75" customHeight="1">
      <c r="A6754" s="4" t="s">
        <v>293</v>
      </c>
      <c r="B6754" s="8">
        <v>7.0999999999999994E-2</v>
      </c>
      <c r="C6754" s="6" t="s">
        <v>1017</v>
      </c>
      <c r="D6754" s="35">
        <f>Prec.!D494</f>
        <v>11.93</v>
      </c>
      <c r="E6754" s="25">
        <f t="shared" si="515"/>
        <v>0.85</v>
      </c>
    </row>
    <row r="6755" spans="1:6" ht="12.75" customHeight="1">
      <c r="A6755" s="4" t="s">
        <v>294</v>
      </c>
      <c r="B6755" s="8">
        <v>50</v>
      </c>
      <c r="C6755" s="6" t="s">
        <v>1017</v>
      </c>
      <c r="D6755" s="37">
        <f>Prec.!$D$521</f>
        <v>7.81</v>
      </c>
      <c r="E6755" s="25">
        <f t="shared" si="515"/>
        <v>390.5</v>
      </c>
    </row>
    <row r="6756" spans="1:6" ht="12.75" customHeight="1">
      <c r="A6756" s="4" t="s">
        <v>638</v>
      </c>
      <c r="B6756" s="8">
        <v>50</v>
      </c>
      <c r="C6756" s="6" t="s">
        <v>1017</v>
      </c>
      <c r="D6756" s="37">
        <f>Prec.!D584</f>
        <v>1.5</v>
      </c>
      <c r="E6756" s="25">
        <f t="shared" si="515"/>
        <v>75</v>
      </c>
    </row>
    <row r="6757" spans="1:6" ht="12.75" customHeight="1">
      <c r="A6757" s="4" t="s">
        <v>208</v>
      </c>
      <c r="B6757" s="7">
        <f>SUM(E6750:E6755)</f>
        <v>1018.65</v>
      </c>
      <c r="C6757" s="6" t="s">
        <v>209</v>
      </c>
      <c r="D6757" s="37">
        <f>D6747</f>
        <v>1.4999999999999999E-2</v>
      </c>
      <c r="E6757" s="25">
        <f t="shared" si="515"/>
        <v>15.28</v>
      </c>
      <c r="F6757" s="26">
        <f>SUM(E6750:E6757)</f>
        <v>1108.93</v>
      </c>
    </row>
    <row r="6758" spans="1:6" ht="12.75" customHeight="1">
      <c r="B6758" s="7"/>
    </row>
    <row r="6759" spans="1:6" ht="12.75" customHeight="1">
      <c r="A6759" s="13" t="s">
        <v>128</v>
      </c>
      <c r="B6759" s="11"/>
      <c r="C6759" s="2"/>
      <c r="E6759" s="27" t="s">
        <v>151</v>
      </c>
      <c r="F6759" s="28" t="s">
        <v>213</v>
      </c>
    </row>
    <row r="6760" spans="1:6" ht="12.75" customHeight="1">
      <c r="A6760" s="4" t="s">
        <v>190</v>
      </c>
      <c r="B6760" s="8">
        <v>100</v>
      </c>
      <c r="C6760" s="6" t="s">
        <v>1017</v>
      </c>
      <c r="D6760" s="37">
        <f>Prec.!$C$132</f>
        <v>8.7899999999999991</v>
      </c>
      <c r="E6760" s="25">
        <f t="shared" ref="E6760:E6767" si="516">ROUND(B6760*D6760,2)</f>
        <v>879</v>
      </c>
    </row>
    <row r="6761" spans="1:6" ht="12.75" customHeight="1">
      <c r="A6761" s="4" t="s">
        <v>191</v>
      </c>
      <c r="B6761" s="8">
        <v>5.0000000000000001E-3</v>
      </c>
      <c r="C6761" s="6" t="s">
        <v>1228</v>
      </c>
      <c r="D6761" s="37">
        <f>Prec.!$C$28</f>
        <v>200</v>
      </c>
      <c r="E6761" s="25">
        <f t="shared" si="516"/>
        <v>1</v>
      </c>
    </row>
    <row r="6762" spans="1:6" ht="12.75" customHeight="1">
      <c r="A6762" s="4" t="s">
        <v>427</v>
      </c>
      <c r="B6762" s="8">
        <v>1.2E-2</v>
      </c>
      <c r="C6762" s="6" t="s">
        <v>825</v>
      </c>
      <c r="D6762" s="37">
        <f>D6752</f>
        <v>6795.98</v>
      </c>
      <c r="E6762" s="25">
        <f t="shared" si="516"/>
        <v>81.55</v>
      </c>
    </row>
    <row r="6763" spans="1:6" ht="12.75" customHeight="1">
      <c r="A6763" s="4" t="s">
        <v>1173</v>
      </c>
      <c r="B6763" s="8">
        <v>0.05</v>
      </c>
      <c r="C6763" s="6" t="s">
        <v>1018</v>
      </c>
      <c r="D6763" s="37">
        <f>Prec.!$C$82</f>
        <v>75</v>
      </c>
      <c r="E6763" s="25">
        <f t="shared" si="516"/>
        <v>3.75</v>
      </c>
    </row>
    <row r="6764" spans="1:6" ht="12.75" customHeight="1">
      <c r="A6764" s="4" t="s">
        <v>293</v>
      </c>
      <c r="B6764" s="8">
        <v>7.0999999999999994E-2</v>
      </c>
      <c r="C6764" s="6" t="s">
        <v>1017</v>
      </c>
      <c r="D6764" s="37">
        <f>Prec.!D495</f>
        <v>9.5500000000000007</v>
      </c>
      <c r="E6764" s="25">
        <f t="shared" si="516"/>
        <v>0.68</v>
      </c>
    </row>
    <row r="6765" spans="1:6" ht="12.75" customHeight="1">
      <c r="A6765" s="4" t="s">
        <v>294</v>
      </c>
      <c r="B6765" s="8">
        <v>100</v>
      </c>
      <c r="C6765" s="6" t="s">
        <v>1017</v>
      </c>
      <c r="D6765" s="37">
        <f>Prec.!$D$521</f>
        <v>7.81</v>
      </c>
      <c r="E6765" s="25">
        <f t="shared" si="516"/>
        <v>781</v>
      </c>
    </row>
    <row r="6766" spans="1:6" ht="12.75" customHeight="1">
      <c r="A6766" s="4" t="s">
        <v>638</v>
      </c>
      <c r="B6766" s="8">
        <v>100</v>
      </c>
      <c r="C6766" s="6" t="s">
        <v>1017</v>
      </c>
      <c r="D6766" s="37">
        <f>D6756</f>
        <v>1.5</v>
      </c>
      <c r="E6766" s="25">
        <f t="shared" si="516"/>
        <v>150</v>
      </c>
    </row>
    <row r="6767" spans="1:6" ht="12.75" customHeight="1">
      <c r="A6767" s="4" t="s">
        <v>208</v>
      </c>
      <c r="B6767" s="7">
        <f>SUM(E6760:E6765)</f>
        <v>1746.98</v>
      </c>
      <c r="C6767" s="6" t="s">
        <v>209</v>
      </c>
      <c r="D6767" s="37">
        <f>D6757</f>
        <v>1.4999999999999999E-2</v>
      </c>
      <c r="E6767" s="25">
        <f t="shared" si="516"/>
        <v>26.2</v>
      </c>
      <c r="F6767" s="26">
        <f>SUM(E6760:E6767)</f>
        <v>1923.18</v>
      </c>
    </row>
    <row r="6768" spans="1:6" ht="12.75" customHeight="1">
      <c r="B6768" s="7"/>
    </row>
    <row r="6769" spans="1:13" ht="12.75" customHeight="1">
      <c r="A6769" s="1" t="s">
        <v>129</v>
      </c>
      <c r="B6769" s="11"/>
      <c r="C6769" s="2"/>
      <c r="E6769" s="27" t="s">
        <v>151</v>
      </c>
      <c r="F6769" s="28" t="s">
        <v>213</v>
      </c>
    </row>
    <row r="6770" spans="1:13" ht="12.75" customHeight="1">
      <c r="A6770" s="4" t="s">
        <v>1098</v>
      </c>
      <c r="B6770" s="8">
        <v>1.1000000000000001</v>
      </c>
      <c r="C6770" s="6" t="s">
        <v>213</v>
      </c>
      <c r="D6770" s="37">
        <f>Prec.!$C$175</f>
        <v>180</v>
      </c>
      <c r="E6770" s="25">
        <f>ROUND(B6770*D6770,2)</f>
        <v>198</v>
      </c>
    </row>
    <row r="6771" spans="1:13" ht="12.75" customHeight="1">
      <c r="A6771" s="4" t="s">
        <v>427</v>
      </c>
      <c r="B6771" s="8">
        <v>2.1000000000000001E-2</v>
      </c>
      <c r="C6771" s="6" t="s">
        <v>825</v>
      </c>
      <c r="D6771" s="37">
        <f>D6762</f>
        <v>6795.98</v>
      </c>
      <c r="E6771" s="25">
        <f>ROUND(B6771*D6771,2)</f>
        <v>142.72</v>
      </c>
    </row>
    <row r="6772" spans="1:13" ht="12.75" customHeight="1">
      <c r="A6772" s="4" t="s">
        <v>1100</v>
      </c>
      <c r="B6772" s="8">
        <v>1</v>
      </c>
      <c r="C6772" s="6" t="s">
        <v>213</v>
      </c>
      <c r="D6772" s="37">
        <f>Prec.!$D$522</f>
        <v>598.63</v>
      </c>
      <c r="E6772" s="25">
        <f>ROUND(B6772*D6772,2)</f>
        <v>598.63</v>
      </c>
    </row>
    <row r="6773" spans="1:13" ht="12.75" customHeight="1">
      <c r="A6773" s="4" t="s">
        <v>1103</v>
      </c>
      <c r="B6773" s="8">
        <v>1</v>
      </c>
      <c r="C6773" s="6" t="s">
        <v>213</v>
      </c>
      <c r="D6773" s="37">
        <f>Prec.!D590</f>
        <v>35.369999999999997</v>
      </c>
      <c r="E6773" s="25">
        <f>ROUND(B6773*D6773,2)</f>
        <v>35.369999999999997</v>
      </c>
    </row>
    <row r="6774" spans="1:13" ht="12.75" customHeight="1">
      <c r="A6774" s="4" t="s">
        <v>208</v>
      </c>
      <c r="B6774" s="7">
        <f>SUM(E6770:E6772)</f>
        <v>939.35</v>
      </c>
      <c r="C6774" s="6" t="s">
        <v>209</v>
      </c>
      <c r="D6774" s="37">
        <f>D6767</f>
        <v>1.4999999999999999E-2</v>
      </c>
      <c r="E6774" s="25">
        <f>ROUND(B6774*D6774,2)</f>
        <v>14.09</v>
      </c>
      <c r="F6774" s="26">
        <f>SUM(E6770:E6774)</f>
        <v>988.81000000000006</v>
      </c>
    </row>
    <row r="6775" spans="1:13" ht="12.75" customHeight="1">
      <c r="A6775" s="2"/>
      <c r="B6775" s="7"/>
    </row>
    <row r="6776" spans="1:13" s="166" customFormat="1" ht="12.75" customHeight="1">
      <c r="A6776" s="164"/>
      <c r="B6776" s="7"/>
      <c r="C6776" s="165"/>
      <c r="D6776" s="37"/>
      <c r="E6776" s="25"/>
      <c r="F6776" s="26"/>
      <c r="G6776" s="15"/>
      <c r="H6776" s="21"/>
      <c r="I6776" s="15"/>
      <c r="J6776" s="15"/>
      <c r="K6776" s="15"/>
      <c r="L6776" s="21"/>
      <c r="M6776" s="15"/>
    </row>
    <row r="6777" spans="1:13" ht="12.75" customHeight="1">
      <c r="A6777" s="46" t="s">
        <v>630</v>
      </c>
      <c r="B6777" s="7"/>
    </row>
    <row r="6778" spans="1:13" ht="12.75" customHeight="1">
      <c r="B6778" s="7"/>
    </row>
    <row r="6779" spans="1:13" ht="12.75" customHeight="1">
      <c r="A6779" s="1" t="s">
        <v>186</v>
      </c>
      <c r="B6779" s="7"/>
      <c r="D6779" s="124" t="s">
        <v>1592</v>
      </c>
    </row>
    <row r="6780" spans="1:13" ht="12.75" customHeight="1">
      <c r="A6780" s="4" t="s">
        <v>942</v>
      </c>
      <c r="B6780" s="7">
        <v>8.9659999999999993</v>
      </c>
      <c r="C6780" s="6" t="s">
        <v>211</v>
      </c>
      <c r="D6780" s="123" t="e">
        <f>Prec.!#REF!</f>
        <v>#REF!</v>
      </c>
      <c r="E6780" s="25" t="e">
        <f>ROUND(B6780*D6780,2)</f>
        <v>#REF!</v>
      </c>
    </row>
    <row r="6781" spans="1:13" ht="12.75" customHeight="1">
      <c r="A6781" s="4" t="s">
        <v>185</v>
      </c>
      <c r="B6781" s="7">
        <v>0.5</v>
      </c>
      <c r="C6781" s="6" t="s">
        <v>1017</v>
      </c>
      <c r="D6781" s="37">
        <f>Prec.!C213</f>
        <v>900</v>
      </c>
      <c r="E6781" s="25">
        <f>ROUND(B6781*D6781,2)</f>
        <v>450</v>
      </c>
    </row>
    <row r="6782" spans="1:13" ht="12.75" customHeight="1">
      <c r="A6782" s="4" t="s">
        <v>426</v>
      </c>
      <c r="B6782" s="7">
        <v>0.45</v>
      </c>
      <c r="C6782" s="6" t="s">
        <v>1204</v>
      </c>
      <c r="D6782" s="37">
        <f>Prec.!C165</f>
        <v>36.89</v>
      </c>
      <c r="E6782" s="25">
        <f>ROUND(B6782*D6782,2)</f>
        <v>16.600000000000001</v>
      </c>
    </row>
    <row r="6783" spans="1:13" ht="12.75" customHeight="1">
      <c r="A6783" s="4" t="s">
        <v>1168</v>
      </c>
      <c r="B6783" s="7">
        <v>1</v>
      </c>
      <c r="C6783" s="6" t="s">
        <v>213</v>
      </c>
      <c r="D6783" s="37">
        <f>Prec.!D592</f>
        <v>205.32</v>
      </c>
      <c r="E6783" s="25">
        <f>ROUND(B6783*D6783,2)</f>
        <v>205.32</v>
      </c>
    </row>
    <row r="6784" spans="1:13" ht="12.75" customHeight="1">
      <c r="A6784" s="4" t="s">
        <v>208</v>
      </c>
      <c r="B6784" s="7" t="e">
        <f>SUM(E6780:E6783)</f>
        <v>#REF!</v>
      </c>
      <c r="C6784" s="6" t="s">
        <v>209</v>
      </c>
      <c r="D6784" s="37">
        <f>D6774</f>
        <v>1.4999999999999999E-2</v>
      </c>
      <c r="E6784" s="25" t="e">
        <f>ROUND(B6784*D6784,2)</f>
        <v>#REF!</v>
      </c>
      <c r="F6784" s="26" t="e">
        <f>SUM(E6780:E6784)</f>
        <v>#REF!</v>
      </c>
    </row>
    <row r="6785" spans="1:6" ht="12.75" customHeight="1">
      <c r="B6785" s="7"/>
    </row>
    <row r="6786" spans="1:6" ht="12.75" customHeight="1">
      <c r="A6786" s="40" t="s">
        <v>233</v>
      </c>
      <c r="B6786" s="7"/>
    </row>
    <row r="6787" spans="1:6" ht="12.75" customHeight="1">
      <c r="B6787" s="7"/>
    </row>
    <row r="6788" spans="1:6" ht="12.75" customHeight="1">
      <c r="A6788" s="13" t="s">
        <v>1041</v>
      </c>
      <c r="B6788" s="7"/>
      <c r="E6788" s="27" t="s">
        <v>151</v>
      </c>
      <c r="F6788" s="28" t="s">
        <v>213</v>
      </c>
    </row>
    <row r="6789" spans="1:6" ht="12.75" customHeight="1">
      <c r="A6789" s="4" t="s">
        <v>626</v>
      </c>
      <c r="B6789" s="18">
        <v>11.111000000000001</v>
      </c>
      <c r="C6789" s="6" t="s">
        <v>211</v>
      </c>
      <c r="D6789" s="36" t="e">
        <f>Prec.!#REF!</f>
        <v>#REF!</v>
      </c>
      <c r="E6789" s="25" t="e">
        <f t="shared" ref="E6789:E6795" si="517">ROUND(B6789*D6789,2)</f>
        <v>#REF!</v>
      </c>
    </row>
    <row r="6790" spans="1:6" ht="12.75" customHeight="1">
      <c r="A6790" s="4" t="s">
        <v>801</v>
      </c>
      <c r="B6790" s="18">
        <v>2.698</v>
      </c>
      <c r="C6790" s="6" t="s">
        <v>1171</v>
      </c>
      <c r="D6790" s="36">
        <f>F6869</f>
        <v>0</v>
      </c>
      <c r="E6790" s="25">
        <f t="shared" si="517"/>
        <v>0</v>
      </c>
    </row>
    <row r="6791" spans="1:6" ht="12.75" customHeight="1">
      <c r="A6791" s="4" t="s">
        <v>802</v>
      </c>
      <c r="B6791" s="18">
        <v>0.79400000000000004</v>
      </c>
      <c r="C6791" s="6" t="s">
        <v>488</v>
      </c>
      <c r="D6791" s="36" t="e">
        <f>Prec.!#REF!</f>
        <v>#REF!</v>
      </c>
      <c r="E6791" s="25" t="e">
        <f t="shared" si="517"/>
        <v>#REF!</v>
      </c>
    </row>
    <row r="6792" spans="1:6" ht="12.75" customHeight="1">
      <c r="A6792" s="4" t="s">
        <v>526</v>
      </c>
      <c r="B6792" s="18">
        <v>0.52900000000000003</v>
      </c>
      <c r="C6792" s="6" t="s">
        <v>1017</v>
      </c>
      <c r="D6792" s="36" t="e">
        <f>Prec.!#REF!</f>
        <v>#REF!</v>
      </c>
      <c r="E6792" s="25" t="e">
        <f t="shared" si="517"/>
        <v>#REF!</v>
      </c>
    </row>
    <row r="6793" spans="1:6" ht="12.75" customHeight="1">
      <c r="A6793" s="4" t="s">
        <v>1593</v>
      </c>
      <c r="B6793" s="18">
        <v>0.52900000000000003</v>
      </c>
      <c r="C6793" s="6" t="s">
        <v>1017</v>
      </c>
      <c r="D6793" s="36">
        <f>Prec.!D613</f>
        <v>509.98</v>
      </c>
      <c r="E6793" s="25">
        <f t="shared" si="517"/>
        <v>269.77999999999997</v>
      </c>
    </row>
    <row r="6794" spans="1:6" ht="12.75" customHeight="1">
      <c r="A6794" s="4" t="s">
        <v>1501</v>
      </c>
      <c r="B6794" s="18">
        <v>0.52900000000000003</v>
      </c>
      <c r="C6794" s="6" t="s">
        <v>1017</v>
      </c>
      <c r="D6794" s="36">
        <f>Prec.!D618</f>
        <v>304.66000000000003</v>
      </c>
      <c r="E6794" s="25">
        <f t="shared" si="517"/>
        <v>161.16999999999999</v>
      </c>
    </row>
    <row r="6795" spans="1:6" ht="12.75" customHeight="1">
      <c r="A6795" s="4" t="s">
        <v>208</v>
      </c>
      <c r="B6795" s="7" t="e">
        <f>SUM(E6789:E6794)</f>
        <v>#REF!</v>
      </c>
      <c r="C6795" s="6" t="s">
        <v>209</v>
      </c>
      <c r="D6795" s="37">
        <f>Prec.!C302</f>
        <v>1.4999999999999999E-2</v>
      </c>
      <c r="E6795" s="25" t="e">
        <f t="shared" si="517"/>
        <v>#REF!</v>
      </c>
      <c r="F6795" s="26" t="e">
        <f>SUM(E6789:E6795)</f>
        <v>#REF!</v>
      </c>
    </row>
    <row r="6796" spans="1:6" ht="12.75" customHeight="1">
      <c r="B6796" s="7"/>
    </row>
    <row r="6797" spans="1:6" ht="12.75" customHeight="1">
      <c r="A6797" s="13" t="s">
        <v>582</v>
      </c>
      <c r="B6797" s="7"/>
      <c r="E6797" s="27" t="s">
        <v>151</v>
      </c>
      <c r="F6797" s="28" t="s">
        <v>213</v>
      </c>
    </row>
    <row r="6798" spans="1:6" ht="12.75" customHeight="1">
      <c r="A6798" s="4" t="s">
        <v>697</v>
      </c>
      <c r="B6798" s="18">
        <v>11.111000000000001</v>
      </c>
      <c r="C6798" s="6" t="s">
        <v>211</v>
      </c>
      <c r="D6798" s="36" t="e">
        <f>Prec.!#REF!</f>
        <v>#REF!</v>
      </c>
      <c r="E6798" s="25" t="e">
        <f t="shared" ref="E6798:E6804" si="518">ROUND(B6798*D6798,2)</f>
        <v>#REF!</v>
      </c>
    </row>
    <row r="6799" spans="1:6" ht="12.75" customHeight="1">
      <c r="A6799" s="4" t="s">
        <v>698</v>
      </c>
      <c r="B6799" s="18">
        <v>2.698</v>
      </c>
      <c r="C6799" s="6" t="s">
        <v>1171</v>
      </c>
      <c r="D6799" s="36">
        <f>F6882</f>
        <v>0</v>
      </c>
      <c r="E6799" s="25">
        <f t="shared" si="518"/>
        <v>0</v>
      </c>
    </row>
    <row r="6800" spans="1:6" ht="12.75" customHeight="1">
      <c r="A6800" s="4" t="s">
        <v>802</v>
      </c>
      <c r="B6800" s="18">
        <v>0.79400000000000004</v>
      </c>
      <c r="C6800" s="6" t="s">
        <v>488</v>
      </c>
      <c r="D6800" s="36" t="e">
        <f>Prec.!#REF!</f>
        <v>#REF!</v>
      </c>
      <c r="E6800" s="25" t="e">
        <f t="shared" si="518"/>
        <v>#REF!</v>
      </c>
    </row>
    <row r="6801" spans="1:6" ht="12.75" customHeight="1">
      <c r="A6801" s="4" t="s">
        <v>526</v>
      </c>
      <c r="B6801" s="18">
        <v>0.52900000000000003</v>
      </c>
      <c r="C6801" s="6" t="s">
        <v>1017</v>
      </c>
      <c r="D6801" s="36" t="e">
        <f>Prec.!#REF!</f>
        <v>#REF!</v>
      </c>
      <c r="E6801" s="25" t="e">
        <f t="shared" si="518"/>
        <v>#REF!</v>
      </c>
    </row>
    <row r="6802" spans="1:6" ht="12.75" customHeight="1">
      <c r="A6802" s="4" t="s">
        <v>1594</v>
      </c>
      <c r="B6802" s="18">
        <v>0.52900000000000003</v>
      </c>
      <c r="C6802" s="6" t="s">
        <v>1017</v>
      </c>
      <c r="D6802" s="36">
        <f>Prec.!D620</f>
        <v>816.3</v>
      </c>
      <c r="E6802" s="25">
        <f t="shared" si="518"/>
        <v>431.82</v>
      </c>
    </row>
    <row r="6803" spans="1:6" ht="12.75" customHeight="1">
      <c r="A6803" s="4" t="s">
        <v>1501</v>
      </c>
      <c r="B6803" s="18">
        <v>0.52900000000000003</v>
      </c>
      <c r="C6803" s="6" t="s">
        <v>1017</v>
      </c>
      <c r="D6803" s="36">
        <f>Prec.!D618</f>
        <v>304.66000000000003</v>
      </c>
      <c r="E6803" s="25">
        <f t="shared" si="518"/>
        <v>161.16999999999999</v>
      </c>
    </row>
    <row r="6804" spans="1:6" ht="12.75" customHeight="1">
      <c r="A6804" s="4" t="s">
        <v>208</v>
      </c>
      <c r="B6804" s="7" t="e">
        <f>SUM(E6798:E6803)</f>
        <v>#REF!</v>
      </c>
      <c r="C6804" s="6" t="s">
        <v>209</v>
      </c>
      <c r="D6804" s="37">
        <f>D6795</f>
        <v>1.4999999999999999E-2</v>
      </c>
      <c r="E6804" s="25" t="e">
        <f t="shared" si="518"/>
        <v>#REF!</v>
      </c>
      <c r="F6804" s="26" t="e">
        <f>SUM(E6798:E6804)</f>
        <v>#REF!</v>
      </c>
    </row>
    <row r="6805" spans="1:6" ht="12.75" customHeight="1">
      <c r="B6805" s="18"/>
      <c r="D6805" s="36"/>
    </row>
    <row r="6806" spans="1:6" ht="12.75" customHeight="1">
      <c r="A6806" s="13" t="s">
        <v>762</v>
      </c>
      <c r="B6806" s="7"/>
      <c r="E6806" s="27" t="s">
        <v>151</v>
      </c>
      <c r="F6806" s="28" t="s">
        <v>213</v>
      </c>
    </row>
    <row r="6807" spans="1:6" ht="12.75" customHeight="1">
      <c r="A6807" s="4" t="s">
        <v>763</v>
      </c>
      <c r="B6807" s="18">
        <v>11.111000000000001</v>
      </c>
      <c r="C6807" s="6" t="s">
        <v>211</v>
      </c>
      <c r="D6807" s="36" t="e">
        <f>Prec.!#REF!</f>
        <v>#REF!</v>
      </c>
      <c r="E6807" s="25" t="e">
        <f t="shared" ref="E6807:E6814" si="519">ROUND(B6807*D6807,2)</f>
        <v>#REF!</v>
      </c>
    </row>
    <row r="6808" spans="1:6" ht="12.75" customHeight="1">
      <c r="A6808" s="4" t="s">
        <v>801</v>
      </c>
      <c r="B6808" s="18">
        <v>1.905</v>
      </c>
      <c r="C6808" s="6" t="s">
        <v>1171</v>
      </c>
      <c r="D6808" s="36">
        <f>D6790</f>
        <v>0</v>
      </c>
      <c r="E6808" s="25">
        <f t="shared" si="519"/>
        <v>0</v>
      </c>
    </row>
    <row r="6809" spans="1:6" ht="12.75" customHeight="1">
      <c r="A6809" s="4" t="s">
        <v>802</v>
      </c>
      <c r="B6809" s="18">
        <v>1.02</v>
      </c>
      <c r="C6809" s="6" t="s">
        <v>488</v>
      </c>
      <c r="D6809" s="36" t="e">
        <f>Prec.!#REF!</f>
        <v>#REF!</v>
      </c>
      <c r="E6809" s="25" t="e">
        <f t="shared" si="519"/>
        <v>#REF!</v>
      </c>
    </row>
    <row r="6810" spans="1:6" ht="12.75" customHeight="1">
      <c r="A6810" s="4" t="s">
        <v>764</v>
      </c>
      <c r="B6810" s="18">
        <v>0.68</v>
      </c>
      <c r="C6810" s="6" t="s">
        <v>1017</v>
      </c>
      <c r="D6810" s="36" t="e">
        <f>Prec.!#REF!</f>
        <v>#REF!</v>
      </c>
      <c r="E6810" s="25" t="e">
        <f t="shared" si="519"/>
        <v>#REF!</v>
      </c>
    </row>
    <row r="6811" spans="1:6" ht="12.75" customHeight="1">
      <c r="A6811" s="4" t="s">
        <v>526</v>
      </c>
      <c r="B6811" s="18">
        <v>0.34</v>
      </c>
      <c r="C6811" s="6" t="s">
        <v>1017</v>
      </c>
      <c r="D6811" s="36" t="e">
        <f>Prec.!#REF!</f>
        <v>#REF!</v>
      </c>
      <c r="E6811" s="25" t="e">
        <f t="shared" si="519"/>
        <v>#REF!</v>
      </c>
    </row>
    <row r="6812" spans="1:6" ht="12.75" customHeight="1">
      <c r="A6812" s="4" t="s">
        <v>1595</v>
      </c>
      <c r="B6812" s="18">
        <v>0.34</v>
      </c>
      <c r="C6812" s="6" t="s">
        <v>1017</v>
      </c>
      <c r="D6812" s="36">
        <f>Prec.!D613</f>
        <v>509.98</v>
      </c>
      <c r="E6812" s="25">
        <f t="shared" si="519"/>
        <v>173.39</v>
      </c>
    </row>
    <row r="6813" spans="1:6" ht="12.75" customHeight="1">
      <c r="A6813" s="4" t="s">
        <v>1501</v>
      </c>
      <c r="B6813" s="18">
        <v>0.52900000000000003</v>
      </c>
      <c r="C6813" s="6" t="s">
        <v>1017</v>
      </c>
      <c r="D6813" s="36">
        <f>Prec.!D618</f>
        <v>304.66000000000003</v>
      </c>
      <c r="E6813" s="25">
        <f t="shared" si="519"/>
        <v>161.16999999999999</v>
      </c>
    </row>
    <row r="6814" spans="1:6" ht="12.75" customHeight="1">
      <c r="A6814" s="4" t="s">
        <v>208</v>
      </c>
      <c r="B6814" s="7" t="e">
        <f>SUM(E6807:E6813)</f>
        <v>#REF!</v>
      </c>
      <c r="C6814" s="6" t="s">
        <v>209</v>
      </c>
      <c r="D6814" s="37">
        <f>D6795</f>
        <v>1.4999999999999999E-2</v>
      </c>
      <c r="E6814" s="25" t="e">
        <f t="shared" si="519"/>
        <v>#REF!</v>
      </c>
      <c r="F6814" s="26" t="e">
        <f>SUM(E6807:E6814)</f>
        <v>#REF!</v>
      </c>
    </row>
    <row r="6815" spans="1:6" ht="12.75" customHeight="1">
      <c r="B6815" s="18"/>
      <c r="D6815" s="36"/>
    </row>
    <row r="6816" spans="1:6" ht="12.75" customHeight="1">
      <c r="A6816" s="13" t="s">
        <v>269</v>
      </c>
      <c r="B6816" s="7"/>
      <c r="E6816" s="27" t="s">
        <v>151</v>
      </c>
      <c r="F6816" s="28" t="s">
        <v>213</v>
      </c>
    </row>
    <row r="6817" spans="1:13" ht="12.75" customHeight="1">
      <c r="A6817" s="4" t="s">
        <v>697</v>
      </c>
      <c r="B6817" s="18">
        <v>11.111000000000001</v>
      </c>
      <c r="C6817" s="6" t="s">
        <v>211</v>
      </c>
      <c r="D6817" s="36" t="e">
        <f>Prec.!#REF!</f>
        <v>#REF!</v>
      </c>
      <c r="E6817" s="25" t="e">
        <f t="shared" ref="E6817:E6823" si="520">ROUND(B6817*D6817,2)</f>
        <v>#REF!</v>
      </c>
    </row>
    <row r="6818" spans="1:13" ht="12.75" customHeight="1">
      <c r="A6818" s="4" t="s">
        <v>698</v>
      </c>
      <c r="B6818" s="18">
        <v>1.905</v>
      </c>
      <c r="C6818" s="6" t="s">
        <v>1171</v>
      </c>
      <c r="D6818" s="36">
        <f>D6799</f>
        <v>0</v>
      </c>
      <c r="E6818" s="25">
        <f t="shared" si="520"/>
        <v>0</v>
      </c>
    </row>
    <row r="6819" spans="1:13" ht="12.75" customHeight="1">
      <c r="A6819" s="4" t="s">
        <v>802</v>
      </c>
      <c r="B6819" s="18">
        <v>1.02</v>
      </c>
      <c r="C6819" s="6" t="s">
        <v>488</v>
      </c>
      <c r="D6819" s="36" t="e">
        <f>Prec.!#REF!</f>
        <v>#REF!</v>
      </c>
      <c r="E6819" s="25" t="e">
        <f t="shared" si="520"/>
        <v>#REF!</v>
      </c>
    </row>
    <row r="6820" spans="1:13" ht="12.75" customHeight="1">
      <c r="A6820" s="4" t="s">
        <v>526</v>
      </c>
      <c r="B6820" s="18">
        <v>0.34</v>
      </c>
      <c r="C6820" s="6" t="s">
        <v>1017</v>
      </c>
      <c r="D6820" s="36" t="e">
        <f>Prec.!#REF!</f>
        <v>#REF!</v>
      </c>
      <c r="E6820" s="25" t="e">
        <f t="shared" si="520"/>
        <v>#REF!</v>
      </c>
    </row>
    <row r="6821" spans="1:13" ht="12.75" customHeight="1">
      <c r="A6821" s="4" t="s">
        <v>1594</v>
      </c>
      <c r="B6821" s="18">
        <v>0.34</v>
      </c>
      <c r="C6821" s="6" t="s">
        <v>1017</v>
      </c>
      <c r="D6821" s="36">
        <f>Prec.!D620</f>
        <v>816.3</v>
      </c>
      <c r="E6821" s="25">
        <f t="shared" si="520"/>
        <v>277.54000000000002</v>
      </c>
    </row>
    <row r="6822" spans="1:13" ht="12.75" customHeight="1">
      <c r="A6822" s="4" t="s">
        <v>1501</v>
      </c>
      <c r="B6822" s="18">
        <v>0.52900000000000003</v>
      </c>
      <c r="C6822" s="6" t="s">
        <v>1017</v>
      </c>
      <c r="D6822" s="36">
        <f>Prec.!D618</f>
        <v>304.66000000000003</v>
      </c>
      <c r="E6822" s="25">
        <f t="shared" si="520"/>
        <v>161.16999999999999</v>
      </c>
    </row>
    <row r="6823" spans="1:13" ht="12.75" customHeight="1">
      <c r="A6823" s="4" t="s">
        <v>208</v>
      </c>
      <c r="B6823" s="7" t="e">
        <f>SUM(E6817:E6822)</f>
        <v>#REF!</v>
      </c>
      <c r="C6823" s="6" t="s">
        <v>209</v>
      </c>
      <c r="D6823" s="37">
        <f>D6814</f>
        <v>1.4999999999999999E-2</v>
      </c>
      <c r="E6823" s="25" t="e">
        <f t="shared" si="520"/>
        <v>#REF!</v>
      </c>
      <c r="F6823" s="26" t="e">
        <f>SUM(E6817:E6823)</f>
        <v>#REF!</v>
      </c>
    </row>
    <row r="6824" spans="1:13" ht="12.75" customHeight="1">
      <c r="B6824" s="18"/>
      <c r="D6824" s="36"/>
    </row>
    <row r="6825" spans="1:13" s="166" customFormat="1" ht="12.75" customHeight="1">
      <c r="B6825" s="18"/>
      <c r="C6825" s="165"/>
      <c r="D6825" s="36"/>
      <c r="E6825" s="25"/>
      <c r="F6825" s="26"/>
      <c r="G6825" s="15"/>
      <c r="H6825" s="21"/>
      <c r="I6825" s="15"/>
      <c r="J6825" s="15"/>
      <c r="K6825" s="15"/>
      <c r="L6825" s="21"/>
      <c r="M6825" s="15"/>
    </row>
    <row r="6826" spans="1:13" s="166" customFormat="1" ht="12.75" customHeight="1">
      <c r="B6826" s="18"/>
      <c r="C6826" s="165"/>
      <c r="D6826" s="36"/>
      <c r="E6826" s="25"/>
      <c r="F6826" s="26"/>
      <c r="G6826" s="15"/>
      <c r="H6826" s="21"/>
      <c r="I6826" s="15"/>
      <c r="J6826" s="15"/>
      <c r="K6826" s="15"/>
      <c r="L6826" s="21"/>
      <c r="M6826" s="15"/>
    </row>
    <row r="6827" spans="1:13" ht="12.75" customHeight="1">
      <c r="A6827" s="13" t="s">
        <v>624</v>
      </c>
      <c r="B6827" s="7"/>
      <c r="E6827" s="27" t="s">
        <v>151</v>
      </c>
      <c r="F6827" s="28" t="s">
        <v>213</v>
      </c>
    </row>
    <row r="6828" spans="1:13" ht="12.75" customHeight="1">
      <c r="A6828" s="4" t="s">
        <v>539</v>
      </c>
      <c r="B6828" s="18">
        <v>11.111000000000001</v>
      </c>
      <c r="C6828" s="6" t="s">
        <v>211</v>
      </c>
      <c r="D6828" s="41" t="e">
        <f>Prec.!#REF!</f>
        <v>#REF!</v>
      </c>
      <c r="E6828" s="25" t="e">
        <f t="shared" ref="E6828:E6834" si="521">ROUND(B6828*D6828,2)</f>
        <v>#REF!</v>
      </c>
    </row>
    <row r="6829" spans="1:13" ht="12.75" customHeight="1">
      <c r="A6829" s="4" t="s">
        <v>801</v>
      </c>
      <c r="B6829" s="18">
        <v>2.698</v>
      </c>
      <c r="C6829" s="6" t="s">
        <v>1171</v>
      </c>
      <c r="D6829" s="36">
        <f>D6808</f>
        <v>0</v>
      </c>
      <c r="E6829" s="25">
        <f t="shared" si="521"/>
        <v>0</v>
      </c>
    </row>
    <row r="6830" spans="1:13" ht="12.75" customHeight="1">
      <c r="A6830" s="4" t="s">
        <v>802</v>
      </c>
      <c r="B6830" s="18">
        <v>0.79400000000000004</v>
      </c>
      <c r="C6830" s="6" t="s">
        <v>488</v>
      </c>
      <c r="D6830" s="36" t="e">
        <f>Prec.!#REF!</f>
        <v>#REF!</v>
      </c>
      <c r="E6830" s="25" t="e">
        <f t="shared" si="521"/>
        <v>#REF!</v>
      </c>
    </row>
    <row r="6831" spans="1:13" ht="12.75" customHeight="1">
      <c r="A6831" s="4" t="s">
        <v>526</v>
      </c>
      <c r="B6831" s="18">
        <v>0.52900000000000003</v>
      </c>
      <c r="C6831" s="6" t="s">
        <v>1017</v>
      </c>
      <c r="D6831" s="36" t="e">
        <f>Prec.!#REF!</f>
        <v>#REF!</v>
      </c>
      <c r="E6831" s="25" t="e">
        <f t="shared" si="521"/>
        <v>#REF!</v>
      </c>
    </row>
    <row r="6832" spans="1:13" ht="12.75" customHeight="1">
      <c r="A6832" s="4" t="s">
        <v>1596</v>
      </c>
      <c r="B6832" s="18">
        <v>0.52900000000000003</v>
      </c>
      <c r="C6832" s="6" t="s">
        <v>1017</v>
      </c>
      <c r="D6832" s="36">
        <f>Prec.!D617</f>
        <v>407.32</v>
      </c>
      <c r="E6832" s="25">
        <f t="shared" si="521"/>
        <v>215.47</v>
      </c>
    </row>
    <row r="6833" spans="1:6" ht="12.75" customHeight="1">
      <c r="A6833" s="4" t="s">
        <v>1501</v>
      </c>
      <c r="B6833" s="18">
        <v>0.52900000000000003</v>
      </c>
      <c r="C6833" s="6" t="s">
        <v>1017</v>
      </c>
      <c r="D6833" s="36">
        <f>Prec.!D618</f>
        <v>304.66000000000003</v>
      </c>
      <c r="E6833" s="25">
        <f t="shared" si="521"/>
        <v>161.16999999999999</v>
      </c>
    </row>
    <row r="6834" spans="1:6" ht="12.75" customHeight="1">
      <c r="A6834" s="4" t="s">
        <v>208</v>
      </c>
      <c r="B6834" s="7" t="e">
        <f>SUM(E6828:E6833)</f>
        <v>#REF!</v>
      </c>
      <c r="C6834" s="6" t="s">
        <v>209</v>
      </c>
      <c r="D6834" s="37">
        <f>D6823</f>
        <v>1.4999999999999999E-2</v>
      </c>
      <c r="E6834" s="25" t="e">
        <f t="shared" si="521"/>
        <v>#REF!</v>
      </c>
      <c r="F6834" s="26" t="e">
        <f>SUM(E6828:E6834)</f>
        <v>#REF!</v>
      </c>
    </row>
    <row r="6835" spans="1:6" ht="12.75" customHeight="1">
      <c r="B6835" s="18"/>
      <c r="D6835" s="36"/>
    </row>
    <row r="6836" spans="1:6" ht="12.75" customHeight="1">
      <c r="A6836" s="13" t="s">
        <v>1150</v>
      </c>
      <c r="B6836" s="7"/>
      <c r="E6836" s="27" t="s">
        <v>151</v>
      </c>
      <c r="F6836" s="28" t="s">
        <v>213</v>
      </c>
    </row>
    <row r="6837" spans="1:6" ht="12.75" customHeight="1">
      <c r="A6837" s="13" t="s">
        <v>1151</v>
      </c>
      <c r="B6837" s="7"/>
      <c r="E6837" s="27"/>
      <c r="F6837" s="28"/>
    </row>
    <row r="6838" spans="1:6" ht="12.75" customHeight="1">
      <c r="A6838" s="4" t="s">
        <v>625</v>
      </c>
      <c r="B6838" s="18">
        <v>11.111000000000001</v>
      </c>
      <c r="C6838" s="6" t="s">
        <v>211</v>
      </c>
      <c r="D6838" s="36" t="e">
        <f>D6828</f>
        <v>#REF!</v>
      </c>
      <c r="E6838" s="25" t="e">
        <f t="shared" ref="E6838:E6844" si="522">ROUND(B6838*D6838,2)</f>
        <v>#REF!</v>
      </c>
    </row>
    <row r="6839" spans="1:6" ht="12.75" customHeight="1">
      <c r="A6839" s="4" t="s">
        <v>801</v>
      </c>
      <c r="B6839" s="18">
        <v>2.698</v>
      </c>
      <c r="C6839" s="6" t="s">
        <v>1171</v>
      </c>
      <c r="D6839" s="36">
        <f>D6829</f>
        <v>0</v>
      </c>
      <c r="E6839" s="25">
        <f t="shared" si="522"/>
        <v>0</v>
      </c>
    </row>
    <row r="6840" spans="1:6" ht="12.75" customHeight="1">
      <c r="A6840" s="4" t="s">
        <v>802</v>
      </c>
      <c r="B6840" s="18">
        <v>0.79400000000000004</v>
      </c>
      <c r="C6840" s="6" t="s">
        <v>488</v>
      </c>
      <c r="D6840" s="36" t="e">
        <f>Prec.!#REF!</f>
        <v>#REF!</v>
      </c>
      <c r="E6840" s="25" t="e">
        <f t="shared" si="522"/>
        <v>#REF!</v>
      </c>
    </row>
    <row r="6841" spans="1:6" ht="12.75" customHeight="1">
      <c r="A6841" s="4" t="s">
        <v>526</v>
      </c>
      <c r="B6841" s="18">
        <v>0.52900000000000003</v>
      </c>
      <c r="C6841" s="6" t="s">
        <v>1017</v>
      </c>
      <c r="D6841" s="36" t="e">
        <f>Prec.!#REF!</f>
        <v>#REF!</v>
      </c>
      <c r="E6841" s="25" t="e">
        <f t="shared" si="522"/>
        <v>#REF!</v>
      </c>
    </row>
    <row r="6842" spans="1:6" ht="12.75" customHeight="1">
      <c r="A6842" s="4" t="s">
        <v>1596</v>
      </c>
      <c r="B6842" s="18">
        <v>0.52900000000000003</v>
      </c>
      <c r="C6842" s="6" t="s">
        <v>1017</v>
      </c>
      <c r="D6842" s="36">
        <f>D6832</f>
        <v>407.32</v>
      </c>
      <c r="E6842" s="25">
        <f t="shared" si="522"/>
        <v>215.47</v>
      </c>
    </row>
    <row r="6843" spans="1:6" ht="12.75" customHeight="1">
      <c r="A6843" s="4" t="s">
        <v>1501</v>
      </c>
      <c r="B6843" s="18">
        <v>0.52900000000000003</v>
      </c>
      <c r="C6843" s="6" t="s">
        <v>1017</v>
      </c>
      <c r="D6843" s="36">
        <f>Prec.!D618</f>
        <v>304.66000000000003</v>
      </c>
      <c r="E6843" s="25">
        <f t="shared" si="522"/>
        <v>161.16999999999999</v>
      </c>
    </row>
    <row r="6844" spans="1:6" ht="12.75" customHeight="1">
      <c r="A6844" s="4" t="s">
        <v>208</v>
      </c>
      <c r="B6844" s="7" t="e">
        <f>SUM(E6838:E6843)</f>
        <v>#REF!</v>
      </c>
      <c r="C6844" s="6" t="s">
        <v>209</v>
      </c>
      <c r="D6844" s="37">
        <f>D6834</f>
        <v>1.4999999999999999E-2</v>
      </c>
      <c r="E6844" s="25" t="e">
        <f t="shared" si="522"/>
        <v>#REF!</v>
      </c>
      <c r="F6844" s="26" t="e">
        <f>SUM(E6838:E6844)</f>
        <v>#REF!</v>
      </c>
    </row>
    <row r="6845" spans="1:6" ht="4.5" customHeight="1">
      <c r="B6845" s="18"/>
      <c r="D6845" s="36"/>
    </row>
    <row r="6846" spans="1:6" ht="12.75" customHeight="1">
      <c r="A6846" s="1" t="s">
        <v>144</v>
      </c>
      <c r="B6846" s="18"/>
      <c r="D6846" s="36"/>
    </row>
    <row r="6847" spans="1:6" ht="12.75" customHeight="1">
      <c r="A6847" s="4" t="s">
        <v>145</v>
      </c>
      <c r="B6847" s="18">
        <v>0.98</v>
      </c>
      <c r="C6847" s="6" t="s">
        <v>488</v>
      </c>
      <c r="D6847" s="36" t="e">
        <f>Prec.!#REF!</f>
        <v>#REF!</v>
      </c>
      <c r="E6847" s="25" t="e">
        <f t="shared" ref="E6847:E6854" si="523">ROUND(B6847*D6847,2)</f>
        <v>#REF!</v>
      </c>
    </row>
    <row r="6848" spans="1:6" ht="12.75" customHeight="1">
      <c r="A6848" s="4" t="s">
        <v>146</v>
      </c>
      <c r="B6848" s="18">
        <v>0.98</v>
      </c>
      <c r="C6848" s="6" t="s">
        <v>1017</v>
      </c>
      <c r="D6848" s="36" t="e">
        <f>Prec.!#REF!</f>
        <v>#REF!</v>
      </c>
      <c r="E6848" s="25" t="e">
        <f t="shared" si="523"/>
        <v>#REF!</v>
      </c>
    </row>
    <row r="6849" spans="1:6" ht="12.75" customHeight="1">
      <c r="A6849" s="4" t="s">
        <v>147</v>
      </c>
      <c r="B6849" s="18">
        <v>10.784000000000001</v>
      </c>
      <c r="C6849" s="6" t="s">
        <v>211</v>
      </c>
      <c r="D6849" s="36" t="e">
        <f>Prec.!#REF!</f>
        <v>#REF!</v>
      </c>
      <c r="E6849" s="25" t="e">
        <f t="shared" si="523"/>
        <v>#REF!</v>
      </c>
    </row>
    <row r="6850" spans="1:6" ht="12.75" customHeight="1">
      <c r="A6850" s="4" t="s">
        <v>148</v>
      </c>
      <c r="B6850" s="18">
        <v>0.98</v>
      </c>
      <c r="C6850" s="6" t="s">
        <v>1017</v>
      </c>
      <c r="D6850" s="36" t="e">
        <f>Prec.!#REF!</f>
        <v>#REF!</v>
      </c>
      <c r="E6850" s="25" t="e">
        <f t="shared" si="523"/>
        <v>#REF!</v>
      </c>
    </row>
    <row r="6851" spans="1:6" ht="12.75" customHeight="1">
      <c r="A6851" s="4" t="s">
        <v>841</v>
      </c>
      <c r="B6851" s="57">
        <v>2</v>
      </c>
      <c r="C6851" s="6" t="s">
        <v>1171</v>
      </c>
      <c r="D6851" s="36">
        <f>F6869</f>
        <v>0</v>
      </c>
      <c r="E6851" s="25">
        <f t="shared" si="523"/>
        <v>0</v>
      </c>
    </row>
    <row r="6852" spans="1:6" ht="12.75" customHeight="1">
      <c r="A6852" s="4" t="s">
        <v>149</v>
      </c>
      <c r="B6852" s="18">
        <v>0.98</v>
      </c>
      <c r="C6852" s="6" t="s">
        <v>1017</v>
      </c>
      <c r="D6852" s="36">
        <f>Prec.!D621</f>
        <v>407.32</v>
      </c>
      <c r="E6852" s="25">
        <f t="shared" si="523"/>
        <v>399.17</v>
      </c>
    </row>
    <row r="6853" spans="1:6" ht="12.75" customHeight="1">
      <c r="A6853" s="4" t="s">
        <v>1501</v>
      </c>
      <c r="B6853" s="18">
        <v>0.52900000000000003</v>
      </c>
      <c r="C6853" s="6" t="s">
        <v>1017</v>
      </c>
      <c r="D6853" s="36">
        <f>Prec.!D618</f>
        <v>304.66000000000003</v>
      </c>
      <c r="E6853" s="25">
        <f t="shared" si="523"/>
        <v>161.16999999999999</v>
      </c>
    </row>
    <row r="6854" spans="1:6" ht="12.75" customHeight="1">
      <c r="A6854" s="4" t="s">
        <v>208</v>
      </c>
      <c r="B6854" s="7" t="e">
        <f>SUM(E6847:E6853)</f>
        <v>#REF!</v>
      </c>
      <c r="C6854" s="6" t="s">
        <v>209</v>
      </c>
      <c r="D6854" s="37">
        <f>D6844</f>
        <v>1.4999999999999999E-2</v>
      </c>
      <c r="E6854" s="25" t="e">
        <f t="shared" si="523"/>
        <v>#REF!</v>
      </c>
      <c r="F6854" s="26" t="e">
        <f>SUM(E6847:E6854)</f>
        <v>#REF!</v>
      </c>
    </row>
    <row r="6855" spans="1:6" ht="12.75" customHeight="1">
      <c r="B6855" s="18"/>
      <c r="D6855" s="36"/>
    </row>
    <row r="6856" spans="1:6" ht="12.75" customHeight="1">
      <c r="A6856" s="1745" t="s">
        <v>133</v>
      </c>
      <c r="B6856" s="1745"/>
      <c r="D6856" s="36"/>
      <c r="E6856" s="27" t="s">
        <v>151</v>
      </c>
      <c r="F6856" s="26" t="s">
        <v>1017</v>
      </c>
    </row>
    <row r="6857" spans="1:6" ht="12.75" customHeight="1">
      <c r="A6857" s="12" t="s">
        <v>134</v>
      </c>
      <c r="B6857" s="57">
        <v>35.4</v>
      </c>
      <c r="C6857" s="6" t="s">
        <v>211</v>
      </c>
      <c r="D6857" s="36" t="e">
        <f>Prec.!#REF!</f>
        <v>#REF!</v>
      </c>
      <c r="E6857" s="25" t="e">
        <f>ROUND(B6857*D6857,2)</f>
        <v>#REF!</v>
      </c>
    </row>
    <row r="6858" spans="1:6" ht="12.75" customHeight="1">
      <c r="A6858" s="12" t="s">
        <v>135</v>
      </c>
      <c r="B6858" s="57">
        <v>4.7</v>
      </c>
      <c r="C6858" s="6" t="s">
        <v>1171</v>
      </c>
      <c r="D6858" s="36">
        <f>F6869</f>
        <v>0</v>
      </c>
      <c r="E6858" s="25">
        <f>ROUND(B6858*D6858,2)</f>
        <v>0</v>
      </c>
    </row>
    <row r="6859" spans="1:6" ht="12.75" customHeight="1">
      <c r="A6859" s="12" t="s">
        <v>136</v>
      </c>
      <c r="B6859" s="57">
        <v>4</v>
      </c>
      <c r="C6859" s="6" t="s">
        <v>1017</v>
      </c>
      <c r="D6859" s="36" t="e">
        <f>Prec.!#REF!</f>
        <v>#REF!</v>
      </c>
      <c r="E6859" s="25" t="e">
        <f>ROUND(B6859*D6859,2)</f>
        <v>#REF!</v>
      </c>
    </row>
    <row r="6860" spans="1:6" ht="12.75" customHeight="1">
      <c r="A6860" s="12" t="s">
        <v>137</v>
      </c>
      <c r="B6860" s="57">
        <v>1</v>
      </c>
      <c r="C6860" s="6" t="s">
        <v>1017</v>
      </c>
      <c r="D6860" s="36">
        <f>Prec.!D612</f>
        <v>612.64</v>
      </c>
      <c r="E6860" s="25">
        <f>ROUND(B6860*D6860,2)</f>
        <v>612.64</v>
      </c>
    </row>
    <row r="6861" spans="1:6" ht="12.75" customHeight="1">
      <c r="A6861" s="4" t="s">
        <v>208</v>
      </c>
      <c r="B6861" s="7" t="e">
        <f>SUM(E6857:E6860)</f>
        <v>#REF!</v>
      </c>
      <c r="C6861" s="6" t="s">
        <v>209</v>
      </c>
      <c r="D6861" s="37">
        <f>D6854</f>
        <v>1.4999999999999999E-2</v>
      </c>
      <c r="E6861" s="25" t="e">
        <f>ROUND(B6861*D6861,2)</f>
        <v>#REF!</v>
      </c>
      <c r="F6861" s="26" t="e">
        <f>SUM(E6857:E6861)</f>
        <v>#REF!</v>
      </c>
    </row>
    <row r="6862" spans="1:6" ht="12.75" customHeight="1">
      <c r="B6862" s="18"/>
      <c r="D6862" s="36"/>
    </row>
    <row r="6863" spans="1:6" ht="12.75" customHeight="1">
      <c r="B6863" s="18"/>
      <c r="D6863" s="55" t="s">
        <v>138</v>
      </c>
      <c r="E6863" s="25">
        <v>3.28</v>
      </c>
      <c r="F6863" s="26" t="e">
        <f>F6861/E6863</f>
        <v>#REF!</v>
      </c>
    </row>
    <row r="6864" spans="1:6" ht="6" customHeight="1">
      <c r="B6864" s="18"/>
      <c r="D6864" s="36"/>
    </row>
    <row r="6865" spans="1:6" ht="12.75" customHeight="1">
      <c r="A6865" s="13" t="s">
        <v>1042</v>
      </c>
      <c r="B6865" s="7"/>
      <c r="E6865" s="27" t="s">
        <v>151</v>
      </c>
      <c r="F6865" s="28" t="s">
        <v>1171</v>
      </c>
    </row>
    <row r="6866" spans="1:6" ht="12.75" customHeight="1">
      <c r="A6866" s="4" t="s">
        <v>1042</v>
      </c>
      <c r="B6866" s="18">
        <v>3.282</v>
      </c>
      <c r="C6866" s="6" t="s">
        <v>1175</v>
      </c>
      <c r="D6866" s="36">
        <f>Prec.!C241</f>
        <v>31.29</v>
      </c>
      <c r="E6866" s="25">
        <f>ROUND(B6866*D6866,2)</f>
        <v>102.69</v>
      </c>
    </row>
    <row r="6867" spans="1:6" ht="12.75" customHeight="1">
      <c r="A6867" s="4" t="s">
        <v>842</v>
      </c>
      <c r="B6867" s="18">
        <v>1.544</v>
      </c>
      <c r="C6867" s="6" t="s">
        <v>1017</v>
      </c>
      <c r="D6867" s="36" t="e">
        <f>Prec.!#REF!</f>
        <v>#REF!</v>
      </c>
      <c r="E6867" s="25" t="e">
        <f>ROUND(B6867*D6867,2)</f>
        <v>#REF!</v>
      </c>
    </row>
    <row r="6868" spans="1:6" ht="12.75" customHeight="1">
      <c r="A6868" s="4" t="s">
        <v>843</v>
      </c>
      <c r="B6868" s="18">
        <v>1.5444</v>
      </c>
      <c r="C6868" s="6" t="s">
        <v>1017</v>
      </c>
      <c r="D6868" s="36" t="e">
        <f>Prec.!#REF!</f>
        <v>#REF!</v>
      </c>
      <c r="E6868" s="25" t="e">
        <f>ROUND(B6868*D6868,2)</f>
        <v>#REF!</v>
      </c>
    </row>
    <row r="6869" spans="1:6" ht="12.75" customHeight="1">
      <c r="A6869" s="4" t="s">
        <v>1043</v>
      </c>
      <c r="B6869" s="7">
        <v>1</v>
      </c>
      <c r="C6869" s="6" t="s">
        <v>1171</v>
      </c>
      <c r="D6869" s="36">
        <f>Prec.!$D$622</f>
        <v>48.01</v>
      </c>
      <c r="E6869" s="25">
        <f>ROUND(B6869*D6869,2)</f>
        <v>48.01</v>
      </c>
    </row>
    <row r="6870" spans="1:6" ht="12.75" customHeight="1">
      <c r="A6870" s="4" t="s">
        <v>208</v>
      </c>
      <c r="B6870" s="7" t="e">
        <f>SUM(E6866:E6869)</f>
        <v>#REF!</v>
      </c>
      <c r="C6870" s="6" t="s">
        <v>209</v>
      </c>
      <c r="D6870" s="37">
        <f>D6854</f>
        <v>1.4999999999999999E-2</v>
      </c>
      <c r="E6870" s="25" t="e">
        <f>ROUND(B6870*D6870,2)</f>
        <v>#REF!</v>
      </c>
      <c r="F6870" s="26" t="e">
        <f>SUM(E6866:E6870)</f>
        <v>#REF!</v>
      </c>
    </row>
    <row r="6871" spans="1:6" ht="12.75" customHeight="1">
      <c r="B6871" s="7"/>
    </row>
    <row r="6872" spans="1:6" ht="12.75" customHeight="1">
      <c r="A6872" s="13" t="s">
        <v>1304</v>
      </c>
      <c r="B6872" s="7"/>
      <c r="E6872" s="27" t="s">
        <v>151</v>
      </c>
      <c r="F6872" s="28" t="s">
        <v>1171</v>
      </c>
    </row>
    <row r="6873" spans="1:6" ht="12.75" customHeight="1">
      <c r="A6873" s="4" t="s">
        <v>1304</v>
      </c>
      <c r="B6873" s="18">
        <v>3.282</v>
      </c>
      <c r="C6873" s="6" t="s">
        <v>1175</v>
      </c>
      <c r="D6873" s="41">
        <f>Prec.!C240</f>
        <v>46.94</v>
      </c>
      <c r="E6873" s="25">
        <f>ROUND(B6873*D6873,2)</f>
        <v>154.06</v>
      </c>
    </row>
    <row r="6874" spans="1:6" ht="12.75" customHeight="1">
      <c r="A6874" s="4" t="s">
        <v>842</v>
      </c>
      <c r="B6874" s="18">
        <v>1.544</v>
      </c>
      <c r="C6874" s="6" t="s">
        <v>1017</v>
      </c>
      <c r="D6874" s="36" t="e">
        <f>D6867</f>
        <v>#REF!</v>
      </c>
      <c r="E6874" s="25" t="e">
        <f>ROUND(B6874*D6874,2)</f>
        <v>#REF!</v>
      </c>
    </row>
    <row r="6875" spans="1:6" ht="12.75" customHeight="1">
      <c r="A6875" s="4" t="s">
        <v>843</v>
      </c>
      <c r="B6875" s="18">
        <v>1.5444</v>
      </c>
      <c r="C6875" s="6" t="s">
        <v>1017</v>
      </c>
      <c r="D6875" s="36" t="e">
        <f>Prec.!#REF!</f>
        <v>#REF!</v>
      </c>
      <c r="E6875" s="25" t="e">
        <f>ROUND(B6875*D6875,2)</f>
        <v>#REF!</v>
      </c>
    </row>
    <row r="6876" spans="1:6" ht="12.75" customHeight="1">
      <c r="A6876" s="4" t="s">
        <v>1043</v>
      </c>
      <c r="B6876" s="7">
        <v>1</v>
      </c>
      <c r="C6876" s="6" t="s">
        <v>1171</v>
      </c>
      <c r="D6876" s="36">
        <f>Prec.!$D$622</f>
        <v>48.01</v>
      </c>
      <c r="E6876" s="25">
        <f>ROUND(B6876*D6876,2)</f>
        <v>48.01</v>
      </c>
      <c r="F6876" s="32"/>
    </row>
    <row r="6877" spans="1:6" ht="12.75" customHeight="1">
      <c r="A6877" s="4" t="s">
        <v>208</v>
      </c>
      <c r="B6877" s="7" t="e">
        <f>SUM(E6873:E6876)</f>
        <v>#REF!</v>
      </c>
      <c r="C6877" s="6" t="s">
        <v>209</v>
      </c>
      <c r="D6877" s="37">
        <f>D6861</f>
        <v>1.4999999999999999E-2</v>
      </c>
      <c r="E6877" s="25" t="e">
        <f>ROUND(B6877*D6877,2)</f>
        <v>#REF!</v>
      </c>
      <c r="F6877" s="26" t="e">
        <f>SUM(E6873:E6877)</f>
        <v>#REF!</v>
      </c>
    </row>
    <row r="6878" spans="1:6" ht="12.75" customHeight="1">
      <c r="A6878" s="13" t="s">
        <v>583</v>
      </c>
      <c r="B6878" s="7"/>
      <c r="E6878" s="27" t="s">
        <v>151</v>
      </c>
      <c r="F6878" s="28" t="s">
        <v>1171</v>
      </c>
    </row>
    <row r="6879" spans="1:6" ht="12.75" customHeight="1">
      <c r="A6879" s="4" t="s">
        <v>1305</v>
      </c>
      <c r="B6879" s="18">
        <v>3.282</v>
      </c>
      <c r="C6879" s="6" t="s">
        <v>1175</v>
      </c>
      <c r="D6879" s="36">
        <f>Prec.!C242</f>
        <v>87.48</v>
      </c>
      <c r="E6879" s="25">
        <f>ROUND(B6879*D6879,2)</f>
        <v>287.11</v>
      </c>
    </row>
    <row r="6880" spans="1:6" ht="12.75" customHeight="1">
      <c r="A6880" s="4" t="s">
        <v>842</v>
      </c>
      <c r="B6880" s="18">
        <v>1.544</v>
      </c>
      <c r="C6880" s="6" t="s">
        <v>1017</v>
      </c>
      <c r="D6880" s="36" t="e">
        <f>D6874</f>
        <v>#REF!</v>
      </c>
      <c r="E6880" s="25" t="e">
        <f>ROUND(B6880*D6880,2)</f>
        <v>#REF!</v>
      </c>
    </row>
    <row r="6881" spans="1:6" ht="12.75" customHeight="1">
      <c r="A6881" s="4" t="s">
        <v>843</v>
      </c>
      <c r="B6881" s="18">
        <v>1.5444</v>
      </c>
      <c r="C6881" s="6" t="s">
        <v>1017</v>
      </c>
      <c r="D6881" s="36" t="e">
        <f>Prec.!#REF!</f>
        <v>#REF!</v>
      </c>
      <c r="E6881" s="25" t="e">
        <f>ROUND(B6881*D6881,2)</f>
        <v>#REF!</v>
      </c>
    </row>
    <row r="6882" spans="1:6" ht="12.75" customHeight="1">
      <c r="A6882" s="4" t="s">
        <v>540</v>
      </c>
      <c r="B6882" s="7">
        <v>1</v>
      </c>
      <c r="C6882" s="6" t="s">
        <v>1171</v>
      </c>
      <c r="D6882" s="36">
        <f>Prec.!D623</f>
        <v>61.26</v>
      </c>
      <c r="E6882" s="25">
        <f>ROUND(B6882*D6882,2)</f>
        <v>61.26</v>
      </c>
    </row>
    <row r="6883" spans="1:6" ht="12.75" customHeight="1">
      <c r="A6883" s="4" t="s">
        <v>208</v>
      </c>
      <c r="B6883" s="7" t="e">
        <f>SUM(E6879:E6882)</f>
        <v>#REF!</v>
      </c>
      <c r="C6883" s="6" t="s">
        <v>209</v>
      </c>
      <c r="D6883" s="37">
        <f>D6877</f>
        <v>1.4999999999999999E-2</v>
      </c>
      <c r="E6883" s="25" t="e">
        <f>ROUND(B6883*D6883,2)</f>
        <v>#REF!</v>
      </c>
      <c r="F6883" s="26" t="e">
        <f>SUM(E6879:E6883)</f>
        <v>#REF!</v>
      </c>
    </row>
    <row r="6884" spans="1:6" ht="12.75" customHeight="1">
      <c r="B6884" s="7"/>
      <c r="D6884" s="36"/>
    </row>
    <row r="6885" spans="1:6" ht="12.75" customHeight="1">
      <c r="A6885" s="13" t="s">
        <v>470</v>
      </c>
      <c r="B6885" s="7"/>
      <c r="E6885" s="27" t="s">
        <v>151</v>
      </c>
      <c r="F6885" s="28" t="s">
        <v>213</v>
      </c>
    </row>
    <row r="6886" spans="1:6" ht="12.75" customHeight="1">
      <c r="A6886" s="4" t="s">
        <v>471</v>
      </c>
      <c r="B6886" s="18">
        <v>10.76</v>
      </c>
      <c r="C6886" s="6" t="s">
        <v>211</v>
      </c>
      <c r="D6886" s="41" t="e">
        <f>Prec.!#REF!</f>
        <v>#REF!</v>
      </c>
      <c r="E6886" s="25" t="e">
        <f t="shared" ref="E6886:E6891" si="524">ROUND(B6886*D6886,2)</f>
        <v>#REF!</v>
      </c>
    </row>
    <row r="6887" spans="1:6" ht="12.75" customHeight="1">
      <c r="A6887" s="4" t="s">
        <v>1042</v>
      </c>
      <c r="B6887" s="18">
        <v>4</v>
      </c>
      <c r="C6887" s="6" t="s">
        <v>1171</v>
      </c>
      <c r="D6887" s="36" t="e">
        <f>F6870</f>
        <v>#REF!</v>
      </c>
      <c r="E6887" s="25" t="e">
        <f t="shared" si="524"/>
        <v>#REF!</v>
      </c>
    </row>
    <row r="6888" spans="1:6" ht="12.75" customHeight="1">
      <c r="A6888" s="4" t="s">
        <v>842</v>
      </c>
      <c r="B6888" s="18">
        <v>8</v>
      </c>
      <c r="C6888" s="6" t="s">
        <v>1017</v>
      </c>
      <c r="D6888" s="36" t="e">
        <f>D6867</f>
        <v>#REF!</v>
      </c>
      <c r="E6888" s="25" t="e">
        <f t="shared" si="524"/>
        <v>#REF!</v>
      </c>
    </row>
    <row r="6889" spans="1:6" ht="12.75" customHeight="1">
      <c r="A6889" s="4" t="s">
        <v>843</v>
      </c>
      <c r="B6889" s="18">
        <v>8</v>
      </c>
      <c r="C6889" s="6" t="s">
        <v>1017</v>
      </c>
      <c r="D6889" s="36" t="e">
        <f>Prec.!#REF!</f>
        <v>#REF!</v>
      </c>
      <c r="E6889" s="25" t="e">
        <f t="shared" si="524"/>
        <v>#REF!</v>
      </c>
    </row>
    <row r="6890" spans="1:6" ht="12.75" customHeight="1">
      <c r="A6890" s="4" t="s">
        <v>1114</v>
      </c>
      <c r="B6890" s="7">
        <v>1</v>
      </c>
      <c r="C6890" s="6" t="s">
        <v>213</v>
      </c>
      <c r="D6890" s="36">
        <f>Prec.!D611</f>
        <v>407.32</v>
      </c>
      <c r="E6890" s="25">
        <f t="shared" si="524"/>
        <v>407.32</v>
      </c>
    </row>
    <row r="6891" spans="1:6" ht="12.75" customHeight="1">
      <c r="A6891" s="4" t="s">
        <v>208</v>
      </c>
      <c r="B6891" s="7" t="e">
        <f>SUM(E6886:E6890)</f>
        <v>#REF!</v>
      </c>
      <c r="C6891" s="6" t="s">
        <v>209</v>
      </c>
      <c r="D6891" s="37">
        <f>D6883</f>
        <v>1.4999999999999999E-2</v>
      </c>
      <c r="E6891" s="25" t="e">
        <f t="shared" si="524"/>
        <v>#REF!</v>
      </c>
      <c r="F6891" s="26" t="e">
        <f>SUM(E6886:E6891)</f>
        <v>#REF!</v>
      </c>
    </row>
    <row r="6892" spans="1:6" ht="12.75" customHeight="1">
      <c r="B6892" s="7"/>
      <c r="D6892" s="36"/>
    </row>
    <row r="6893" spans="1:6" ht="12.75" customHeight="1">
      <c r="A6893" s="13" t="s">
        <v>541</v>
      </c>
      <c r="B6893" s="7"/>
      <c r="E6893" s="27" t="s">
        <v>151</v>
      </c>
      <c r="F6893" s="28" t="s">
        <v>213</v>
      </c>
    </row>
    <row r="6894" spans="1:6" ht="12.75" customHeight="1">
      <c r="A6894" s="4" t="s">
        <v>542</v>
      </c>
      <c r="B6894" s="18">
        <v>10.76</v>
      </c>
      <c r="C6894" s="6" t="s">
        <v>211</v>
      </c>
      <c r="D6894" s="41" t="e">
        <f>Prec.!#REF!</f>
        <v>#REF!</v>
      </c>
      <c r="E6894" s="25" t="e">
        <f t="shared" ref="E6894:E6899" si="525">ROUND(B6894*D6894,2)</f>
        <v>#REF!</v>
      </c>
    </row>
    <row r="6895" spans="1:6" ht="12.75" customHeight="1">
      <c r="A6895" s="4" t="s">
        <v>1305</v>
      </c>
      <c r="B6895" s="18">
        <v>4</v>
      </c>
      <c r="C6895" s="6" t="s">
        <v>1171</v>
      </c>
      <c r="D6895" s="36" t="e">
        <f>F6883</f>
        <v>#REF!</v>
      </c>
      <c r="E6895" s="25" t="e">
        <f t="shared" si="525"/>
        <v>#REF!</v>
      </c>
    </row>
    <row r="6896" spans="1:6" ht="12.75" customHeight="1">
      <c r="A6896" s="4" t="s">
        <v>842</v>
      </c>
      <c r="B6896" s="18">
        <v>8</v>
      </c>
      <c r="C6896" s="6" t="s">
        <v>1017</v>
      </c>
      <c r="D6896" s="36" t="e">
        <f>D6867</f>
        <v>#REF!</v>
      </c>
      <c r="E6896" s="25" t="e">
        <f t="shared" si="525"/>
        <v>#REF!</v>
      </c>
    </row>
    <row r="6897" spans="1:6" ht="12.75" customHeight="1">
      <c r="A6897" s="4" t="s">
        <v>843</v>
      </c>
      <c r="B6897" s="18">
        <v>8</v>
      </c>
      <c r="C6897" s="6" t="s">
        <v>1017</v>
      </c>
      <c r="D6897" s="36" t="e">
        <f>Prec.!#REF!</f>
        <v>#REF!</v>
      </c>
      <c r="E6897" s="25" t="e">
        <f t="shared" si="525"/>
        <v>#REF!</v>
      </c>
    </row>
    <row r="6898" spans="1:6" ht="12.75" customHeight="1">
      <c r="A6898" s="4" t="s">
        <v>1597</v>
      </c>
      <c r="B6898" s="7">
        <v>1</v>
      </c>
      <c r="C6898" s="6" t="s">
        <v>213</v>
      </c>
      <c r="D6898" s="36">
        <f>Prec.!D620</f>
        <v>816.3</v>
      </c>
      <c r="E6898" s="25">
        <f t="shared" si="525"/>
        <v>816.3</v>
      </c>
    </row>
    <row r="6899" spans="1:6" ht="12.75" customHeight="1">
      <c r="A6899" s="4" t="s">
        <v>208</v>
      </c>
      <c r="B6899" s="7" t="e">
        <f>SUM(E6894:E6898)</f>
        <v>#REF!</v>
      </c>
      <c r="C6899" s="6" t="s">
        <v>209</v>
      </c>
      <c r="D6899" s="37">
        <f>D6891</f>
        <v>1.4999999999999999E-2</v>
      </c>
      <c r="E6899" s="25" t="e">
        <f t="shared" si="525"/>
        <v>#REF!</v>
      </c>
      <c r="F6899" s="26" t="e">
        <f>SUM(E6894:E6899)</f>
        <v>#REF!</v>
      </c>
    </row>
    <row r="6900" spans="1:6" ht="12.75" customHeight="1">
      <c r="A6900" s="12"/>
      <c r="B6900" s="7"/>
      <c r="D6900" s="36"/>
    </row>
    <row r="6901" spans="1:6" ht="12.75" customHeight="1">
      <c r="A6901" s="13" t="s">
        <v>139</v>
      </c>
      <c r="B6901" s="7"/>
      <c r="D6901" s="430"/>
      <c r="E6901" s="27" t="s">
        <v>151</v>
      </c>
      <c r="F6901" s="28" t="s">
        <v>213</v>
      </c>
    </row>
    <row r="6902" spans="1:6" ht="12.75" customHeight="1">
      <c r="A6902" s="4" t="s">
        <v>845</v>
      </c>
      <c r="B6902" s="18">
        <v>9.0440000000000005</v>
      </c>
      <c r="C6902" s="6" t="s">
        <v>211</v>
      </c>
      <c r="D6902" s="36" t="e">
        <f>Prec.!#REF!</f>
        <v>#REF!</v>
      </c>
      <c r="E6902" s="25" t="e">
        <f t="shared" ref="E6902:E6908" si="526">ROUND(B6902*D6902,2)</f>
        <v>#REF!</v>
      </c>
    </row>
    <row r="6903" spans="1:6" ht="12.75" customHeight="1">
      <c r="A6903" s="4" t="s">
        <v>844</v>
      </c>
      <c r="B6903" s="18">
        <v>0.29099999999999998</v>
      </c>
      <c r="C6903" s="6" t="s">
        <v>1018</v>
      </c>
      <c r="D6903" s="36">
        <f>Prec.!C151</f>
        <v>40</v>
      </c>
      <c r="E6903" s="25">
        <f t="shared" si="526"/>
        <v>11.64</v>
      </c>
    </row>
    <row r="6904" spans="1:6" ht="12.75" customHeight="1">
      <c r="A6904" s="4" t="s">
        <v>913</v>
      </c>
      <c r="B6904" s="18">
        <v>0.67800000000000005</v>
      </c>
      <c r="C6904" s="6" t="s">
        <v>1017</v>
      </c>
      <c r="D6904" s="36">
        <f>Prec.!C222</f>
        <v>400</v>
      </c>
      <c r="E6904" s="25">
        <f t="shared" si="526"/>
        <v>271.2</v>
      </c>
    </row>
    <row r="6905" spans="1:6" ht="12.75" customHeight="1">
      <c r="A6905" s="4" t="s">
        <v>1036</v>
      </c>
      <c r="B6905" s="18">
        <v>0.58099999999999996</v>
      </c>
      <c r="C6905" s="6" t="s">
        <v>1018</v>
      </c>
      <c r="D6905" s="36">
        <f>Prec.!C165</f>
        <v>36.89</v>
      </c>
      <c r="E6905" s="25">
        <f t="shared" si="526"/>
        <v>21.43</v>
      </c>
    </row>
    <row r="6906" spans="1:6" ht="12.75" customHeight="1">
      <c r="A6906" s="4" t="s">
        <v>914</v>
      </c>
      <c r="B6906" s="18">
        <v>2</v>
      </c>
      <c r="C6906" s="6" t="s">
        <v>213</v>
      </c>
      <c r="D6906" s="36">
        <f>F7005</f>
        <v>366.3</v>
      </c>
      <c r="E6906" s="25">
        <f t="shared" si="526"/>
        <v>732.6</v>
      </c>
    </row>
    <row r="6907" spans="1:6" ht="12.75" customHeight="1">
      <c r="A6907" s="12" t="s">
        <v>915</v>
      </c>
      <c r="B6907" s="7">
        <v>1</v>
      </c>
      <c r="C6907" s="6" t="s">
        <v>213</v>
      </c>
      <c r="D6907" s="36">
        <f>Prec.!D601</f>
        <v>205.32</v>
      </c>
      <c r="E6907" s="25">
        <f t="shared" si="526"/>
        <v>205.32</v>
      </c>
    </row>
    <row r="6908" spans="1:6" ht="12.75" customHeight="1">
      <c r="A6908" s="4" t="s">
        <v>208</v>
      </c>
      <c r="B6908" s="7" t="e">
        <f>SUM(E6902:E6907)</f>
        <v>#REF!</v>
      </c>
      <c r="C6908" s="6" t="s">
        <v>209</v>
      </c>
      <c r="D6908" s="37">
        <f>D6899</f>
        <v>1.4999999999999999E-2</v>
      </c>
      <c r="E6908" s="25" t="e">
        <f t="shared" si="526"/>
        <v>#REF!</v>
      </c>
      <c r="F6908" s="26" t="e">
        <f>SUM(E6902:E6908)</f>
        <v>#REF!</v>
      </c>
    </row>
    <row r="6909" spans="1:6" ht="12.75" customHeight="1">
      <c r="A6909" s="12"/>
      <c r="B6909" s="7"/>
      <c r="D6909" s="36"/>
    </row>
    <row r="6910" spans="1:6" ht="12.75" customHeight="1">
      <c r="A6910" s="39" t="s">
        <v>234</v>
      </c>
      <c r="B6910" s="7"/>
    </row>
    <row r="6911" spans="1:6" ht="12.75" customHeight="1">
      <c r="B6911" s="7"/>
    </row>
    <row r="6912" spans="1:6" ht="12.75" customHeight="1">
      <c r="A6912" s="23" t="s">
        <v>321</v>
      </c>
      <c r="B6912" s="7"/>
    </row>
    <row r="6913" spans="1:13" ht="12.75" customHeight="1">
      <c r="B6913" s="7"/>
    </row>
    <row r="6914" spans="1:13" ht="12.75" customHeight="1">
      <c r="A6914" s="698" t="s">
        <v>527</v>
      </c>
      <c r="B6914" s="705"/>
      <c r="C6914" s="700"/>
      <c r="D6914" s="708"/>
      <c r="E6914" s="702"/>
      <c r="F6914" s="703"/>
    </row>
    <row r="6915" spans="1:13" ht="12.75" customHeight="1">
      <c r="A6915" s="704" t="s">
        <v>894</v>
      </c>
      <c r="B6915" s="705">
        <v>0.11</v>
      </c>
      <c r="C6915" s="700" t="s">
        <v>1228</v>
      </c>
      <c r="D6915" s="701">
        <f>Prec.!C252</f>
        <v>530</v>
      </c>
      <c r="E6915" s="702">
        <f>ROUND(B6915*D6915,2)</f>
        <v>58.3</v>
      </c>
      <c r="F6915" s="703"/>
    </row>
    <row r="6916" spans="1:13" ht="12.75" customHeight="1">
      <c r="A6916" s="704" t="s">
        <v>528</v>
      </c>
      <c r="B6916" s="705">
        <v>1.0999999999999999E-2</v>
      </c>
      <c r="C6916" s="700" t="s">
        <v>1228</v>
      </c>
      <c r="D6916" s="701">
        <f>D6915</f>
        <v>530</v>
      </c>
      <c r="E6916" s="702">
        <f>ROUND(B6916*D6916,2)</f>
        <v>5.83</v>
      </c>
      <c r="F6916" s="703"/>
    </row>
    <row r="6917" spans="1:13" ht="12.75" customHeight="1">
      <c r="A6917" s="704" t="s">
        <v>1176</v>
      </c>
      <c r="B6917" s="705">
        <v>1</v>
      </c>
      <c r="C6917" s="700" t="s">
        <v>213</v>
      </c>
      <c r="D6917" s="701">
        <f>Prec.!$C$267</f>
        <v>9.92</v>
      </c>
      <c r="E6917" s="702">
        <f>ROUND(B6917*D6917,2)</f>
        <v>9.92</v>
      </c>
      <c r="F6917" s="703"/>
    </row>
    <row r="6918" spans="1:13" ht="12.75" customHeight="1">
      <c r="A6918" s="704" t="s">
        <v>257</v>
      </c>
      <c r="B6918" s="705">
        <v>1</v>
      </c>
      <c r="C6918" s="700" t="s">
        <v>213</v>
      </c>
      <c r="D6918" s="701">
        <f>Prec.!C635</f>
        <v>32.56</v>
      </c>
      <c r="E6918" s="702">
        <f>ROUND(B6918*D6918,2)</f>
        <v>32.56</v>
      </c>
      <c r="F6918" s="703"/>
    </row>
    <row r="6919" spans="1:13" ht="12.75" customHeight="1">
      <c r="A6919" s="704" t="s">
        <v>560</v>
      </c>
      <c r="B6919" s="705">
        <v>1</v>
      </c>
      <c r="C6919" s="700" t="s">
        <v>213</v>
      </c>
      <c r="D6919" s="701">
        <f>Prec.!C636</f>
        <v>21.7</v>
      </c>
      <c r="E6919" s="702">
        <f>ROUND(B6919*D6919,2)</f>
        <v>21.7</v>
      </c>
      <c r="F6919" s="703">
        <f>SUM(E6914:E6919)</f>
        <v>128.31</v>
      </c>
    </row>
    <row r="6920" spans="1:13" s="166" customFormat="1" ht="12.75" customHeight="1">
      <c r="B6920" s="8"/>
      <c r="C6920" s="165"/>
      <c r="D6920" s="36"/>
      <c r="E6920" s="25"/>
      <c r="F6920" s="26"/>
      <c r="G6920" s="15"/>
      <c r="H6920" s="21"/>
      <c r="I6920" s="15"/>
      <c r="J6920" s="15"/>
      <c r="K6920" s="15"/>
      <c r="L6920" s="21"/>
      <c r="M6920" s="15"/>
    </row>
    <row r="6921" spans="1:13" s="166" customFormat="1" ht="12.75" customHeight="1">
      <c r="B6921" s="8"/>
      <c r="C6921" s="165"/>
      <c r="D6921" s="36"/>
      <c r="E6921" s="25"/>
      <c r="F6921" s="26"/>
      <c r="G6921" s="15"/>
      <c r="H6921" s="21"/>
      <c r="I6921" s="15"/>
      <c r="J6921" s="15"/>
      <c r="K6921" s="15"/>
      <c r="L6921" s="21"/>
      <c r="M6921" s="15"/>
    </row>
    <row r="6922" spans="1:13" s="166" customFormat="1" ht="12.75" customHeight="1">
      <c r="A6922" s="13" t="s">
        <v>1948</v>
      </c>
      <c r="B6922" s="30"/>
      <c r="C6922" s="24"/>
      <c r="D6922" s="35"/>
      <c r="E6922" s="31"/>
      <c r="F6922" s="32"/>
      <c r="G6922" s="15"/>
      <c r="H6922" s="21"/>
      <c r="I6922" s="15"/>
      <c r="J6922" s="15"/>
      <c r="K6922" s="15"/>
      <c r="L6922" s="21"/>
      <c r="M6922" s="15"/>
    </row>
    <row r="6923" spans="1:13" s="166" customFormat="1" ht="12.75" customHeight="1">
      <c r="A6923" s="12" t="s">
        <v>1946</v>
      </c>
      <c r="B6923" s="30">
        <v>0.08</v>
      </c>
      <c r="C6923" s="24" t="s">
        <v>1228</v>
      </c>
      <c r="D6923" s="41">
        <v>540.09</v>
      </c>
      <c r="E6923" s="31">
        <f>ROUND(B6923*D6923,2)</f>
        <v>43.21</v>
      </c>
      <c r="F6923" s="32"/>
      <c r="G6923" s="15"/>
      <c r="H6923" s="21"/>
      <c r="I6923" s="15"/>
      <c r="J6923" s="15"/>
      <c r="K6923" s="15"/>
      <c r="L6923" s="21"/>
      <c r="M6923" s="15"/>
    </row>
    <row r="6924" spans="1:13" s="166" customFormat="1" ht="12.75" customHeight="1">
      <c r="A6924" s="12" t="s">
        <v>528</v>
      </c>
      <c r="B6924" s="30">
        <v>8.0000000000000002E-3</v>
      </c>
      <c r="C6924" s="24" t="s">
        <v>1228</v>
      </c>
      <c r="D6924" s="41">
        <f>D6923</f>
        <v>540.09</v>
      </c>
      <c r="E6924" s="31">
        <f>ROUND(B6924*D6924,2)</f>
        <v>4.32</v>
      </c>
      <c r="F6924" s="32"/>
      <c r="G6924" s="15"/>
      <c r="H6924" s="21"/>
      <c r="I6924" s="15"/>
      <c r="J6924" s="15"/>
      <c r="K6924" s="15"/>
      <c r="L6924" s="21"/>
      <c r="M6924" s="15"/>
    </row>
    <row r="6925" spans="1:13" s="166" customFormat="1" ht="12.75" customHeight="1">
      <c r="A6925" s="12" t="s">
        <v>1176</v>
      </c>
      <c r="B6925" s="30">
        <v>1</v>
      </c>
      <c r="C6925" s="24" t="s">
        <v>213</v>
      </c>
      <c r="D6925" s="41">
        <f>Prec.!$C$267</f>
        <v>9.92</v>
      </c>
      <c r="E6925" s="31">
        <f>ROUND(B6925*D6925,2)</f>
        <v>9.92</v>
      </c>
      <c r="F6925" s="32"/>
      <c r="G6925" s="15"/>
      <c r="H6925" s="21"/>
      <c r="I6925" s="15"/>
      <c r="J6925" s="15"/>
      <c r="K6925" s="15"/>
      <c r="L6925" s="21"/>
      <c r="M6925" s="15"/>
    </row>
    <row r="6926" spans="1:13" s="166" customFormat="1" ht="12.75" customHeight="1">
      <c r="A6926" s="12" t="s">
        <v>257</v>
      </c>
      <c r="B6926" s="30">
        <v>1</v>
      </c>
      <c r="C6926" s="24" t="s">
        <v>213</v>
      </c>
      <c r="D6926" s="41">
        <f>Prec.!C635</f>
        <v>32.56</v>
      </c>
      <c r="E6926" s="31">
        <f>ROUND(B6926*D6926,2)</f>
        <v>32.56</v>
      </c>
      <c r="F6926" s="32"/>
      <c r="G6926" s="15"/>
      <c r="H6926" s="21"/>
      <c r="I6926" s="15"/>
      <c r="J6926" s="15"/>
      <c r="K6926" s="15"/>
      <c r="L6926" s="21"/>
      <c r="M6926" s="15"/>
    </row>
    <row r="6927" spans="1:13" s="166" customFormat="1" ht="12.75" customHeight="1">
      <c r="A6927" s="12" t="s">
        <v>560</v>
      </c>
      <c r="B6927" s="30">
        <v>1</v>
      </c>
      <c r="C6927" s="24" t="s">
        <v>213</v>
      </c>
      <c r="D6927" s="41">
        <f>Prec.!C636</f>
        <v>21.7</v>
      </c>
      <c r="E6927" s="31">
        <f>ROUND(B6927*D6927,2)</f>
        <v>21.7</v>
      </c>
      <c r="F6927" s="32">
        <f>SUM(E6922:E6927)</f>
        <v>111.71000000000001</v>
      </c>
      <c r="G6927" s="15"/>
      <c r="H6927" s="21"/>
      <c r="I6927" s="15"/>
      <c r="J6927" s="15"/>
      <c r="K6927" s="15"/>
      <c r="L6927" s="21"/>
      <c r="M6927" s="15"/>
    </row>
    <row r="6928" spans="1:13" s="166" customFormat="1" ht="12.75" customHeight="1">
      <c r="A6928" s="12"/>
      <c r="B6928" s="30"/>
      <c r="C6928" s="24"/>
      <c r="D6928" s="41"/>
      <c r="E6928" s="31"/>
      <c r="F6928" s="32"/>
      <c r="G6928" s="15"/>
      <c r="H6928" s="21"/>
      <c r="I6928" s="15"/>
      <c r="J6928" s="15"/>
      <c r="K6928" s="15"/>
      <c r="L6928" s="21"/>
      <c r="M6928" s="15"/>
    </row>
    <row r="6929" spans="1:13" s="166" customFormat="1" ht="12.75" customHeight="1">
      <c r="A6929" s="13" t="s">
        <v>1949</v>
      </c>
      <c r="B6929" s="30"/>
      <c r="C6929" s="24"/>
      <c r="D6929" s="35"/>
      <c r="E6929" s="31"/>
      <c r="F6929" s="32"/>
      <c r="G6929" s="15"/>
      <c r="H6929" s="21"/>
      <c r="I6929" s="15"/>
      <c r="J6929" s="15"/>
      <c r="K6929" s="15"/>
      <c r="L6929" s="21"/>
      <c r="M6929" s="15"/>
    </row>
    <row r="6930" spans="1:13" s="166" customFormat="1" ht="12.75" customHeight="1">
      <c r="A6930" s="12" t="s">
        <v>1947</v>
      </c>
      <c r="B6930" s="30">
        <v>0.08</v>
      </c>
      <c r="C6930" s="24" t="s">
        <v>1228</v>
      </c>
      <c r="D6930" s="41">
        <v>830.48</v>
      </c>
      <c r="E6930" s="31">
        <f>ROUND(B6930*D6930,2)</f>
        <v>66.44</v>
      </c>
      <c r="F6930" s="32"/>
      <c r="G6930" s="15"/>
      <c r="H6930" s="21"/>
      <c r="I6930" s="15"/>
      <c r="J6930" s="15"/>
      <c r="K6930" s="15"/>
      <c r="L6930" s="21"/>
      <c r="M6930" s="15"/>
    </row>
    <row r="6931" spans="1:13" s="166" customFormat="1" ht="12.75" customHeight="1">
      <c r="A6931" s="12" t="s">
        <v>528</v>
      </c>
      <c r="B6931" s="30">
        <v>8.0000000000000002E-3</v>
      </c>
      <c r="C6931" s="24" t="s">
        <v>1228</v>
      </c>
      <c r="D6931" s="41">
        <f>D6930</f>
        <v>830.48</v>
      </c>
      <c r="E6931" s="31">
        <f>ROUND(B6931*D6931,2)</f>
        <v>6.64</v>
      </c>
      <c r="F6931" s="32"/>
      <c r="G6931" s="15"/>
      <c r="H6931" s="21"/>
      <c r="I6931" s="15"/>
      <c r="J6931" s="15"/>
      <c r="K6931" s="15"/>
      <c r="L6931" s="21"/>
      <c r="M6931" s="15"/>
    </row>
    <row r="6932" spans="1:13" s="166" customFormat="1" ht="12.75" customHeight="1">
      <c r="A6932" s="12" t="s">
        <v>1176</v>
      </c>
      <c r="B6932" s="30">
        <v>1</v>
      </c>
      <c r="C6932" s="24" t="s">
        <v>213</v>
      </c>
      <c r="D6932" s="41">
        <f>Prec.!$C$267</f>
        <v>9.92</v>
      </c>
      <c r="E6932" s="31">
        <f>ROUND(B6932*D6932,2)</f>
        <v>9.92</v>
      </c>
      <c r="F6932" s="32"/>
      <c r="G6932" s="15"/>
      <c r="H6932" s="21"/>
      <c r="I6932" s="15"/>
      <c r="J6932" s="15"/>
      <c r="K6932" s="15"/>
      <c r="L6932" s="21"/>
      <c r="M6932" s="15"/>
    </row>
    <row r="6933" spans="1:13" s="166" customFormat="1" ht="12.75" customHeight="1">
      <c r="A6933" s="12" t="s">
        <v>1274</v>
      </c>
      <c r="B6933" s="30">
        <v>1</v>
      </c>
      <c r="C6933" s="24" t="s">
        <v>213</v>
      </c>
      <c r="D6933" s="41">
        <f>Prec.!$D$635</f>
        <v>0</v>
      </c>
      <c r="E6933" s="31">
        <f>ROUND(B6933*D6933,2)</f>
        <v>0</v>
      </c>
      <c r="F6933" s="32"/>
      <c r="G6933" s="15"/>
      <c r="H6933" s="21"/>
      <c r="I6933" s="15"/>
      <c r="J6933" s="15"/>
      <c r="K6933" s="15"/>
      <c r="L6933" s="21"/>
      <c r="M6933" s="15"/>
    </row>
    <row r="6934" spans="1:13" s="166" customFormat="1" ht="12.75" customHeight="1">
      <c r="A6934" s="12" t="s">
        <v>1275</v>
      </c>
      <c r="B6934" s="30">
        <v>1</v>
      </c>
      <c r="C6934" s="24" t="s">
        <v>213</v>
      </c>
      <c r="D6934" s="41">
        <f>Prec.!$D$636</f>
        <v>0</v>
      </c>
      <c r="E6934" s="31">
        <f>ROUND(B6934*D6934,2)</f>
        <v>0</v>
      </c>
      <c r="F6934" s="32">
        <f>SUM(E6929:E6934)</f>
        <v>83</v>
      </c>
      <c r="G6934" s="15"/>
      <c r="H6934" s="21"/>
      <c r="I6934" s="15"/>
      <c r="J6934" s="15"/>
      <c r="K6934" s="15"/>
      <c r="L6934" s="21"/>
      <c r="M6934" s="15"/>
    </row>
    <row r="6935" spans="1:13" s="166" customFormat="1" ht="12.75" customHeight="1">
      <c r="B6935" s="8"/>
      <c r="C6935" s="165"/>
      <c r="D6935" s="36"/>
      <c r="E6935" s="25"/>
      <c r="F6935" s="26"/>
      <c r="G6935" s="15"/>
      <c r="H6935" s="21"/>
      <c r="I6935" s="15"/>
      <c r="J6935" s="15"/>
      <c r="K6935" s="15"/>
      <c r="L6935" s="21"/>
      <c r="M6935" s="15"/>
    </row>
    <row r="6936" spans="1:13" s="166" customFormat="1" ht="12.75" customHeight="1">
      <c r="A6936" s="698" t="s">
        <v>874</v>
      </c>
      <c r="B6936" s="705"/>
      <c r="C6936" s="700"/>
      <c r="D6936" s="708"/>
      <c r="E6936" s="702"/>
      <c r="F6936" s="703"/>
      <c r="G6936" s="15"/>
      <c r="H6936" s="21"/>
      <c r="I6936" s="15"/>
      <c r="J6936" s="15"/>
      <c r="K6936" s="15"/>
      <c r="L6936" s="21"/>
      <c r="M6936" s="15"/>
    </row>
    <row r="6937" spans="1:13" s="166" customFormat="1" ht="12.75" customHeight="1">
      <c r="A6937" s="704" t="s">
        <v>1277</v>
      </c>
      <c r="B6937" s="705">
        <v>0.11</v>
      </c>
      <c r="C6937" s="700" t="s">
        <v>1228</v>
      </c>
      <c r="D6937" s="701">
        <f>D7111</f>
        <v>1140</v>
      </c>
      <c r="E6937" s="702">
        <f t="shared" ref="E6937:E6942" si="527">ROUND(B6937*D6937,2)</f>
        <v>125.4</v>
      </c>
      <c r="F6937" s="703"/>
      <c r="G6937" s="15"/>
      <c r="H6937" s="21"/>
      <c r="I6937" s="15"/>
      <c r="J6937" s="15"/>
      <c r="K6937" s="15"/>
      <c r="L6937" s="21"/>
      <c r="M6937" s="15"/>
    </row>
    <row r="6938" spans="1:13" s="166" customFormat="1" ht="12.75" customHeight="1">
      <c r="A6938" s="704" t="s">
        <v>545</v>
      </c>
      <c r="B6938" s="705">
        <v>0.11</v>
      </c>
      <c r="C6938" s="700" t="s">
        <v>1228</v>
      </c>
      <c r="D6938" s="701"/>
      <c r="E6938" s="702">
        <f t="shared" si="527"/>
        <v>0</v>
      </c>
      <c r="F6938" s="703"/>
      <c r="G6938" s="15"/>
      <c r="H6938" s="21"/>
      <c r="I6938" s="15"/>
      <c r="J6938" s="15"/>
      <c r="K6938" s="15"/>
      <c r="L6938" s="21"/>
      <c r="M6938" s="15"/>
    </row>
    <row r="6939" spans="1:13" s="166" customFormat="1" ht="12.75" customHeight="1">
      <c r="A6939" s="704" t="s">
        <v>528</v>
      </c>
      <c r="B6939" s="705">
        <v>1.0999999999999999E-2</v>
      </c>
      <c r="C6939" s="700" t="s">
        <v>1228</v>
      </c>
      <c r="D6939" s="701">
        <f>D6937</f>
        <v>1140</v>
      </c>
      <c r="E6939" s="702">
        <f t="shared" si="527"/>
        <v>12.54</v>
      </c>
      <c r="F6939" s="703"/>
      <c r="G6939" s="15"/>
      <c r="H6939" s="21"/>
      <c r="I6939" s="15"/>
      <c r="J6939" s="15"/>
      <c r="K6939" s="15"/>
      <c r="L6939" s="21"/>
      <c r="M6939" s="15"/>
    </row>
    <row r="6940" spans="1:13" s="166" customFormat="1" ht="12.75" customHeight="1">
      <c r="A6940" s="704" t="s">
        <v>1176</v>
      </c>
      <c r="B6940" s="705">
        <v>1</v>
      </c>
      <c r="C6940" s="700" t="s">
        <v>213</v>
      </c>
      <c r="D6940" s="701">
        <f>Prec.!$C$267</f>
        <v>9.92</v>
      </c>
      <c r="E6940" s="702">
        <f t="shared" si="527"/>
        <v>9.92</v>
      </c>
      <c r="F6940" s="703"/>
      <c r="G6940" s="15"/>
      <c r="H6940" s="21"/>
      <c r="I6940" s="15"/>
      <c r="J6940" s="15"/>
      <c r="K6940" s="15"/>
      <c r="L6940" s="21"/>
      <c r="M6940" s="15"/>
    </row>
    <row r="6941" spans="1:13" s="166" customFormat="1" ht="12.75" customHeight="1">
      <c r="A6941" s="704" t="s">
        <v>1274</v>
      </c>
      <c r="B6941" s="705">
        <v>1</v>
      </c>
      <c r="C6941" s="700" t="s">
        <v>213</v>
      </c>
      <c r="D6941" s="701">
        <f>D6926</f>
        <v>32.56</v>
      </c>
      <c r="E6941" s="702">
        <f t="shared" si="527"/>
        <v>32.56</v>
      </c>
      <c r="F6941" s="703"/>
      <c r="G6941" s="15"/>
      <c r="H6941" s="21"/>
      <c r="I6941" s="15"/>
      <c r="J6941" s="15"/>
      <c r="K6941" s="15"/>
      <c r="L6941" s="21"/>
      <c r="M6941" s="15"/>
    </row>
    <row r="6942" spans="1:13" s="166" customFormat="1" ht="12.75" customHeight="1">
      <c r="A6942" s="704" t="s">
        <v>1275</v>
      </c>
      <c r="B6942" s="705">
        <v>1</v>
      </c>
      <c r="C6942" s="700" t="s">
        <v>213</v>
      </c>
      <c r="D6942" s="701">
        <f>D6919</f>
        <v>21.7</v>
      </c>
      <c r="E6942" s="702">
        <f t="shared" si="527"/>
        <v>21.7</v>
      </c>
      <c r="F6942" s="703">
        <f>SUM(E6936:E6942)</f>
        <v>202.11999999999998</v>
      </c>
      <c r="G6942" s="15"/>
      <c r="H6942" s="21"/>
      <c r="I6942" s="15"/>
      <c r="J6942" s="15"/>
      <c r="K6942" s="15"/>
      <c r="L6942" s="21"/>
      <c r="M6942" s="15"/>
    </row>
    <row r="6943" spans="1:13" s="166" customFormat="1" ht="12.75" customHeight="1">
      <c r="B6943" s="8"/>
      <c r="C6943" s="165"/>
      <c r="D6943" s="36"/>
      <c r="E6943" s="25"/>
      <c r="F6943" s="26"/>
      <c r="G6943" s="15"/>
      <c r="H6943" s="21"/>
      <c r="I6943" s="15"/>
      <c r="J6943" s="15"/>
      <c r="K6943" s="15"/>
      <c r="L6943" s="21"/>
      <c r="M6943" s="15"/>
    </row>
    <row r="6944" spans="1:13" s="166" customFormat="1" ht="12.75" customHeight="1">
      <c r="B6944" s="8"/>
      <c r="C6944" s="165"/>
      <c r="D6944" s="36"/>
      <c r="E6944" s="25"/>
      <c r="F6944" s="26"/>
      <c r="G6944" s="15"/>
      <c r="H6944" s="21"/>
      <c r="I6944" s="15"/>
      <c r="J6944" s="15"/>
      <c r="K6944" s="15"/>
      <c r="L6944" s="21"/>
      <c r="M6944" s="15"/>
    </row>
    <row r="6945" spans="1:13" s="166" customFormat="1" ht="12.75" customHeight="1">
      <c r="B6945" s="8"/>
      <c r="C6945" s="165"/>
      <c r="D6945" s="36"/>
      <c r="E6945" s="25"/>
      <c r="F6945" s="26"/>
      <c r="G6945" s="15"/>
      <c r="H6945" s="21"/>
      <c r="I6945" s="15"/>
      <c r="J6945" s="15"/>
      <c r="K6945" s="15"/>
      <c r="L6945" s="21"/>
      <c r="M6945" s="15"/>
    </row>
    <row r="6946" spans="1:13" s="166" customFormat="1" ht="12.75" customHeight="1">
      <c r="B6946" s="8"/>
      <c r="C6946" s="165"/>
      <c r="D6946" s="36"/>
      <c r="E6946" s="25"/>
      <c r="F6946" s="26"/>
      <c r="G6946" s="15"/>
      <c r="H6946" s="21"/>
      <c r="I6946" s="15"/>
      <c r="J6946" s="15"/>
      <c r="K6946" s="15"/>
      <c r="L6946" s="21"/>
      <c r="M6946" s="15"/>
    </row>
    <row r="6947" spans="1:13" s="166" customFormat="1" ht="12.75" customHeight="1">
      <c r="B6947" s="8"/>
      <c r="C6947" s="165"/>
      <c r="D6947" s="36"/>
      <c r="E6947" s="25"/>
      <c r="F6947" s="26"/>
      <c r="G6947" s="15"/>
      <c r="H6947" s="21"/>
      <c r="I6947" s="15"/>
      <c r="J6947" s="15"/>
      <c r="K6947" s="15"/>
      <c r="L6947" s="21"/>
      <c r="M6947" s="15"/>
    </row>
    <row r="6948" spans="1:13" ht="12.75" customHeight="1">
      <c r="D6948" s="36"/>
    </row>
    <row r="6949" spans="1:13" ht="12.75" customHeight="1">
      <c r="A6949" s="1" t="s">
        <v>563</v>
      </c>
    </row>
    <row r="6950" spans="1:13" ht="12.75" customHeight="1">
      <c r="A6950" s="4" t="s">
        <v>210</v>
      </c>
      <c r="B6950" s="8">
        <v>0.22</v>
      </c>
      <c r="C6950" s="6" t="s">
        <v>1172</v>
      </c>
      <c r="D6950" s="36">
        <f>Prec.!C48</f>
        <v>250</v>
      </c>
      <c r="E6950" s="25">
        <f>ROUND(B6950*D6950,2)</f>
        <v>55</v>
      </c>
    </row>
    <row r="6951" spans="1:13" ht="12.75" customHeight="1">
      <c r="A6951" s="4" t="s">
        <v>827</v>
      </c>
      <c r="B6951" s="8">
        <v>2.2000000000000002</v>
      </c>
      <c r="C6951" s="6" t="s">
        <v>1228</v>
      </c>
      <c r="D6951" s="36">
        <f>Prec.!C80</f>
        <v>0.68</v>
      </c>
      <c r="E6951" s="25">
        <f>ROUND(B6951*D6951,2)</f>
        <v>1.5</v>
      </c>
    </row>
    <row r="6952" spans="1:13" ht="12.75" customHeight="1">
      <c r="A6952" s="4" t="s">
        <v>1176</v>
      </c>
      <c r="B6952" s="8">
        <v>1</v>
      </c>
      <c r="C6952" s="6" t="s">
        <v>213</v>
      </c>
      <c r="D6952" s="36">
        <f>Prec.!$C$267</f>
        <v>9.92</v>
      </c>
      <c r="E6952" s="25">
        <f>ROUND(B6952*D6952,2)</f>
        <v>9.92</v>
      </c>
    </row>
    <row r="6953" spans="1:13" ht="12.75" customHeight="1">
      <c r="A6953" s="4" t="s">
        <v>257</v>
      </c>
      <c r="B6953" s="8">
        <v>1</v>
      </c>
      <c r="C6953" s="6" t="s">
        <v>213</v>
      </c>
      <c r="D6953" s="36">
        <f>D6918</f>
        <v>32.56</v>
      </c>
      <c r="E6953" s="25">
        <f>ROUND(B6953*D6953,2)</f>
        <v>32.56</v>
      </c>
    </row>
    <row r="6954" spans="1:13" ht="12.75" customHeight="1">
      <c r="A6954" s="4" t="s">
        <v>560</v>
      </c>
      <c r="B6954" s="8">
        <v>1</v>
      </c>
      <c r="C6954" s="6" t="s">
        <v>213</v>
      </c>
      <c r="D6954" s="36">
        <f>D6919</f>
        <v>21.7</v>
      </c>
      <c r="E6954" s="25">
        <f>ROUND(B6954*D6954,2)</f>
        <v>21.7</v>
      </c>
      <c r="F6954" s="26">
        <f>SUM(E6950:E6954)</f>
        <v>120.68</v>
      </c>
    </row>
    <row r="6955" spans="1:13" ht="12.75" customHeight="1">
      <c r="D6955" s="36"/>
    </row>
    <row r="6956" spans="1:13" ht="12.75" customHeight="1">
      <c r="A6956" s="698" t="s">
        <v>4395</v>
      </c>
      <c r="B6956" s="705"/>
      <c r="C6956" s="700"/>
      <c r="D6956" s="708"/>
      <c r="E6956" s="702"/>
      <c r="F6956" s="703"/>
    </row>
    <row r="6957" spans="1:13" ht="12.75" customHeight="1">
      <c r="A6957" s="704" t="s">
        <v>1277</v>
      </c>
      <c r="B6957" s="705">
        <v>0.11</v>
      </c>
      <c r="C6957" s="700" t="s">
        <v>1228</v>
      </c>
      <c r="D6957" s="701">
        <f>Prec.!C253</f>
        <v>1140</v>
      </c>
      <c r="E6957" s="702">
        <f>ROUND(B6957*D6957,2)</f>
        <v>125.4</v>
      </c>
      <c r="F6957" s="703"/>
    </row>
    <row r="6958" spans="1:13" ht="12.75" customHeight="1">
      <c r="A6958" s="704" t="s">
        <v>528</v>
      </c>
      <c r="B6958" s="705">
        <v>1.0999999999999999E-2</v>
      </c>
      <c r="C6958" s="700" t="s">
        <v>1228</v>
      </c>
      <c r="D6958" s="701">
        <f>D6957</f>
        <v>1140</v>
      </c>
      <c r="E6958" s="702">
        <f>ROUND(B6958*D6958,2)</f>
        <v>12.54</v>
      </c>
      <c r="F6958" s="703"/>
    </row>
    <row r="6959" spans="1:13" ht="12.75" customHeight="1">
      <c r="A6959" s="704" t="s">
        <v>1176</v>
      </c>
      <c r="B6959" s="705">
        <v>1</v>
      </c>
      <c r="C6959" s="700" t="s">
        <v>213</v>
      </c>
      <c r="D6959" s="701">
        <f>Prec.!$C$267</f>
        <v>9.92</v>
      </c>
      <c r="E6959" s="702">
        <f>ROUND(B6959*D6959,2)</f>
        <v>9.92</v>
      </c>
      <c r="F6959" s="703"/>
    </row>
    <row r="6960" spans="1:13" ht="12.75" customHeight="1">
      <c r="A6960" s="704" t="s">
        <v>1274</v>
      </c>
      <c r="B6960" s="705">
        <v>1</v>
      </c>
      <c r="C6960" s="700" t="s">
        <v>213</v>
      </c>
      <c r="D6960" s="701">
        <f>Prec.!C635</f>
        <v>32.56</v>
      </c>
      <c r="E6960" s="702">
        <f>ROUND(B6960*D6960,2)</f>
        <v>32.56</v>
      </c>
      <c r="F6960" s="703"/>
    </row>
    <row r="6961" spans="1:13" ht="12.75" customHeight="1">
      <c r="A6961" s="704" t="s">
        <v>1275</v>
      </c>
      <c r="B6961" s="705">
        <v>1</v>
      </c>
      <c r="C6961" s="700" t="s">
        <v>213</v>
      </c>
      <c r="D6961" s="701">
        <f>Prec.!C636</f>
        <v>21.7</v>
      </c>
      <c r="E6961" s="702">
        <f>ROUND(B6961*D6961,2)</f>
        <v>21.7</v>
      </c>
      <c r="F6961" s="703">
        <f>SUM(E6956:E6961)</f>
        <v>202.11999999999998</v>
      </c>
    </row>
    <row r="6962" spans="1:13" ht="12.75" customHeight="1">
      <c r="A6962" s="12"/>
      <c r="B6962" s="14"/>
      <c r="C6962" s="24"/>
      <c r="D6962" s="35"/>
      <c r="E6962" s="31"/>
      <c r="F6962" s="32"/>
    </row>
    <row r="6963" spans="1:13" ht="12.75" customHeight="1">
      <c r="A6963" s="698" t="s">
        <v>872</v>
      </c>
      <c r="B6963" s="705"/>
      <c r="C6963" s="700"/>
      <c r="D6963" s="708"/>
      <c r="E6963" s="702"/>
      <c r="F6963" s="703"/>
    </row>
    <row r="6964" spans="1:13" ht="12.75" customHeight="1">
      <c r="A6964" s="704" t="s">
        <v>1277</v>
      </c>
      <c r="B6964" s="705">
        <v>0.11</v>
      </c>
      <c r="C6964" s="700" t="s">
        <v>1228</v>
      </c>
      <c r="D6964" s="701">
        <f>Prec.!C246</f>
        <v>1140</v>
      </c>
      <c r="E6964" s="702">
        <f>ROUND(B6964*D6964,2)</f>
        <v>125.4</v>
      </c>
      <c r="F6964" s="703"/>
    </row>
    <row r="6965" spans="1:13" ht="12.75" customHeight="1">
      <c r="A6965" s="704" t="s">
        <v>528</v>
      </c>
      <c r="B6965" s="705">
        <v>1.0999999999999999E-2</v>
      </c>
      <c r="C6965" s="700" t="s">
        <v>1228</v>
      </c>
      <c r="D6965" s="701">
        <f>D6964</f>
        <v>1140</v>
      </c>
      <c r="E6965" s="702">
        <f>ROUND(B6965*D6965,2)</f>
        <v>12.54</v>
      </c>
      <c r="F6965" s="703"/>
    </row>
    <row r="6966" spans="1:13" ht="12.75" customHeight="1">
      <c r="A6966" s="704" t="s">
        <v>1176</v>
      </c>
      <c r="B6966" s="705">
        <v>1</v>
      </c>
      <c r="C6966" s="700" t="s">
        <v>213</v>
      </c>
      <c r="D6966" s="701">
        <f>Prec.!$C$267</f>
        <v>9.92</v>
      </c>
      <c r="E6966" s="702">
        <f>ROUND(B6966*D6966,2)</f>
        <v>9.92</v>
      </c>
      <c r="F6966" s="703"/>
    </row>
    <row r="6967" spans="1:13" ht="12.75" customHeight="1">
      <c r="A6967" s="704" t="s">
        <v>1274</v>
      </c>
      <c r="B6967" s="705">
        <v>1</v>
      </c>
      <c r="C6967" s="700" t="s">
        <v>213</v>
      </c>
      <c r="D6967" s="701">
        <f>D6960</f>
        <v>32.56</v>
      </c>
      <c r="E6967" s="702">
        <f>ROUND(B6967*D6967,2)</f>
        <v>32.56</v>
      </c>
      <c r="F6967" s="703"/>
    </row>
    <row r="6968" spans="1:13" ht="12.75" customHeight="1">
      <c r="A6968" s="704" t="s">
        <v>1275</v>
      </c>
      <c r="B6968" s="705">
        <v>1</v>
      </c>
      <c r="C6968" s="700" t="s">
        <v>213</v>
      </c>
      <c r="D6968" s="701">
        <f>D6961</f>
        <v>21.7</v>
      </c>
      <c r="E6968" s="702">
        <f>ROUND(B6968*D6968,2)</f>
        <v>21.7</v>
      </c>
      <c r="F6968" s="715">
        <f>SUM(E6964:E6968)</f>
        <v>202.11999999999998</v>
      </c>
    </row>
    <row r="6969" spans="1:13" s="166" customFormat="1" ht="12.75" customHeight="1">
      <c r="A6969" s="12"/>
      <c r="B6969" s="14"/>
      <c r="C6969" s="24"/>
      <c r="D6969" s="35"/>
      <c r="E6969" s="31"/>
      <c r="F6969" s="32"/>
      <c r="G6969" s="15"/>
      <c r="H6969" s="21"/>
      <c r="I6969" s="15"/>
      <c r="J6969" s="15"/>
      <c r="K6969" s="15"/>
      <c r="L6969" s="21"/>
      <c r="M6969" s="15"/>
    </row>
    <row r="6970" spans="1:13" s="166" customFormat="1" ht="5.25" hidden="1" customHeight="1">
      <c r="A6970" s="12"/>
      <c r="B6970" s="30"/>
      <c r="C6970" s="24"/>
      <c r="D6970" s="35"/>
      <c r="E6970" s="31"/>
      <c r="F6970" s="32"/>
      <c r="G6970" s="15"/>
      <c r="H6970" s="21"/>
      <c r="I6970" s="15"/>
      <c r="J6970" s="15"/>
      <c r="K6970" s="15"/>
      <c r="L6970" s="21"/>
      <c r="M6970" s="15"/>
    </row>
    <row r="6971" spans="1:13" ht="12.75" hidden="1" customHeight="1">
      <c r="A6971" s="13" t="s">
        <v>872</v>
      </c>
      <c r="B6971" s="30"/>
      <c r="C6971" s="24"/>
      <c r="D6971" s="35"/>
      <c r="E6971" s="31"/>
      <c r="F6971" s="32"/>
    </row>
    <row r="6972" spans="1:13" ht="12.75" hidden="1" customHeight="1">
      <c r="A6972" s="12" t="s">
        <v>1208</v>
      </c>
      <c r="B6972" s="30">
        <v>0.11</v>
      </c>
      <c r="C6972" s="24" t="s">
        <v>1228</v>
      </c>
      <c r="D6972" s="41" t="e">
        <f>Prec.!#REF!</f>
        <v>#REF!</v>
      </c>
      <c r="E6972" s="31" t="e">
        <f>ROUND(B6972*D6972,2)</f>
        <v>#REF!</v>
      </c>
      <c r="F6972" s="32"/>
    </row>
    <row r="6973" spans="1:13" ht="12.75" hidden="1" customHeight="1">
      <c r="A6973" s="12" t="s">
        <v>528</v>
      </c>
      <c r="B6973" s="30">
        <v>1.0999999999999999E-2</v>
      </c>
      <c r="C6973" s="24" t="s">
        <v>1228</v>
      </c>
      <c r="D6973" s="41" t="e">
        <f>D6972</f>
        <v>#REF!</v>
      </c>
      <c r="E6973" s="31" t="e">
        <f>ROUND(B6973*D6973,2)</f>
        <v>#REF!</v>
      </c>
      <c r="F6973" s="32"/>
    </row>
    <row r="6974" spans="1:13" ht="12.75" hidden="1" customHeight="1">
      <c r="A6974" s="12" t="s">
        <v>1176</v>
      </c>
      <c r="B6974" s="30">
        <v>1</v>
      </c>
      <c r="C6974" s="24" t="s">
        <v>213</v>
      </c>
      <c r="D6974" s="41">
        <f>Prec.!$C$267</f>
        <v>9.92</v>
      </c>
      <c r="E6974" s="31">
        <f>ROUND(B6974*D6974,2)</f>
        <v>9.92</v>
      </c>
      <c r="F6974" s="32"/>
    </row>
    <row r="6975" spans="1:13" ht="12.75" hidden="1" customHeight="1">
      <c r="A6975" s="12" t="s">
        <v>1274</v>
      </c>
      <c r="B6975" s="30">
        <v>1</v>
      </c>
      <c r="C6975" s="24" t="s">
        <v>213</v>
      </c>
      <c r="D6975" s="41">
        <f>Prec.!$D$635</f>
        <v>0</v>
      </c>
      <c r="E6975" s="31">
        <f>ROUND(B6975*D6975,2)</f>
        <v>0</v>
      </c>
      <c r="F6975" s="32"/>
    </row>
    <row r="6976" spans="1:13" ht="12.75" hidden="1" customHeight="1">
      <c r="A6976" s="12" t="s">
        <v>1275</v>
      </c>
      <c r="B6976" s="30">
        <v>1</v>
      </c>
      <c r="C6976" s="24" t="s">
        <v>213</v>
      </c>
      <c r="D6976" s="41">
        <f>Prec.!$D$636</f>
        <v>0</v>
      </c>
      <c r="E6976" s="31">
        <f>ROUND(B6976*D6976,2)</f>
        <v>0</v>
      </c>
      <c r="F6976" s="49" t="e">
        <f>SUM(E6972:E6976)</f>
        <v>#REF!</v>
      </c>
    </row>
    <row r="6977" spans="1:13" ht="12.75" hidden="1" customHeight="1"/>
    <row r="6978" spans="1:13" ht="12.75" hidden="1" customHeight="1">
      <c r="A6978" s="1" t="s">
        <v>37</v>
      </c>
    </row>
    <row r="6979" spans="1:13" ht="12.75" hidden="1" customHeight="1">
      <c r="A6979" s="4" t="s">
        <v>1277</v>
      </c>
      <c r="B6979" s="8">
        <v>0.11</v>
      </c>
      <c r="C6979" s="6" t="s">
        <v>1228</v>
      </c>
      <c r="D6979" s="36">
        <f>Prec.!C248</f>
        <v>550</v>
      </c>
      <c r="E6979" s="25">
        <f>ROUND(B6979*D6979,2)</f>
        <v>60.5</v>
      </c>
    </row>
    <row r="6980" spans="1:13" ht="12.75" hidden="1" customHeight="1">
      <c r="A6980" s="4" t="s">
        <v>528</v>
      </c>
      <c r="B6980" s="8">
        <v>1.0999999999999999E-2</v>
      </c>
      <c r="C6980" s="6" t="s">
        <v>1228</v>
      </c>
      <c r="D6980" s="36">
        <f>D6979</f>
        <v>550</v>
      </c>
      <c r="E6980" s="25">
        <f>ROUND(B6980*D6980,2)</f>
        <v>6.05</v>
      </c>
    </row>
    <row r="6981" spans="1:13" ht="12.75" hidden="1" customHeight="1">
      <c r="A6981" s="4" t="s">
        <v>1176</v>
      </c>
      <c r="B6981" s="8">
        <v>1</v>
      </c>
      <c r="C6981" s="6" t="s">
        <v>213</v>
      </c>
      <c r="D6981" s="36">
        <f>D6966</f>
        <v>9.92</v>
      </c>
      <c r="E6981" s="25">
        <f>ROUND(B6981*D6981,2)</f>
        <v>9.92</v>
      </c>
    </row>
    <row r="6982" spans="1:13" ht="12.75" hidden="1" customHeight="1">
      <c r="A6982" s="4" t="s">
        <v>1274</v>
      </c>
      <c r="B6982" s="8">
        <v>1</v>
      </c>
      <c r="C6982" s="6" t="s">
        <v>213</v>
      </c>
      <c r="D6982" s="36">
        <f>D6967</f>
        <v>32.56</v>
      </c>
      <c r="E6982" s="25">
        <f>ROUND(B6982*D6982,2)</f>
        <v>32.56</v>
      </c>
    </row>
    <row r="6983" spans="1:13" ht="12.75" hidden="1" customHeight="1">
      <c r="A6983" s="4" t="s">
        <v>1275</v>
      </c>
      <c r="B6983" s="8">
        <v>1</v>
      </c>
      <c r="C6983" s="6" t="s">
        <v>213</v>
      </c>
      <c r="D6983" s="36">
        <f>D6968</f>
        <v>21.7</v>
      </c>
      <c r="E6983" s="25">
        <f>ROUND(B6983*D6983,2)</f>
        <v>21.7</v>
      </c>
      <c r="F6983" s="26">
        <f>SUM(E6978:E6983)</f>
        <v>130.72999999999999</v>
      </c>
    </row>
    <row r="6984" spans="1:13" s="154" customFormat="1" ht="12.75" hidden="1" customHeight="1">
      <c r="B6984" s="8"/>
      <c r="C6984" s="155"/>
      <c r="D6984" s="37"/>
      <c r="E6984" s="25"/>
      <c r="F6984" s="26"/>
      <c r="G6984" s="15"/>
      <c r="H6984" s="21"/>
      <c r="I6984" s="15"/>
      <c r="J6984" s="15"/>
      <c r="K6984" s="15"/>
      <c r="L6984" s="21"/>
      <c r="M6984" s="15"/>
    </row>
    <row r="6985" spans="1:13" s="12" customFormat="1" ht="12.75" hidden="1" customHeight="1">
      <c r="A6985" s="13" t="s">
        <v>36</v>
      </c>
      <c r="B6985" s="30"/>
      <c r="C6985" s="24"/>
      <c r="D6985" s="35"/>
      <c r="E6985" s="31"/>
      <c r="F6985" s="32"/>
      <c r="G6985" s="20"/>
      <c r="H6985" s="22"/>
      <c r="I6985" s="20"/>
      <c r="J6985" s="20"/>
      <c r="K6985" s="20"/>
      <c r="L6985" s="22"/>
      <c r="M6985" s="20"/>
    </row>
    <row r="6986" spans="1:13" s="12" customFormat="1" ht="12.75" hidden="1" customHeight="1">
      <c r="A6986" s="12" t="s">
        <v>1277</v>
      </c>
      <c r="B6986" s="30">
        <v>0.11</v>
      </c>
      <c r="C6986" s="24" t="s">
        <v>1228</v>
      </c>
      <c r="D6986" s="41">
        <f>D6979</f>
        <v>550</v>
      </c>
      <c r="E6986" s="31">
        <f>ROUND(B6986*D6986,2)</f>
        <v>60.5</v>
      </c>
      <c r="F6986" s="32"/>
      <c r="G6986" s="20"/>
      <c r="H6986" s="22"/>
      <c r="I6986" s="20"/>
      <c r="J6986" s="20"/>
      <c r="K6986" s="20"/>
      <c r="L6986" s="22"/>
      <c r="M6986" s="20"/>
    </row>
    <row r="6987" spans="1:13" s="12" customFormat="1" ht="12.75" hidden="1" customHeight="1">
      <c r="A6987" s="12" t="s">
        <v>528</v>
      </c>
      <c r="B6987" s="30">
        <v>1.0999999999999999E-2</v>
      </c>
      <c r="C6987" s="24" t="s">
        <v>1228</v>
      </c>
      <c r="D6987" s="41">
        <f>D6980</f>
        <v>550</v>
      </c>
      <c r="E6987" s="31">
        <f>ROUND(B6987*D6987,2)</f>
        <v>6.05</v>
      </c>
      <c r="F6987" s="32"/>
      <c r="G6987" s="20"/>
      <c r="H6987" s="22"/>
      <c r="I6987" s="20"/>
      <c r="J6987" s="20"/>
      <c r="K6987" s="20"/>
      <c r="L6987" s="22"/>
      <c r="M6987" s="20"/>
    </row>
    <row r="6988" spans="1:13" s="12" customFormat="1" ht="12.75" hidden="1" customHeight="1">
      <c r="A6988" s="12" t="s">
        <v>1176</v>
      </c>
      <c r="B6988" s="30">
        <v>1</v>
      </c>
      <c r="C6988" s="24" t="s">
        <v>213</v>
      </c>
      <c r="D6988" s="41">
        <f>D6981</f>
        <v>9.92</v>
      </c>
      <c r="E6988" s="31">
        <f>ROUND(B6988*D6988,2)</f>
        <v>9.92</v>
      </c>
      <c r="F6988" s="32"/>
      <c r="G6988" s="20"/>
      <c r="H6988" s="22"/>
      <c r="I6988" s="20"/>
      <c r="J6988" s="20"/>
      <c r="K6988" s="20"/>
      <c r="L6988" s="22"/>
      <c r="M6988" s="20"/>
    </row>
    <row r="6989" spans="1:13" s="12" customFormat="1" ht="12.75" hidden="1" customHeight="1">
      <c r="A6989" s="12" t="s">
        <v>1274</v>
      </c>
      <c r="B6989" s="30">
        <v>1</v>
      </c>
      <c r="C6989" s="24" t="s">
        <v>213</v>
      </c>
      <c r="D6989" s="41">
        <f>D6982</f>
        <v>32.56</v>
      </c>
      <c r="E6989" s="31">
        <f>ROUND(B6989*D6989,2)</f>
        <v>32.56</v>
      </c>
      <c r="F6989" s="32"/>
      <c r="G6989" s="20"/>
      <c r="H6989" s="22"/>
      <c r="I6989" s="20"/>
      <c r="J6989" s="20"/>
      <c r="K6989" s="20"/>
      <c r="L6989" s="22"/>
      <c r="M6989" s="20"/>
    </row>
    <row r="6990" spans="1:13" s="12" customFormat="1" ht="12.75" hidden="1" customHeight="1">
      <c r="A6990" s="12" t="s">
        <v>1275</v>
      </c>
      <c r="B6990" s="30">
        <v>1</v>
      </c>
      <c r="C6990" s="24" t="s">
        <v>213</v>
      </c>
      <c r="D6990" s="41">
        <f>D6983</f>
        <v>21.7</v>
      </c>
      <c r="E6990" s="31">
        <f>ROUND(B6990*D6990,2)</f>
        <v>21.7</v>
      </c>
      <c r="F6990" s="49">
        <f>SUM(E6986:E6990)</f>
        <v>130.72999999999999</v>
      </c>
      <c r="G6990" s="20"/>
      <c r="H6990" s="22"/>
      <c r="I6990" s="20"/>
      <c r="J6990" s="20"/>
      <c r="K6990" s="20"/>
      <c r="L6990" s="22"/>
      <c r="M6990" s="20"/>
    </row>
    <row r="6991" spans="1:13" ht="12.75" hidden="1" customHeight="1"/>
    <row r="6992" spans="1:13" ht="12.75" hidden="1" customHeight="1">
      <c r="A6992" s="13" t="s">
        <v>877</v>
      </c>
      <c r="B6992" s="30"/>
      <c r="C6992" s="24"/>
      <c r="D6992" s="35"/>
      <c r="E6992" s="31"/>
      <c r="F6992" s="32"/>
    </row>
    <row r="6993" spans="1:6" ht="12.75" hidden="1" customHeight="1">
      <c r="A6993" s="12" t="s">
        <v>875</v>
      </c>
      <c r="B6993" s="30">
        <v>0.14699999999999999</v>
      </c>
      <c r="C6993" s="24" t="s">
        <v>1228</v>
      </c>
      <c r="D6993" s="41">
        <f>Prec.!$C$250</f>
        <v>1590</v>
      </c>
      <c r="E6993" s="31">
        <f>ROUND(B6993*D6993,2)</f>
        <v>233.73</v>
      </c>
      <c r="F6993" s="32"/>
    </row>
    <row r="6994" spans="1:6" ht="12.75" hidden="1" customHeight="1">
      <c r="A6994" s="12" t="s">
        <v>528</v>
      </c>
      <c r="B6994" s="30">
        <v>1.4999999999999999E-2</v>
      </c>
      <c r="C6994" s="24" t="s">
        <v>1228</v>
      </c>
      <c r="D6994" s="41">
        <f>Prec.!$C$250</f>
        <v>1590</v>
      </c>
      <c r="E6994" s="31">
        <f>ROUND(B6994*D6994,2)</f>
        <v>23.85</v>
      </c>
      <c r="F6994" s="32"/>
    </row>
    <row r="6995" spans="1:6" ht="12.75" hidden="1" customHeight="1">
      <c r="A6995" s="12" t="s">
        <v>876</v>
      </c>
      <c r="B6995" s="30">
        <v>0.1</v>
      </c>
      <c r="C6995" s="24" t="s">
        <v>1228</v>
      </c>
      <c r="D6995" s="41">
        <f>Prec.!$C$269</f>
        <v>315</v>
      </c>
      <c r="E6995" s="31">
        <f>ROUND(B6995*D6995,2)</f>
        <v>31.5</v>
      </c>
      <c r="F6995" s="32"/>
    </row>
    <row r="6996" spans="1:6" ht="12.75" hidden="1" customHeight="1">
      <c r="A6996" s="12" t="s">
        <v>1176</v>
      </c>
      <c r="B6996" s="30">
        <v>1</v>
      </c>
      <c r="C6996" s="24" t="s">
        <v>213</v>
      </c>
      <c r="D6996" s="41">
        <f>Prec.!$C$267</f>
        <v>9.92</v>
      </c>
      <c r="E6996" s="31">
        <f>ROUND(B6996*D6996,2)</f>
        <v>9.92</v>
      </c>
      <c r="F6996" s="32"/>
    </row>
    <row r="6997" spans="1:6" ht="12.75" hidden="1" customHeight="1">
      <c r="A6997" s="12" t="s">
        <v>531</v>
      </c>
      <c r="B6997" s="30">
        <v>2</v>
      </c>
      <c r="C6997" s="24" t="s">
        <v>213</v>
      </c>
      <c r="D6997" s="41">
        <f>Prec.!$D$648</f>
        <v>109.25</v>
      </c>
      <c r="E6997" s="31">
        <f>ROUND(B6997*D6997,2)</f>
        <v>218.5</v>
      </c>
      <c r="F6997" s="32">
        <f>SUM(E6992:E6997)</f>
        <v>517.5</v>
      </c>
    </row>
    <row r="6998" spans="1:6" ht="12.75" hidden="1" customHeight="1">
      <c r="A6998" s="12"/>
      <c r="B6998" s="30"/>
      <c r="C6998" s="24"/>
      <c r="D6998" s="41"/>
      <c r="E6998" s="31"/>
      <c r="F6998" s="32"/>
    </row>
    <row r="6999" spans="1:6" ht="12.75" customHeight="1">
      <c r="A6999" s="698" t="s">
        <v>878</v>
      </c>
      <c r="B6999" s="705"/>
      <c r="C6999" s="700"/>
      <c r="D6999" s="708"/>
      <c r="E6999" s="702"/>
      <c r="F6999" s="703"/>
    </row>
    <row r="7000" spans="1:6" ht="12.75" customHeight="1">
      <c r="A7000" s="704" t="s">
        <v>875</v>
      </c>
      <c r="B7000" s="705">
        <v>0.14699999999999999</v>
      </c>
      <c r="C7000" s="700" t="s">
        <v>1228</v>
      </c>
      <c r="D7000" s="701">
        <f>Prec.!$C$250</f>
        <v>1590</v>
      </c>
      <c r="E7000" s="702">
        <f t="shared" ref="E7000:E7005" si="528">ROUND(B7000*D7000,2)</f>
        <v>233.73</v>
      </c>
      <c r="F7000" s="703"/>
    </row>
    <row r="7001" spans="1:6" ht="12.75" customHeight="1">
      <c r="A7001" s="704" t="s">
        <v>528</v>
      </c>
      <c r="B7001" s="705">
        <v>1.4999999999999999E-2</v>
      </c>
      <c r="C7001" s="700" t="s">
        <v>1228</v>
      </c>
      <c r="D7001" s="701">
        <f>Prec.!$C$250</f>
        <v>1590</v>
      </c>
      <c r="E7001" s="702">
        <f t="shared" si="528"/>
        <v>23.85</v>
      </c>
      <c r="F7001" s="703"/>
    </row>
    <row r="7002" spans="1:6" ht="12.75" customHeight="1">
      <c r="A7002" s="704" t="s">
        <v>876</v>
      </c>
      <c r="B7002" s="705">
        <v>0.1</v>
      </c>
      <c r="C7002" s="700" t="s">
        <v>1228</v>
      </c>
      <c r="D7002" s="701">
        <f>Prec.!$C$269</f>
        <v>315</v>
      </c>
      <c r="E7002" s="702">
        <f>ROUND(B7002*D7002,2)</f>
        <v>31.5</v>
      </c>
      <c r="F7002" s="703"/>
    </row>
    <row r="7003" spans="1:6" ht="12.75" customHeight="1">
      <c r="A7003" s="704" t="s">
        <v>1176</v>
      </c>
      <c r="B7003" s="705">
        <v>1</v>
      </c>
      <c r="C7003" s="700" t="s">
        <v>213</v>
      </c>
      <c r="D7003" s="701">
        <f>Prec.!$C$267</f>
        <v>9.92</v>
      </c>
      <c r="E7003" s="702">
        <f t="shared" si="528"/>
        <v>9.92</v>
      </c>
      <c r="F7003" s="703"/>
    </row>
    <row r="7004" spans="1:6" ht="12.75" customHeight="1">
      <c r="A7004" s="704" t="s">
        <v>1273</v>
      </c>
      <c r="B7004" s="705">
        <v>1</v>
      </c>
      <c r="C7004" s="700" t="s">
        <v>213</v>
      </c>
      <c r="D7004" s="701">
        <f>Prec.!C637</f>
        <v>34.74</v>
      </c>
      <c r="E7004" s="702">
        <f t="shared" si="528"/>
        <v>34.74</v>
      </c>
      <c r="F7004" s="703"/>
    </row>
    <row r="7005" spans="1:6" ht="12.75" customHeight="1">
      <c r="A7005" s="704" t="s">
        <v>1272</v>
      </c>
      <c r="B7005" s="705">
        <v>1</v>
      </c>
      <c r="C7005" s="700" t="s">
        <v>213</v>
      </c>
      <c r="D7005" s="701">
        <f>Prec.!C638</f>
        <v>32.56</v>
      </c>
      <c r="E7005" s="702">
        <f t="shared" si="528"/>
        <v>32.56</v>
      </c>
      <c r="F7005" s="703">
        <f>SUM(E6999:E7005)</f>
        <v>366.3</v>
      </c>
    </row>
    <row r="7006" spans="1:6" ht="12.75" hidden="1" customHeight="1">
      <c r="A7006" s="12"/>
      <c r="B7006" s="30"/>
      <c r="C7006" s="24"/>
      <c r="D7006" s="41"/>
      <c r="E7006" s="31"/>
      <c r="F7006" s="32"/>
    </row>
    <row r="7007" spans="1:6" ht="12.75" hidden="1" customHeight="1">
      <c r="A7007" s="13" t="s">
        <v>1270</v>
      </c>
      <c r="B7007" s="30"/>
      <c r="C7007" s="24"/>
      <c r="D7007" s="35"/>
      <c r="E7007" s="31"/>
      <c r="F7007" s="32"/>
    </row>
    <row r="7008" spans="1:6" ht="12.75" hidden="1" customHeight="1">
      <c r="A7008" s="12" t="s">
        <v>1270</v>
      </c>
      <c r="B7008" s="30">
        <v>0.14699999999999999</v>
      </c>
      <c r="C7008" s="24" t="s">
        <v>1228</v>
      </c>
      <c r="D7008" s="41">
        <f>Prec.!$C$251</f>
        <v>1110</v>
      </c>
      <c r="E7008" s="31">
        <f t="shared" ref="E7008:E7013" si="529">ROUND(B7008*D7008,2)</f>
        <v>163.16999999999999</v>
      </c>
      <c r="F7008" s="32"/>
    </row>
    <row r="7009" spans="1:6" ht="12.75" hidden="1" customHeight="1">
      <c r="A7009" s="12" t="s">
        <v>528</v>
      </c>
      <c r="B7009" s="30">
        <v>1.4999999999999999E-2</v>
      </c>
      <c r="C7009" s="24" t="s">
        <v>1228</v>
      </c>
      <c r="D7009" s="41">
        <f>Prec.!$C$251</f>
        <v>1110</v>
      </c>
      <c r="E7009" s="31">
        <f t="shared" si="529"/>
        <v>16.649999999999999</v>
      </c>
      <c r="F7009" s="32"/>
    </row>
    <row r="7010" spans="1:6" ht="12.75" hidden="1" customHeight="1">
      <c r="A7010" s="12" t="s">
        <v>876</v>
      </c>
      <c r="B7010" s="30">
        <v>0.1</v>
      </c>
      <c r="C7010" s="24" t="s">
        <v>1228</v>
      </c>
      <c r="D7010" s="41">
        <f>Prec.!$C$269</f>
        <v>315</v>
      </c>
      <c r="E7010" s="31">
        <f t="shared" si="529"/>
        <v>31.5</v>
      </c>
      <c r="F7010" s="32"/>
    </row>
    <row r="7011" spans="1:6" ht="12.75" hidden="1" customHeight="1">
      <c r="A7011" s="12" t="s">
        <v>1176</v>
      </c>
      <c r="B7011" s="30">
        <v>1</v>
      </c>
      <c r="C7011" s="24" t="s">
        <v>213</v>
      </c>
      <c r="D7011" s="41">
        <f>Prec.!$C$267</f>
        <v>9.92</v>
      </c>
      <c r="E7011" s="31">
        <f t="shared" si="529"/>
        <v>9.92</v>
      </c>
      <c r="F7011" s="32"/>
    </row>
    <row r="7012" spans="1:6" ht="12.75" hidden="1" customHeight="1">
      <c r="A7012" s="12" t="s">
        <v>1273</v>
      </c>
      <c r="B7012" s="30">
        <v>1</v>
      </c>
      <c r="C7012" s="24" t="s">
        <v>213</v>
      </c>
      <c r="D7012" s="41">
        <f>D7004</f>
        <v>34.74</v>
      </c>
      <c r="E7012" s="31">
        <f t="shared" si="529"/>
        <v>34.74</v>
      </c>
      <c r="F7012" s="32"/>
    </row>
    <row r="7013" spans="1:6" ht="12.75" hidden="1" customHeight="1">
      <c r="A7013" s="12" t="s">
        <v>1272</v>
      </c>
      <c r="B7013" s="30">
        <v>1</v>
      </c>
      <c r="C7013" s="24" t="s">
        <v>213</v>
      </c>
      <c r="D7013" s="41">
        <f>D7005</f>
        <v>32.56</v>
      </c>
      <c r="E7013" s="31">
        <f t="shared" si="529"/>
        <v>32.56</v>
      </c>
      <c r="F7013" s="32">
        <f>SUM(E7007:E7013)</f>
        <v>288.53999999999996</v>
      </c>
    </row>
    <row r="7014" spans="1:6" ht="12.75" hidden="1" customHeight="1">
      <c r="A7014" s="12"/>
      <c r="B7014" s="30"/>
      <c r="C7014" s="24"/>
      <c r="D7014" s="41"/>
      <c r="E7014" s="31"/>
      <c r="F7014" s="32"/>
    </row>
    <row r="7015" spans="1:6" ht="12.75" hidden="1" customHeight="1">
      <c r="A7015" s="13" t="s">
        <v>1644</v>
      </c>
      <c r="B7015" s="30"/>
      <c r="C7015" s="24"/>
      <c r="D7015" s="35"/>
      <c r="E7015" s="31"/>
      <c r="F7015" s="32"/>
    </row>
    <row r="7016" spans="1:6" ht="12.75" hidden="1" customHeight="1">
      <c r="A7016" s="12" t="s">
        <v>1645</v>
      </c>
      <c r="B7016" s="30">
        <v>0.14699999999999999</v>
      </c>
      <c r="C7016" s="24" t="s">
        <v>1228</v>
      </c>
      <c r="D7016" s="41">
        <f>Prec.!C279</f>
        <v>575</v>
      </c>
      <c r="E7016" s="31">
        <f t="shared" ref="E7016:E7021" si="530">ROUND(B7016*D7016,2)</f>
        <v>84.53</v>
      </c>
      <c r="F7016" s="32"/>
    </row>
    <row r="7017" spans="1:6" ht="12.75" hidden="1" customHeight="1">
      <c r="A7017" s="12" t="s">
        <v>528</v>
      </c>
      <c r="B7017" s="30">
        <v>1.4999999999999999E-2</v>
      </c>
      <c r="C7017" s="24" t="s">
        <v>1228</v>
      </c>
      <c r="D7017" s="41">
        <f>D7016</f>
        <v>575</v>
      </c>
      <c r="E7017" s="31">
        <f t="shared" si="530"/>
        <v>8.6300000000000008</v>
      </c>
      <c r="F7017" s="32"/>
    </row>
    <row r="7018" spans="1:6" ht="12.75" hidden="1" customHeight="1">
      <c r="A7018" s="12" t="s">
        <v>876</v>
      </c>
      <c r="B7018" s="30">
        <v>0.1</v>
      </c>
      <c r="C7018" s="24" t="s">
        <v>1228</v>
      </c>
      <c r="D7018" s="41">
        <f>D7010</f>
        <v>315</v>
      </c>
      <c r="E7018" s="31">
        <f t="shared" si="530"/>
        <v>31.5</v>
      </c>
      <c r="F7018" s="32"/>
    </row>
    <row r="7019" spans="1:6" ht="12.75" hidden="1" customHeight="1">
      <c r="A7019" s="12" t="s">
        <v>1176</v>
      </c>
      <c r="B7019" s="30">
        <v>1</v>
      </c>
      <c r="C7019" s="24" t="s">
        <v>213</v>
      </c>
      <c r="D7019" s="41">
        <f>Prec.!$C$267</f>
        <v>9.92</v>
      </c>
      <c r="E7019" s="31">
        <f t="shared" si="530"/>
        <v>9.92</v>
      </c>
      <c r="F7019" s="32"/>
    </row>
    <row r="7020" spans="1:6" ht="12.75" hidden="1" customHeight="1">
      <c r="A7020" s="12" t="s">
        <v>860</v>
      </c>
      <c r="B7020" s="30">
        <v>1</v>
      </c>
      <c r="C7020" s="24" t="s">
        <v>213</v>
      </c>
      <c r="D7020" s="41">
        <f>Prec.!D645</f>
        <v>0</v>
      </c>
      <c r="E7020" s="31">
        <f t="shared" si="530"/>
        <v>0</v>
      </c>
      <c r="F7020" s="32"/>
    </row>
    <row r="7021" spans="1:6" ht="12.75" hidden="1" customHeight="1">
      <c r="A7021" s="12" t="s">
        <v>861</v>
      </c>
      <c r="B7021" s="30">
        <v>1</v>
      </c>
      <c r="C7021" s="24" t="s">
        <v>213</v>
      </c>
      <c r="D7021" s="41">
        <f>Prec.!D646</f>
        <v>0</v>
      </c>
      <c r="E7021" s="31">
        <f t="shared" si="530"/>
        <v>0</v>
      </c>
      <c r="F7021" s="32">
        <f>SUM(E7016:E7021)</f>
        <v>134.57999999999998</v>
      </c>
    </row>
    <row r="7022" spans="1:6" ht="12.75" hidden="1" customHeight="1">
      <c r="A7022" s="12"/>
      <c r="B7022" s="30"/>
      <c r="C7022" s="24"/>
      <c r="D7022" s="41"/>
      <c r="E7022" s="31"/>
      <c r="F7022" s="32"/>
    </row>
    <row r="7023" spans="1:6" ht="12.75" hidden="1" customHeight="1">
      <c r="A7023" s="13" t="s">
        <v>379</v>
      </c>
      <c r="B7023" s="30"/>
      <c r="C7023" s="24"/>
      <c r="D7023" s="35"/>
      <c r="E7023" s="31"/>
      <c r="F7023" s="32"/>
    </row>
    <row r="7024" spans="1:6" ht="12.75" hidden="1" customHeight="1">
      <c r="A7024" s="12" t="s">
        <v>380</v>
      </c>
      <c r="B7024" s="30">
        <v>0.14699999999999999</v>
      </c>
      <c r="C7024" s="24" t="s">
        <v>1228</v>
      </c>
      <c r="D7024" s="41">
        <f>Prec.!$C$260</f>
        <v>1115</v>
      </c>
      <c r="E7024" s="31">
        <f t="shared" ref="E7024:E7029" si="531">ROUND(B7024*D7024,2)</f>
        <v>163.91</v>
      </c>
      <c r="F7024" s="32"/>
    </row>
    <row r="7025" spans="1:6" ht="12.75" hidden="1" customHeight="1">
      <c r="A7025" s="12" t="s">
        <v>528</v>
      </c>
      <c r="B7025" s="30">
        <v>1.4999999999999999E-2</v>
      </c>
      <c r="C7025" s="24" t="s">
        <v>1228</v>
      </c>
      <c r="D7025" s="41">
        <f>Prec.!$C$260</f>
        <v>1115</v>
      </c>
      <c r="E7025" s="31">
        <f t="shared" si="531"/>
        <v>16.73</v>
      </c>
      <c r="F7025" s="32"/>
    </row>
    <row r="7026" spans="1:6" ht="12.75" hidden="1" customHeight="1">
      <c r="A7026" s="12" t="s">
        <v>1276</v>
      </c>
      <c r="B7026" s="30">
        <v>0.2</v>
      </c>
      <c r="C7026" s="24" t="s">
        <v>1228</v>
      </c>
      <c r="D7026" s="41">
        <f>Prec.!$C$290</f>
        <v>293.10000000000002</v>
      </c>
      <c r="E7026" s="31">
        <f t="shared" si="531"/>
        <v>58.62</v>
      </c>
      <c r="F7026" s="32"/>
    </row>
    <row r="7027" spans="1:6" ht="12.75" hidden="1" customHeight="1">
      <c r="A7027" s="4" t="s">
        <v>1176</v>
      </c>
      <c r="B7027" s="8">
        <v>1</v>
      </c>
      <c r="C7027" s="6" t="s">
        <v>213</v>
      </c>
      <c r="D7027" s="36">
        <f>Prec.!$C$267</f>
        <v>9.92</v>
      </c>
      <c r="E7027" s="25">
        <f t="shared" si="531"/>
        <v>9.92</v>
      </c>
    </row>
    <row r="7028" spans="1:6" ht="12.75" hidden="1" customHeight="1">
      <c r="A7028" s="4" t="s">
        <v>1273</v>
      </c>
      <c r="B7028" s="8">
        <v>1</v>
      </c>
      <c r="C7028" s="6" t="s">
        <v>213</v>
      </c>
      <c r="D7028" s="36">
        <f>Prec.!$D$637</f>
        <v>0</v>
      </c>
      <c r="E7028" s="25">
        <f t="shared" si="531"/>
        <v>0</v>
      </c>
    </row>
    <row r="7029" spans="1:6" ht="12.75" hidden="1" customHeight="1">
      <c r="A7029" s="4" t="s">
        <v>1272</v>
      </c>
      <c r="B7029" s="8">
        <v>1</v>
      </c>
      <c r="C7029" s="6" t="s">
        <v>213</v>
      </c>
      <c r="D7029" s="36">
        <f>Prec.!$D$638</f>
        <v>0</v>
      </c>
      <c r="E7029" s="25">
        <f t="shared" si="531"/>
        <v>0</v>
      </c>
      <c r="F7029" s="26">
        <f>SUM(E7024:E7029)</f>
        <v>249.17999999999998</v>
      </c>
    </row>
    <row r="7030" spans="1:6" ht="12.75" hidden="1" customHeight="1">
      <c r="D7030" s="36"/>
    </row>
    <row r="7031" spans="1:6" ht="12.75" hidden="1" customHeight="1">
      <c r="A7031" s="1" t="s">
        <v>381</v>
      </c>
    </row>
    <row r="7032" spans="1:6" ht="12.75" hidden="1" customHeight="1">
      <c r="A7032" s="4" t="s">
        <v>1277</v>
      </c>
      <c r="B7032" s="8">
        <v>0.17</v>
      </c>
      <c r="C7032" s="6" t="s">
        <v>1228</v>
      </c>
      <c r="D7032" s="36">
        <f>Prec.!$C$246</f>
        <v>1140</v>
      </c>
      <c r="E7032" s="25">
        <f>ROUND(B7032*D7032,2)</f>
        <v>193.8</v>
      </c>
    </row>
    <row r="7033" spans="1:6" ht="12.75" hidden="1" customHeight="1">
      <c r="A7033" s="4" t="s">
        <v>528</v>
      </c>
      <c r="B7033" s="8">
        <v>1.7000000000000001E-2</v>
      </c>
      <c r="C7033" s="6" t="s">
        <v>1228</v>
      </c>
      <c r="D7033" s="36">
        <f>Prec.!$C$246</f>
        <v>1140</v>
      </c>
      <c r="E7033" s="25">
        <f>ROUND(B7033*D7033,2)</f>
        <v>19.38</v>
      </c>
    </row>
    <row r="7034" spans="1:6" ht="12.75" hidden="1" customHeight="1">
      <c r="A7034" s="4" t="s">
        <v>1176</v>
      </c>
      <c r="B7034" s="8">
        <v>1</v>
      </c>
      <c r="C7034" s="6" t="s">
        <v>213</v>
      </c>
      <c r="D7034" s="36">
        <f>Prec.!$C$267</f>
        <v>9.92</v>
      </c>
      <c r="E7034" s="25">
        <f>ROUND(B7034*D7034,2)</f>
        <v>9.92</v>
      </c>
    </row>
    <row r="7035" spans="1:6" ht="12.75" hidden="1" customHeight="1">
      <c r="A7035" s="4" t="s">
        <v>1278</v>
      </c>
      <c r="B7035" s="8">
        <v>1</v>
      </c>
      <c r="C7035" s="6" t="s">
        <v>213</v>
      </c>
      <c r="D7035" s="36">
        <f>Prec.!$D$639</f>
        <v>0</v>
      </c>
      <c r="E7035" s="25">
        <f>ROUND(B7035*D7035,2)</f>
        <v>0</v>
      </c>
    </row>
    <row r="7036" spans="1:6" ht="12.75" hidden="1" customHeight="1">
      <c r="A7036" s="4" t="s">
        <v>378</v>
      </c>
      <c r="B7036" s="8">
        <v>1</v>
      </c>
      <c r="C7036" s="6" t="s">
        <v>213</v>
      </c>
      <c r="D7036" s="36">
        <f>Prec.!$D$640</f>
        <v>0</v>
      </c>
      <c r="E7036" s="25">
        <f>ROUND(B7036*D7036,2)</f>
        <v>0</v>
      </c>
      <c r="F7036" s="26">
        <f>SUM(E7031:E7036)</f>
        <v>223.1</v>
      </c>
    </row>
    <row r="7037" spans="1:6" ht="12.75" customHeight="1">
      <c r="B7037" s="7"/>
    </row>
    <row r="7038" spans="1:6" ht="12.75" customHeight="1">
      <c r="A7038" s="698" t="s">
        <v>1144</v>
      </c>
      <c r="B7038" s="705"/>
      <c r="C7038" s="700"/>
      <c r="D7038" s="708"/>
      <c r="E7038" s="702"/>
      <c r="F7038" s="703"/>
    </row>
    <row r="7039" spans="1:6" ht="12.75" customHeight="1">
      <c r="A7039" s="704" t="s">
        <v>219</v>
      </c>
      <c r="B7039" s="705">
        <v>0.14699999999999999</v>
      </c>
      <c r="C7039" s="700" t="s">
        <v>1228</v>
      </c>
      <c r="D7039" s="701">
        <f>Prec.!C254</f>
        <v>1540</v>
      </c>
      <c r="E7039" s="702">
        <f>ROUND(B7039*D7039,2)</f>
        <v>226.38</v>
      </c>
      <c r="F7039" s="703"/>
    </row>
    <row r="7040" spans="1:6" ht="12.75" customHeight="1">
      <c r="A7040" s="704" t="s">
        <v>528</v>
      </c>
      <c r="B7040" s="705">
        <v>1.4999999999999999E-2</v>
      </c>
      <c r="C7040" s="700" t="s">
        <v>1228</v>
      </c>
      <c r="D7040" s="701">
        <f>D7039</f>
        <v>1540</v>
      </c>
      <c r="E7040" s="702">
        <f>ROUND(B7040*D7040,2)</f>
        <v>23.1</v>
      </c>
      <c r="F7040" s="703"/>
    </row>
    <row r="7041" spans="1:13" ht="12.75" customHeight="1">
      <c r="A7041" s="704" t="s">
        <v>1176</v>
      </c>
      <c r="B7041" s="705">
        <v>1</v>
      </c>
      <c r="C7041" s="700" t="s">
        <v>213</v>
      </c>
      <c r="D7041" s="701">
        <f>Prec.!$C$267</f>
        <v>9.92</v>
      </c>
      <c r="E7041" s="702">
        <f>ROUND(B7041*D7041,2)</f>
        <v>9.92</v>
      </c>
      <c r="F7041" s="703"/>
    </row>
    <row r="7042" spans="1:13" ht="12.75" customHeight="1">
      <c r="A7042" s="704" t="s">
        <v>1274</v>
      </c>
      <c r="B7042" s="705">
        <v>1</v>
      </c>
      <c r="C7042" s="700" t="s">
        <v>213</v>
      </c>
      <c r="D7042" s="701">
        <f>Prec.!C635</f>
        <v>32.56</v>
      </c>
      <c r="E7042" s="702">
        <f>ROUND(B7042*D7042,2)</f>
        <v>32.56</v>
      </c>
      <c r="F7042" s="703"/>
    </row>
    <row r="7043" spans="1:13" ht="12.75" customHeight="1">
      <c r="A7043" s="704" t="s">
        <v>1275</v>
      </c>
      <c r="B7043" s="705">
        <v>1</v>
      </c>
      <c r="C7043" s="700" t="s">
        <v>213</v>
      </c>
      <c r="D7043" s="701">
        <f>Prec.!C636</f>
        <v>21.7</v>
      </c>
      <c r="E7043" s="702">
        <f>ROUND(B7043*D7043,2)</f>
        <v>21.7</v>
      </c>
      <c r="F7043" s="703">
        <f>SUM(E7038:E7043)</f>
        <v>313.65999999999997</v>
      </c>
    </row>
    <row r="7044" spans="1:13" ht="12.75" customHeight="1">
      <c r="D7044" s="36"/>
    </row>
    <row r="7045" spans="1:13" ht="12.75" hidden="1" customHeight="1">
      <c r="A7045" s="13" t="s">
        <v>484</v>
      </c>
    </row>
    <row r="7046" spans="1:13" ht="12.75" hidden="1" customHeight="1">
      <c r="A7046" s="4" t="s">
        <v>483</v>
      </c>
      <c r="B7046" s="8">
        <v>0.14699999999999999</v>
      </c>
      <c r="C7046" s="6" t="s">
        <v>1228</v>
      </c>
      <c r="D7046" s="36">
        <f>Prec.!$C$261</f>
        <v>842</v>
      </c>
      <c r="E7046" s="25">
        <f t="shared" ref="E7046:E7052" si="532">ROUND(B7046*D7046,2)</f>
        <v>123.77</v>
      </c>
    </row>
    <row r="7047" spans="1:13" ht="12.75" hidden="1" customHeight="1">
      <c r="A7047" s="4" t="s">
        <v>528</v>
      </c>
      <c r="B7047" s="8">
        <v>1.4999999999999999E-2</v>
      </c>
      <c r="C7047" s="6" t="s">
        <v>1228</v>
      </c>
      <c r="D7047" s="36">
        <f>Prec.!$C$261</f>
        <v>842</v>
      </c>
      <c r="E7047" s="25">
        <f t="shared" si="532"/>
        <v>12.63</v>
      </c>
    </row>
    <row r="7048" spans="1:13" ht="12.75" hidden="1" customHeight="1">
      <c r="A7048" s="4" t="s">
        <v>661</v>
      </c>
      <c r="B7048" s="8">
        <f>B7046*2</f>
        <v>0.29399999999999998</v>
      </c>
      <c r="C7048" s="6" t="s">
        <v>1228</v>
      </c>
      <c r="D7048" s="41">
        <f>Prec.!C271</f>
        <v>330</v>
      </c>
      <c r="E7048" s="25">
        <f t="shared" si="532"/>
        <v>97.02</v>
      </c>
    </row>
    <row r="7049" spans="1:13" ht="12.75" hidden="1" customHeight="1">
      <c r="A7049" s="4" t="s">
        <v>1075</v>
      </c>
      <c r="B7049" s="8">
        <v>0.14699999999999999</v>
      </c>
      <c r="C7049" s="6" t="s">
        <v>1228</v>
      </c>
      <c r="D7049" s="36">
        <f>Prec.!$C$272</f>
        <v>900</v>
      </c>
      <c r="E7049" s="25">
        <f t="shared" si="532"/>
        <v>132.30000000000001</v>
      </c>
    </row>
    <row r="7050" spans="1:13" ht="12.75" hidden="1" customHeight="1">
      <c r="A7050" s="4" t="s">
        <v>1176</v>
      </c>
      <c r="B7050" s="8">
        <v>1</v>
      </c>
      <c r="C7050" s="6" t="s">
        <v>213</v>
      </c>
      <c r="D7050" s="36">
        <f>D7041</f>
        <v>9.92</v>
      </c>
      <c r="E7050" s="25">
        <f t="shared" si="532"/>
        <v>9.92</v>
      </c>
    </row>
    <row r="7051" spans="1:13" ht="12.75" hidden="1" customHeight="1">
      <c r="A7051" s="4" t="s">
        <v>481</v>
      </c>
      <c r="B7051" s="8">
        <v>1</v>
      </c>
      <c r="C7051" s="6" t="s">
        <v>213</v>
      </c>
      <c r="D7051" s="36">
        <f>Prec.!$D$641</f>
        <v>0</v>
      </c>
      <c r="E7051" s="25">
        <f t="shared" si="532"/>
        <v>0</v>
      </c>
    </row>
    <row r="7052" spans="1:13" ht="12.75" hidden="1" customHeight="1">
      <c r="A7052" s="4" t="s">
        <v>482</v>
      </c>
      <c r="B7052" s="8">
        <v>1</v>
      </c>
      <c r="C7052" s="6" t="s">
        <v>213</v>
      </c>
      <c r="D7052" s="36">
        <f>Prec.!$D$642</f>
        <v>0</v>
      </c>
      <c r="E7052" s="25">
        <f t="shared" si="532"/>
        <v>0</v>
      </c>
      <c r="F7052" s="26">
        <f>SUM(E7045:E7052)</f>
        <v>375.64000000000004</v>
      </c>
    </row>
    <row r="7053" spans="1:13" ht="12.75" hidden="1" customHeight="1">
      <c r="D7053" s="36"/>
    </row>
    <row r="7054" spans="1:13" s="166" customFormat="1" ht="12.75" hidden="1" customHeight="1">
      <c r="B7054" s="8"/>
      <c r="C7054" s="165"/>
      <c r="D7054" s="36"/>
      <c r="E7054" s="25"/>
      <c r="F7054" s="26"/>
      <c r="G7054" s="15"/>
      <c r="H7054" s="21"/>
      <c r="I7054" s="15"/>
      <c r="J7054" s="15"/>
      <c r="K7054" s="15"/>
      <c r="L7054" s="21"/>
      <c r="M7054" s="15"/>
    </row>
    <row r="7055" spans="1:13" s="166" customFormat="1" ht="12.75" hidden="1" customHeight="1">
      <c r="B7055" s="8"/>
      <c r="C7055" s="165"/>
      <c r="D7055" s="36"/>
      <c r="E7055" s="25"/>
      <c r="F7055" s="26"/>
      <c r="G7055" s="15"/>
      <c r="H7055" s="21"/>
      <c r="I7055" s="15"/>
      <c r="J7055" s="15"/>
      <c r="K7055" s="15"/>
      <c r="L7055" s="21"/>
      <c r="M7055" s="15"/>
    </row>
    <row r="7056" spans="1:13" s="166" customFormat="1" ht="12.75" hidden="1" customHeight="1">
      <c r="B7056" s="8"/>
      <c r="C7056" s="165"/>
      <c r="D7056" s="36"/>
      <c r="E7056" s="25"/>
      <c r="F7056" s="26"/>
      <c r="G7056" s="15"/>
      <c r="H7056" s="21"/>
      <c r="I7056" s="15"/>
      <c r="J7056" s="15"/>
      <c r="K7056" s="15"/>
      <c r="L7056" s="21"/>
      <c r="M7056" s="15"/>
    </row>
    <row r="7057" spans="1:6" ht="12.75" hidden="1" customHeight="1">
      <c r="A7057" s="13" t="s">
        <v>1657</v>
      </c>
      <c r="B7057" s="30"/>
      <c r="C7057" s="24"/>
      <c r="D7057" s="35"/>
      <c r="E7057" s="31"/>
      <c r="F7057" s="32"/>
    </row>
    <row r="7058" spans="1:6" ht="12.75" hidden="1" customHeight="1">
      <c r="A7058" s="12" t="s">
        <v>483</v>
      </c>
      <c r="B7058" s="30">
        <v>0.14699999999999999</v>
      </c>
      <c r="C7058" s="24" t="s">
        <v>1228</v>
      </c>
      <c r="D7058" s="41">
        <f>Prec.!$C$261</f>
        <v>842</v>
      </c>
      <c r="E7058" s="31">
        <f t="shared" ref="E7058:E7063" si="533">ROUND(B7058*D7058,2)</f>
        <v>123.77</v>
      </c>
      <c r="F7058" s="32"/>
    </row>
    <row r="7059" spans="1:6" ht="12.75" hidden="1" customHeight="1">
      <c r="A7059" s="12" t="s">
        <v>528</v>
      </c>
      <c r="B7059" s="30">
        <v>1.4999999999999999E-2</v>
      </c>
      <c r="C7059" s="24" t="s">
        <v>1228</v>
      </c>
      <c r="D7059" s="41">
        <f>Prec.!$C$261</f>
        <v>842</v>
      </c>
      <c r="E7059" s="31">
        <f t="shared" si="533"/>
        <v>12.63</v>
      </c>
      <c r="F7059" s="32"/>
    </row>
    <row r="7060" spans="1:6" ht="12.75" hidden="1" customHeight="1">
      <c r="A7060" s="12" t="s">
        <v>661</v>
      </c>
      <c r="B7060" s="30">
        <f>B7058*2</f>
        <v>0.29399999999999998</v>
      </c>
      <c r="C7060" s="24" t="s">
        <v>1228</v>
      </c>
      <c r="D7060" s="41">
        <f>Prec.!C270</f>
        <v>330</v>
      </c>
      <c r="E7060" s="31">
        <f t="shared" si="533"/>
        <v>97.02</v>
      </c>
      <c r="F7060" s="32"/>
    </row>
    <row r="7061" spans="1:6" ht="12.75" hidden="1" customHeight="1">
      <c r="A7061" s="12" t="s">
        <v>1075</v>
      </c>
      <c r="B7061" s="30">
        <v>0.14699999999999999</v>
      </c>
      <c r="C7061" s="24" t="s">
        <v>1228</v>
      </c>
      <c r="D7061" s="41">
        <f>Prec.!$C$272</f>
        <v>900</v>
      </c>
      <c r="E7061" s="31">
        <f t="shared" si="533"/>
        <v>132.30000000000001</v>
      </c>
      <c r="F7061" s="32"/>
    </row>
    <row r="7062" spans="1:6" ht="12.75" hidden="1" customHeight="1">
      <c r="A7062" s="12" t="s">
        <v>1176</v>
      </c>
      <c r="B7062" s="30">
        <v>1</v>
      </c>
      <c r="C7062" s="24" t="s">
        <v>213</v>
      </c>
      <c r="D7062" s="41">
        <f>D7050</f>
        <v>9.92</v>
      </c>
      <c r="E7062" s="31">
        <f t="shared" si="533"/>
        <v>9.92</v>
      </c>
      <c r="F7062" s="32"/>
    </row>
    <row r="7063" spans="1:6" ht="12.75" hidden="1" customHeight="1">
      <c r="A7063" s="12" t="s">
        <v>1656</v>
      </c>
      <c r="B7063" s="30">
        <v>1</v>
      </c>
      <c r="C7063" s="24" t="s">
        <v>213</v>
      </c>
      <c r="D7063" s="41">
        <v>154.77000000000001</v>
      </c>
      <c r="E7063" s="31">
        <f t="shared" si="533"/>
        <v>154.77000000000001</v>
      </c>
      <c r="F7063" s="32">
        <f>SUM(E7058:E7063)</f>
        <v>530.41000000000008</v>
      </c>
    </row>
    <row r="7064" spans="1:6" ht="5.25" hidden="1" customHeight="1">
      <c r="A7064" s="12"/>
      <c r="B7064" s="30"/>
      <c r="C7064" s="24"/>
      <c r="D7064" s="41"/>
      <c r="E7064" s="31"/>
      <c r="F7064" s="32"/>
    </row>
    <row r="7065" spans="1:6" ht="12.75" hidden="1" customHeight="1">
      <c r="A7065" s="13" t="s">
        <v>485</v>
      </c>
      <c r="B7065" s="30"/>
      <c r="C7065" s="24"/>
      <c r="D7065" s="35"/>
      <c r="E7065" s="31"/>
      <c r="F7065" s="32"/>
    </row>
    <row r="7066" spans="1:6" ht="12.75" hidden="1" customHeight="1">
      <c r="A7066" s="4" t="s">
        <v>1076</v>
      </c>
      <c r="B7066" s="8">
        <v>0.14699999999999999</v>
      </c>
      <c r="C7066" s="6" t="s">
        <v>1228</v>
      </c>
      <c r="D7066" s="36">
        <f>Prec.!$C$261</f>
        <v>842</v>
      </c>
      <c r="E7066" s="25">
        <f t="shared" ref="E7066:E7071" si="534">ROUND(B7066*D7066,2)</f>
        <v>123.77</v>
      </c>
    </row>
    <row r="7067" spans="1:6" ht="12.75" hidden="1" customHeight="1">
      <c r="A7067" s="4" t="s">
        <v>528</v>
      </c>
      <c r="B7067" s="8">
        <v>1.4999999999999999E-2</v>
      </c>
      <c r="C7067" s="6" t="s">
        <v>1228</v>
      </c>
      <c r="D7067" s="36">
        <f>Prec.!$C$261</f>
        <v>842</v>
      </c>
      <c r="E7067" s="25">
        <f t="shared" si="534"/>
        <v>12.63</v>
      </c>
    </row>
    <row r="7068" spans="1:6" ht="12.75" hidden="1" customHeight="1">
      <c r="A7068" s="4" t="s">
        <v>661</v>
      </c>
      <c r="B7068" s="8">
        <f>B7066*2</f>
        <v>0.29399999999999998</v>
      </c>
      <c r="C7068" s="6" t="s">
        <v>1228</v>
      </c>
      <c r="D7068" s="41">
        <f>D7048</f>
        <v>330</v>
      </c>
      <c r="E7068" s="25">
        <f t="shared" si="534"/>
        <v>97.02</v>
      </c>
    </row>
    <row r="7069" spans="1:6" ht="12.75" hidden="1" customHeight="1">
      <c r="A7069" s="4" t="s">
        <v>1176</v>
      </c>
      <c r="B7069" s="8">
        <v>1</v>
      </c>
      <c r="C7069" s="6" t="s">
        <v>213</v>
      </c>
      <c r="D7069" s="36">
        <f>D7050</f>
        <v>9.92</v>
      </c>
      <c r="E7069" s="25">
        <f t="shared" si="534"/>
        <v>9.92</v>
      </c>
    </row>
    <row r="7070" spans="1:6" ht="12.75" hidden="1" customHeight="1">
      <c r="A7070" s="4" t="s">
        <v>481</v>
      </c>
      <c r="B7070" s="8">
        <v>1</v>
      </c>
      <c r="C7070" s="6" t="s">
        <v>213</v>
      </c>
      <c r="D7070" s="36">
        <f>Prec.!$D$641</f>
        <v>0</v>
      </c>
      <c r="E7070" s="25">
        <f t="shared" si="534"/>
        <v>0</v>
      </c>
    </row>
    <row r="7071" spans="1:6" ht="12.75" hidden="1" customHeight="1">
      <c r="A7071" s="4" t="s">
        <v>482</v>
      </c>
      <c r="B7071" s="8">
        <v>1</v>
      </c>
      <c r="C7071" s="6" t="s">
        <v>213</v>
      </c>
      <c r="D7071" s="36">
        <f>Prec.!$D$642</f>
        <v>0</v>
      </c>
      <c r="E7071" s="25">
        <f t="shared" si="534"/>
        <v>0</v>
      </c>
      <c r="F7071" s="26">
        <f>SUM(E7065:E7071)</f>
        <v>243.34</v>
      </c>
    </row>
    <row r="7072" spans="1:6" ht="6" hidden="1" customHeight="1">
      <c r="D7072" s="36"/>
    </row>
    <row r="7073" spans="1:6" ht="12.75" hidden="1" customHeight="1">
      <c r="A7073" s="13" t="s">
        <v>534</v>
      </c>
      <c r="D7073" s="36"/>
    </row>
    <row r="7074" spans="1:6" ht="12.75" hidden="1" customHeight="1">
      <c r="A7074" s="4" t="s">
        <v>535</v>
      </c>
      <c r="B7074" s="30">
        <v>0.14699999999999999</v>
      </c>
      <c r="C7074" s="6" t="s">
        <v>1228</v>
      </c>
      <c r="D7074" s="36">
        <f>Prec.!C273</f>
        <v>575</v>
      </c>
      <c r="E7074" s="25">
        <f t="shared" ref="E7074:E7080" si="535">ROUND(B7074*D7074,2)</f>
        <v>84.53</v>
      </c>
    </row>
    <row r="7075" spans="1:6" ht="12.75" hidden="1" customHeight="1">
      <c r="A7075" s="4" t="s">
        <v>538</v>
      </c>
      <c r="B7075" s="30">
        <v>1.4999999999999999E-2</v>
      </c>
      <c r="C7075" s="6" t="s">
        <v>1228</v>
      </c>
      <c r="D7075" s="36">
        <f>D7074</f>
        <v>575</v>
      </c>
      <c r="E7075" s="25">
        <f>ROUND(B7075*D7075,2)</f>
        <v>8.6300000000000008</v>
      </c>
    </row>
    <row r="7076" spans="1:6" ht="12.75" hidden="1" customHeight="1">
      <c r="A7076" s="4" t="s">
        <v>1139</v>
      </c>
      <c r="B7076" s="30">
        <f>B7074*2</f>
        <v>0.29399999999999998</v>
      </c>
      <c r="C7076" s="6" t="s">
        <v>1228</v>
      </c>
      <c r="D7076" s="36">
        <f>Prec.!C270</f>
        <v>330</v>
      </c>
      <c r="E7076" s="25">
        <f t="shared" si="535"/>
        <v>97.02</v>
      </c>
    </row>
    <row r="7077" spans="1:6" ht="12.75" hidden="1" customHeight="1">
      <c r="A7077" s="4" t="s">
        <v>1075</v>
      </c>
      <c r="B7077" s="30">
        <v>0.14699999999999999</v>
      </c>
      <c r="C7077" s="6" t="s">
        <v>1228</v>
      </c>
      <c r="D7077" s="36">
        <f>Prec.!C272</f>
        <v>900</v>
      </c>
      <c r="E7077" s="25">
        <f t="shared" si="535"/>
        <v>132.30000000000001</v>
      </c>
    </row>
    <row r="7078" spans="1:6" ht="12.75" hidden="1" customHeight="1">
      <c r="A7078" s="4" t="s">
        <v>1176</v>
      </c>
      <c r="B7078" s="8">
        <v>1</v>
      </c>
      <c r="C7078" s="6" t="s">
        <v>213</v>
      </c>
      <c r="D7078" s="36">
        <f>D7069</f>
        <v>9.92</v>
      </c>
      <c r="E7078" s="25">
        <f t="shared" si="535"/>
        <v>9.92</v>
      </c>
    </row>
    <row r="7079" spans="1:6" ht="12.75" hidden="1" customHeight="1">
      <c r="A7079" s="4" t="s">
        <v>536</v>
      </c>
      <c r="B7079" s="8">
        <v>1</v>
      </c>
      <c r="C7079" s="6" t="s">
        <v>213</v>
      </c>
      <c r="D7079" s="36">
        <f>Prec.!D641</f>
        <v>0</v>
      </c>
      <c r="E7079" s="25">
        <f t="shared" si="535"/>
        <v>0</v>
      </c>
    </row>
    <row r="7080" spans="1:6" ht="12.75" hidden="1" customHeight="1">
      <c r="A7080" s="4" t="s">
        <v>537</v>
      </c>
      <c r="B7080" s="8">
        <v>1</v>
      </c>
      <c r="C7080" s="6" t="s">
        <v>213</v>
      </c>
      <c r="D7080" s="36">
        <f>Prec.!D642</f>
        <v>0</v>
      </c>
      <c r="E7080" s="25">
        <f t="shared" si="535"/>
        <v>0</v>
      </c>
      <c r="F7080" s="26">
        <f>SUM(E7074:E7080)</f>
        <v>332.40000000000003</v>
      </c>
    </row>
    <row r="7081" spans="1:6" ht="5.25" hidden="1" customHeight="1">
      <c r="D7081" s="36"/>
    </row>
    <row r="7082" spans="1:6" ht="12.75" hidden="1" customHeight="1">
      <c r="A7082" s="13" t="s">
        <v>1140</v>
      </c>
      <c r="D7082" s="36"/>
    </row>
    <row r="7083" spans="1:6" ht="12.75" hidden="1" customHeight="1">
      <c r="A7083" s="4" t="s">
        <v>535</v>
      </c>
      <c r="B7083" s="30">
        <v>0.14699999999999999</v>
      </c>
      <c r="C7083" s="6" t="s">
        <v>1228</v>
      </c>
      <c r="D7083" s="36">
        <f>D7074</f>
        <v>575</v>
      </c>
      <c r="E7083" s="25">
        <f t="shared" ref="E7083:E7090" si="536">ROUND(B7083*D7083,2)</f>
        <v>84.53</v>
      </c>
    </row>
    <row r="7084" spans="1:6" ht="12.75" hidden="1" customHeight="1">
      <c r="A7084" s="4" t="s">
        <v>1141</v>
      </c>
      <c r="B7084" s="30">
        <v>0.5</v>
      </c>
      <c r="C7084" s="6" t="s">
        <v>1142</v>
      </c>
      <c r="D7084" s="36">
        <f>Prec.!C274</f>
        <v>210</v>
      </c>
      <c r="E7084" s="25">
        <f t="shared" si="536"/>
        <v>105</v>
      </c>
    </row>
    <row r="7085" spans="1:6" ht="12.75" hidden="1" customHeight="1">
      <c r="A7085" s="4" t="s">
        <v>538</v>
      </c>
      <c r="B7085" s="30">
        <v>1.4999999999999999E-2</v>
      </c>
      <c r="C7085" s="6" t="s">
        <v>1228</v>
      </c>
      <c r="D7085" s="36">
        <f>D7083</f>
        <v>575</v>
      </c>
      <c r="E7085" s="25">
        <f t="shared" si="536"/>
        <v>8.6300000000000008</v>
      </c>
    </row>
    <row r="7086" spans="1:6" ht="12.75" hidden="1" customHeight="1">
      <c r="A7086" s="4" t="s">
        <v>1139</v>
      </c>
      <c r="B7086" s="30">
        <f>B7083*2</f>
        <v>0.29399999999999998</v>
      </c>
      <c r="C7086" s="6" t="s">
        <v>1228</v>
      </c>
      <c r="D7086" s="36">
        <f>D7076</f>
        <v>330</v>
      </c>
      <c r="E7086" s="25">
        <f t="shared" si="536"/>
        <v>97.02</v>
      </c>
    </row>
    <row r="7087" spans="1:6" ht="12.75" hidden="1" customHeight="1">
      <c r="A7087" s="4" t="s">
        <v>1075</v>
      </c>
      <c r="B7087" s="30">
        <v>0.14699999999999999</v>
      </c>
      <c r="C7087" s="6" t="s">
        <v>1228</v>
      </c>
      <c r="D7087" s="36">
        <f>D7077</f>
        <v>900</v>
      </c>
      <c r="E7087" s="25">
        <f t="shared" si="536"/>
        <v>132.30000000000001</v>
      </c>
    </row>
    <row r="7088" spans="1:6" ht="12.75" hidden="1" customHeight="1">
      <c r="A7088" s="4" t="s">
        <v>1176</v>
      </c>
      <c r="B7088" s="8">
        <v>1</v>
      </c>
      <c r="C7088" s="6" t="s">
        <v>213</v>
      </c>
      <c r="D7088" s="36">
        <f>D7078</f>
        <v>9.92</v>
      </c>
      <c r="E7088" s="25">
        <f t="shared" si="536"/>
        <v>9.92</v>
      </c>
    </row>
    <row r="7089" spans="1:13" ht="12.75" hidden="1" customHeight="1">
      <c r="A7089" s="4" t="s">
        <v>536</v>
      </c>
      <c r="B7089" s="8">
        <v>1</v>
      </c>
      <c r="C7089" s="6" t="s">
        <v>213</v>
      </c>
      <c r="D7089" s="36">
        <f>D7079</f>
        <v>0</v>
      </c>
      <c r="E7089" s="25">
        <f t="shared" si="536"/>
        <v>0</v>
      </c>
    </row>
    <row r="7090" spans="1:13" ht="12.75" hidden="1" customHeight="1">
      <c r="A7090" s="4" t="s">
        <v>537</v>
      </c>
      <c r="B7090" s="8">
        <v>1</v>
      </c>
      <c r="C7090" s="6" t="s">
        <v>213</v>
      </c>
      <c r="D7090" s="36">
        <f>D7080</f>
        <v>0</v>
      </c>
      <c r="E7090" s="25">
        <f t="shared" si="536"/>
        <v>0</v>
      </c>
      <c r="F7090" s="26">
        <f>SUM(E7083:E7090)</f>
        <v>437.40000000000003</v>
      </c>
    </row>
    <row r="7091" spans="1:13" ht="12.75" customHeight="1">
      <c r="D7091" s="36"/>
    </row>
    <row r="7092" spans="1:13" ht="12.75" customHeight="1">
      <c r="A7092" s="23" t="s">
        <v>989</v>
      </c>
      <c r="B7092" s="7"/>
    </row>
    <row r="7093" spans="1:13" ht="12.75" customHeight="1">
      <c r="B7093" s="7"/>
    </row>
    <row r="7094" spans="1:13" ht="12.75" customHeight="1">
      <c r="A7094" s="13" t="s">
        <v>527</v>
      </c>
      <c r="B7094" s="30"/>
      <c r="C7094" s="24"/>
      <c r="D7094" s="35"/>
      <c r="E7094" s="31"/>
      <c r="F7094" s="32"/>
    </row>
    <row r="7095" spans="1:13" ht="12.75" customHeight="1">
      <c r="A7095" s="12" t="s">
        <v>894</v>
      </c>
      <c r="B7095" s="30">
        <v>0.11</v>
      </c>
      <c r="C7095" s="24" t="s">
        <v>1228</v>
      </c>
      <c r="D7095" s="41">
        <f>D6915</f>
        <v>530</v>
      </c>
      <c r="E7095" s="31">
        <f t="shared" ref="E7095:E7100" si="537">ROUND(B7095*D7095,2)</f>
        <v>58.3</v>
      </c>
      <c r="F7095" s="32"/>
    </row>
    <row r="7096" spans="1:13" ht="12.75" customHeight="1">
      <c r="A7096" s="12" t="s">
        <v>545</v>
      </c>
      <c r="B7096" s="30">
        <v>0.11</v>
      </c>
      <c r="C7096" s="24" t="s">
        <v>1228</v>
      </c>
      <c r="D7096" s="41">
        <f>Prec.!D652</f>
        <v>1.64</v>
      </c>
      <c r="E7096" s="31">
        <f t="shared" si="537"/>
        <v>0.18</v>
      </c>
      <c r="F7096" s="32"/>
    </row>
    <row r="7097" spans="1:13" ht="12.75" customHeight="1">
      <c r="A7097" s="12" t="s">
        <v>528</v>
      </c>
      <c r="B7097" s="30">
        <v>1.0999999999999999E-2</v>
      </c>
      <c r="C7097" s="24" t="s">
        <v>1228</v>
      </c>
      <c r="D7097" s="41">
        <f>D7095</f>
        <v>530</v>
      </c>
      <c r="E7097" s="31">
        <f t="shared" si="537"/>
        <v>5.83</v>
      </c>
      <c r="F7097" s="32"/>
    </row>
    <row r="7098" spans="1:13" ht="12.75" customHeight="1">
      <c r="A7098" s="12" t="s">
        <v>1176</v>
      </c>
      <c r="B7098" s="30">
        <v>1</v>
      </c>
      <c r="C7098" s="24" t="s">
        <v>213</v>
      </c>
      <c r="D7098" s="41">
        <f>Prec.!$C$267</f>
        <v>9.92</v>
      </c>
      <c r="E7098" s="31">
        <f t="shared" si="537"/>
        <v>9.92</v>
      </c>
      <c r="F7098" s="32"/>
    </row>
    <row r="7099" spans="1:13" ht="12.75" customHeight="1">
      <c r="A7099" s="12" t="s">
        <v>257</v>
      </c>
      <c r="B7099" s="30">
        <v>1</v>
      </c>
      <c r="C7099" s="24" t="s">
        <v>213</v>
      </c>
      <c r="D7099" s="41">
        <f>Prec.!$D$635</f>
        <v>0</v>
      </c>
      <c r="E7099" s="31">
        <f t="shared" si="537"/>
        <v>0</v>
      </c>
      <c r="F7099" s="32"/>
    </row>
    <row r="7100" spans="1:13" ht="12.75" customHeight="1">
      <c r="A7100" s="12" t="s">
        <v>560</v>
      </c>
      <c r="B7100" s="30">
        <v>1</v>
      </c>
      <c r="C7100" s="24" t="s">
        <v>213</v>
      </c>
      <c r="D7100" s="41">
        <f>Prec.!$D$636</f>
        <v>0</v>
      </c>
      <c r="E7100" s="31">
        <f t="shared" si="537"/>
        <v>0</v>
      </c>
      <c r="F7100" s="32">
        <f>SUM(E7095:E7100)</f>
        <v>74.23</v>
      </c>
    </row>
    <row r="7101" spans="1:13" ht="12.75" customHeight="1">
      <c r="B7101" s="7"/>
    </row>
    <row r="7102" spans="1:13" s="166" customFormat="1" ht="12.75" customHeight="1">
      <c r="A7102" s="698" t="s">
        <v>527</v>
      </c>
      <c r="B7102" s="705"/>
      <c r="C7102" s="700"/>
      <c r="D7102" s="708"/>
      <c r="E7102" s="702"/>
      <c r="F7102" s="703"/>
      <c r="G7102" s="15"/>
      <c r="H7102" s="21"/>
      <c r="I7102" s="15"/>
      <c r="J7102" s="15"/>
      <c r="K7102" s="15"/>
      <c r="L7102" s="21"/>
      <c r="M7102" s="15"/>
    </row>
    <row r="7103" spans="1:13" s="166" customFormat="1" ht="12.75" customHeight="1">
      <c r="A7103" s="704" t="s">
        <v>1946</v>
      </c>
      <c r="B7103" s="705">
        <v>0.11</v>
      </c>
      <c r="C7103" s="700" t="s">
        <v>1228</v>
      </c>
      <c r="D7103" s="701">
        <f>D6923</f>
        <v>540.09</v>
      </c>
      <c r="E7103" s="702">
        <f t="shared" ref="E7103:E7108" si="538">ROUND(B7103*D7103,2)</f>
        <v>59.41</v>
      </c>
      <c r="F7103" s="703"/>
      <c r="G7103" s="15"/>
      <c r="H7103" s="21"/>
      <c r="I7103" s="15"/>
      <c r="J7103" s="15"/>
      <c r="K7103" s="15"/>
      <c r="L7103" s="21"/>
      <c r="M7103" s="15"/>
    </row>
    <row r="7104" spans="1:13" s="166" customFormat="1" ht="12.75" customHeight="1">
      <c r="A7104" s="704" t="s">
        <v>545</v>
      </c>
      <c r="B7104" s="705">
        <v>0.11</v>
      </c>
      <c r="C7104" s="700" t="s">
        <v>1228</v>
      </c>
      <c r="D7104" s="701">
        <f>D7096</f>
        <v>1.64</v>
      </c>
      <c r="E7104" s="702">
        <f t="shared" si="538"/>
        <v>0.18</v>
      </c>
      <c r="F7104" s="703"/>
      <c r="G7104" s="15"/>
      <c r="H7104" s="21"/>
      <c r="I7104" s="15"/>
      <c r="J7104" s="15"/>
      <c r="K7104" s="15"/>
      <c r="L7104" s="21"/>
      <c r="M7104" s="15"/>
    </row>
    <row r="7105" spans="1:13" s="166" customFormat="1" ht="12.75" customHeight="1">
      <c r="A7105" s="704" t="s">
        <v>528</v>
      </c>
      <c r="B7105" s="705">
        <v>1.0999999999999999E-2</v>
      </c>
      <c r="C7105" s="700" t="s">
        <v>1228</v>
      </c>
      <c r="D7105" s="701">
        <f>D7103</f>
        <v>540.09</v>
      </c>
      <c r="E7105" s="702">
        <f t="shared" si="538"/>
        <v>5.94</v>
      </c>
      <c r="F7105" s="703"/>
      <c r="G7105" s="15"/>
      <c r="H7105" s="21"/>
      <c r="I7105" s="15"/>
      <c r="J7105" s="15"/>
      <c r="K7105" s="15"/>
      <c r="L7105" s="21"/>
      <c r="M7105" s="15"/>
    </row>
    <row r="7106" spans="1:13" s="166" customFormat="1" ht="12.75" customHeight="1">
      <c r="A7106" s="704" t="s">
        <v>1176</v>
      </c>
      <c r="B7106" s="705">
        <v>1</v>
      </c>
      <c r="C7106" s="700" t="s">
        <v>213</v>
      </c>
      <c r="D7106" s="701">
        <f t="shared" ref="D7106" si="539">D7098</f>
        <v>9.92</v>
      </c>
      <c r="E7106" s="702">
        <f t="shared" si="538"/>
        <v>9.92</v>
      </c>
      <c r="F7106" s="703"/>
      <c r="G7106" s="15"/>
      <c r="H7106" s="21"/>
      <c r="I7106" s="15"/>
      <c r="J7106" s="15"/>
      <c r="K7106" s="15"/>
      <c r="L7106" s="21"/>
      <c r="M7106" s="15"/>
    </row>
    <row r="7107" spans="1:13" s="166" customFormat="1" ht="12.75" customHeight="1">
      <c r="A7107" s="704" t="s">
        <v>257</v>
      </c>
      <c r="B7107" s="705">
        <v>1</v>
      </c>
      <c r="C7107" s="700" t="s">
        <v>213</v>
      </c>
      <c r="D7107" s="701">
        <f>Prec.!C635</f>
        <v>32.56</v>
      </c>
      <c r="E7107" s="702">
        <f t="shared" si="538"/>
        <v>32.56</v>
      </c>
      <c r="F7107" s="703"/>
      <c r="G7107" s="15"/>
      <c r="H7107" s="21"/>
      <c r="I7107" s="15"/>
      <c r="J7107" s="15"/>
      <c r="K7107" s="15"/>
      <c r="L7107" s="21"/>
      <c r="M7107" s="15"/>
    </row>
    <row r="7108" spans="1:13" s="166" customFormat="1" ht="12.75" customHeight="1">
      <c r="A7108" s="704" t="s">
        <v>560</v>
      </c>
      <c r="B7108" s="705">
        <v>1</v>
      </c>
      <c r="C7108" s="700" t="s">
        <v>213</v>
      </c>
      <c r="D7108" s="701">
        <f>Prec.!C636</f>
        <v>21.7</v>
      </c>
      <c r="E7108" s="702">
        <f t="shared" si="538"/>
        <v>21.7</v>
      </c>
      <c r="F7108" s="703">
        <f>SUM(E7103:E7108)</f>
        <v>129.71</v>
      </c>
      <c r="G7108" s="15"/>
      <c r="H7108" s="21"/>
      <c r="I7108" s="15"/>
      <c r="J7108" s="15"/>
      <c r="K7108" s="15"/>
      <c r="L7108" s="21"/>
      <c r="M7108" s="15"/>
    </row>
    <row r="7109" spans="1:13" s="166" customFormat="1" ht="12.75" customHeight="1">
      <c r="A7109" s="12"/>
      <c r="B7109" s="14"/>
      <c r="C7109" s="24"/>
      <c r="D7109" s="35"/>
      <c r="E7109" s="31"/>
      <c r="F7109" s="32"/>
      <c r="G7109" s="15"/>
      <c r="H7109" s="21"/>
      <c r="I7109" s="15"/>
      <c r="J7109" s="15"/>
      <c r="K7109" s="15"/>
      <c r="L7109" s="21"/>
      <c r="M7109" s="15"/>
    </row>
    <row r="7110" spans="1:13" ht="12.75" customHeight="1">
      <c r="A7110" s="698" t="s">
        <v>874</v>
      </c>
      <c r="B7110" s="705"/>
      <c r="C7110" s="700"/>
      <c r="D7110" s="708"/>
      <c r="E7110" s="702"/>
      <c r="F7110" s="703"/>
    </row>
    <row r="7111" spans="1:13" ht="12.75" customHeight="1">
      <c r="A7111" s="704" t="s">
        <v>1277</v>
      </c>
      <c r="B7111" s="705">
        <v>0.11</v>
      </c>
      <c r="C7111" s="700" t="s">
        <v>1228</v>
      </c>
      <c r="D7111" s="701">
        <f>D6957</f>
        <v>1140</v>
      </c>
      <c r="E7111" s="702">
        <f t="shared" ref="E7111:E7116" si="540">ROUND(B7111*D7111,2)</f>
        <v>125.4</v>
      </c>
      <c r="F7111" s="703"/>
    </row>
    <row r="7112" spans="1:13" ht="12.75" customHeight="1">
      <c r="A7112" s="704" t="s">
        <v>545</v>
      </c>
      <c r="B7112" s="705">
        <v>0.11</v>
      </c>
      <c r="C7112" s="700" t="s">
        <v>1228</v>
      </c>
      <c r="D7112" s="701">
        <f>D7096</f>
        <v>1.64</v>
      </c>
      <c r="E7112" s="702">
        <f t="shared" si="540"/>
        <v>0.18</v>
      </c>
      <c r="F7112" s="703"/>
    </row>
    <row r="7113" spans="1:13" ht="12.75" customHeight="1">
      <c r="A7113" s="704" t="s">
        <v>528</v>
      </c>
      <c r="B7113" s="705">
        <v>1.0999999999999999E-2</v>
      </c>
      <c r="C7113" s="700" t="s">
        <v>1228</v>
      </c>
      <c r="D7113" s="701">
        <f>D7111</f>
        <v>1140</v>
      </c>
      <c r="E7113" s="702">
        <f t="shared" si="540"/>
        <v>12.54</v>
      </c>
      <c r="F7113" s="703"/>
    </row>
    <row r="7114" spans="1:13" ht="12.75" customHeight="1">
      <c r="A7114" s="704" t="s">
        <v>1176</v>
      </c>
      <c r="B7114" s="705">
        <v>1</v>
      </c>
      <c r="C7114" s="700" t="s">
        <v>213</v>
      </c>
      <c r="D7114" s="701">
        <f>Prec.!$C$267</f>
        <v>9.92</v>
      </c>
      <c r="E7114" s="702">
        <f t="shared" si="540"/>
        <v>9.92</v>
      </c>
      <c r="F7114" s="703"/>
    </row>
    <row r="7115" spans="1:13" ht="12.75" customHeight="1">
      <c r="A7115" s="704" t="s">
        <v>1274</v>
      </c>
      <c r="B7115" s="705">
        <v>1</v>
      </c>
      <c r="C7115" s="700" t="s">
        <v>213</v>
      </c>
      <c r="D7115" s="701">
        <f>D7107</f>
        <v>32.56</v>
      </c>
      <c r="E7115" s="702">
        <f t="shared" si="540"/>
        <v>32.56</v>
      </c>
      <c r="F7115" s="703"/>
    </row>
    <row r="7116" spans="1:13" ht="12.75" customHeight="1">
      <c r="A7116" s="704" t="s">
        <v>1275</v>
      </c>
      <c r="B7116" s="705">
        <v>1</v>
      </c>
      <c r="C7116" s="700" t="s">
        <v>213</v>
      </c>
      <c r="D7116" s="701">
        <f>D7108</f>
        <v>21.7</v>
      </c>
      <c r="E7116" s="702">
        <f t="shared" si="540"/>
        <v>21.7</v>
      </c>
      <c r="F7116" s="703">
        <f>SUM(E7110:E7116)</f>
        <v>202.29999999999998</v>
      </c>
    </row>
    <row r="7117" spans="1:13" s="166" customFormat="1" ht="12.75" customHeight="1">
      <c r="A7117" s="12"/>
      <c r="B7117" s="30"/>
      <c r="C7117" s="24"/>
      <c r="D7117" s="41"/>
      <c r="E7117" s="31"/>
      <c r="F7117" s="32"/>
      <c r="G7117" s="15"/>
      <c r="H7117" s="21"/>
      <c r="I7117" s="15"/>
      <c r="J7117" s="15"/>
      <c r="K7117" s="15"/>
      <c r="L7117" s="21"/>
      <c r="M7117" s="15"/>
    </row>
    <row r="7118" spans="1:13" s="166" customFormat="1" ht="12.75" hidden="1" customHeight="1">
      <c r="A7118" s="13" t="s">
        <v>874</v>
      </c>
      <c r="B7118" s="30"/>
      <c r="C7118" s="24"/>
      <c r="D7118" s="35"/>
      <c r="E7118" s="31"/>
      <c r="F7118" s="32"/>
      <c r="G7118" s="15"/>
      <c r="H7118" s="21"/>
      <c r="I7118" s="15"/>
      <c r="J7118" s="15"/>
      <c r="K7118" s="15"/>
      <c r="L7118" s="21"/>
      <c r="M7118" s="15"/>
    </row>
    <row r="7119" spans="1:13" s="166" customFormat="1" ht="12.75" hidden="1" customHeight="1">
      <c r="A7119" s="12" t="s">
        <v>1947</v>
      </c>
      <c r="B7119" s="30">
        <v>0.08</v>
      </c>
      <c r="C7119" s="24" t="s">
        <v>1228</v>
      </c>
      <c r="D7119" s="41">
        <v>830.48</v>
      </c>
      <c r="E7119" s="31">
        <f t="shared" ref="E7119:E7124" si="541">ROUND(B7119*D7119,2)</f>
        <v>66.44</v>
      </c>
      <c r="F7119" s="32"/>
      <c r="G7119" s="15"/>
      <c r="H7119" s="21"/>
      <c r="I7119" s="15"/>
      <c r="J7119" s="15"/>
      <c r="K7119" s="15"/>
      <c r="L7119" s="21"/>
      <c r="M7119" s="15"/>
    </row>
    <row r="7120" spans="1:13" s="166" customFormat="1" ht="12.75" hidden="1" customHeight="1">
      <c r="A7120" s="12" t="s">
        <v>545</v>
      </c>
      <c r="B7120" s="30">
        <v>0.08</v>
      </c>
      <c r="C7120" s="24" t="s">
        <v>1228</v>
      </c>
      <c r="D7120" s="41">
        <f>D7112</f>
        <v>1.64</v>
      </c>
      <c r="E7120" s="31">
        <f t="shared" si="541"/>
        <v>0.13</v>
      </c>
      <c r="F7120" s="32"/>
      <c r="G7120" s="15"/>
      <c r="H7120" s="21"/>
      <c r="I7120" s="15"/>
      <c r="J7120" s="15"/>
      <c r="K7120" s="15"/>
      <c r="L7120" s="21"/>
      <c r="M7120" s="15"/>
    </row>
    <row r="7121" spans="1:13" s="166" customFormat="1" ht="12.75" hidden="1" customHeight="1">
      <c r="A7121" s="12" t="s">
        <v>528</v>
      </c>
      <c r="B7121" s="30">
        <v>8.0000000000000002E-3</v>
      </c>
      <c r="C7121" s="24" t="s">
        <v>1228</v>
      </c>
      <c r="D7121" s="41">
        <f>D7119</f>
        <v>830.48</v>
      </c>
      <c r="E7121" s="31">
        <f t="shared" si="541"/>
        <v>6.64</v>
      </c>
      <c r="F7121" s="32"/>
      <c r="G7121" s="15"/>
      <c r="H7121" s="21"/>
      <c r="I7121" s="15"/>
      <c r="J7121" s="15"/>
      <c r="K7121" s="15"/>
      <c r="L7121" s="21"/>
      <c r="M7121" s="15"/>
    </row>
    <row r="7122" spans="1:13" s="166" customFormat="1" ht="12.75" hidden="1" customHeight="1">
      <c r="A7122" s="12" t="s">
        <v>1176</v>
      </c>
      <c r="B7122" s="30">
        <v>1</v>
      </c>
      <c r="C7122" s="24" t="s">
        <v>213</v>
      </c>
      <c r="D7122" s="41">
        <f>D7114</f>
        <v>9.92</v>
      </c>
      <c r="E7122" s="31">
        <f t="shared" si="541"/>
        <v>9.92</v>
      </c>
      <c r="F7122" s="32"/>
      <c r="G7122" s="15"/>
      <c r="H7122" s="21"/>
      <c r="I7122" s="15"/>
      <c r="J7122" s="15"/>
      <c r="K7122" s="15"/>
      <c r="L7122" s="21"/>
      <c r="M7122" s="15"/>
    </row>
    <row r="7123" spans="1:13" s="166" customFormat="1" ht="12.75" hidden="1" customHeight="1">
      <c r="A7123" s="12" t="s">
        <v>1274</v>
      </c>
      <c r="B7123" s="30">
        <v>1</v>
      </c>
      <c r="C7123" s="24" t="s">
        <v>213</v>
      </c>
      <c r="D7123" s="41">
        <f t="shared" ref="D7123:D7124" si="542">D7115</f>
        <v>32.56</v>
      </c>
      <c r="E7123" s="31">
        <f t="shared" si="541"/>
        <v>32.56</v>
      </c>
      <c r="F7123" s="32"/>
      <c r="G7123" s="15"/>
      <c r="H7123" s="21"/>
      <c r="I7123" s="15"/>
      <c r="J7123" s="15"/>
      <c r="K7123" s="15"/>
      <c r="L7123" s="21"/>
      <c r="M7123" s="15"/>
    </row>
    <row r="7124" spans="1:13" s="166" customFormat="1" ht="12.75" hidden="1" customHeight="1">
      <c r="A7124" s="12" t="s">
        <v>1275</v>
      </c>
      <c r="B7124" s="30">
        <v>1</v>
      </c>
      <c r="C7124" s="24" t="s">
        <v>213</v>
      </c>
      <c r="D7124" s="41">
        <f t="shared" si="542"/>
        <v>21.7</v>
      </c>
      <c r="E7124" s="31">
        <f t="shared" si="541"/>
        <v>21.7</v>
      </c>
      <c r="F7124" s="32">
        <f>SUM(E7118:E7124)</f>
        <v>137.38999999999999</v>
      </c>
      <c r="G7124" s="15"/>
      <c r="H7124" s="21"/>
      <c r="I7124" s="15"/>
      <c r="J7124" s="15"/>
      <c r="K7124" s="15"/>
      <c r="L7124" s="21"/>
      <c r="M7124" s="15"/>
    </row>
    <row r="7125" spans="1:13" s="166" customFormat="1" ht="12.75" hidden="1" customHeight="1">
      <c r="A7125" s="12"/>
      <c r="B7125" s="30"/>
      <c r="C7125" s="24"/>
      <c r="D7125" s="41"/>
      <c r="E7125" s="31"/>
      <c r="F7125" s="32"/>
      <c r="G7125" s="15"/>
      <c r="H7125" s="21"/>
      <c r="I7125" s="15"/>
      <c r="J7125" s="15"/>
      <c r="K7125" s="15"/>
      <c r="L7125" s="21"/>
      <c r="M7125" s="15"/>
    </row>
    <row r="7126" spans="1:13" s="166" customFormat="1" ht="12.75" hidden="1" customHeight="1">
      <c r="A7126" s="12"/>
      <c r="B7126" s="30"/>
      <c r="C7126" s="24"/>
      <c r="D7126" s="41"/>
      <c r="E7126" s="31"/>
      <c r="F7126" s="32"/>
      <c r="G7126" s="15"/>
      <c r="H7126" s="21"/>
      <c r="I7126" s="15"/>
      <c r="J7126" s="15"/>
      <c r="K7126" s="15"/>
      <c r="L7126" s="21"/>
      <c r="M7126" s="15"/>
    </row>
    <row r="7127" spans="1:13" ht="12.75" customHeight="1">
      <c r="A7127" s="698" t="s">
        <v>872</v>
      </c>
      <c r="B7127" s="705"/>
      <c r="C7127" s="700"/>
      <c r="D7127" s="708"/>
      <c r="E7127" s="702"/>
      <c r="F7127" s="703"/>
    </row>
    <row r="7128" spans="1:13" ht="12.75" customHeight="1">
      <c r="A7128" s="704" t="s">
        <v>1277</v>
      </c>
      <c r="B7128" s="705">
        <v>0.11</v>
      </c>
      <c r="C7128" s="700" t="s">
        <v>1228</v>
      </c>
      <c r="D7128" s="701">
        <f>D7111</f>
        <v>1140</v>
      </c>
      <c r="E7128" s="702">
        <f t="shared" ref="E7128:E7134" si="543">ROUND(B7128*D7128,2)</f>
        <v>125.4</v>
      </c>
      <c r="F7128" s="703"/>
    </row>
    <row r="7129" spans="1:13" ht="12.75" customHeight="1">
      <c r="A7129" s="704" t="s">
        <v>545</v>
      </c>
      <c r="B7129" s="705">
        <v>0.11</v>
      </c>
      <c r="C7129" s="700" t="s">
        <v>1228</v>
      </c>
      <c r="D7129" s="701">
        <f>D7112</f>
        <v>1.64</v>
      </c>
      <c r="E7129" s="702">
        <f t="shared" si="543"/>
        <v>0.18</v>
      </c>
      <c r="F7129" s="703"/>
    </row>
    <row r="7130" spans="1:13" ht="12.75" customHeight="1">
      <c r="A7130" s="704" t="s">
        <v>528</v>
      </c>
      <c r="B7130" s="705">
        <v>1.0999999999999999E-2</v>
      </c>
      <c r="C7130" s="700" t="s">
        <v>1228</v>
      </c>
      <c r="D7130" s="701">
        <f>D7113</f>
        <v>1140</v>
      </c>
      <c r="E7130" s="702">
        <f t="shared" si="543"/>
        <v>12.54</v>
      </c>
      <c r="F7130" s="703"/>
    </row>
    <row r="7131" spans="1:13" ht="12.75" customHeight="1">
      <c r="A7131" s="704" t="s">
        <v>1176</v>
      </c>
      <c r="B7131" s="705">
        <v>1</v>
      </c>
      <c r="C7131" s="700" t="s">
        <v>213</v>
      </c>
      <c r="D7131" s="701">
        <f>Prec.!$C$267</f>
        <v>9.92</v>
      </c>
      <c r="E7131" s="702">
        <f t="shared" si="543"/>
        <v>9.92</v>
      </c>
      <c r="F7131" s="703"/>
    </row>
    <row r="7132" spans="1:13" ht="12.75" customHeight="1">
      <c r="A7132" s="704" t="s">
        <v>1274</v>
      </c>
      <c r="B7132" s="705">
        <v>1</v>
      </c>
      <c r="C7132" s="700" t="s">
        <v>213</v>
      </c>
      <c r="D7132" s="701">
        <f>Prec.!C635</f>
        <v>32.56</v>
      </c>
      <c r="E7132" s="702">
        <f t="shared" si="543"/>
        <v>32.56</v>
      </c>
      <c r="F7132" s="703"/>
    </row>
    <row r="7133" spans="1:13" ht="12.75" customHeight="1">
      <c r="A7133" s="704" t="s">
        <v>1275</v>
      </c>
      <c r="B7133" s="705">
        <v>1</v>
      </c>
      <c r="C7133" s="700" t="s">
        <v>213</v>
      </c>
      <c r="D7133" s="701">
        <f>Prec.!C636</f>
        <v>21.7</v>
      </c>
      <c r="E7133" s="702">
        <f t="shared" si="543"/>
        <v>21.7</v>
      </c>
      <c r="F7133" s="725"/>
    </row>
    <row r="7134" spans="1:13" ht="12.75" customHeight="1">
      <c r="A7134" s="704" t="s">
        <v>873</v>
      </c>
      <c r="B7134" s="705">
        <v>1</v>
      </c>
      <c r="C7134" s="700" t="s">
        <v>213</v>
      </c>
      <c r="D7134" s="701">
        <f>Prec.!C268</f>
        <v>7.35</v>
      </c>
      <c r="E7134" s="702">
        <f t="shared" si="543"/>
        <v>7.35</v>
      </c>
      <c r="F7134" s="703">
        <f>SUM(E7127:E7134)</f>
        <v>209.64999999999998</v>
      </c>
    </row>
    <row r="7135" spans="1:13" s="166" customFormat="1" ht="12.75" customHeight="1">
      <c r="A7135" s="12"/>
      <c r="B7135" s="30"/>
      <c r="C7135" s="24"/>
      <c r="D7135" s="41"/>
      <c r="E7135" s="31"/>
      <c r="F7135" s="32"/>
      <c r="G7135" s="15"/>
      <c r="H7135" s="21"/>
      <c r="I7135" s="15"/>
      <c r="J7135" s="15"/>
      <c r="K7135" s="15"/>
      <c r="L7135" s="21"/>
      <c r="M7135" s="15"/>
    </row>
    <row r="7136" spans="1:13" s="166" customFormat="1" ht="12.75" hidden="1" customHeight="1">
      <c r="A7136" s="13" t="s">
        <v>872</v>
      </c>
      <c r="B7136" s="30"/>
      <c r="C7136" s="24"/>
      <c r="D7136" s="35"/>
      <c r="E7136" s="31"/>
      <c r="F7136" s="32"/>
      <c r="G7136" s="15"/>
      <c r="H7136" s="21"/>
      <c r="I7136" s="15"/>
      <c r="J7136" s="15"/>
      <c r="K7136" s="15"/>
      <c r="L7136" s="21"/>
      <c r="M7136" s="15"/>
    </row>
    <row r="7137" spans="1:13" s="166" customFormat="1" ht="12.75" hidden="1" customHeight="1">
      <c r="A7137" s="12" t="s">
        <v>1947</v>
      </c>
      <c r="B7137" s="30">
        <v>0.08</v>
      </c>
      <c r="C7137" s="24" t="s">
        <v>1228</v>
      </c>
      <c r="D7137" s="41">
        <v>830.48</v>
      </c>
      <c r="E7137" s="31">
        <f t="shared" ref="E7137:E7143" si="544">ROUND(B7137*D7137,2)</f>
        <v>66.44</v>
      </c>
      <c r="F7137" s="32"/>
      <c r="G7137" s="15"/>
      <c r="H7137" s="21"/>
      <c r="I7137" s="15"/>
      <c r="J7137" s="15"/>
      <c r="K7137" s="15"/>
      <c r="L7137" s="21"/>
      <c r="M7137" s="15"/>
    </row>
    <row r="7138" spans="1:13" s="166" customFormat="1" ht="12.75" hidden="1" customHeight="1">
      <c r="A7138" s="12" t="s">
        <v>545</v>
      </c>
      <c r="B7138" s="30">
        <v>0.08</v>
      </c>
      <c r="C7138" s="24" t="s">
        <v>1228</v>
      </c>
      <c r="D7138" s="41">
        <f>D7129</f>
        <v>1.64</v>
      </c>
      <c r="E7138" s="31">
        <f t="shared" si="544"/>
        <v>0.13</v>
      </c>
      <c r="F7138" s="32"/>
      <c r="G7138" s="15"/>
      <c r="H7138" s="21"/>
      <c r="I7138" s="15"/>
      <c r="J7138" s="15"/>
      <c r="K7138" s="15"/>
      <c r="L7138" s="21"/>
      <c r="M7138" s="15"/>
    </row>
    <row r="7139" spans="1:13" s="166" customFormat="1" ht="12.75" hidden="1" customHeight="1">
      <c r="A7139" s="12" t="s">
        <v>528</v>
      </c>
      <c r="B7139" s="30">
        <v>8.0000000000000002E-3</v>
      </c>
      <c r="C7139" s="24" t="s">
        <v>1228</v>
      </c>
      <c r="D7139" s="41">
        <f>D7137</f>
        <v>830.48</v>
      </c>
      <c r="E7139" s="31">
        <f t="shared" si="544"/>
        <v>6.64</v>
      </c>
      <c r="F7139" s="32"/>
      <c r="G7139" s="15"/>
      <c r="H7139" s="21"/>
      <c r="I7139" s="15"/>
      <c r="J7139" s="15"/>
      <c r="K7139" s="15"/>
      <c r="L7139" s="21"/>
      <c r="M7139" s="15"/>
    </row>
    <row r="7140" spans="1:13" s="166" customFormat="1" ht="12.75" hidden="1" customHeight="1">
      <c r="A7140" s="12" t="s">
        <v>1176</v>
      </c>
      <c r="B7140" s="30">
        <v>1</v>
      </c>
      <c r="C7140" s="24" t="s">
        <v>213</v>
      </c>
      <c r="D7140" s="41">
        <f>D7131</f>
        <v>9.92</v>
      </c>
      <c r="E7140" s="31">
        <f t="shared" si="544"/>
        <v>9.92</v>
      </c>
      <c r="F7140" s="32"/>
      <c r="G7140" s="15"/>
      <c r="H7140" s="21"/>
      <c r="I7140" s="15"/>
      <c r="J7140" s="15"/>
      <c r="K7140" s="15"/>
      <c r="L7140" s="21"/>
      <c r="M7140" s="15"/>
    </row>
    <row r="7141" spans="1:13" s="166" customFormat="1" ht="12.75" hidden="1" customHeight="1">
      <c r="A7141" s="12" t="s">
        <v>1274</v>
      </c>
      <c r="B7141" s="30">
        <v>1</v>
      </c>
      <c r="C7141" s="24" t="s">
        <v>213</v>
      </c>
      <c r="D7141" s="41">
        <f t="shared" ref="D7141:D7143" si="545">D7132</f>
        <v>32.56</v>
      </c>
      <c r="E7141" s="31">
        <f t="shared" si="544"/>
        <v>32.56</v>
      </c>
      <c r="F7141" s="32"/>
      <c r="G7141" s="15"/>
      <c r="H7141" s="21"/>
      <c r="I7141" s="15"/>
      <c r="J7141" s="15"/>
      <c r="K7141" s="15"/>
      <c r="L7141" s="21"/>
      <c r="M7141" s="15"/>
    </row>
    <row r="7142" spans="1:13" s="166" customFormat="1" ht="12.75" hidden="1" customHeight="1">
      <c r="A7142" s="12" t="s">
        <v>1275</v>
      </c>
      <c r="B7142" s="30">
        <v>1</v>
      </c>
      <c r="C7142" s="24" t="s">
        <v>213</v>
      </c>
      <c r="D7142" s="41">
        <f t="shared" si="545"/>
        <v>21.7</v>
      </c>
      <c r="E7142" s="31">
        <f t="shared" si="544"/>
        <v>21.7</v>
      </c>
      <c r="F7142" s="178"/>
      <c r="G7142" s="15"/>
      <c r="H7142" s="21"/>
      <c r="I7142" s="15"/>
      <c r="J7142" s="15"/>
      <c r="K7142" s="15"/>
      <c r="L7142" s="21"/>
      <c r="M7142" s="15"/>
    </row>
    <row r="7143" spans="1:13" s="166" customFormat="1" ht="12.75" hidden="1" customHeight="1">
      <c r="A7143" s="12" t="s">
        <v>873</v>
      </c>
      <c r="B7143" s="30">
        <v>1</v>
      </c>
      <c r="C7143" s="24" t="s">
        <v>213</v>
      </c>
      <c r="D7143" s="41">
        <f t="shared" si="545"/>
        <v>7.35</v>
      </c>
      <c r="E7143" s="31">
        <f t="shared" si="544"/>
        <v>7.35</v>
      </c>
      <c r="F7143" s="32">
        <f>SUM(E7136:E7143)</f>
        <v>144.73999999999998</v>
      </c>
      <c r="G7143" s="15"/>
      <c r="H7143" s="21"/>
      <c r="I7143" s="15"/>
      <c r="J7143" s="15"/>
      <c r="K7143" s="15"/>
      <c r="L7143" s="21"/>
      <c r="M7143" s="15"/>
    </row>
    <row r="7144" spans="1:13" s="166" customFormat="1" ht="12.75" hidden="1" customHeight="1">
      <c r="A7144" s="12"/>
      <c r="B7144" s="30"/>
      <c r="C7144" s="24"/>
      <c r="D7144" s="41"/>
      <c r="E7144" s="31"/>
      <c r="F7144" s="32"/>
      <c r="G7144" s="15"/>
      <c r="H7144" s="21"/>
      <c r="I7144" s="15"/>
      <c r="J7144" s="15"/>
      <c r="K7144" s="15"/>
      <c r="L7144" s="21"/>
      <c r="M7144" s="15"/>
    </row>
    <row r="7145" spans="1:13" ht="12.75" hidden="1" customHeight="1">
      <c r="A7145" s="12"/>
      <c r="B7145" s="30"/>
      <c r="C7145" s="24"/>
      <c r="D7145" s="35"/>
      <c r="E7145" s="31"/>
      <c r="F7145" s="32"/>
    </row>
    <row r="7146" spans="1:13" ht="12.75" hidden="1" customHeight="1">
      <c r="A7146" s="13" t="s">
        <v>37</v>
      </c>
      <c r="B7146" s="30"/>
      <c r="C7146" s="24"/>
      <c r="D7146" s="35"/>
      <c r="E7146" s="31"/>
      <c r="F7146" s="32"/>
    </row>
    <row r="7147" spans="1:13" ht="12.75" hidden="1" customHeight="1">
      <c r="A7147" s="12" t="s">
        <v>1277</v>
      </c>
      <c r="B7147" s="30">
        <v>0.11</v>
      </c>
      <c r="C7147" s="24" t="s">
        <v>1228</v>
      </c>
      <c r="D7147" s="41">
        <f>Prec.!C248</f>
        <v>550</v>
      </c>
      <c r="E7147" s="31">
        <f t="shared" ref="E7147:E7152" si="546">ROUND(B7147*D7147,2)</f>
        <v>60.5</v>
      </c>
      <c r="F7147" s="32"/>
    </row>
    <row r="7148" spans="1:13" ht="12.75" hidden="1" customHeight="1">
      <c r="A7148" s="12" t="s">
        <v>545</v>
      </c>
      <c r="B7148" s="30">
        <v>0.11</v>
      </c>
      <c r="C7148" s="24" t="s">
        <v>1228</v>
      </c>
      <c r="D7148" s="41">
        <f>D7129</f>
        <v>1.64</v>
      </c>
      <c r="E7148" s="31">
        <f t="shared" si="546"/>
        <v>0.18</v>
      </c>
      <c r="F7148" s="32"/>
    </row>
    <row r="7149" spans="1:13" ht="12.75" hidden="1" customHeight="1">
      <c r="A7149" s="12" t="s">
        <v>528</v>
      </c>
      <c r="B7149" s="30">
        <v>1.0999999999999999E-2</v>
      </c>
      <c r="C7149" s="24" t="s">
        <v>1228</v>
      </c>
      <c r="D7149" s="41">
        <f>D7147</f>
        <v>550</v>
      </c>
      <c r="E7149" s="31">
        <f t="shared" si="546"/>
        <v>6.05</v>
      </c>
      <c r="F7149" s="32"/>
    </row>
    <row r="7150" spans="1:13" ht="12.75" hidden="1" customHeight="1">
      <c r="A7150" s="12" t="s">
        <v>1176</v>
      </c>
      <c r="B7150" s="30">
        <v>1</v>
      </c>
      <c r="C7150" s="24" t="s">
        <v>213</v>
      </c>
      <c r="D7150" s="41">
        <f>D7131</f>
        <v>9.92</v>
      </c>
      <c r="E7150" s="31">
        <f t="shared" si="546"/>
        <v>9.92</v>
      </c>
      <c r="F7150" s="32"/>
    </row>
    <row r="7151" spans="1:13" ht="12.75" hidden="1" customHeight="1">
      <c r="A7151" s="12" t="s">
        <v>1274</v>
      </c>
      <c r="B7151" s="30">
        <v>1</v>
      </c>
      <c r="C7151" s="24" t="s">
        <v>213</v>
      </c>
      <c r="D7151" s="41">
        <f>D7132</f>
        <v>32.56</v>
      </c>
      <c r="E7151" s="31">
        <f t="shared" si="546"/>
        <v>32.56</v>
      </c>
      <c r="F7151" s="32"/>
    </row>
    <row r="7152" spans="1:13" ht="12.75" hidden="1" customHeight="1">
      <c r="A7152" s="12" t="s">
        <v>1275</v>
      </c>
      <c r="B7152" s="30">
        <v>1</v>
      </c>
      <c r="C7152" s="24" t="s">
        <v>213</v>
      </c>
      <c r="D7152" s="41">
        <f>D7133</f>
        <v>21.7</v>
      </c>
      <c r="E7152" s="31">
        <f t="shared" si="546"/>
        <v>21.7</v>
      </c>
      <c r="F7152" s="32">
        <f>SUM(E7146:E7152)</f>
        <v>130.91</v>
      </c>
    </row>
    <row r="7153" spans="1:6" ht="12.75" hidden="1" customHeight="1">
      <c r="A7153" s="12"/>
      <c r="B7153" s="14"/>
      <c r="C7153" s="24"/>
      <c r="D7153" s="35"/>
      <c r="E7153" s="31"/>
      <c r="F7153" s="32"/>
    </row>
    <row r="7154" spans="1:6" ht="12.75" hidden="1" customHeight="1">
      <c r="A7154" s="13" t="s">
        <v>978</v>
      </c>
      <c r="B7154" s="30"/>
      <c r="C7154" s="24"/>
      <c r="D7154" s="35"/>
      <c r="E7154" s="31"/>
      <c r="F7154" s="32"/>
    </row>
    <row r="7155" spans="1:6" ht="12.75" hidden="1" customHeight="1">
      <c r="A7155" s="12" t="s">
        <v>1277</v>
      </c>
      <c r="B7155" s="30">
        <v>0.11</v>
      </c>
      <c r="C7155" s="24" t="s">
        <v>1228</v>
      </c>
      <c r="D7155" s="41">
        <f t="shared" ref="D7155:D7160" si="547">D7147</f>
        <v>550</v>
      </c>
      <c r="E7155" s="31">
        <f t="shared" ref="E7155:E7161" si="548">ROUND(B7155*D7155,2)</f>
        <v>60.5</v>
      </c>
      <c r="F7155" s="32"/>
    </row>
    <row r="7156" spans="1:6" ht="12.75" hidden="1" customHeight="1">
      <c r="A7156" s="12" t="s">
        <v>545</v>
      </c>
      <c r="B7156" s="30">
        <v>0.11</v>
      </c>
      <c r="C7156" s="24" t="s">
        <v>1228</v>
      </c>
      <c r="D7156" s="41">
        <f t="shared" si="547"/>
        <v>1.64</v>
      </c>
      <c r="E7156" s="31">
        <f t="shared" si="548"/>
        <v>0.18</v>
      </c>
      <c r="F7156" s="32"/>
    </row>
    <row r="7157" spans="1:6" ht="12.75" hidden="1" customHeight="1">
      <c r="A7157" s="12" t="s">
        <v>528</v>
      </c>
      <c r="B7157" s="30">
        <v>1.0999999999999999E-2</v>
      </c>
      <c r="C7157" s="24" t="s">
        <v>1228</v>
      </c>
      <c r="D7157" s="41">
        <f t="shared" si="547"/>
        <v>550</v>
      </c>
      <c r="E7157" s="31">
        <f t="shared" si="548"/>
        <v>6.05</v>
      </c>
      <c r="F7157" s="32"/>
    </row>
    <row r="7158" spans="1:6" ht="12.75" hidden="1" customHeight="1">
      <c r="A7158" s="12" t="s">
        <v>1176</v>
      </c>
      <c r="B7158" s="30">
        <v>1</v>
      </c>
      <c r="C7158" s="24" t="s">
        <v>213</v>
      </c>
      <c r="D7158" s="41">
        <f t="shared" si="547"/>
        <v>9.92</v>
      </c>
      <c r="E7158" s="31">
        <f t="shared" si="548"/>
        <v>9.92</v>
      </c>
      <c r="F7158" s="32"/>
    </row>
    <row r="7159" spans="1:6" ht="12.75" hidden="1" customHeight="1">
      <c r="A7159" s="12" t="s">
        <v>1274</v>
      </c>
      <c r="B7159" s="30">
        <v>1</v>
      </c>
      <c r="C7159" s="24" t="s">
        <v>213</v>
      </c>
      <c r="D7159" s="41">
        <f t="shared" si="547"/>
        <v>32.56</v>
      </c>
      <c r="E7159" s="31">
        <f t="shared" si="548"/>
        <v>32.56</v>
      </c>
      <c r="F7159" s="32"/>
    </row>
    <row r="7160" spans="1:6" ht="12.75" hidden="1" customHeight="1">
      <c r="A7160" s="12" t="s">
        <v>1275</v>
      </c>
      <c r="B7160" s="30">
        <v>1</v>
      </c>
      <c r="C7160" s="24" t="s">
        <v>213</v>
      </c>
      <c r="D7160" s="41">
        <f t="shared" si="547"/>
        <v>21.7</v>
      </c>
      <c r="E7160" s="31">
        <f t="shared" si="548"/>
        <v>21.7</v>
      </c>
      <c r="F7160" s="178"/>
    </row>
    <row r="7161" spans="1:6" ht="12.75" hidden="1" customHeight="1">
      <c r="A7161" s="12" t="s">
        <v>873</v>
      </c>
      <c r="B7161" s="30">
        <v>1</v>
      </c>
      <c r="C7161" s="24" t="s">
        <v>213</v>
      </c>
      <c r="D7161" s="41">
        <f>D7134</f>
        <v>7.35</v>
      </c>
      <c r="E7161" s="31">
        <f t="shared" si="548"/>
        <v>7.35</v>
      </c>
      <c r="F7161" s="32">
        <f>SUM(E7154:E7161)</f>
        <v>138.26</v>
      </c>
    </row>
    <row r="7162" spans="1:6" ht="12.75" hidden="1" customHeight="1">
      <c r="A7162" s="12"/>
      <c r="B7162" s="30"/>
      <c r="C7162" s="24"/>
      <c r="D7162" s="35"/>
      <c r="E7162" s="31"/>
      <c r="F7162" s="32"/>
    </row>
    <row r="7163" spans="1:6" ht="12.75" hidden="1" customHeight="1">
      <c r="A7163" s="13" t="s">
        <v>877</v>
      </c>
      <c r="B7163" s="30"/>
      <c r="C7163" s="24"/>
      <c r="D7163" s="35"/>
      <c r="E7163" s="31"/>
      <c r="F7163" s="32"/>
    </row>
    <row r="7164" spans="1:6" ht="12.75" hidden="1" customHeight="1">
      <c r="A7164" s="12" t="s">
        <v>875</v>
      </c>
      <c r="B7164" s="30">
        <v>0.14699999999999999</v>
      </c>
      <c r="C7164" s="24" t="s">
        <v>1228</v>
      </c>
      <c r="D7164" s="41">
        <f>Prec.!$C$250</f>
        <v>1590</v>
      </c>
      <c r="E7164" s="31">
        <f t="shared" ref="E7164:E7170" si="549">ROUND(B7164*D7164,2)</f>
        <v>233.73</v>
      </c>
      <c r="F7164" s="32"/>
    </row>
    <row r="7165" spans="1:6" ht="12.75" hidden="1" customHeight="1">
      <c r="A7165" s="12" t="s">
        <v>545</v>
      </c>
      <c r="B7165" s="30">
        <v>0.14699999999999999</v>
      </c>
      <c r="C7165" s="24" t="s">
        <v>1228</v>
      </c>
      <c r="D7165" s="41">
        <f>D7129</f>
        <v>1.64</v>
      </c>
      <c r="E7165" s="31">
        <f t="shared" si="549"/>
        <v>0.24</v>
      </c>
      <c r="F7165" s="32"/>
    </row>
    <row r="7166" spans="1:6" ht="12.75" hidden="1" customHeight="1">
      <c r="A7166" s="12" t="s">
        <v>528</v>
      </c>
      <c r="B7166" s="30">
        <v>1.4999999999999999E-2</v>
      </c>
      <c r="C7166" s="24" t="s">
        <v>1228</v>
      </c>
      <c r="D7166" s="41">
        <f>Prec.!$C$250</f>
        <v>1590</v>
      </c>
      <c r="E7166" s="31">
        <f t="shared" si="549"/>
        <v>23.85</v>
      </c>
      <c r="F7166" s="32"/>
    </row>
    <row r="7167" spans="1:6" ht="12.75" hidden="1" customHeight="1">
      <c r="A7167" s="12" t="s">
        <v>876</v>
      </c>
      <c r="B7167" s="30">
        <v>0.1</v>
      </c>
      <c r="C7167" s="24" t="s">
        <v>1228</v>
      </c>
      <c r="D7167" s="41">
        <f>Prec.!$C$269</f>
        <v>315</v>
      </c>
      <c r="E7167" s="31">
        <f t="shared" si="549"/>
        <v>31.5</v>
      </c>
      <c r="F7167" s="32"/>
    </row>
    <row r="7168" spans="1:6" ht="12.75" hidden="1" customHeight="1">
      <c r="A7168" s="12" t="s">
        <v>163</v>
      </c>
      <c r="B7168" s="30">
        <v>0.1</v>
      </c>
      <c r="C7168" s="24" t="s">
        <v>1228</v>
      </c>
      <c r="D7168" s="41">
        <f>D7129</f>
        <v>1.64</v>
      </c>
      <c r="E7168" s="31">
        <f>ROUND(B7168*D7168,2)</f>
        <v>0.16</v>
      </c>
      <c r="F7168" s="32"/>
    </row>
    <row r="7169" spans="1:13" ht="12.75" hidden="1" customHeight="1">
      <c r="A7169" s="12" t="s">
        <v>1176</v>
      </c>
      <c r="B7169" s="30">
        <v>1</v>
      </c>
      <c r="C7169" s="24" t="s">
        <v>213</v>
      </c>
      <c r="D7169" s="41">
        <f>Prec.!$C$267</f>
        <v>9.92</v>
      </c>
      <c r="E7169" s="31">
        <f t="shared" si="549"/>
        <v>9.92</v>
      </c>
      <c r="F7169" s="32"/>
    </row>
    <row r="7170" spans="1:13" ht="12.75" hidden="1" customHeight="1">
      <c r="A7170" s="12" t="s">
        <v>998</v>
      </c>
      <c r="B7170" s="30">
        <v>2</v>
      </c>
      <c r="C7170" s="24" t="s">
        <v>213</v>
      </c>
      <c r="D7170" s="41">
        <f>Prec.!$D$648</f>
        <v>109.25</v>
      </c>
      <c r="E7170" s="31">
        <f t="shared" si="549"/>
        <v>218.5</v>
      </c>
      <c r="F7170" s="32">
        <f>SUM(E7164:E7170)</f>
        <v>517.90000000000009</v>
      </c>
    </row>
    <row r="7171" spans="1:13" ht="12.75" customHeight="1">
      <c r="A7171" s="12"/>
      <c r="B7171" s="30"/>
      <c r="C7171" s="24"/>
      <c r="D7171" s="41"/>
      <c r="E7171" s="31"/>
      <c r="F7171" s="32"/>
    </row>
    <row r="7172" spans="1:13" ht="12.75" customHeight="1">
      <c r="A7172" s="698" t="s">
        <v>878</v>
      </c>
      <c r="B7172" s="705"/>
      <c r="C7172" s="700"/>
      <c r="D7172" s="708"/>
      <c r="E7172" s="702"/>
      <c r="F7172" s="703"/>
    </row>
    <row r="7173" spans="1:13" ht="12.75" customHeight="1">
      <c r="A7173" s="704" t="s">
        <v>875</v>
      </c>
      <c r="B7173" s="705">
        <v>0.14699999999999999</v>
      </c>
      <c r="C7173" s="700" t="s">
        <v>1228</v>
      </c>
      <c r="D7173" s="701">
        <f>Prec.!$C$250</f>
        <v>1590</v>
      </c>
      <c r="E7173" s="702">
        <f t="shared" ref="E7173:E7180" si="550">ROUND(B7173*D7173,2)</f>
        <v>233.73</v>
      </c>
      <c r="F7173" s="703"/>
    </row>
    <row r="7174" spans="1:13" ht="12.75" customHeight="1">
      <c r="A7174" s="704" t="s">
        <v>545</v>
      </c>
      <c r="B7174" s="705">
        <v>0.14699999999999999</v>
      </c>
      <c r="C7174" s="700" t="s">
        <v>1228</v>
      </c>
      <c r="D7174" s="701">
        <f>D7165</f>
        <v>1.64</v>
      </c>
      <c r="E7174" s="702">
        <f t="shared" si="550"/>
        <v>0.24</v>
      </c>
      <c r="F7174" s="703"/>
    </row>
    <row r="7175" spans="1:13" ht="12.75" customHeight="1">
      <c r="A7175" s="704" t="s">
        <v>528</v>
      </c>
      <c r="B7175" s="705">
        <v>1.4999999999999999E-2</v>
      </c>
      <c r="C7175" s="700" t="s">
        <v>1228</v>
      </c>
      <c r="D7175" s="701">
        <f>Prec.!$C$250</f>
        <v>1590</v>
      </c>
      <c r="E7175" s="702">
        <f t="shared" si="550"/>
        <v>23.85</v>
      </c>
      <c r="F7175" s="703"/>
    </row>
    <row r="7176" spans="1:13" ht="12.75" customHeight="1">
      <c r="A7176" s="704" t="s">
        <v>876</v>
      </c>
      <c r="B7176" s="705">
        <v>0.1</v>
      </c>
      <c r="C7176" s="700" t="s">
        <v>1228</v>
      </c>
      <c r="D7176" s="701">
        <f>Prec.!$C$269</f>
        <v>315</v>
      </c>
      <c r="E7176" s="702">
        <f t="shared" si="550"/>
        <v>31.5</v>
      </c>
      <c r="F7176" s="703"/>
    </row>
    <row r="7177" spans="1:13" ht="12.75" customHeight="1">
      <c r="A7177" s="704" t="s">
        <v>163</v>
      </c>
      <c r="B7177" s="705">
        <v>0.1</v>
      </c>
      <c r="C7177" s="700" t="s">
        <v>1228</v>
      </c>
      <c r="D7177" s="701">
        <f>D7165</f>
        <v>1.64</v>
      </c>
      <c r="E7177" s="702">
        <f t="shared" si="550"/>
        <v>0.16</v>
      </c>
      <c r="F7177" s="703"/>
    </row>
    <row r="7178" spans="1:13" ht="12.75" customHeight="1">
      <c r="A7178" s="704" t="s">
        <v>1176</v>
      </c>
      <c r="B7178" s="705">
        <v>1</v>
      </c>
      <c r="C7178" s="700" t="s">
        <v>213</v>
      </c>
      <c r="D7178" s="701">
        <f>Prec.!$C$267</f>
        <v>9.92</v>
      </c>
      <c r="E7178" s="702">
        <f t="shared" si="550"/>
        <v>9.92</v>
      </c>
      <c r="F7178" s="703"/>
    </row>
    <row r="7179" spans="1:13" ht="12.75" customHeight="1">
      <c r="A7179" s="704" t="s">
        <v>1273</v>
      </c>
      <c r="B7179" s="705">
        <v>1</v>
      </c>
      <c r="C7179" s="700" t="s">
        <v>213</v>
      </c>
      <c r="D7179" s="701">
        <f>Prec.!C637</f>
        <v>34.74</v>
      </c>
      <c r="E7179" s="702">
        <f t="shared" si="550"/>
        <v>34.74</v>
      </c>
      <c r="F7179" s="703"/>
    </row>
    <row r="7180" spans="1:13" ht="12.75" customHeight="1">
      <c r="A7180" s="704" t="s">
        <v>1272</v>
      </c>
      <c r="B7180" s="705">
        <v>1</v>
      </c>
      <c r="C7180" s="700" t="s">
        <v>213</v>
      </c>
      <c r="D7180" s="701">
        <f>Prec.!C638</f>
        <v>32.56</v>
      </c>
      <c r="E7180" s="702">
        <f t="shared" si="550"/>
        <v>32.56</v>
      </c>
      <c r="F7180" s="703">
        <f>SUM(E7173:E7180)</f>
        <v>366.70000000000005</v>
      </c>
    </row>
    <row r="7181" spans="1:13" ht="12.75" customHeight="1">
      <c r="A7181" s="12"/>
      <c r="B7181" s="30"/>
      <c r="C7181" s="24"/>
      <c r="D7181" s="41"/>
      <c r="E7181" s="31"/>
      <c r="F7181" s="32"/>
    </row>
    <row r="7182" spans="1:13" s="166" customFormat="1" ht="12.75" hidden="1" customHeight="1">
      <c r="A7182" s="12"/>
      <c r="B7182" s="30"/>
      <c r="C7182" s="24"/>
      <c r="D7182" s="41"/>
      <c r="E7182" s="31"/>
      <c r="F7182" s="32"/>
      <c r="G7182" s="15"/>
      <c r="H7182" s="21"/>
      <c r="I7182" s="15"/>
      <c r="J7182" s="15"/>
      <c r="K7182" s="15"/>
      <c r="L7182" s="21"/>
      <c r="M7182" s="15"/>
    </row>
    <row r="7183" spans="1:13" s="166" customFormat="1" ht="12.75" hidden="1" customHeight="1">
      <c r="A7183" s="12"/>
      <c r="B7183" s="30"/>
      <c r="C7183" s="24"/>
      <c r="D7183" s="41"/>
      <c r="E7183" s="31"/>
      <c r="F7183" s="32"/>
      <c r="G7183" s="15"/>
      <c r="H7183" s="21"/>
      <c r="I7183" s="15"/>
      <c r="J7183" s="15"/>
      <c r="K7183" s="15"/>
      <c r="L7183" s="21"/>
      <c r="M7183" s="15"/>
    </row>
    <row r="7184" spans="1:13" s="166" customFormat="1" ht="12.75" hidden="1" customHeight="1">
      <c r="A7184" s="12"/>
      <c r="B7184" s="30"/>
      <c r="C7184" s="24"/>
      <c r="D7184" s="41"/>
      <c r="E7184" s="31"/>
      <c r="F7184" s="32"/>
      <c r="G7184" s="15"/>
      <c r="H7184" s="21"/>
      <c r="I7184" s="15"/>
      <c r="J7184" s="15"/>
      <c r="K7184" s="15"/>
      <c r="L7184" s="21"/>
      <c r="M7184" s="15"/>
    </row>
    <row r="7185" spans="1:13" s="166" customFormat="1" ht="12.75" hidden="1" customHeight="1">
      <c r="A7185" s="12"/>
      <c r="B7185" s="30"/>
      <c r="C7185" s="24"/>
      <c r="D7185" s="41"/>
      <c r="E7185" s="31"/>
      <c r="F7185" s="32"/>
      <c r="G7185" s="15"/>
      <c r="H7185" s="21"/>
      <c r="I7185" s="15"/>
      <c r="J7185" s="15"/>
      <c r="K7185" s="15"/>
      <c r="L7185" s="21"/>
      <c r="M7185" s="15"/>
    </row>
    <row r="7186" spans="1:13" s="166" customFormat="1" ht="12.75" hidden="1" customHeight="1">
      <c r="A7186" s="12"/>
      <c r="B7186" s="30"/>
      <c r="C7186" s="24"/>
      <c r="D7186" s="41"/>
      <c r="E7186" s="31"/>
      <c r="F7186" s="32"/>
      <c r="G7186" s="15"/>
      <c r="H7186" s="21"/>
      <c r="I7186" s="15"/>
      <c r="J7186" s="15"/>
      <c r="K7186" s="15"/>
      <c r="L7186" s="21"/>
      <c r="M7186" s="15"/>
    </row>
    <row r="7187" spans="1:13" ht="12.75" hidden="1" customHeight="1">
      <c r="A7187" s="13" t="s">
        <v>1270</v>
      </c>
      <c r="B7187" s="30"/>
      <c r="C7187" s="24"/>
      <c r="D7187" s="35"/>
      <c r="E7187" s="31"/>
      <c r="F7187" s="32"/>
    </row>
    <row r="7188" spans="1:13" ht="12.75" hidden="1" customHeight="1">
      <c r="A7188" s="12" t="s">
        <v>1270</v>
      </c>
      <c r="B7188" s="30">
        <v>0.11</v>
      </c>
      <c r="C7188" s="24" t="s">
        <v>1228</v>
      </c>
      <c r="D7188" s="41">
        <f>Prec.!$C$251</f>
        <v>1110</v>
      </c>
      <c r="E7188" s="31">
        <f t="shared" ref="E7188:E7195" si="551">ROUND(B7188*D7188,2)</f>
        <v>122.1</v>
      </c>
      <c r="F7188" s="32"/>
    </row>
    <row r="7189" spans="1:13" ht="12.75" hidden="1" customHeight="1">
      <c r="A7189" s="12" t="s">
        <v>545</v>
      </c>
      <c r="B7189" s="30">
        <v>0.11</v>
      </c>
      <c r="C7189" s="24" t="s">
        <v>1228</v>
      </c>
      <c r="D7189" s="41">
        <f>D7174</f>
        <v>1.64</v>
      </c>
      <c r="E7189" s="31">
        <f t="shared" si="551"/>
        <v>0.18</v>
      </c>
      <c r="F7189" s="32"/>
    </row>
    <row r="7190" spans="1:13" ht="12.75" hidden="1" customHeight="1">
      <c r="A7190" s="12" t="s">
        <v>528</v>
      </c>
      <c r="B7190" s="30">
        <v>1.0999999999999999E-2</v>
      </c>
      <c r="C7190" s="24" t="s">
        <v>1228</v>
      </c>
      <c r="D7190" s="41">
        <f>Prec.!$C$251</f>
        <v>1110</v>
      </c>
      <c r="E7190" s="31">
        <f t="shared" si="551"/>
        <v>12.21</v>
      </c>
      <c r="F7190" s="32"/>
    </row>
    <row r="7191" spans="1:13" ht="12.75" hidden="1" customHeight="1">
      <c r="A7191" s="12" t="s">
        <v>876</v>
      </c>
      <c r="B7191" s="30">
        <v>0.1</v>
      </c>
      <c r="C7191" s="24" t="s">
        <v>1228</v>
      </c>
      <c r="D7191" s="41">
        <f>Prec.!$C$269</f>
        <v>315</v>
      </c>
      <c r="E7191" s="31">
        <f t="shared" si="551"/>
        <v>31.5</v>
      </c>
      <c r="F7191" s="32"/>
    </row>
    <row r="7192" spans="1:13" ht="12.75" hidden="1" customHeight="1">
      <c r="A7192" s="12" t="s">
        <v>163</v>
      </c>
      <c r="B7192" s="30">
        <v>0.1</v>
      </c>
      <c r="C7192" s="24" t="s">
        <v>1228</v>
      </c>
      <c r="D7192" s="41">
        <f>D7174</f>
        <v>1.64</v>
      </c>
      <c r="E7192" s="31">
        <f t="shared" si="551"/>
        <v>0.16</v>
      </c>
      <c r="F7192" s="32"/>
    </row>
    <row r="7193" spans="1:13" ht="12.75" hidden="1" customHeight="1">
      <c r="A7193" s="12" t="s">
        <v>1176</v>
      </c>
      <c r="B7193" s="30">
        <v>1</v>
      </c>
      <c r="C7193" s="24" t="s">
        <v>213</v>
      </c>
      <c r="D7193" s="41">
        <f>Prec.!$C$267</f>
        <v>9.92</v>
      </c>
      <c r="E7193" s="31">
        <f t="shared" si="551"/>
        <v>9.92</v>
      </c>
      <c r="F7193" s="32"/>
    </row>
    <row r="7194" spans="1:13" ht="12.75" hidden="1" customHeight="1">
      <c r="A7194" s="12" t="s">
        <v>1273</v>
      </c>
      <c r="B7194" s="30">
        <v>1</v>
      </c>
      <c r="C7194" s="24" t="s">
        <v>213</v>
      </c>
      <c r="D7194" s="41">
        <f>D7179</f>
        <v>34.74</v>
      </c>
      <c r="E7194" s="31">
        <f t="shared" si="551"/>
        <v>34.74</v>
      </c>
      <c r="F7194" s="32"/>
    </row>
    <row r="7195" spans="1:13" ht="12.75" hidden="1" customHeight="1">
      <c r="A7195" s="12" t="s">
        <v>1272</v>
      </c>
      <c r="B7195" s="30">
        <v>1</v>
      </c>
      <c r="C7195" s="24" t="s">
        <v>213</v>
      </c>
      <c r="D7195" s="41">
        <f>D7180</f>
        <v>32.56</v>
      </c>
      <c r="E7195" s="31">
        <f t="shared" si="551"/>
        <v>32.56</v>
      </c>
      <c r="F7195" s="32">
        <f>SUM(E7188:E7195)</f>
        <v>243.37</v>
      </c>
    </row>
    <row r="7196" spans="1:13" ht="12.75" hidden="1" customHeight="1">
      <c r="A7196" s="12"/>
      <c r="B7196" s="30"/>
      <c r="C7196" s="24"/>
      <c r="D7196" s="41"/>
      <c r="E7196" s="31"/>
      <c r="F7196" s="32"/>
    </row>
    <row r="7197" spans="1:13" ht="12.75" hidden="1" customHeight="1">
      <c r="A7197" s="13" t="s">
        <v>379</v>
      </c>
      <c r="B7197" s="30"/>
      <c r="C7197" s="24"/>
      <c r="D7197" s="35"/>
      <c r="E7197" s="31"/>
      <c r="F7197" s="32"/>
    </row>
    <row r="7198" spans="1:13" ht="12.75" hidden="1" customHeight="1">
      <c r="A7198" s="12" t="s">
        <v>380</v>
      </c>
      <c r="B7198" s="30">
        <v>0.11</v>
      </c>
      <c r="C7198" s="24" t="s">
        <v>1228</v>
      </c>
      <c r="D7198" s="41">
        <f>Prec.!$C$260</f>
        <v>1115</v>
      </c>
      <c r="E7198" s="31">
        <f t="shared" ref="E7198:E7205" si="552">ROUND(B7198*D7198,2)</f>
        <v>122.65</v>
      </c>
      <c r="F7198" s="32"/>
    </row>
    <row r="7199" spans="1:13" ht="12.75" hidden="1" customHeight="1">
      <c r="A7199" s="12" t="s">
        <v>545</v>
      </c>
      <c r="B7199" s="30">
        <v>0.11</v>
      </c>
      <c r="C7199" s="24" t="s">
        <v>1228</v>
      </c>
      <c r="D7199" s="41">
        <f>D7189</f>
        <v>1.64</v>
      </c>
      <c r="E7199" s="31">
        <f t="shared" si="552"/>
        <v>0.18</v>
      </c>
      <c r="F7199" s="32"/>
    </row>
    <row r="7200" spans="1:13" ht="12.75" hidden="1" customHeight="1">
      <c r="A7200" s="12" t="s">
        <v>528</v>
      </c>
      <c r="B7200" s="30">
        <v>1.0999999999999999E-2</v>
      </c>
      <c r="C7200" s="24" t="s">
        <v>1228</v>
      </c>
      <c r="D7200" s="41">
        <f>Prec.!$C$260</f>
        <v>1115</v>
      </c>
      <c r="E7200" s="31">
        <f t="shared" si="552"/>
        <v>12.27</v>
      </c>
      <c r="F7200" s="32"/>
    </row>
    <row r="7201" spans="1:6" ht="12.75" hidden="1" customHeight="1">
      <c r="A7201" s="12" t="s">
        <v>1276</v>
      </c>
      <c r="B7201" s="30">
        <v>0.2</v>
      </c>
      <c r="C7201" s="24" t="s">
        <v>1228</v>
      </c>
      <c r="D7201" s="41">
        <f>Prec.!$C$290</f>
        <v>293.10000000000002</v>
      </c>
      <c r="E7201" s="31">
        <f t="shared" si="552"/>
        <v>58.62</v>
      </c>
      <c r="F7201" s="32"/>
    </row>
    <row r="7202" spans="1:6" ht="12.75" hidden="1" customHeight="1">
      <c r="A7202" s="12" t="s">
        <v>466</v>
      </c>
      <c r="B7202" s="30">
        <v>0.2</v>
      </c>
      <c r="C7202" s="24" t="s">
        <v>1228</v>
      </c>
      <c r="D7202" s="41">
        <f>D7199</f>
        <v>1.64</v>
      </c>
      <c r="E7202" s="31">
        <f t="shared" si="552"/>
        <v>0.33</v>
      </c>
      <c r="F7202" s="32"/>
    </row>
    <row r="7203" spans="1:6" ht="12.75" hidden="1" customHeight="1">
      <c r="A7203" s="12" t="s">
        <v>1176</v>
      </c>
      <c r="B7203" s="30">
        <v>1</v>
      </c>
      <c r="C7203" s="24" t="s">
        <v>213</v>
      </c>
      <c r="D7203" s="41">
        <f>Prec.!$C$267</f>
        <v>9.92</v>
      </c>
      <c r="E7203" s="31">
        <f t="shared" si="552"/>
        <v>9.92</v>
      </c>
      <c r="F7203" s="32"/>
    </row>
    <row r="7204" spans="1:6" ht="12.75" hidden="1" customHeight="1">
      <c r="A7204" s="12" t="s">
        <v>1273</v>
      </c>
      <c r="B7204" s="30">
        <v>1</v>
      </c>
      <c r="C7204" s="24" t="s">
        <v>213</v>
      </c>
      <c r="D7204" s="41">
        <f>Prec.!$D$637</f>
        <v>0</v>
      </c>
      <c r="E7204" s="31">
        <f t="shared" si="552"/>
        <v>0</v>
      </c>
      <c r="F7204" s="32"/>
    </row>
    <row r="7205" spans="1:6" ht="12.75" hidden="1" customHeight="1">
      <c r="A7205" s="12" t="s">
        <v>1272</v>
      </c>
      <c r="B7205" s="30">
        <v>1</v>
      </c>
      <c r="C7205" s="24" t="s">
        <v>213</v>
      </c>
      <c r="D7205" s="41">
        <f>Prec.!$D$638</f>
        <v>0</v>
      </c>
      <c r="E7205" s="31">
        <f t="shared" si="552"/>
        <v>0</v>
      </c>
      <c r="F7205" s="32">
        <f>SUM(E7198:E7205)</f>
        <v>203.97000000000003</v>
      </c>
    </row>
    <row r="7206" spans="1:6" ht="12.75" hidden="1" customHeight="1">
      <c r="A7206" s="12"/>
      <c r="B7206" s="30"/>
      <c r="C7206" s="24"/>
      <c r="D7206" s="41"/>
      <c r="E7206" s="31"/>
      <c r="F7206" s="32"/>
    </row>
    <row r="7207" spans="1:6" ht="12.75" hidden="1" customHeight="1">
      <c r="A7207" s="13" t="s">
        <v>381</v>
      </c>
      <c r="B7207" s="30"/>
      <c r="C7207" s="24"/>
      <c r="D7207" s="35"/>
      <c r="E7207" s="31"/>
      <c r="F7207" s="32"/>
    </row>
    <row r="7208" spans="1:6" ht="12.75" hidden="1" customHeight="1">
      <c r="A7208" s="12" t="s">
        <v>1277</v>
      </c>
      <c r="B7208" s="30">
        <v>0.17</v>
      </c>
      <c r="C7208" s="24" t="s">
        <v>1228</v>
      </c>
      <c r="D7208" s="41">
        <f>Prec.!$C$246</f>
        <v>1140</v>
      </c>
      <c r="E7208" s="31">
        <f t="shared" ref="E7208:E7213" si="553">ROUND(B7208*D7208,2)</f>
        <v>193.8</v>
      </c>
      <c r="F7208" s="32"/>
    </row>
    <row r="7209" spans="1:6" ht="12.75" hidden="1" customHeight="1">
      <c r="A7209" s="12" t="s">
        <v>545</v>
      </c>
      <c r="B7209" s="30">
        <v>0.17</v>
      </c>
      <c r="C7209" s="24" t="s">
        <v>1228</v>
      </c>
      <c r="D7209" s="41">
        <f>D7199</f>
        <v>1.64</v>
      </c>
      <c r="E7209" s="31">
        <f t="shared" si="553"/>
        <v>0.28000000000000003</v>
      </c>
      <c r="F7209" s="32"/>
    </row>
    <row r="7210" spans="1:6" ht="12.75" hidden="1" customHeight="1">
      <c r="A7210" s="12" t="s">
        <v>528</v>
      </c>
      <c r="B7210" s="30">
        <v>1.7000000000000001E-2</v>
      </c>
      <c r="C7210" s="24" t="s">
        <v>1228</v>
      </c>
      <c r="D7210" s="41">
        <f>Prec.!$C$246</f>
        <v>1140</v>
      </c>
      <c r="E7210" s="31">
        <f t="shared" si="553"/>
        <v>19.38</v>
      </c>
      <c r="F7210" s="32"/>
    </row>
    <row r="7211" spans="1:6" ht="12.75" hidden="1" customHeight="1">
      <c r="A7211" s="12" t="s">
        <v>1176</v>
      </c>
      <c r="B7211" s="30">
        <v>1</v>
      </c>
      <c r="C7211" s="24" t="s">
        <v>213</v>
      </c>
      <c r="D7211" s="41">
        <f>Prec.!$C$267</f>
        <v>9.92</v>
      </c>
      <c r="E7211" s="31">
        <f t="shared" si="553"/>
        <v>9.92</v>
      </c>
      <c r="F7211" s="32"/>
    </row>
    <row r="7212" spans="1:6" ht="12.75" hidden="1" customHeight="1">
      <c r="A7212" s="12" t="s">
        <v>1278</v>
      </c>
      <c r="B7212" s="30">
        <v>1</v>
      </c>
      <c r="C7212" s="24" t="s">
        <v>213</v>
      </c>
      <c r="D7212" s="41">
        <f>Prec.!$D$639</f>
        <v>0</v>
      </c>
      <c r="E7212" s="31">
        <f t="shared" si="553"/>
        <v>0</v>
      </c>
      <c r="F7212" s="32"/>
    </row>
    <row r="7213" spans="1:6" ht="12.75" hidden="1" customHeight="1">
      <c r="A7213" s="12" t="s">
        <v>378</v>
      </c>
      <c r="B7213" s="30">
        <v>1</v>
      </c>
      <c r="C7213" s="24" t="s">
        <v>213</v>
      </c>
      <c r="D7213" s="41">
        <f>Prec.!$D$640</f>
        <v>0</v>
      </c>
      <c r="E7213" s="31">
        <f t="shared" si="553"/>
        <v>0</v>
      </c>
      <c r="F7213" s="32">
        <f>SUM(E7207:E7213)</f>
        <v>223.38</v>
      </c>
    </row>
    <row r="7214" spans="1:6" ht="12.75" customHeight="1">
      <c r="A7214" s="12"/>
      <c r="B7214" s="14"/>
      <c r="C7214" s="24"/>
      <c r="D7214" s="35"/>
      <c r="E7214" s="31"/>
      <c r="F7214" s="32"/>
    </row>
    <row r="7215" spans="1:6" ht="12.75" customHeight="1">
      <c r="A7215" s="698" t="s">
        <v>1144</v>
      </c>
      <c r="B7215" s="705"/>
      <c r="C7215" s="700"/>
      <c r="D7215" s="708"/>
      <c r="E7215" s="702"/>
      <c r="F7215" s="703"/>
    </row>
    <row r="7216" spans="1:6" ht="12.75" customHeight="1">
      <c r="A7216" s="704" t="s">
        <v>219</v>
      </c>
      <c r="B7216" s="705">
        <v>0.14699999999999999</v>
      </c>
      <c r="C7216" s="700" t="s">
        <v>1228</v>
      </c>
      <c r="D7216" s="701">
        <f>Prec.!C254</f>
        <v>1540</v>
      </c>
      <c r="E7216" s="702">
        <f t="shared" ref="E7216:E7221" si="554">ROUND(B7216*D7216,2)</f>
        <v>226.38</v>
      </c>
      <c r="F7216" s="703"/>
    </row>
    <row r="7217" spans="1:6" ht="12.75" customHeight="1">
      <c r="A7217" s="704" t="s">
        <v>545</v>
      </c>
      <c r="B7217" s="705">
        <v>0.14699999999999999</v>
      </c>
      <c r="C7217" s="700" t="s">
        <v>1228</v>
      </c>
      <c r="D7217" s="701">
        <f>D7209</f>
        <v>1.64</v>
      </c>
      <c r="E7217" s="702">
        <f t="shared" si="554"/>
        <v>0.24</v>
      </c>
      <c r="F7217" s="703"/>
    </row>
    <row r="7218" spans="1:6" ht="12.75" customHeight="1">
      <c r="A7218" s="704" t="s">
        <v>528</v>
      </c>
      <c r="B7218" s="705">
        <v>1.4999999999999999E-2</v>
      </c>
      <c r="C7218" s="700" t="s">
        <v>1228</v>
      </c>
      <c r="D7218" s="701">
        <f>D7216</f>
        <v>1540</v>
      </c>
      <c r="E7218" s="702">
        <f t="shared" si="554"/>
        <v>23.1</v>
      </c>
      <c r="F7218" s="703"/>
    </row>
    <row r="7219" spans="1:6" ht="12.75" customHeight="1">
      <c r="A7219" s="704" t="s">
        <v>1176</v>
      </c>
      <c r="B7219" s="705">
        <v>1</v>
      </c>
      <c r="C7219" s="700" t="s">
        <v>213</v>
      </c>
      <c r="D7219" s="701">
        <f>Prec.!$C$267</f>
        <v>9.92</v>
      </c>
      <c r="E7219" s="702">
        <f t="shared" si="554"/>
        <v>9.92</v>
      </c>
      <c r="F7219" s="703"/>
    </row>
    <row r="7220" spans="1:6" ht="12.75" customHeight="1">
      <c r="A7220" s="704" t="s">
        <v>1274</v>
      </c>
      <c r="B7220" s="705">
        <v>1</v>
      </c>
      <c r="C7220" s="700" t="s">
        <v>213</v>
      </c>
      <c r="D7220" s="701">
        <f>Prec.!C635</f>
        <v>32.56</v>
      </c>
      <c r="E7220" s="702">
        <f t="shared" si="554"/>
        <v>32.56</v>
      </c>
      <c r="F7220" s="703"/>
    </row>
    <row r="7221" spans="1:6" ht="12.75" customHeight="1">
      <c r="A7221" s="704" t="s">
        <v>1275</v>
      </c>
      <c r="B7221" s="705">
        <v>1</v>
      </c>
      <c r="C7221" s="700" t="s">
        <v>213</v>
      </c>
      <c r="D7221" s="701">
        <f>Prec.!C636</f>
        <v>21.7</v>
      </c>
      <c r="E7221" s="702">
        <f t="shared" si="554"/>
        <v>21.7</v>
      </c>
      <c r="F7221" s="703">
        <f>SUM(E7216:E7221)</f>
        <v>313.89999999999998</v>
      </c>
    </row>
    <row r="7222" spans="1:6" ht="12.75" customHeight="1">
      <c r="A7222" s="12"/>
      <c r="B7222" s="30"/>
      <c r="C7222" s="24"/>
      <c r="D7222" s="41"/>
      <c r="E7222" s="31"/>
      <c r="F7222" s="32"/>
    </row>
    <row r="7223" spans="1:6" ht="12.75" hidden="1" customHeight="1">
      <c r="A7223" s="13" t="s">
        <v>484</v>
      </c>
      <c r="B7223" s="30"/>
      <c r="C7223" s="24"/>
      <c r="D7223" s="35"/>
      <c r="E7223" s="31"/>
      <c r="F7223" s="32"/>
    </row>
    <row r="7224" spans="1:6" ht="12.75" hidden="1" customHeight="1">
      <c r="A7224" s="12" t="s">
        <v>483</v>
      </c>
      <c r="B7224" s="30">
        <v>0.14699999999999999</v>
      </c>
      <c r="C7224" s="24" t="s">
        <v>1228</v>
      </c>
      <c r="D7224" s="41">
        <f>Prec.!$C$261</f>
        <v>842</v>
      </c>
      <c r="E7224" s="31">
        <f t="shared" ref="E7224:E7233" si="555">ROUND(B7224*D7224,2)</f>
        <v>123.77</v>
      </c>
      <c r="F7224" s="32"/>
    </row>
    <row r="7225" spans="1:6" ht="12.75" hidden="1" customHeight="1">
      <c r="A7225" s="12" t="s">
        <v>545</v>
      </c>
      <c r="B7225" s="30">
        <v>0.14699999999999999</v>
      </c>
      <c r="C7225" s="24" t="s">
        <v>1228</v>
      </c>
      <c r="D7225" s="41">
        <f>D7217</f>
        <v>1.64</v>
      </c>
      <c r="E7225" s="31">
        <f t="shared" si="555"/>
        <v>0.24</v>
      </c>
      <c r="F7225" s="32"/>
    </row>
    <row r="7226" spans="1:6" ht="12.75" hidden="1" customHeight="1">
      <c r="A7226" s="12" t="s">
        <v>528</v>
      </c>
      <c r="B7226" s="30">
        <v>1.4999999999999999E-2</v>
      </c>
      <c r="C7226" s="24" t="s">
        <v>1228</v>
      </c>
      <c r="D7226" s="41">
        <f>Prec.!$C$261</f>
        <v>842</v>
      </c>
      <c r="E7226" s="31">
        <f t="shared" si="555"/>
        <v>12.63</v>
      </c>
      <c r="F7226" s="32"/>
    </row>
    <row r="7227" spans="1:6" ht="12.75" hidden="1" customHeight="1">
      <c r="A7227" s="12" t="s">
        <v>983</v>
      </c>
      <c r="B7227" s="30">
        <f>B7224*2</f>
        <v>0.29399999999999998</v>
      </c>
      <c r="C7227" s="24" t="s">
        <v>1228</v>
      </c>
      <c r="D7227" s="41">
        <f>Prec.!C271</f>
        <v>330</v>
      </c>
      <c r="E7227" s="31">
        <f t="shared" si="555"/>
        <v>97.02</v>
      </c>
      <c r="F7227" s="32"/>
    </row>
    <row r="7228" spans="1:6" ht="12.75" hidden="1" customHeight="1">
      <c r="A7228" s="12" t="s">
        <v>532</v>
      </c>
      <c r="B7228" s="30">
        <v>0.29399999999999998</v>
      </c>
      <c r="C7228" s="24" t="s">
        <v>1228</v>
      </c>
      <c r="D7228" s="41">
        <f>D7225</f>
        <v>1.64</v>
      </c>
      <c r="E7228" s="31">
        <f t="shared" si="555"/>
        <v>0.48</v>
      </c>
      <c r="F7228" s="32"/>
    </row>
    <row r="7229" spans="1:6" ht="12.75" hidden="1" customHeight="1">
      <c r="A7229" s="12" t="s">
        <v>1075</v>
      </c>
      <c r="B7229" s="30">
        <v>0.14699999999999999</v>
      </c>
      <c r="C7229" s="24" t="s">
        <v>1228</v>
      </c>
      <c r="D7229" s="41">
        <f>Prec.!$C$272</f>
        <v>900</v>
      </c>
      <c r="E7229" s="31">
        <f t="shared" si="555"/>
        <v>132.30000000000001</v>
      </c>
      <c r="F7229" s="32"/>
    </row>
    <row r="7230" spans="1:6" ht="12.75" hidden="1" customHeight="1">
      <c r="A7230" s="12" t="s">
        <v>533</v>
      </c>
      <c r="B7230" s="30">
        <v>0.14699999999999999</v>
      </c>
      <c r="C7230" s="24" t="s">
        <v>1228</v>
      </c>
      <c r="D7230" s="41">
        <f>D7225</f>
        <v>1.64</v>
      </c>
      <c r="E7230" s="31">
        <f t="shared" si="555"/>
        <v>0.24</v>
      </c>
      <c r="F7230" s="32"/>
    </row>
    <row r="7231" spans="1:6" ht="12.75" hidden="1" customHeight="1">
      <c r="A7231" s="12" t="s">
        <v>1176</v>
      </c>
      <c r="B7231" s="30">
        <v>1</v>
      </c>
      <c r="C7231" s="24" t="s">
        <v>213</v>
      </c>
      <c r="D7231" s="41">
        <f>D7219</f>
        <v>9.92</v>
      </c>
      <c r="E7231" s="31">
        <f t="shared" si="555"/>
        <v>9.92</v>
      </c>
      <c r="F7231" s="32"/>
    </row>
    <row r="7232" spans="1:6" ht="12.75" hidden="1" customHeight="1">
      <c r="A7232" s="12" t="s">
        <v>481</v>
      </c>
      <c r="B7232" s="30">
        <v>1</v>
      </c>
      <c r="C7232" s="24" t="s">
        <v>213</v>
      </c>
      <c r="D7232" s="41">
        <f>Prec.!$D$641</f>
        <v>0</v>
      </c>
      <c r="E7232" s="31">
        <f t="shared" si="555"/>
        <v>0</v>
      </c>
      <c r="F7232" s="32"/>
    </row>
    <row r="7233" spans="1:13" ht="12.75" hidden="1" customHeight="1">
      <c r="A7233" s="12" t="s">
        <v>482</v>
      </c>
      <c r="B7233" s="30">
        <v>1</v>
      </c>
      <c r="C7233" s="24" t="s">
        <v>213</v>
      </c>
      <c r="D7233" s="41">
        <f>Prec.!$D$642</f>
        <v>0</v>
      </c>
      <c r="E7233" s="31">
        <f t="shared" si="555"/>
        <v>0</v>
      </c>
      <c r="F7233" s="32">
        <f>SUM(E7223:E7233)</f>
        <v>376.59999999999997</v>
      </c>
    </row>
    <row r="7234" spans="1:13" ht="12.75" hidden="1" customHeight="1">
      <c r="A7234" s="12"/>
      <c r="B7234" s="30"/>
      <c r="C7234" s="24"/>
      <c r="D7234" s="41"/>
      <c r="E7234" s="31"/>
      <c r="F7234" s="32"/>
    </row>
    <row r="7235" spans="1:13" s="166" customFormat="1" ht="12.75" hidden="1" customHeight="1">
      <c r="A7235" s="12"/>
      <c r="B7235" s="30"/>
      <c r="C7235" s="24"/>
      <c r="D7235" s="41"/>
      <c r="E7235" s="31"/>
      <c r="F7235" s="32"/>
      <c r="G7235" s="15"/>
      <c r="H7235" s="21"/>
      <c r="I7235" s="15"/>
      <c r="J7235" s="15"/>
      <c r="K7235" s="15"/>
      <c r="L7235" s="21"/>
      <c r="M7235" s="15"/>
    </row>
    <row r="7236" spans="1:13" s="166" customFormat="1" ht="12.75" hidden="1" customHeight="1">
      <c r="A7236" s="12"/>
      <c r="B7236" s="30"/>
      <c r="C7236" s="24"/>
      <c r="D7236" s="41"/>
      <c r="E7236" s="31"/>
      <c r="F7236" s="32"/>
      <c r="G7236" s="15"/>
      <c r="H7236" s="21"/>
      <c r="I7236" s="15"/>
      <c r="J7236" s="15"/>
      <c r="K7236" s="15"/>
      <c r="L7236" s="21"/>
      <c r="M7236" s="15"/>
    </row>
    <row r="7237" spans="1:13" ht="12.75" hidden="1" customHeight="1">
      <c r="A7237" s="13" t="s">
        <v>485</v>
      </c>
      <c r="B7237" s="30"/>
      <c r="C7237" s="24"/>
      <c r="D7237" s="35"/>
      <c r="E7237" s="31"/>
      <c r="F7237" s="32"/>
    </row>
    <row r="7238" spans="1:13" ht="12.75" hidden="1" customHeight="1">
      <c r="A7238" s="12" t="s">
        <v>483</v>
      </c>
      <c r="B7238" s="30">
        <v>0.14699999999999999</v>
      </c>
      <c r="C7238" s="24" t="s">
        <v>1228</v>
      </c>
      <c r="D7238" s="41">
        <f>Prec.!$C$261</f>
        <v>842</v>
      </c>
      <c r="E7238" s="31">
        <f t="shared" ref="E7238:E7245" si="556">ROUND(B7238*D7238,2)</f>
        <v>123.77</v>
      </c>
      <c r="F7238" s="32"/>
    </row>
    <row r="7239" spans="1:13" ht="12.75" hidden="1" customHeight="1">
      <c r="A7239" s="12" t="s">
        <v>545</v>
      </c>
      <c r="B7239" s="30">
        <v>0.14699999999999999</v>
      </c>
      <c r="C7239" s="24" t="s">
        <v>1228</v>
      </c>
      <c r="D7239" s="41">
        <f>D7225</f>
        <v>1.64</v>
      </c>
      <c r="E7239" s="31">
        <f t="shared" si="556"/>
        <v>0.24</v>
      </c>
      <c r="F7239" s="32"/>
    </row>
    <row r="7240" spans="1:13" ht="12.75" hidden="1" customHeight="1">
      <c r="A7240" s="12" t="s">
        <v>528</v>
      </c>
      <c r="B7240" s="30">
        <v>1.4999999999999999E-2</v>
      </c>
      <c r="C7240" s="24" t="s">
        <v>1228</v>
      </c>
      <c r="D7240" s="41">
        <f>Prec.!$C$261</f>
        <v>842</v>
      </c>
      <c r="E7240" s="31">
        <f t="shared" si="556"/>
        <v>12.63</v>
      </c>
      <c r="F7240" s="32"/>
    </row>
    <row r="7241" spans="1:13" ht="12.75" hidden="1" customHeight="1">
      <c r="A7241" s="12" t="s">
        <v>983</v>
      </c>
      <c r="B7241" s="30">
        <f>B7238*2</f>
        <v>0.29399999999999998</v>
      </c>
      <c r="C7241" s="24" t="s">
        <v>1228</v>
      </c>
      <c r="D7241" s="41">
        <f>D7227</f>
        <v>330</v>
      </c>
      <c r="E7241" s="31">
        <f t="shared" si="556"/>
        <v>97.02</v>
      </c>
      <c r="F7241" s="32"/>
    </row>
    <row r="7242" spans="1:13" ht="12.75" hidden="1" customHeight="1">
      <c r="A7242" s="12" t="s">
        <v>532</v>
      </c>
      <c r="B7242" s="30">
        <v>0.29399999999999998</v>
      </c>
      <c r="C7242" s="24" t="s">
        <v>1228</v>
      </c>
      <c r="D7242" s="41">
        <f>D7239</f>
        <v>1.64</v>
      </c>
      <c r="E7242" s="31">
        <f t="shared" si="556"/>
        <v>0.48</v>
      </c>
      <c r="F7242" s="32"/>
    </row>
    <row r="7243" spans="1:13" ht="12.75" hidden="1" customHeight="1">
      <c r="A7243" s="12" t="s">
        <v>1176</v>
      </c>
      <c r="B7243" s="30">
        <v>1</v>
      </c>
      <c r="C7243" s="24" t="s">
        <v>213</v>
      </c>
      <c r="D7243" s="41">
        <f>D7231</f>
        <v>9.92</v>
      </c>
      <c r="E7243" s="31">
        <f t="shared" si="556"/>
        <v>9.92</v>
      </c>
      <c r="F7243" s="32"/>
    </row>
    <row r="7244" spans="1:13" ht="12.75" hidden="1" customHeight="1">
      <c r="A7244" s="12" t="s">
        <v>481</v>
      </c>
      <c r="B7244" s="30">
        <v>1</v>
      </c>
      <c r="C7244" s="24" t="s">
        <v>213</v>
      </c>
      <c r="D7244" s="41">
        <f>Prec.!$D$641</f>
        <v>0</v>
      </c>
      <c r="E7244" s="31">
        <f t="shared" si="556"/>
        <v>0</v>
      </c>
      <c r="F7244" s="32"/>
    </row>
    <row r="7245" spans="1:13" ht="12.75" hidden="1" customHeight="1">
      <c r="A7245" s="12" t="s">
        <v>482</v>
      </c>
      <c r="B7245" s="30">
        <v>1</v>
      </c>
      <c r="C7245" s="24" t="s">
        <v>213</v>
      </c>
      <c r="D7245" s="41">
        <f>Prec.!$D$642</f>
        <v>0</v>
      </c>
      <c r="E7245" s="31">
        <f t="shared" si="556"/>
        <v>0</v>
      </c>
      <c r="F7245" s="32">
        <f>SUM(E7237:E7245)</f>
        <v>244.05999999999995</v>
      </c>
    </row>
    <row r="7246" spans="1:13" ht="5.25" hidden="1" customHeight="1">
      <c r="A7246" s="12"/>
      <c r="B7246" s="30"/>
      <c r="C7246" s="24"/>
      <c r="D7246" s="41"/>
      <c r="E7246" s="31"/>
      <c r="F7246" s="32"/>
    </row>
    <row r="7247" spans="1:13" ht="12.75" hidden="1" customHeight="1">
      <c r="A7247" s="13" t="s">
        <v>534</v>
      </c>
      <c r="B7247" s="30"/>
      <c r="C7247" s="24"/>
      <c r="D7247" s="41"/>
      <c r="E7247" s="31"/>
      <c r="F7247" s="32"/>
    </row>
    <row r="7248" spans="1:13" ht="12.75" hidden="1" customHeight="1">
      <c r="A7248" s="12" t="s">
        <v>535</v>
      </c>
      <c r="B7248" s="30">
        <v>0.14699999999999999</v>
      </c>
      <c r="C7248" s="24" t="s">
        <v>1228</v>
      </c>
      <c r="D7248" s="41">
        <f>Prec.!C273</f>
        <v>575</v>
      </c>
      <c r="E7248" s="31">
        <f>ROUND(B7248*D7248,2)</f>
        <v>84.53</v>
      </c>
      <c r="F7248" s="32"/>
    </row>
    <row r="7249" spans="1:6" ht="12.75" hidden="1" customHeight="1">
      <c r="A7249" s="12" t="s">
        <v>1074</v>
      </c>
      <c r="B7249" s="30">
        <v>0.14699999999999999</v>
      </c>
      <c r="C7249" s="24" t="s">
        <v>1228</v>
      </c>
      <c r="D7249" s="41">
        <f>D7239</f>
        <v>1.64</v>
      </c>
      <c r="E7249" s="31">
        <f>ROUND(B7249*D7249,2)</f>
        <v>0.24</v>
      </c>
      <c r="F7249" s="32"/>
    </row>
    <row r="7250" spans="1:6" ht="12.75" hidden="1" customHeight="1">
      <c r="A7250" s="12" t="s">
        <v>538</v>
      </c>
      <c r="B7250" s="30">
        <v>1.4999999999999999E-2</v>
      </c>
      <c r="C7250" s="24" t="s">
        <v>1228</v>
      </c>
      <c r="D7250" s="41">
        <f>D7248</f>
        <v>575</v>
      </c>
      <c r="E7250" s="31">
        <f>ROUND(B7250*D7250,2)</f>
        <v>8.6300000000000008</v>
      </c>
      <c r="F7250" s="32"/>
    </row>
    <row r="7251" spans="1:6" ht="12.75" hidden="1" customHeight="1">
      <c r="A7251" s="12" t="s">
        <v>659</v>
      </c>
      <c r="B7251" s="30">
        <f>B7248*2</f>
        <v>0.29399999999999998</v>
      </c>
      <c r="C7251" s="24" t="s">
        <v>1228</v>
      </c>
      <c r="D7251" s="41">
        <f>Prec.!C270</f>
        <v>330</v>
      </c>
      <c r="E7251" s="31">
        <f t="shared" ref="E7251:E7257" si="557">ROUND(B7251*D7251,2)</f>
        <v>97.02</v>
      </c>
      <c r="F7251" s="32"/>
    </row>
    <row r="7252" spans="1:6" ht="12.75" hidden="1" customHeight="1">
      <c r="A7252" s="12" t="s">
        <v>532</v>
      </c>
      <c r="B7252" s="30">
        <v>0.29399999999999998</v>
      </c>
      <c r="C7252" s="24" t="s">
        <v>1228</v>
      </c>
      <c r="D7252" s="41">
        <f>D7249</f>
        <v>1.64</v>
      </c>
      <c r="E7252" s="31">
        <f t="shared" si="557"/>
        <v>0.48</v>
      </c>
      <c r="F7252" s="32"/>
    </row>
    <row r="7253" spans="1:6" ht="12.75" hidden="1" customHeight="1">
      <c r="A7253" s="12" t="s">
        <v>1075</v>
      </c>
      <c r="B7253" s="30">
        <v>0.14699999999999999</v>
      </c>
      <c r="C7253" s="24" t="s">
        <v>1228</v>
      </c>
      <c r="D7253" s="41">
        <f>Prec.!C272</f>
        <v>900</v>
      </c>
      <c r="E7253" s="31">
        <f t="shared" si="557"/>
        <v>132.30000000000001</v>
      </c>
      <c r="F7253" s="32"/>
    </row>
    <row r="7254" spans="1:6" ht="12.75" hidden="1" customHeight="1">
      <c r="A7254" s="12" t="s">
        <v>660</v>
      </c>
      <c r="B7254" s="30">
        <v>0.14699999999999999</v>
      </c>
      <c r="C7254" s="24" t="s">
        <v>1228</v>
      </c>
      <c r="D7254" s="41">
        <f>D7252</f>
        <v>1.64</v>
      </c>
      <c r="E7254" s="31">
        <f t="shared" si="557"/>
        <v>0.24</v>
      </c>
      <c r="F7254" s="32"/>
    </row>
    <row r="7255" spans="1:6" ht="12.75" hidden="1" customHeight="1">
      <c r="A7255" s="12" t="s">
        <v>1176</v>
      </c>
      <c r="B7255" s="30">
        <v>1</v>
      </c>
      <c r="C7255" s="24" t="s">
        <v>213</v>
      </c>
      <c r="D7255" s="41">
        <f>D7243</f>
        <v>9.92</v>
      </c>
      <c r="E7255" s="31">
        <f t="shared" si="557"/>
        <v>9.92</v>
      </c>
      <c r="F7255" s="32"/>
    </row>
    <row r="7256" spans="1:6" ht="12.75" hidden="1" customHeight="1">
      <c r="A7256" s="12" t="s">
        <v>536</v>
      </c>
      <c r="B7256" s="30">
        <v>1</v>
      </c>
      <c r="C7256" s="24" t="s">
        <v>213</v>
      </c>
      <c r="D7256" s="41">
        <f>D7244</f>
        <v>0</v>
      </c>
      <c r="E7256" s="31">
        <f t="shared" si="557"/>
        <v>0</v>
      </c>
      <c r="F7256" s="32"/>
    </row>
    <row r="7257" spans="1:6" ht="12.75" hidden="1" customHeight="1">
      <c r="A7257" s="12" t="s">
        <v>537</v>
      </c>
      <c r="B7257" s="30">
        <v>1</v>
      </c>
      <c r="C7257" s="24" t="s">
        <v>213</v>
      </c>
      <c r="D7257" s="41">
        <f>D7245</f>
        <v>0</v>
      </c>
      <c r="E7257" s="31">
        <f t="shared" si="557"/>
        <v>0</v>
      </c>
      <c r="F7257" s="32">
        <f>SUM(E7248:E7257)</f>
        <v>333.36</v>
      </c>
    </row>
    <row r="7258" spans="1:6" ht="6.75" hidden="1" customHeight="1">
      <c r="A7258" s="12"/>
      <c r="B7258" s="30"/>
      <c r="C7258" s="24"/>
      <c r="D7258" s="41"/>
      <c r="E7258" s="31"/>
      <c r="F7258" s="32"/>
    </row>
    <row r="7259" spans="1:6" ht="12.75" hidden="1" customHeight="1">
      <c r="A7259" s="13" t="s">
        <v>1140</v>
      </c>
      <c r="B7259" s="30"/>
      <c r="C7259" s="24"/>
      <c r="D7259" s="41"/>
      <c r="E7259" s="31"/>
      <c r="F7259" s="12"/>
    </row>
    <row r="7260" spans="1:6" ht="12.75" hidden="1" customHeight="1">
      <c r="A7260" s="12" t="s">
        <v>535</v>
      </c>
      <c r="B7260" s="30">
        <v>0.14699999999999999</v>
      </c>
      <c r="C7260" s="24" t="s">
        <v>1228</v>
      </c>
      <c r="D7260" s="41">
        <f>D7248</f>
        <v>575</v>
      </c>
      <c r="E7260" s="31">
        <f>ROUND(B7260*D7260,2)</f>
        <v>84.53</v>
      </c>
      <c r="F7260" s="12"/>
    </row>
    <row r="7261" spans="1:6" ht="12.75" hidden="1" customHeight="1">
      <c r="A7261" s="12" t="s">
        <v>1074</v>
      </c>
      <c r="B7261" s="30">
        <v>0.14699999999999999</v>
      </c>
      <c r="C7261" s="24" t="s">
        <v>1228</v>
      </c>
      <c r="D7261" s="41">
        <f>D7249</f>
        <v>1.64</v>
      </c>
      <c r="E7261" s="31">
        <f>ROUND(B7261*D7261,2)</f>
        <v>0.24</v>
      </c>
      <c r="F7261" s="12"/>
    </row>
    <row r="7262" spans="1:6" ht="12.75" hidden="1" customHeight="1">
      <c r="A7262" s="12" t="s">
        <v>1141</v>
      </c>
      <c r="B7262" s="30">
        <v>0.5</v>
      </c>
      <c r="C7262" s="24" t="s">
        <v>1142</v>
      </c>
      <c r="D7262" s="41">
        <f>Prec.!C274</f>
        <v>210</v>
      </c>
      <c r="E7262" s="31">
        <f>ROUND(B7262*D7262,2)</f>
        <v>105</v>
      </c>
      <c r="F7262" s="12"/>
    </row>
    <row r="7263" spans="1:6" ht="12.75" hidden="1" customHeight="1">
      <c r="A7263" s="12" t="s">
        <v>538</v>
      </c>
      <c r="B7263" s="30">
        <v>1.4999999999999999E-2</v>
      </c>
      <c r="C7263" s="24" t="s">
        <v>1228</v>
      </c>
      <c r="D7263" s="41">
        <f>D7260</f>
        <v>575</v>
      </c>
      <c r="E7263" s="31">
        <f>ROUND(B7263*D7263,2)</f>
        <v>8.6300000000000008</v>
      </c>
      <c r="F7263" s="12"/>
    </row>
    <row r="7264" spans="1:6" ht="12.75" hidden="1" customHeight="1">
      <c r="A7264" s="12" t="s">
        <v>659</v>
      </c>
      <c r="B7264" s="30">
        <f>B7260*2</f>
        <v>0.29399999999999998</v>
      </c>
      <c r="C7264" s="24" t="s">
        <v>1228</v>
      </c>
      <c r="D7264" s="41">
        <f>D7251</f>
        <v>330</v>
      </c>
      <c r="E7264" s="31">
        <f t="shared" ref="E7264:E7270" si="558">ROUND(B7264*D7264,2)</f>
        <v>97.02</v>
      </c>
      <c r="F7264" s="12"/>
    </row>
    <row r="7265" spans="1:6" ht="12.75" hidden="1" customHeight="1">
      <c r="A7265" s="12" t="s">
        <v>532</v>
      </c>
      <c r="B7265" s="30">
        <v>0.29399999999999998</v>
      </c>
      <c r="C7265" s="24" t="s">
        <v>1228</v>
      </c>
      <c r="D7265" s="41">
        <f>D7261</f>
        <v>1.64</v>
      </c>
      <c r="E7265" s="31">
        <f t="shared" si="558"/>
        <v>0.48</v>
      </c>
      <c r="F7265" s="12"/>
    </row>
    <row r="7266" spans="1:6" ht="12.75" hidden="1" customHeight="1">
      <c r="A7266" s="12" t="s">
        <v>1075</v>
      </c>
      <c r="B7266" s="30">
        <v>0.14699999999999999</v>
      </c>
      <c r="C7266" s="24" t="s">
        <v>1228</v>
      </c>
      <c r="D7266" s="41">
        <f>D7253</f>
        <v>900</v>
      </c>
      <c r="E7266" s="31">
        <f t="shared" si="558"/>
        <v>132.30000000000001</v>
      </c>
      <c r="F7266" s="12"/>
    </row>
    <row r="7267" spans="1:6" ht="12.75" hidden="1" customHeight="1">
      <c r="A7267" s="12" t="s">
        <v>660</v>
      </c>
      <c r="B7267" s="30">
        <v>0.14699999999999999</v>
      </c>
      <c r="C7267" s="24" t="s">
        <v>1228</v>
      </c>
      <c r="D7267" s="41">
        <f>D7265</f>
        <v>1.64</v>
      </c>
      <c r="E7267" s="31">
        <f t="shared" si="558"/>
        <v>0.24</v>
      </c>
      <c r="F7267" s="12"/>
    </row>
    <row r="7268" spans="1:6" ht="12.75" hidden="1" customHeight="1">
      <c r="A7268" s="12" t="s">
        <v>1176</v>
      </c>
      <c r="B7268" s="30">
        <v>1</v>
      </c>
      <c r="C7268" s="24" t="s">
        <v>213</v>
      </c>
      <c r="D7268" s="41">
        <f>D7255</f>
        <v>9.92</v>
      </c>
      <c r="E7268" s="31">
        <f t="shared" si="558"/>
        <v>9.92</v>
      </c>
      <c r="F7268" s="12"/>
    </row>
    <row r="7269" spans="1:6" ht="12.75" hidden="1" customHeight="1">
      <c r="A7269" s="12" t="s">
        <v>536</v>
      </c>
      <c r="B7269" s="30">
        <v>1</v>
      </c>
      <c r="C7269" s="24" t="s">
        <v>213</v>
      </c>
      <c r="D7269" s="41">
        <f>D7256</f>
        <v>0</v>
      </c>
      <c r="E7269" s="31">
        <f t="shared" si="558"/>
        <v>0</v>
      </c>
      <c r="F7269" s="32"/>
    </row>
    <row r="7270" spans="1:6" ht="12.75" hidden="1" customHeight="1">
      <c r="A7270" s="12" t="s">
        <v>537</v>
      </c>
      <c r="B7270" s="30">
        <v>1</v>
      </c>
      <c r="C7270" s="24" t="s">
        <v>213</v>
      </c>
      <c r="D7270" s="41">
        <f>D7257</f>
        <v>0</v>
      </c>
      <c r="E7270" s="31">
        <f t="shared" si="558"/>
        <v>0</v>
      </c>
      <c r="F7270" s="32">
        <f>SUM(E7260:E7270)</f>
        <v>438.36</v>
      </c>
    </row>
    <row r="7271" spans="1:6" ht="8.25" customHeight="1">
      <c r="A7271" s="12"/>
      <c r="B7271" s="30"/>
      <c r="C7271" s="24"/>
      <c r="D7271" s="41"/>
      <c r="E7271" s="31"/>
      <c r="F7271" s="32"/>
    </row>
    <row r="7272" spans="1:6" ht="12.75" customHeight="1">
      <c r="A7272" s="23" t="s">
        <v>1159</v>
      </c>
      <c r="B7272" s="7"/>
    </row>
    <row r="7273" spans="1:6" ht="7.5" customHeight="1">
      <c r="B7273" s="7"/>
    </row>
    <row r="7274" spans="1:6" ht="12.75" hidden="1" customHeight="1">
      <c r="A7274" s="13" t="s">
        <v>527</v>
      </c>
      <c r="B7274" s="30"/>
      <c r="C7274" s="24"/>
      <c r="D7274" s="35"/>
      <c r="E7274" s="31"/>
      <c r="F7274" s="32"/>
    </row>
    <row r="7275" spans="1:6" ht="12.75" hidden="1" customHeight="1">
      <c r="A7275" s="12" t="s">
        <v>894</v>
      </c>
      <c r="B7275" s="30">
        <v>0.11</v>
      </c>
      <c r="C7275" s="24" t="s">
        <v>1228</v>
      </c>
      <c r="D7275" s="41">
        <f>Prec.!$C$249</f>
        <v>325</v>
      </c>
      <c r="E7275" s="31">
        <f t="shared" ref="E7275:E7280" si="559">ROUND(B7275*D7275,2)</f>
        <v>35.75</v>
      </c>
      <c r="F7275" s="32"/>
    </row>
    <row r="7276" spans="1:6" ht="12.75" hidden="1" customHeight="1">
      <c r="A7276" s="12" t="s">
        <v>613</v>
      </c>
      <c r="B7276" s="30">
        <v>0.11</v>
      </c>
      <c r="C7276" s="24" t="s">
        <v>1228</v>
      </c>
      <c r="D7276" s="41">
        <f>Prec.!D653</f>
        <v>2.89</v>
      </c>
      <c r="E7276" s="31">
        <f t="shared" si="559"/>
        <v>0.32</v>
      </c>
      <c r="F7276" s="32"/>
    </row>
    <row r="7277" spans="1:6" ht="12.75" hidden="1" customHeight="1">
      <c r="A7277" s="12" t="s">
        <v>528</v>
      </c>
      <c r="B7277" s="30">
        <v>1.0999999999999999E-2</v>
      </c>
      <c r="C7277" s="24" t="s">
        <v>1228</v>
      </c>
      <c r="D7277" s="41">
        <f>Prec.!$C$249</f>
        <v>325</v>
      </c>
      <c r="E7277" s="31">
        <f t="shared" si="559"/>
        <v>3.58</v>
      </c>
      <c r="F7277" s="32"/>
    </row>
    <row r="7278" spans="1:6" ht="12.75" hidden="1" customHeight="1">
      <c r="A7278" s="12" t="s">
        <v>1176</v>
      </c>
      <c r="B7278" s="30">
        <v>1</v>
      </c>
      <c r="C7278" s="24" t="s">
        <v>213</v>
      </c>
      <c r="D7278" s="41">
        <f>Prec.!$C$267</f>
        <v>9.92</v>
      </c>
      <c r="E7278" s="31">
        <f t="shared" si="559"/>
        <v>9.92</v>
      </c>
      <c r="F7278" s="32"/>
    </row>
    <row r="7279" spans="1:6" ht="12.75" hidden="1" customHeight="1">
      <c r="A7279" s="12" t="s">
        <v>257</v>
      </c>
      <c r="B7279" s="30">
        <v>1</v>
      </c>
      <c r="C7279" s="24" t="s">
        <v>213</v>
      </c>
      <c r="D7279" s="41">
        <f>Prec.!$D$635</f>
        <v>0</v>
      </c>
      <c r="E7279" s="31">
        <f t="shared" si="559"/>
        <v>0</v>
      </c>
      <c r="F7279" s="32"/>
    </row>
    <row r="7280" spans="1:6" ht="12.75" hidden="1" customHeight="1">
      <c r="A7280" s="12" t="s">
        <v>560</v>
      </c>
      <c r="B7280" s="30">
        <v>1</v>
      </c>
      <c r="C7280" s="24" t="s">
        <v>213</v>
      </c>
      <c r="D7280" s="41">
        <f>Prec.!$D$636</f>
        <v>0</v>
      </c>
      <c r="E7280" s="31">
        <f t="shared" si="559"/>
        <v>0</v>
      </c>
      <c r="F7280" s="32">
        <f>SUM(E7274:E7280)</f>
        <v>49.57</v>
      </c>
    </row>
    <row r="7281" spans="1:13" ht="12.75" hidden="1" customHeight="1">
      <c r="B7281" s="7"/>
    </row>
    <row r="7282" spans="1:13" s="166" customFormat="1" ht="12.75" customHeight="1">
      <c r="A7282" s="545" t="s">
        <v>527</v>
      </c>
      <c r="B7282" s="546"/>
      <c r="C7282" s="547"/>
      <c r="D7282" s="548"/>
      <c r="E7282" s="552"/>
      <c r="F7282" s="553"/>
      <c r="G7282" s="15"/>
      <c r="H7282" s="21"/>
      <c r="I7282" s="15"/>
      <c r="J7282" s="15"/>
      <c r="K7282" s="15"/>
      <c r="L7282" s="21"/>
      <c r="M7282" s="15"/>
    </row>
    <row r="7283" spans="1:13" s="166" customFormat="1" ht="12.75" customHeight="1">
      <c r="A7283" s="551" t="s">
        <v>1946</v>
      </c>
      <c r="B7283" s="546">
        <v>0.11</v>
      </c>
      <c r="C7283" s="547" t="s">
        <v>1228</v>
      </c>
      <c r="D7283" s="563">
        <f>D7103</f>
        <v>540.09</v>
      </c>
      <c r="E7283" s="552">
        <f t="shared" ref="E7283:E7288" si="560">ROUND(B7283*D7283,2)</f>
        <v>59.41</v>
      </c>
      <c r="F7283" s="553"/>
      <c r="G7283" s="15"/>
      <c r="H7283" s="21"/>
      <c r="I7283" s="15"/>
      <c r="J7283" s="15"/>
      <c r="K7283" s="15"/>
      <c r="L7283" s="21"/>
      <c r="M7283" s="15"/>
    </row>
    <row r="7284" spans="1:13" s="166" customFormat="1" ht="12.75" customHeight="1">
      <c r="A7284" s="551" t="s">
        <v>545</v>
      </c>
      <c r="B7284" s="546">
        <v>0.11</v>
      </c>
      <c r="C7284" s="547" t="s">
        <v>1228</v>
      </c>
      <c r="D7284" s="563">
        <f>D7276</f>
        <v>2.89</v>
      </c>
      <c r="E7284" s="552">
        <f t="shared" si="560"/>
        <v>0.32</v>
      </c>
      <c r="F7284" s="553"/>
      <c r="G7284" s="15"/>
      <c r="H7284" s="21"/>
      <c r="I7284" s="15"/>
      <c r="J7284" s="15"/>
      <c r="K7284" s="15"/>
      <c r="L7284" s="21"/>
      <c r="M7284" s="15"/>
    </row>
    <row r="7285" spans="1:13" s="166" customFormat="1" ht="12.75" customHeight="1">
      <c r="A7285" s="551" t="s">
        <v>528</v>
      </c>
      <c r="B7285" s="546">
        <v>1.0999999999999999E-2</v>
      </c>
      <c r="C7285" s="547" t="s">
        <v>1228</v>
      </c>
      <c r="D7285" s="563">
        <f>D7283</f>
        <v>540.09</v>
      </c>
      <c r="E7285" s="552">
        <f t="shared" si="560"/>
        <v>5.94</v>
      </c>
      <c r="F7285" s="553"/>
      <c r="G7285" s="15"/>
      <c r="H7285" s="21"/>
      <c r="I7285" s="15"/>
      <c r="J7285" s="15"/>
      <c r="K7285" s="15"/>
      <c r="L7285" s="21"/>
      <c r="M7285" s="15"/>
    </row>
    <row r="7286" spans="1:13" s="166" customFormat="1" ht="12.75" customHeight="1">
      <c r="A7286" s="551" t="s">
        <v>1176</v>
      </c>
      <c r="B7286" s="546">
        <v>1</v>
      </c>
      <c r="C7286" s="547" t="s">
        <v>213</v>
      </c>
      <c r="D7286" s="563">
        <f>D7278</f>
        <v>9.92</v>
      </c>
      <c r="E7286" s="552">
        <f t="shared" si="560"/>
        <v>9.92</v>
      </c>
      <c r="F7286" s="553"/>
      <c r="G7286" s="15"/>
      <c r="H7286" s="21"/>
      <c r="I7286" s="15"/>
      <c r="J7286" s="15"/>
      <c r="K7286" s="15"/>
      <c r="L7286" s="21"/>
      <c r="M7286" s="15"/>
    </row>
    <row r="7287" spans="1:13" s="166" customFormat="1" ht="12.75" customHeight="1">
      <c r="A7287" s="551" t="s">
        <v>257</v>
      </c>
      <c r="B7287" s="546">
        <v>1</v>
      </c>
      <c r="C7287" s="547" t="s">
        <v>213</v>
      </c>
      <c r="D7287" s="563">
        <f>Prec.!C635</f>
        <v>32.56</v>
      </c>
      <c r="E7287" s="552">
        <f t="shared" si="560"/>
        <v>32.56</v>
      </c>
      <c r="F7287" s="553"/>
      <c r="G7287" s="15"/>
      <c r="H7287" s="21"/>
      <c r="I7287" s="15"/>
      <c r="J7287" s="15"/>
      <c r="K7287" s="15"/>
      <c r="L7287" s="21"/>
      <c r="M7287" s="15"/>
    </row>
    <row r="7288" spans="1:13" s="166" customFormat="1" ht="12.75" customHeight="1">
      <c r="A7288" s="551" t="s">
        <v>560</v>
      </c>
      <c r="B7288" s="546">
        <v>1</v>
      </c>
      <c r="C7288" s="547" t="s">
        <v>213</v>
      </c>
      <c r="D7288" s="563">
        <f>Prec.!C636</f>
        <v>21.7</v>
      </c>
      <c r="E7288" s="552">
        <f t="shared" si="560"/>
        <v>21.7</v>
      </c>
      <c r="F7288" s="553">
        <f>SUM(E7282:E7288)</f>
        <v>129.85</v>
      </c>
      <c r="G7288" s="15"/>
      <c r="H7288" s="21"/>
      <c r="I7288" s="15"/>
      <c r="J7288" s="15"/>
      <c r="K7288" s="15"/>
      <c r="L7288" s="21"/>
      <c r="M7288" s="15"/>
    </row>
    <row r="7289" spans="1:13" s="166" customFormat="1" ht="12.75" customHeight="1">
      <c r="A7289" s="12"/>
      <c r="B7289" s="14"/>
      <c r="C7289" s="24"/>
      <c r="D7289" s="35"/>
      <c r="E7289" s="31"/>
      <c r="F7289" s="32"/>
      <c r="G7289" s="15"/>
      <c r="H7289" s="21"/>
      <c r="I7289" s="15"/>
      <c r="J7289" s="15"/>
      <c r="K7289" s="15"/>
      <c r="L7289" s="21"/>
      <c r="M7289" s="15"/>
    </row>
    <row r="7290" spans="1:13" s="166" customFormat="1" ht="12.75" customHeight="1">
      <c r="A7290" s="12"/>
      <c r="B7290" s="14"/>
      <c r="C7290" s="24"/>
      <c r="D7290" s="35"/>
      <c r="E7290" s="31"/>
      <c r="F7290" s="32"/>
      <c r="G7290" s="15"/>
      <c r="H7290" s="21"/>
      <c r="I7290" s="15"/>
      <c r="J7290" s="15"/>
      <c r="K7290" s="15"/>
      <c r="L7290" s="21"/>
      <c r="M7290" s="15"/>
    </row>
    <row r="7291" spans="1:13" ht="12.75" customHeight="1">
      <c r="A7291" s="545" t="s">
        <v>874</v>
      </c>
      <c r="B7291" s="546"/>
      <c r="C7291" s="547"/>
      <c r="D7291" s="548"/>
      <c r="E7291" s="552"/>
      <c r="F7291" s="553"/>
    </row>
    <row r="7292" spans="1:13" ht="12.75" customHeight="1">
      <c r="A7292" s="551" t="s">
        <v>1277</v>
      </c>
      <c r="B7292" s="546">
        <v>0.11</v>
      </c>
      <c r="C7292" s="547" t="s">
        <v>1228</v>
      </c>
      <c r="D7292" s="563">
        <f>Prec.!$C$246</f>
        <v>1140</v>
      </c>
      <c r="E7292" s="552">
        <f t="shared" ref="E7292:E7297" si="561">ROUND(B7292*D7292,2)</f>
        <v>125.4</v>
      </c>
      <c r="F7292" s="553"/>
    </row>
    <row r="7293" spans="1:13" ht="12.75" customHeight="1">
      <c r="A7293" s="551" t="s">
        <v>613</v>
      </c>
      <c r="B7293" s="546">
        <v>0.11</v>
      </c>
      <c r="C7293" s="547" t="s">
        <v>1228</v>
      </c>
      <c r="D7293" s="563">
        <f>D7276</f>
        <v>2.89</v>
      </c>
      <c r="E7293" s="552">
        <f t="shared" si="561"/>
        <v>0.32</v>
      </c>
      <c r="F7293" s="553"/>
    </row>
    <row r="7294" spans="1:13" ht="12.75" customHeight="1">
      <c r="A7294" s="551" t="s">
        <v>528</v>
      </c>
      <c r="B7294" s="546">
        <v>1.0999999999999999E-2</v>
      </c>
      <c r="C7294" s="547" t="s">
        <v>1228</v>
      </c>
      <c r="D7294" s="563">
        <f>Prec.!$C$246</f>
        <v>1140</v>
      </c>
      <c r="E7294" s="552">
        <f t="shared" si="561"/>
        <v>12.54</v>
      </c>
      <c r="F7294" s="553"/>
    </row>
    <row r="7295" spans="1:13" ht="12.75" customHeight="1">
      <c r="A7295" s="551" t="s">
        <v>1176</v>
      </c>
      <c r="B7295" s="546">
        <v>1</v>
      </c>
      <c r="C7295" s="547" t="s">
        <v>213</v>
      </c>
      <c r="D7295" s="563">
        <f>Prec.!$C$267</f>
        <v>9.92</v>
      </c>
      <c r="E7295" s="552">
        <f t="shared" si="561"/>
        <v>9.92</v>
      </c>
      <c r="F7295" s="553"/>
    </row>
    <row r="7296" spans="1:13" ht="12.75" customHeight="1">
      <c r="A7296" s="551" t="s">
        <v>1274</v>
      </c>
      <c r="B7296" s="546">
        <v>1</v>
      </c>
      <c r="C7296" s="547" t="s">
        <v>213</v>
      </c>
      <c r="D7296" s="563">
        <f>D7287</f>
        <v>32.56</v>
      </c>
      <c r="E7296" s="552">
        <f t="shared" si="561"/>
        <v>32.56</v>
      </c>
      <c r="F7296" s="553"/>
    </row>
    <row r="7297" spans="1:13" ht="12.75" customHeight="1">
      <c r="A7297" s="551" t="s">
        <v>1275</v>
      </c>
      <c r="B7297" s="546">
        <v>1</v>
      </c>
      <c r="C7297" s="547" t="s">
        <v>213</v>
      </c>
      <c r="D7297" s="563">
        <f>D7288</f>
        <v>21.7</v>
      </c>
      <c r="E7297" s="552">
        <f t="shared" si="561"/>
        <v>21.7</v>
      </c>
      <c r="F7297" s="553">
        <f>SUM(E7291:E7297)</f>
        <v>202.43999999999997</v>
      </c>
    </row>
    <row r="7298" spans="1:13" s="166" customFormat="1" ht="12.75" customHeight="1">
      <c r="A7298" s="12"/>
      <c r="B7298" s="30"/>
      <c r="C7298" s="24"/>
      <c r="D7298" s="41"/>
      <c r="E7298" s="31"/>
      <c r="F7298" s="32"/>
      <c r="G7298" s="15"/>
      <c r="H7298" s="21"/>
      <c r="I7298" s="15"/>
      <c r="J7298" s="15"/>
      <c r="K7298" s="15"/>
      <c r="L7298" s="21"/>
      <c r="M7298" s="15"/>
    </row>
    <row r="7299" spans="1:13" s="166" customFormat="1" ht="12.75" hidden="1" customHeight="1">
      <c r="A7299" s="13" t="s">
        <v>874</v>
      </c>
      <c r="B7299" s="30"/>
      <c r="C7299" s="24"/>
      <c r="D7299" s="35"/>
      <c r="E7299" s="31"/>
      <c r="F7299" s="32"/>
      <c r="G7299" s="15"/>
      <c r="H7299" s="21"/>
      <c r="I7299" s="15"/>
      <c r="J7299" s="15"/>
      <c r="K7299" s="15"/>
      <c r="L7299" s="21"/>
      <c r="M7299" s="15"/>
    </row>
    <row r="7300" spans="1:13" s="166" customFormat="1" ht="12.75" hidden="1" customHeight="1">
      <c r="A7300" s="12" t="s">
        <v>1947</v>
      </c>
      <c r="B7300" s="30">
        <v>0.08</v>
      </c>
      <c r="C7300" s="24" t="s">
        <v>1228</v>
      </c>
      <c r="D7300" s="41">
        <f>D7119</f>
        <v>830.48</v>
      </c>
      <c r="E7300" s="31">
        <f t="shared" ref="E7300:E7305" si="562">ROUND(B7300*D7300,2)</f>
        <v>66.44</v>
      </c>
      <c r="F7300" s="32"/>
      <c r="G7300" s="15"/>
      <c r="H7300" s="21"/>
      <c r="I7300" s="15"/>
      <c r="J7300" s="15"/>
      <c r="K7300" s="15"/>
      <c r="L7300" s="21"/>
      <c r="M7300" s="15"/>
    </row>
    <row r="7301" spans="1:13" s="166" customFormat="1" ht="12.75" hidden="1" customHeight="1">
      <c r="A7301" s="12" t="s">
        <v>545</v>
      </c>
      <c r="B7301" s="30">
        <v>0.08</v>
      </c>
      <c r="C7301" s="24" t="s">
        <v>1228</v>
      </c>
      <c r="D7301" s="41">
        <f>D7293</f>
        <v>2.89</v>
      </c>
      <c r="E7301" s="31">
        <f t="shared" si="562"/>
        <v>0.23</v>
      </c>
      <c r="F7301" s="32"/>
      <c r="G7301" s="15"/>
      <c r="H7301" s="21"/>
      <c r="I7301" s="15"/>
      <c r="J7301" s="15"/>
      <c r="K7301" s="15"/>
      <c r="L7301" s="21"/>
      <c r="M7301" s="15"/>
    </row>
    <row r="7302" spans="1:13" s="166" customFormat="1" ht="12.75" hidden="1" customHeight="1">
      <c r="A7302" s="12" t="s">
        <v>528</v>
      </c>
      <c r="B7302" s="30">
        <v>8.0000000000000002E-3</v>
      </c>
      <c r="C7302" s="24" t="s">
        <v>1228</v>
      </c>
      <c r="D7302" s="41">
        <f>D7300</f>
        <v>830.48</v>
      </c>
      <c r="E7302" s="31">
        <f t="shared" si="562"/>
        <v>6.64</v>
      </c>
      <c r="F7302" s="32"/>
      <c r="G7302" s="15"/>
      <c r="H7302" s="21"/>
      <c r="I7302" s="15"/>
      <c r="J7302" s="15"/>
      <c r="K7302" s="15"/>
      <c r="L7302" s="21"/>
      <c r="M7302" s="15"/>
    </row>
    <row r="7303" spans="1:13" s="166" customFormat="1" ht="12.75" hidden="1" customHeight="1">
      <c r="A7303" s="12" t="s">
        <v>1176</v>
      </c>
      <c r="B7303" s="30">
        <v>1</v>
      </c>
      <c r="C7303" s="24" t="s">
        <v>213</v>
      </c>
      <c r="D7303" s="41">
        <f>D7295</f>
        <v>9.92</v>
      </c>
      <c r="E7303" s="31">
        <f t="shared" si="562"/>
        <v>9.92</v>
      </c>
      <c r="F7303" s="32"/>
      <c r="G7303" s="15"/>
      <c r="H7303" s="21"/>
      <c r="I7303" s="15"/>
      <c r="J7303" s="15"/>
      <c r="K7303" s="15"/>
      <c r="L7303" s="21"/>
      <c r="M7303" s="15"/>
    </row>
    <row r="7304" spans="1:13" s="166" customFormat="1" ht="12.75" hidden="1" customHeight="1">
      <c r="A7304" s="12" t="s">
        <v>1274</v>
      </c>
      <c r="B7304" s="30">
        <v>1</v>
      </c>
      <c r="C7304" s="24" t="s">
        <v>213</v>
      </c>
      <c r="D7304" s="41">
        <f t="shared" ref="D7304:D7305" si="563">D7296</f>
        <v>32.56</v>
      </c>
      <c r="E7304" s="31">
        <f t="shared" si="562"/>
        <v>32.56</v>
      </c>
      <c r="F7304" s="32"/>
      <c r="G7304" s="15"/>
      <c r="H7304" s="21"/>
      <c r="I7304" s="15"/>
      <c r="J7304" s="15"/>
      <c r="K7304" s="15"/>
      <c r="L7304" s="21"/>
      <c r="M7304" s="15"/>
    </row>
    <row r="7305" spans="1:13" s="166" customFormat="1" ht="12.75" hidden="1" customHeight="1">
      <c r="A7305" s="12" t="s">
        <v>1275</v>
      </c>
      <c r="B7305" s="30">
        <v>1</v>
      </c>
      <c r="C7305" s="24" t="s">
        <v>213</v>
      </c>
      <c r="D7305" s="41">
        <f t="shared" si="563"/>
        <v>21.7</v>
      </c>
      <c r="E7305" s="31">
        <f t="shared" si="562"/>
        <v>21.7</v>
      </c>
      <c r="F7305" s="32">
        <f>SUM(E7299:E7305)</f>
        <v>137.49</v>
      </c>
      <c r="G7305" s="15"/>
      <c r="H7305" s="21"/>
      <c r="I7305" s="15"/>
      <c r="J7305" s="15"/>
      <c r="K7305" s="15"/>
      <c r="L7305" s="21"/>
      <c r="M7305" s="15"/>
    </row>
    <row r="7306" spans="1:13" s="166" customFormat="1" ht="12.75" hidden="1" customHeight="1">
      <c r="A7306" s="12"/>
      <c r="B7306" s="30"/>
      <c r="C7306" s="24"/>
      <c r="D7306" s="41"/>
      <c r="E7306" s="31"/>
      <c r="F7306" s="32"/>
      <c r="G7306" s="15"/>
      <c r="H7306" s="21"/>
      <c r="I7306" s="15"/>
      <c r="J7306" s="15"/>
      <c r="K7306" s="15"/>
      <c r="L7306" s="21"/>
      <c r="M7306" s="15"/>
    </row>
    <row r="7307" spans="1:13" s="166" customFormat="1" ht="12.75" hidden="1" customHeight="1">
      <c r="A7307" s="12"/>
      <c r="B7307" s="30"/>
      <c r="C7307" s="24"/>
      <c r="D7307" s="41"/>
      <c r="E7307" s="31"/>
      <c r="F7307" s="32"/>
      <c r="G7307" s="15"/>
      <c r="H7307" s="21"/>
      <c r="I7307" s="15"/>
      <c r="J7307" s="15"/>
      <c r="K7307" s="15"/>
      <c r="L7307" s="21"/>
      <c r="M7307" s="15"/>
    </row>
    <row r="7308" spans="1:13" ht="12.75" customHeight="1">
      <c r="A7308" s="545" t="s">
        <v>872</v>
      </c>
      <c r="B7308" s="546"/>
      <c r="C7308" s="547"/>
      <c r="D7308" s="548"/>
      <c r="E7308" s="552"/>
      <c r="F7308" s="553"/>
    </row>
    <row r="7309" spans="1:13" ht="12.75" customHeight="1">
      <c r="A7309" s="551" t="s">
        <v>1277</v>
      </c>
      <c r="B7309" s="546">
        <v>0.11</v>
      </c>
      <c r="C7309" s="547" t="s">
        <v>1228</v>
      </c>
      <c r="D7309" s="563">
        <f>Prec.!$C$246</f>
        <v>1140</v>
      </c>
      <c r="E7309" s="552">
        <f t="shared" ref="E7309:E7315" si="564">ROUND(B7309*D7309,2)</f>
        <v>125.4</v>
      </c>
      <c r="F7309" s="553"/>
    </row>
    <row r="7310" spans="1:13" ht="12.75" customHeight="1">
      <c r="A7310" s="551" t="s">
        <v>613</v>
      </c>
      <c r="B7310" s="546">
        <v>0.11</v>
      </c>
      <c r="C7310" s="547" t="s">
        <v>1228</v>
      </c>
      <c r="D7310" s="563">
        <f>D7293</f>
        <v>2.89</v>
      </c>
      <c r="E7310" s="552">
        <f t="shared" si="564"/>
        <v>0.32</v>
      </c>
      <c r="F7310" s="553"/>
    </row>
    <row r="7311" spans="1:13" ht="12.75" customHeight="1">
      <c r="A7311" s="551" t="s">
        <v>528</v>
      </c>
      <c r="B7311" s="546">
        <v>1.0999999999999999E-2</v>
      </c>
      <c r="C7311" s="547" t="s">
        <v>1228</v>
      </c>
      <c r="D7311" s="563">
        <f>Prec.!$C$246</f>
        <v>1140</v>
      </c>
      <c r="E7311" s="552">
        <f t="shared" si="564"/>
        <v>12.54</v>
      </c>
      <c r="F7311" s="553"/>
    </row>
    <row r="7312" spans="1:13" ht="12.75" customHeight="1">
      <c r="A7312" s="551" t="s">
        <v>1176</v>
      </c>
      <c r="B7312" s="546">
        <v>1</v>
      </c>
      <c r="C7312" s="547" t="s">
        <v>213</v>
      </c>
      <c r="D7312" s="563">
        <f>Prec.!$C$267</f>
        <v>9.92</v>
      </c>
      <c r="E7312" s="552">
        <f t="shared" si="564"/>
        <v>9.92</v>
      </c>
      <c r="F7312" s="553"/>
    </row>
    <row r="7313" spans="1:13" ht="12.75" customHeight="1">
      <c r="A7313" s="551" t="s">
        <v>1274</v>
      </c>
      <c r="B7313" s="546">
        <v>1</v>
      </c>
      <c r="C7313" s="547" t="s">
        <v>213</v>
      </c>
      <c r="D7313" s="563">
        <f>Prec.!C635</f>
        <v>32.56</v>
      </c>
      <c r="E7313" s="552">
        <f t="shared" si="564"/>
        <v>32.56</v>
      </c>
      <c r="F7313" s="553"/>
    </row>
    <row r="7314" spans="1:13" ht="12.75" customHeight="1">
      <c r="A7314" s="551" t="s">
        <v>1275</v>
      </c>
      <c r="B7314" s="546">
        <v>1</v>
      </c>
      <c r="C7314" s="547" t="s">
        <v>213</v>
      </c>
      <c r="D7314" s="563">
        <f>Prec.!C636</f>
        <v>21.7</v>
      </c>
      <c r="E7314" s="552">
        <f t="shared" si="564"/>
        <v>21.7</v>
      </c>
      <c r="F7314" s="562"/>
    </row>
    <row r="7315" spans="1:13" ht="12.75" customHeight="1">
      <c r="A7315" s="551" t="s">
        <v>873</v>
      </c>
      <c r="B7315" s="546">
        <v>1</v>
      </c>
      <c r="C7315" s="547" t="s">
        <v>213</v>
      </c>
      <c r="D7315" s="563">
        <f>D7134</f>
        <v>7.35</v>
      </c>
      <c r="E7315" s="552">
        <f t="shared" si="564"/>
        <v>7.35</v>
      </c>
      <c r="F7315" s="553">
        <f>SUM(E7308:E7315)</f>
        <v>209.78999999999996</v>
      </c>
    </row>
    <row r="7316" spans="1:13" s="166" customFormat="1" ht="12.75" customHeight="1">
      <c r="A7316" s="12"/>
      <c r="B7316" s="30"/>
      <c r="C7316" s="24"/>
      <c r="D7316" s="41"/>
      <c r="E7316" s="31"/>
      <c r="F7316" s="32"/>
      <c r="G7316" s="15"/>
      <c r="H7316" s="21"/>
      <c r="I7316" s="15"/>
      <c r="J7316" s="15"/>
      <c r="K7316" s="15"/>
      <c r="L7316" s="21"/>
      <c r="M7316" s="15"/>
    </row>
    <row r="7317" spans="1:13" s="166" customFormat="1" ht="12.75" hidden="1" customHeight="1">
      <c r="A7317" s="13" t="s">
        <v>872</v>
      </c>
      <c r="B7317" s="30"/>
      <c r="C7317" s="24"/>
      <c r="D7317" s="35"/>
      <c r="E7317" s="31"/>
      <c r="F7317" s="32"/>
      <c r="G7317" s="15"/>
      <c r="H7317" s="21"/>
      <c r="I7317" s="15"/>
      <c r="J7317" s="15"/>
      <c r="K7317" s="15"/>
      <c r="L7317" s="21"/>
      <c r="M7317" s="15"/>
    </row>
    <row r="7318" spans="1:13" s="166" customFormat="1" ht="12.75" hidden="1" customHeight="1">
      <c r="A7318" s="12" t="s">
        <v>1947</v>
      </c>
      <c r="B7318" s="30">
        <v>0.08</v>
      </c>
      <c r="C7318" s="24" t="s">
        <v>1228</v>
      </c>
      <c r="D7318" s="41">
        <f>D7119</f>
        <v>830.48</v>
      </c>
      <c r="E7318" s="31">
        <f t="shared" ref="E7318:E7324" si="565">ROUND(B7318*D7318,2)</f>
        <v>66.44</v>
      </c>
      <c r="F7318" s="32"/>
      <c r="G7318" s="15"/>
      <c r="H7318" s="21"/>
      <c r="I7318" s="15"/>
      <c r="J7318" s="15"/>
      <c r="K7318" s="15"/>
      <c r="L7318" s="21"/>
      <c r="M7318" s="15"/>
    </row>
    <row r="7319" spans="1:13" s="166" customFormat="1" ht="12.75" hidden="1" customHeight="1">
      <c r="A7319" s="12" t="s">
        <v>545</v>
      </c>
      <c r="B7319" s="30">
        <v>0.08</v>
      </c>
      <c r="C7319" s="24" t="s">
        <v>1228</v>
      </c>
      <c r="D7319" s="41">
        <f>D7310</f>
        <v>2.89</v>
      </c>
      <c r="E7319" s="31">
        <f t="shared" si="565"/>
        <v>0.23</v>
      </c>
      <c r="F7319" s="32"/>
      <c r="G7319" s="15"/>
      <c r="H7319" s="21"/>
      <c r="I7319" s="15"/>
      <c r="J7319" s="15"/>
      <c r="K7319" s="15"/>
      <c r="L7319" s="21"/>
      <c r="M7319" s="15"/>
    </row>
    <row r="7320" spans="1:13" s="166" customFormat="1" ht="12.75" hidden="1" customHeight="1">
      <c r="A7320" s="12" t="s">
        <v>528</v>
      </c>
      <c r="B7320" s="30">
        <v>8.0000000000000002E-3</v>
      </c>
      <c r="C7320" s="24" t="s">
        <v>1228</v>
      </c>
      <c r="D7320" s="41">
        <f>D7318</f>
        <v>830.48</v>
      </c>
      <c r="E7320" s="31">
        <f t="shared" si="565"/>
        <v>6.64</v>
      </c>
      <c r="F7320" s="32"/>
      <c r="G7320" s="15"/>
      <c r="H7320" s="21"/>
      <c r="I7320" s="15"/>
      <c r="J7320" s="15"/>
      <c r="K7320" s="15"/>
      <c r="L7320" s="21"/>
      <c r="M7320" s="15"/>
    </row>
    <row r="7321" spans="1:13" s="166" customFormat="1" ht="12.75" hidden="1" customHeight="1">
      <c r="A7321" s="12" t="s">
        <v>1176</v>
      </c>
      <c r="B7321" s="30">
        <v>1</v>
      </c>
      <c r="C7321" s="24" t="s">
        <v>213</v>
      </c>
      <c r="D7321" s="41">
        <f>D7312</f>
        <v>9.92</v>
      </c>
      <c r="E7321" s="31">
        <f t="shared" si="565"/>
        <v>9.92</v>
      </c>
      <c r="F7321" s="32"/>
      <c r="G7321" s="15"/>
      <c r="H7321" s="21"/>
      <c r="I7321" s="15"/>
      <c r="J7321" s="15"/>
      <c r="K7321" s="15"/>
      <c r="L7321" s="21"/>
      <c r="M7321" s="15"/>
    </row>
    <row r="7322" spans="1:13" s="166" customFormat="1" ht="12.75" hidden="1" customHeight="1">
      <c r="A7322" s="12" t="s">
        <v>1274</v>
      </c>
      <c r="B7322" s="30">
        <v>1</v>
      </c>
      <c r="C7322" s="24" t="s">
        <v>213</v>
      </c>
      <c r="D7322" s="41">
        <f t="shared" ref="D7322:D7324" si="566">D7313</f>
        <v>32.56</v>
      </c>
      <c r="E7322" s="31">
        <f t="shared" si="565"/>
        <v>32.56</v>
      </c>
      <c r="F7322" s="32"/>
      <c r="G7322" s="15"/>
      <c r="H7322" s="21"/>
      <c r="I7322" s="15"/>
      <c r="J7322" s="15"/>
      <c r="K7322" s="15"/>
      <c r="L7322" s="21"/>
      <c r="M7322" s="15"/>
    </row>
    <row r="7323" spans="1:13" s="166" customFormat="1" ht="12.75" hidden="1" customHeight="1">
      <c r="A7323" s="12" t="s">
        <v>1275</v>
      </c>
      <c r="B7323" s="30">
        <v>1</v>
      </c>
      <c r="C7323" s="24" t="s">
        <v>213</v>
      </c>
      <c r="D7323" s="41">
        <f t="shared" si="566"/>
        <v>21.7</v>
      </c>
      <c r="E7323" s="31">
        <f t="shared" si="565"/>
        <v>21.7</v>
      </c>
      <c r="F7323" s="178"/>
      <c r="G7323" s="15"/>
      <c r="H7323" s="21"/>
      <c r="I7323" s="15"/>
      <c r="J7323" s="15"/>
      <c r="K7323" s="15"/>
      <c r="L7323" s="21"/>
      <c r="M7323" s="15"/>
    </row>
    <row r="7324" spans="1:13" s="166" customFormat="1" ht="12.75" hidden="1" customHeight="1">
      <c r="A7324" s="12" t="s">
        <v>873</v>
      </c>
      <c r="B7324" s="30">
        <v>1</v>
      </c>
      <c r="C7324" s="24" t="s">
        <v>213</v>
      </c>
      <c r="D7324" s="41">
        <f t="shared" si="566"/>
        <v>7.35</v>
      </c>
      <c r="E7324" s="31">
        <f t="shared" si="565"/>
        <v>7.35</v>
      </c>
      <c r="F7324" s="32">
        <f>SUM(E7317:E7324)</f>
        <v>144.84</v>
      </c>
      <c r="G7324" s="15"/>
      <c r="H7324" s="21"/>
      <c r="I7324" s="15"/>
      <c r="J7324" s="15"/>
      <c r="K7324" s="15"/>
      <c r="L7324" s="21"/>
      <c r="M7324" s="15"/>
    </row>
    <row r="7325" spans="1:13" s="166" customFormat="1" ht="12.75" hidden="1" customHeight="1">
      <c r="A7325" s="12"/>
      <c r="B7325" s="30"/>
      <c r="C7325" s="24"/>
      <c r="D7325" s="41"/>
      <c r="E7325" s="31"/>
      <c r="F7325" s="32"/>
      <c r="G7325" s="15"/>
      <c r="H7325" s="21"/>
      <c r="I7325" s="15"/>
      <c r="J7325" s="15"/>
      <c r="K7325" s="15"/>
      <c r="L7325" s="21"/>
      <c r="M7325" s="15"/>
    </row>
    <row r="7326" spans="1:13" s="166" customFormat="1" ht="12.75" hidden="1" customHeight="1">
      <c r="A7326" s="12"/>
      <c r="B7326" s="30"/>
      <c r="C7326" s="24"/>
      <c r="D7326" s="41"/>
      <c r="E7326" s="31"/>
      <c r="F7326" s="32"/>
      <c r="G7326" s="15"/>
      <c r="H7326" s="21"/>
      <c r="I7326" s="15"/>
      <c r="J7326" s="15"/>
      <c r="K7326" s="15"/>
      <c r="L7326" s="21"/>
      <c r="M7326" s="15"/>
    </row>
    <row r="7327" spans="1:13" s="166" customFormat="1" ht="12.75" hidden="1" customHeight="1">
      <c r="A7327" s="12"/>
      <c r="B7327" s="30"/>
      <c r="C7327" s="24"/>
      <c r="D7327" s="41"/>
      <c r="E7327" s="31"/>
      <c r="F7327" s="32"/>
      <c r="G7327" s="15"/>
      <c r="H7327" s="21"/>
      <c r="I7327" s="15"/>
      <c r="J7327" s="15"/>
      <c r="K7327" s="15"/>
      <c r="L7327" s="21"/>
      <c r="M7327" s="15"/>
    </row>
    <row r="7328" spans="1:13" ht="12.75" hidden="1" customHeight="1">
      <c r="A7328" s="12"/>
      <c r="B7328" s="30"/>
      <c r="C7328" s="24"/>
      <c r="D7328" s="41"/>
      <c r="E7328" s="31"/>
      <c r="F7328" s="32"/>
    </row>
    <row r="7329" spans="1:6" ht="12.75" hidden="1" customHeight="1">
      <c r="A7329" s="13" t="s">
        <v>37</v>
      </c>
      <c r="B7329" s="30"/>
      <c r="C7329" s="24"/>
      <c r="D7329" s="35"/>
      <c r="E7329" s="31"/>
      <c r="F7329" s="32"/>
    </row>
    <row r="7330" spans="1:6" ht="12.75" hidden="1" customHeight="1">
      <c r="A7330" s="12" t="s">
        <v>1277</v>
      </c>
      <c r="B7330" s="30">
        <v>0.11</v>
      </c>
      <c r="C7330" s="24" t="s">
        <v>1228</v>
      </c>
      <c r="D7330" s="41">
        <f>Prec.!C248</f>
        <v>550</v>
      </c>
      <c r="E7330" s="31">
        <f t="shared" ref="E7330:E7335" si="567">ROUND(B7330*D7330,2)</f>
        <v>60.5</v>
      </c>
      <c r="F7330" s="32"/>
    </row>
    <row r="7331" spans="1:6" ht="12.75" hidden="1" customHeight="1">
      <c r="A7331" s="12" t="s">
        <v>613</v>
      </c>
      <c r="B7331" s="30">
        <v>0.11</v>
      </c>
      <c r="C7331" s="24" t="s">
        <v>1228</v>
      </c>
      <c r="D7331" s="41">
        <f>D7310</f>
        <v>2.89</v>
      </c>
      <c r="E7331" s="31">
        <f t="shared" si="567"/>
        <v>0.32</v>
      </c>
      <c r="F7331" s="32"/>
    </row>
    <row r="7332" spans="1:6" ht="12.75" hidden="1" customHeight="1">
      <c r="A7332" s="12" t="s">
        <v>528</v>
      </c>
      <c r="B7332" s="30">
        <v>1.0999999999999999E-2</v>
      </c>
      <c r="C7332" s="24" t="s">
        <v>1228</v>
      </c>
      <c r="D7332" s="41">
        <f>D7330</f>
        <v>550</v>
      </c>
      <c r="E7332" s="31">
        <f t="shared" si="567"/>
        <v>6.05</v>
      </c>
      <c r="F7332" s="32"/>
    </row>
    <row r="7333" spans="1:6" ht="12.75" hidden="1" customHeight="1">
      <c r="A7333" s="12" t="s">
        <v>1176</v>
      </c>
      <c r="B7333" s="30">
        <v>1</v>
      </c>
      <c r="C7333" s="24" t="s">
        <v>213</v>
      </c>
      <c r="D7333" s="41">
        <f>D7312</f>
        <v>9.92</v>
      </c>
      <c r="E7333" s="31">
        <f t="shared" si="567"/>
        <v>9.92</v>
      </c>
      <c r="F7333" s="32"/>
    </row>
    <row r="7334" spans="1:6" ht="12.75" hidden="1" customHeight="1">
      <c r="A7334" s="12" t="s">
        <v>1274</v>
      </c>
      <c r="B7334" s="30">
        <v>1</v>
      </c>
      <c r="C7334" s="24" t="s">
        <v>213</v>
      </c>
      <c r="D7334" s="41">
        <f>D7313</f>
        <v>32.56</v>
      </c>
      <c r="E7334" s="31">
        <f t="shared" si="567"/>
        <v>32.56</v>
      </c>
      <c r="F7334" s="32"/>
    </row>
    <row r="7335" spans="1:6" ht="12.75" hidden="1" customHeight="1">
      <c r="A7335" s="12" t="s">
        <v>1275</v>
      </c>
      <c r="B7335" s="30">
        <v>1</v>
      </c>
      <c r="C7335" s="24" t="s">
        <v>213</v>
      </c>
      <c r="D7335" s="41">
        <f>D7314</f>
        <v>21.7</v>
      </c>
      <c r="E7335" s="31">
        <f t="shared" si="567"/>
        <v>21.7</v>
      </c>
      <c r="F7335" s="32">
        <f>SUM(E7329:E7335)</f>
        <v>131.05000000000001</v>
      </c>
    </row>
    <row r="7336" spans="1:6" ht="12.75" hidden="1" customHeight="1">
      <c r="A7336" s="12"/>
      <c r="B7336" s="30"/>
      <c r="C7336" s="24"/>
      <c r="D7336" s="41"/>
      <c r="E7336" s="31"/>
      <c r="F7336" s="32"/>
    </row>
    <row r="7337" spans="1:6" ht="12.75" hidden="1" customHeight="1">
      <c r="A7337" s="13" t="s">
        <v>978</v>
      </c>
      <c r="B7337" s="30"/>
      <c r="C7337" s="24"/>
      <c r="D7337" s="35"/>
      <c r="E7337" s="31"/>
      <c r="F7337" s="32"/>
    </row>
    <row r="7338" spans="1:6" ht="12.75" hidden="1" customHeight="1">
      <c r="A7338" s="12" t="s">
        <v>1277</v>
      </c>
      <c r="B7338" s="30">
        <v>0.11</v>
      </c>
      <c r="C7338" s="24" t="s">
        <v>1228</v>
      </c>
      <c r="D7338" s="41">
        <f t="shared" ref="D7338:D7343" si="568">D7330</f>
        <v>550</v>
      </c>
      <c r="E7338" s="31">
        <f>ROUND(B7338*D7338,2)</f>
        <v>60.5</v>
      </c>
      <c r="F7338" s="32"/>
    </row>
    <row r="7339" spans="1:6" ht="12.75" hidden="1" customHeight="1">
      <c r="A7339" s="12" t="s">
        <v>613</v>
      </c>
      <c r="B7339" s="30">
        <v>0.11</v>
      </c>
      <c r="C7339" s="24" t="s">
        <v>1228</v>
      </c>
      <c r="D7339" s="41">
        <f t="shared" si="568"/>
        <v>2.89</v>
      </c>
      <c r="E7339" s="31">
        <f t="shared" ref="E7339:E7344" si="569">ROUND(B7339*D7339,2)</f>
        <v>0.32</v>
      </c>
      <c r="F7339" s="32"/>
    </row>
    <row r="7340" spans="1:6" ht="12.75" hidden="1" customHeight="1">
      <c r="A7340" s="12" t="s">
        <v>528</v>
      </c>
      <c r="B7340" s="30">
        <v>1.0999999999999999E-2</v>
      </c>
      <c r="C7340" s="24" t="s">
        <v>1228</v>
      </c>
      <c r="D7340" s="41">
        <f t="shared" si="568"/>
        <v>550</v>
      </c>
      <c r="E7340" s="31">
        <f t="shared" si="569"/>
        <v>6.05</v>
      </c>
      <c r="F7340" s="32"/>
    </row>
    <row r="7341" spans="1:6" ht="12.75" hidden="1" customHeight="1">
      <c r="A7341" s="12" t="s">
        <v>1176</v>
      </c>
      <c r="B7341" s="30">
        <v>1</v>
      </c>
      <c r="C7341" s="24" t="s">
        <v>213</v>
      </c>
      <c r="D7341" s="41">
        <f t="shared" si="568"/>
        <v>9.92</v>
      </c>
      <c r="E7341" s="31">
        <f t="shared" si="569"/>
        <v>9.92</v>
      </c>
      <c r="F7341" s="32"/>
    </row>
    <row r="7342" spans="1:6" ht="12.75" hidden="1" customHeight="1">
      <c r="A7342" s="12" t="s">
        <v>1274</v>
      </c>
      <c r="B7342" s="30">
        <v>1</v>
      </c>
      <c r="C7342" s="24" t="s">
        <v>213</v>
      </c>
      <c r="D7342" s="41">
        <f t="shared" si="568"/>
        <v>32.56</v>
      </c>
      <c r="E7342" s="31">
        <f t="shared" si="569"/>
        <v>32.56</v>
      </c>
      <c r="F7342" s="32"/>
    </row>
    <row r="7343" spans="1:6" ht="12.75" hidden="1" customHeight="1">
      <c r="A7343" s="12" t="s">
        <v>1275</v>
      </c>
      <c r="B7343" s="30">
        <v>1</v>
      </c>
      <c r="C7343" s="24" t="s">
        <v>213</v>
      </c>
      <c r="D7343" s="41">
        <f t="shared" si="568"/>
        <v>21.7</v>
      </c>
      <c r="E7343" s="31">
        <f t="shared" si="569"/>
        <v>21.7</v>
      </c>
      <c r="F7343" s="178"/>
    </row>
    <row r="7344" spans="1:6" ht="12.75" hidden="1" customHeight="1">
      <c r="A7344" s="12" t="s">
        <v>873</v>
      </c>
      <c r="B7344" s="30">
        <v>1</v>
      </c>
      <c r="C7344" s="24" t="s">
        <v>213</v>
      </c>
      <c r="D7344" s="41">
        <f>D7315</f>
        <v>7.35</v>
      </c>
      <c r="E7344" s="31">
        <f t="shared" si="569"/>
        <v>7.35</v>
      </c>
      <c r="F7344" s="32">
        <f>SUM(E7338:E7344)</f>
        <v>138.4</v>
      </c>
    </row>
    <row r="7345" spans="1:6" ht="12.75" hidden="1" customHeight="1">
      <c r="A7345" s="12"/>
      <c r="B7345" s="30"/>
      <c r="C7345" s="24"/>
      <c r="D7345" s="35"/>
      <c r="E7345" s="31"/>
      <c r="F7345" s="32"/>
    </row>
    <row r="7346" spans="1:6" ht="12.75" hidden="1" customHeight="1">
      <c r="A7346" s="13" t="s">
        <v>877</v>
      </c>
      <c r="B7346" s="30"/>
      <c r="C7346" s="24"/>
      <c r="D7346" s="35"/>
      <c r="E7346" s="31"/>
      <c r="F7346" s="32"/>
    </row>
    <row r="7347" spans="1:6" ht="12.75" hidden="1" customHeight="1">
      <c r="A7347" s="12" t="s">
        <v>875</v>
      </c>
      <c r="B7347" s="30">
        <v>0.14699999999999999</v>
      </c>
      <c r="C7347" s="24" t="s">
        <v>1228</v>
      </c>
      <c r="D7347" s="41">
        <f>Prec.!$C$250</f>
        <v>1590</v>
      </c>
      <c r="E7347" s="31">
        <f t="shared" ref="E7347:E7353" si="570">ROUND(B7347*D7347,2)</f>
        <v>233.73</v>
      </c>
      <c r="F7347" s="32"/>
    </row>
    <row r="7348" spans="1:6" ht="12.75" hidden="1" customHeight="1">
      <c r="A7348" s="12" t="s">
        <v>613</v>
      </c>
      <c r="B7348" s="30">
        <v>0.14699999999999999</v>
      </c>
      <c r="C7348" s="24" t="s">
        <v>1228</v>
      </c>
      <c r="D7348" s="41">
        <f>Prec.!D653</f>
        <v>2.89</v>
      </c>
      <c r="E7348" s="31">
        <f t="shared" si="570"/>
        <v>0.42</v>
      </c>
      <c r="F7348" s="32"/>
    </row>
    <row r="7349" spans="1:6" ht="12.75" hidden="1" customHeight="1">
      <c r="A7349" s="12" t="s">
        <v>528</v>
      </c>
      <c r="B7349" s="30">
        <v>1.4999999999999999E-2</v>
      </c>
      <c r="C7349" s="24" t="s">
        <v>1228</v>
      </c>
      <c r="D7349" s="41">
        <f>Prec.!$C$250</f>
        <v>1590</v>
      </c>
      <c r="E7349" s="31">
        <f t="shared" si="570"/>
        <v>23.85</v>
      </c>
      <c r="F7349" s="32"/>
    </row>
    <row r="7350" spans="1:6" ht="12.75" hidden="1" customHeight="1">
      <c r="A7350" s="12" t="s">
        <v>876</v>
      </c>
      <c r="B7350" s="30">
        <v>0.1</v>
      </c>
      <c r="C7350" s="24" t="s">
        <v>1228</v>
      </c>
      <c r="D7350" s="41">
        <f>Prec.!$C$269</f>
        <v>315</v>
      </c>
      <c r="E7350" s="31">
        <f t="shared" si="570"/>
        <v>31.5</v>
      </c>
      <c r="F7350" s="32"/>
    </row>
    <row r="7351" spans="1:6" ht="12.75" hidden="1" customHeight="1">
      <c r="A7351" s="12" t="s">
        <v>259</v>
      </c>
      <c r="B7351" s="30">
        <v>0.1</v>
      </c>
      <c r="C7351" s="24" t="s">
        <v>1228</v>
      </c>
      <c r="D7351" s="41">
        <f>D7348</f>
        <v>2.89</v>
      </c>
      <c r="E7351" s="31">
        <f t="shared" si="570"/>
        <v>0.28999999999999998</v>
      </c>
      <c r="F7351" s="32"/>
    </row>
    <row r="7352" spans="1:6" ht="12.75" hidden="1" customHeight="1">
      <c r="A7352" s="12" t="s">
        <v>1176</v>
      </c>
      <c r="B7352" s="30">
        <v>1</v>
      </c>
      <c r="C7352" s="24" t="s">
        <v>213</v>
      </c>
      <c r="D7352" s="41">
        <f>Prec.!$C$267</f>
        <v>9.92</v>
      </c>
      <c r="E7352" s="31">
        <f t="shared" si="570"/>
        <v>9.92</v>
      </c>
      <c r="F7352" s="32"/>
    </row>
    <row r="7353" spans="1:6" ht="12.75" hidden="1" customHeight="1">
      <c r="A7353" s="12" t="s">
        <v>998</v>
      </c>
      <c r="B7353" s="30">
        <v>2</v>
      </c>
      <c r="C7353" s="24" t="s">
        <v>213</v>
      </c>
      <c r="D7353" s="41">
        <f>Prec.!$D$648</f>
        <v>109.25</v>
      </c>
      <c r="E7353" s="31">
        <f t="shared" si="570"/>
        <v>218.5</v>
      </c>
      <c r="F7353" s="32">
        <f>SUM(E7346:E7353)</f>
        <v>518.21</v>
      </c>
    </row>
    <row r="7354" spans="1:6" ht="12.75" hidden="1" customHeight="1">
      <c r="A7354" s="12"/>
      <c r="B7354" s="30"/>
      <c r="C7354" s="24"/>
      <c r="D7354" s="41"/>
      <c r="E7354" s="31"/>
      <c r="F7354" s="32"/>
    </row>
    <row r="7355" spans="1:6" ht="12.75" customHeight="1">
      <c r="A7355" s="545" t="s">
        <v>878</v>
      </c>
      <c r="B7355" s="546"/>
      <c r="C7355" s="547"/>
      <c r="D7355" s="548"/>
      <c r="E7355" s="552"/>
      <c r="F7355" s="553"/>
    </row>
    <row r="7356" spans="1:6" ht="12.75" customHeight="1">
      <c r="A7356" s="551" t="s">
        <v>875</v>
      </c>
      <c r="B7356" s="546">
        <v>0.14699999999999999</v>
      </c>
      <c r="C7356" s="547" t="s">
        <v>1228</v>
      </c>
      <c r="D7356" s="563">
        <f>Prec.!$C$250</f>
        <v>1590</v>
      </c>
      <c r="E7356" s="552">
        <f t="shared" ref="E7356:E7363" si="571">ROUND(B7356*D7356,2)</f>
        <v>233.73</v>
      </c>
      <c r="F7356" s="553"/>
    </row>
    <row r="7357" spans="1:6" ht="12.75" customHeight="1">
      <c r="A7357" s="551" t="s">
        <v>613</v>
      </c>
      <c r="B7357" s="546">
        <v>0.14699999999999999</v>
      </c>
      <c r="C7357" s="547" t="s">
        <v>1228</v>
      </c>
      <c r="D7357" s="563">
        <f>D7348</f>
        <v>2.89</v>
      </c>
      <c r="E7357" s="552">
        <f t="shared" si="571"/>
        <v>0.42</v>
      </c>
      <c r="F7357" s="553"/>
    </row>
    <row r="7358" spans="1:6" ht="12.75" customHeight="1">
      <c r="A7358" s="551" t="s">
        <v>528</v>
      </c>
      <c r="B7358" s="546">
        <v>1.4999999999999999E-2</v>
      </c>
      <c r="C7358" s="547" t="s">
        <v>1228</v>
      </c>
      <c r="D7358" s="563">
        <f>Prec.!$C$250</f>
        <v>1590</v>
      </c>
      <c r="E7358" s="552">
        <f t="shared" si="571"/>
        <v>23.85</v>
      </c>
      <c r="F7358" s="553"/>
    </row>
    <row r="7359" spans="1:6" ht="12.75" customHeight="1">
      <c r="A7359" s="551" t="s">
        <v>876</v>
      </c>
      <c r="B7359" s="546">
        <v>0.1</v>
      </c>
      <c r="C7359" s="547" t="s">
        <v>1228</v>
      </c>
      <c r="D7359" s="563">
        <f>Prec.!$C$269</f>
        <v>315</v>
      </c>
      <c r="E7359" s="552">
        <f t="shared" si="571"/>
        <v>31.5</v>
      </c>
      <c r="F7359" s="553"/>
    </row>
    <row r="7360" spans="1:6" ht="12.75" customHeight="1">
      <c r="A7360" s="551" t="s">
        <v>259</v>
      </c>
      <c r="B7360" s="546">
        <v>0.1</v>
      </c>
      <c r="C7360" s="547" t="s">
        <v>1228</v>
      </c>
      <c r="D7360" s="563">
        <f>D7357</f>
        <v>2.89</v>
      </c>
      <c r="E7360" s="552">
        <f t="shared" si="571"/>
        <v>0.28999999999999998</v>
      </c>
      <c r="F7360" s="553"/>
    </row>
    <row r="7361" spans="1:13" ht="12.75" customHeight="1">
      <c r="A7361" s="551" t="s">
        <v>1176</v>
      </c>
      <c r="B7361" s="546">
        <v>1</v>
      </c>
      <c r="C7361" s="547" t="s">
        <v>213</v>
      </c>
      <c r="D7361" s="563">
        <f>Prec.!$C$267</f>
        <v>9.92</v>
      </c>
      <c r="E7361" s="552">
        <f t="shared" si="571"/>
        <v>9.92</v>
      </c>
      <c r="F7361" s="553"/>
    </row>
    <row r="7362" spans="1:13" ht="12.75" customHeight="1">
      <c r="A7362" s="551" t="s">
        <v>1273</v>
      </c>
      <c r="B7362" s="546">
        <v>1</v>
      </c>
      <c r="C7362" s="547" t="s">
        <v>213</v>
      </c>
      <c r="D7362" s="563">
        <f>Prec.!C637</f>
        <v>34.74</v>
      </c>
      <c r="E7362" s="552">
        <f t="shared" si="571"/>
        <v>34.74</v>
      </c>
      <c r="F7362" s="553"/>
    </row>
    <row r="7363" spans="1:13" ht="12.75" customHeight="1">
      <c r="A7363" s="551" t="s">
        <v>1272</v>
      </c>
      <c r="B7363" s="546">
        <v>1</v>
      </c>
      <c r="C7363" s="547" t="s">
        <v>213</v>
      </c>
      <c r="D7363" s="563">
        <f>Prec.!C638</f>
        <v>32.56</v>
      </c>
      <c r="E7363" s="552">
        <f t="shared" si="571"/>
        <v>32.56</v>
      </c>
      <c r="F7363" s="553">
        <f>SUM(E7356:E7363)</f>
        <v>367.01000000000005</v>
      </c>
    </row>
    <row r="7364" spans="1:13" ht="12.75" customHeight="1">
      <c r="A7364" s="12"/>
      <c r="B7364" s="30"/>
      <c r="C7364" s="24"/>
      <c r="D7364" s="41"/>
      <c r="E7364" s="31"/>
      <c r="F7364" s="32"/>
    </row>
    <row r="7365" spans="1:13" s="166" customFormat="1" ht="12.75" hidden="1" customHeight="1">
      <c r="A7365" s="12"/>
      <c r="B7365" s="30"/>
      <c r="C7365" s="24"/>
      <c r="D7365" s="41"/>
      <c r="E7365" s="31"/>
      <c r="F7365" s="32"/>
      <c r="G7365" s="15"/>
      <c r="H7365" s="21"/>
      <c r="I7365" s="15"/>
      <c r="J7365" s="15"/>
      <c r="K7365" s="15"/>
      <c r="L7365" s="21"/>
      <c r="M7365" s="15"/>
    </row>
    <row r="7366" spans="1:13" s="166" customFormat="1" ht="12.75" hidden="1" customHeight="1">
      <c r="A7366" s="12"/>
      <c r="B7366" s="30"/>
      <c r="C7366" s="24"/>
      <c r="D7366" s="41"/>
      <c r="E7366" s="31"/>
      <c r="F7366" s="32"/>
      <c r="G7366" s="15"/>
      <c r="H7366" s="21"/>
      <c r="I7366" s="15"/>
      <c r="J7366" s="15"/>
      <c r="K7366" s="15"/>
      <c r="L7366" s="21"/>
      <c r="M7366" s="15"/>
    </row>
    <row r="7367" spans="1:13" s="166" customFormat="1" ht="12.75" hidden="1" customHeight="1">
      <c r="A7367" s="12"/>
      <c r="B7367" s="30"/>
      <c r="C7367" s="24"/>
      <c r="D7367" s="41"/>
      <c r="E7367" s="31"/>
      <c r="F7367" s="32"/>
      <c r="G7367" s="15"/>
      <c r="H7367" s="21"/>
      <c r="I7367" s="15"/>
      <c r="J7367" s="15"/>
      <c r="K7367" s="15"/>
      <c r="L7367" s="21"/>
      <c r="M7367" s="15"/>
    </row>
    <row r="7368" spans="1:13" s="166" customFormat="1" ht="12.75" hidden="1" customHeight="1">
      <c r="A7368" s="12"/>
      <c r="B7368" s="30"/>
      <c r="C7368" s="24"/>
      <c r="D7368" s="41"/>
      <c r="E7368" s="31"/>
      <c r="F7368" s="32"/>
      <c r="G7368" s="15"/>
      <c r="H7368" s="21"/>
      <c r="I7368" s="15"/>
      <c r="J7368" s="15"/>
      <c r="K7368" s="15"/>
      <c r="L7368" s="21"/>
      <c r="M7368" s="15"/>
    </row>
    <row r="7369" spans="1:13" s="166" customFormat="1" ht="12.75" hidden="1" customHeight="1">
      <c r="A7369" s="12"/>
      <c r="B7369" s="30"/>
      <c r="C7369" s="24"/>
      <c r="D7369" s="41"/>
      <c r="E7369" s="31"/>
      <c r="F7369" s="32"/>
      <c r="G7369" s="15"/>
      <c r="H7369" s="21"/>
      <c r="I7369" s="15"/>
      <c r="J7369" s="15"/>
      <c r="K7369" s="15"/>
      <c r="L7369" s="21"/>
      <c r="M7369" s="15"/>
    </row>
    <row r="7370" spans="1:13" ht="12.75" hidden="1" customHeight="1">
      <c r="A7370" s="13" t="s">
        <v>1270</v>
      </c>
      <c r="B7370" s="30"/>
      <c r="C7370" s="24"/>
      <c r="D7370" s="35"/>
      <c r="E7370" s="31"/>
      <c r="F7370" s="32"/>
    </row>
    <row r="7371" spans="1:13" ht="12.75" hidden="1" customHeight="1">
      <c r="A7371" s="12" t="s">
        <v>1270</v>
      </c>
      <c r="B7371" s="30">
        <v>0.11</v>
      </c>
      <c r="C7371" s="24" t="s">
        <v>1228</v>
      </c>
      <c r="D7371" s="41">
        <f>Prec.!$C$251</f>
        <v>1110</v>
      </c>
      <c r="E7371" s="31">
        <f t="shared" ref="E7371:E7378" si="572">ROUND(B7371*D7371,2)</f>
        <v>122.1</v>
      </c>
      <c r="F7371" s="32"/>
    </row>
    <row r="7372" spans="1:13" ht="12.75" hidden="1" customHeight="1">
      <c r="A7372" s="12" t="s">
        <v>613</v>
      </c>
      <c r="B7372" s="30">
        <v>0.11</v>
      </c>
      <c r="C7372" s="24" t="s">
        <v>1228</v>
      </c>
      <c r="D7372" s="41">
        <f>Prec.!D653</f>
        <v>2.89</v>
      </c>
      <c r="E7372" s="31">
        <f t="shared" si="572"/>
        <v>0.32</v>
      </c>
      <c r="F7372" s="32"/>
    </row>
    <row r="7373" spans="1:13" ht="12.75" hidden="1" customHeight="1">
      <c r="A7373" s="12" t="s">
        <v>528</v>
      </c>
      <c r="B7373" s="30">
        <v>1.0999999999999999E-2</v>
      </c>
      <c r="C7373" s="24" t="s">
        <v>1228</v>
      </c>
      <c r="D7373" s="41">
        <f>Prec.!$C$251</f>
        <v>1110</v>
      </c>
      <c r="E7373" s="31">
        <f t="shared" si="572"/>
        <v>12.21</v>
      </c>
      <c r="F7373" s="32"/>
    </row>
    <row r="7374" spans="1:13" ht="12.75" hidden="1" customHeight="1">
      <c r="A7374" s="12" t="s">
        <v>876</v>
      </c>
      <c r="B7374" s="30">
        <v>0.1</v>
      </c>
      <c r="C7374" s="24" t="s">
        <v>1228</v>
      </c>
      <c r="D7374" s="41">
        <f>Prec.!$C$269</f>
        <v>315</v>
      </c>
      <c r="E7374" s="31">
        <f t="shared" si="572"/>
        <v>31.5</v>
      </c>
      <c r="F7374" s="32"/>
    </row>
    <row r="7375" spans="1:13" ht="12.75" hidden="1" customHeight="1">
      <c r="A7375" s="12" t="s">
        <v>259</v>
      </c>
      <c r="B7375" s="30">
        <v>0.1</v>
      </c>
      <c r="C7375" s="24" t="s">
        <v>1228</v>
      </c>
      <c r="D7375" s="41">
        <f>D7372</f>
        <v>2.89</v>
      </c>
      <c r="E7375" s="31">
        <f t="shared" si="572"/>
        <v>0.28999999999999998</v>
      </c>
      <c r="F7375" s="32"/>
    </row>
    <row r="7376" spans="1:13" ht="12.75" hidden="1" customHeight="1">
      <c r="A7376" s="12" t="s">
        <v>1176</v>
      </c>
      <c r="B7376" s="30">
        <v>1</v>
      </c>
      <c r="C7376" s="24" t="s">
        <v>213</v>
      </c>
      <c r="D7376" s="41">
        <f>Prec.!$C$267</f>
        <v>9.92</v>
      </c>
      <c r="E7376" s="31">
        <f t="shared" si="572"/>
        <v>9.92</v>
      </c>
      <c r="F7376" s="32"/>
    </row>
    <row r="7377" spans="1:6" ht="12.75" hidden="1" customHeight="1">
      <c r="A7377" s="12" t="s">
        <v>1274</v>
      </c>
      <c r="B7377" s="30">
        <v>1</v>
      </c>
      <c r="C7377" s="24" t="s">
        <v>213</v>
      </c>
      <c r="D7377" s="41">
        <f>Prec.!$D$635</f>
        <v>0</v>
      </c>
      <c r="E7377" s="31">
        <f t="shared" si="572"/>
        <v>0</v>
      </c>
      <c r="F7377" s="32"/>
    </row>
    <row r="7378" spans="1:6" ht="12.75" hidden="1" customHeight="1">
      <c r="A7378" s="12" t="s">
        <v>1275</v>
      </c>
      <c r="B7378" s="30">
        <v>1</v>
      </c>
      <c r="C7378" s="24" t="s">
        <v>213</v>
      </c>
      <c r="D7378" s="41">
        <f>Prec.!$D$636</f>
        <v>0</v>
      </c>
      <c r="E7378" s="31">
        <f t="shared" si="572"/>
        <v>0</v>
      </c>
      <c r="F7378" s="32">
        <f>SUM(E7370:E7378)</f>
        <v>176.33999999999997</v>
      </c>
    </row>
    <row r="7379" spans="1:6" ht="12.75" hidden="1" customHeight="1">
      <c r="A7379" s="12"/>
      <c r="B7379" s="30"/>
      <c r="C7379" s="24"/>
      <c r="D7379" s="41"/>
      <c r="E7379" s="31"/>
      <c r="F7379" s="32"/>
    </row>
    <row r="7380" spans="1:6" ht="12.75" hidden="1" customHeight="1">
      <c r="A7380" s="13" t="s">
        <v>379</v>
      </c>
      <c r="B7380" s="30"/>
      <c r="C7380" s="24"/>
      <c r="D7380" s="35"/>
      <c r="E7380" s="31"/>
      <c r="F7380" s="32"/>
    </row>
    <row r="7381" spans="1:6" ht="12.75" hidden="1" customHeight="1">
      <c r="A7381" s="12" t="s">
        <v>298</v>
      </c>
      <c r="B7381" s="431">
        <v>0.11</v>
      </c>
      <c r="C7381" s="24" t="s">
        <v>1228</v>
      </c>
      <c r="D7381" s="41">
        <f>Prec.!$C$260</f>
        <v>1115</v>
      </c>
      <c r="E7381" s="31">
        <f>ROUND(B7381*D7381,2)</f>
        <v>122.65</v>
      </c>
      <c r="F7381" s="32"/>
    </row>
    <row r="7382" spans="1:6" ht="12.75" hidden="1" customHeight="1">
      <c r="A7382" s="12" t="s">
        <v>613</v>
      </c>
      <c r="B7382" s="431">
        <v>0.11</v>
      </c>
      <c r="C7382" s="24" t="s">
        <v>1228</v>
      </c>
      <c r="D7382" s="41">
        <f>D7372</f>
        <v>2.89</v>
      </c>
      <c r="E7382" s="31">
        <f>ROUND(B7382*D7382,2)</f>
        <v>0.32</v>
      </c>
      <c r="F7382" s="32"/>
    </row>
    <row r="7383" spans="1:6" ht="12.75" hidden="1" customHeight="1">
      <c r="A7383" s="12" t="s">
        <v>528</v>
      </c>
      <c r="B7383" s="431">
        <v>1.0999999999999999E-2</v>
      </c>
      <c r="C7383" s="24" t="s">
        <v>1228</v>
      </c>
      <c r="D7383" s="41">
        <f>Prec.!$C$260</f>
        <v>1115</v>
      </c>
      <c r="E7383" s="31">
        <f t="shared" ref="E7383:E7388" si="573">ROUND(B7383*D7383,2)</f>
        <v>12.27</v>
      </c>
      <c r="F7383" s="32"/>
    </row>
    <row r="7384" spans="1:6" ht="12.75" hidden="1" customHeight="1">
      <c r="A7384" s="12" t="s">
        <v>1276</v>
      </c>
      <c r="B7384" s="431">
        <v>0.2</v>
      </c>
      <c r="C7384" s="24" t="s">
        <v>1228</v>
      </c>
      <c r="D7384" s="41">
        <f>Prec.!$C$290</f>
        <v>293.10000000000002</v>
      </c>
      <c r="E7384" s="31">
        <f t="shared" si="573"/>
        <v>58.62</v>
      </c>
      <c r="F7384" s="32"/>
    </row>
    <row r="7385" spans="1:6" ht="12.75" hidden="1" customHeight="1">
      <c r="A7385" s="12" t="s">
        <v>466</v>
      </c>
      <c r="B7385" s="432">
        <v>0.2</v>
      </c>
      <c r="C7385" s="433" t="s">
        <v>1228</v>
      </c>
      <c r="D7385" s="41">
        <f>D7382</f>
        <v>2.89</v>
      </c>
      <c r="E7385" s="31">
        <f t="shared" si="573"/>
        <v>0.57999999999999996</v>
      </c>
      <c r="F7385" s="32"/>
    </row>
    <row r="7386" spans="1:6" ht="12.75" hidden="1" customHeight="1">
      <c r="A7386" s="12" t="s">
        <v>1176</v>
      </c>
      <c r="B7386" s="431">
        <v>1</v>
      </c>
      <c r="C7386" s="24" t="s">
        <v>213</v>
      </c>
      <c r="D7386" s="41">
        <f>Prec.!$C$267</f>
        <v>9.92</v>
      </c>
      <c r="E7386" s="31">
        <f t="shared" si="573"/>
        <v>9.92</v>
      </c>
      <c r="F7386" s="32"/>
    </row>
    <row r="7387" spans="1:6" ht="12.75" hidden="1" customHeight="1">
      <c r="A7387" s="12" t="s">
        <v>1273</v>
      </c>
      <c r="B7387" s="431">
        <v>1</v>
      </c>
      <c r="C7387" s="24" t="s">
        <v>213</v>
      </c>
      <c r="D7387" s="41">
        <f>Prec.!$D$637</f>
        <v>0</v>
      </c>
      <c r="E7387" s="31">
        <f t="shared" si="573"/>
        <v>0</v>
      </c>
      <c r="F7387" s="32"/>
    </row>
    <row r="7388" spans="1:6" ht="12.75" hidden="1" customHeight="1">
      <c r="A7388" s="12" t="s">
        <v>1272</v>
      </c>
      <c r="B7388" s="431">
        <v>1</v>
      </c>
      <c r="C7388" s="24" t="s">
        <v>213</v>
      </c>
      <c r="D7388" s="41">
        <f>Prec.!$D$638</f>
        <v>0</v>
      </c>
      <c r="E7388" s="31">
        <f t="shared" si="573"/>
        <v>0</v>
      </c>
      <c r="F7388" s="32">
        <f>SUM(E7380:E7388)</f>
        <v>204.36</v>
      </c>
    </row>
    <row r="7389" spans="1:6" ht="12.75" hidden="1" customHeight="1">
      <c r="A7389" s="12"/>
      <c r="B7389" s="30"/>
      <c r="C7389" s="24"/>
      <c r="D7389" s="41"/>
      <c r="E7389" s="31"/>
      <c r="F7389" s="32"/>
    </row>
    <row r="7390" spans="1:6" ht="12.75" hidden="1" customHeight="1">
      <c r="A7390" s="13" t="s">
        <v>381</v>
      </c>
      <c r="B7390" s="30"/>
      <c r="C7390" s="24"/>
      <c r="D7390" s="35"/>
      <c r="E7390" s="31"/>
      <c r="F7390" s="32"/>
    </row>
    <row r="7391" spans="1:6" ht="12.75" hidden="1" customHeight="1">
      <c r="A7391" s="12" t="s">
        <v>1277</v>
      </c>
      <c r="B7391" s="30">
        <v>0.17</v>
      </c>
      <c r="C7391" s="24" t="s">
        <v>1228</v>
      </c>
      <c r="D7391" s="41">
        <f>Prec.!$C$246</f>
        <v>1140</v>
      </c>
      <c r="E7391" s="31">
        <f t="shared" ref="E7391:E7396" si="574">ROUND(B7391*D7391,2)</f>
        <v>193.8</v>
      </c>
      <c r="F7391" s="32"/>
    </row>
    <row r="7392" spans="1:6" ht="12.75" hidden="1" customHeight="1">
      <c r="A7392" s="12" t="s">
        <v>613</v>
      </c>
      <c r="B7392" s="30">
        <v>0.17</v>
      </c>
      <c r="C7392" s="24" t="s">
        <v>1228</v>
      </c>
      <c r="D7392" s="41">
        <f>Prec.!D653</f>
        <v>2.89</v>
      </c>
      <c r="E7392" s="31">
        <f t="shared" si="574"/>
        <v>0.49</v>
      </c>
      <c r="F7392" s="32"/>
    </row>
    <row r="7393" spans="1:6" ht="12.75" hidden="1" customHeight="1">
      <c r="A7393" s="12" t="s">
        <v>528</v>
      </c>
      <c r="B7393" s="30">
        <v>1.7000000000000001E-2</v>
      </c>
      <c r="C7393" s="24" t="s">
        <v>1228</v>
      </c>
      <c r="D7393" s="41">
        <f>Prec.!$C$246</f>
        <v>1140</v>
      </c>
      <c r="E7393" s="31">
        <f t="shared" si="574"/>
        <v>19.38</v>
      </c>
      <c r="F7393" s="32"/>
    </row>
    <row r="7394" spans="1:6" ht="12.75" hidden="1" customHeight="1">
      <c r="A7394" s="12" t="s">
        <v>1176</v>
      </c>
      <c r="B7394" s="30">
        <v>1</v>
      </c>
      <c r="C7394" s="24" t="s">
        <v>213</v>
      </c>
      <c r="D7394" s="41">
        <f>Prec.!$C$267</f>
        <v>9.92</v>
      </c>
      <c r="E7394" s="31">
        <f t="shared" si="574"/>
        <v>9.92</v>
      </c>
      <c r="F7394" s="32"/>
    </row>
    <row r="7395" spans="1:6" ht="12.75" hidden="1" customHeight="1">
      <c r="A7395" s="12" t="s">
        <v>1278</v>
      </c>
      <c r="B7395" s="30">
        <v>1</v>
      </c>
      <c r="C7395" s="24" t="s">
        <v>213</v>
      </c>
      <c r="D7395" s="41">
        <f>Prec.!$D$639</f>
        <v>0</v>
      </c>
      <c r="E7395" s="31">
        <f t="shared" si="574"/>
        <v>0</v>
      </c>
      <c r="F7395" s="32"/>
    </row>
    <row r="7396" spans="1:6" ht="12.75" hidden="1" customHeight="1">
      <c r="A7396" s="12" t="s">
        <v>378</v>
      </c>
      <c r="B7396" s="30">
        <v>1</v>
      </c>
      <c r="C7396" s="24" t="s">
        <v>213</v>
      </c>
      <c r="D7396" s="41">
        <f>Prec.!$D$640</f>
        <v>0</v>
      </c>
      <c r="E7396" s="31">
        <f t="shared" si="574"/>
        <v>0</v>
      </c>
      <c r="F7396" s="32">
        <f>SUM(E7390:E7396)</f>
        <v>223.59</v>
      </c>
    </row>
    <row r="7397" spans="1:6" ht="12.75" hidden="1" customHeight="1">
      <c r="A7397" s="12"/>
      <c r="B7397" s="14"/>
      <c r="C7397" s="24"/>
      <c r="D7397" s="35"/>
      <c r="E7397" s="31"/>
      <c r="F7397" s="32"/>
    </row>
    <row r="7398" spans="1:6" ht="12.75" customHeight="1">
      <c r="A7398" s="545" t="s">
        <v>1144</v>
      </c>
      <c r="B7398" s="546"/>
      <c r="C7398" s="547"/>
      <c r="D7398" s="548"/>
      <c r="E7398" s="552"/>
      <c r="F7398" s="553"/>
    </row>
    <row r="7399" spans="1:6" ht="12.75" customHeight="1">
      <c r="A7399" s="551" t="s">
        <v>219</v>
      </c>
      <c r="B7399" s="546">
        <v>0.14699999999999999</v>
      </c>
      <c r="C7399" s="547" t="s">
        <v>1228</v>
      </c>
      <c r="D7399" s="563">
        <f>Prec.!C254</f>
        <v>1540</v>
      </c>
      <c r="E7399" s="552">
        <f t="shared" ref="E7399:E7404" si="575">ROUND(B7399*D7399,2)</f>
        <v>226.38</v>
      </c>
      <c r="F7399" s="553"/>
    </row>
    <row r="7400" spans="1:6" ht="12.75" customHeight="1">
      <c r="A7400" s="551" t="s">
        <v>613</v>
      </c>
      <c r="B7400" s="546">
        <v>0.14699999999999999</v>
      </c>
      <c r="C7400" s="547" t="s">
        <v>1228</v>
      </c>
      <c r="D7400" s="563">
        <f>Prec.!D653</f>
        <v>2.89</v>
      </c>
      <c r="E7400" s="552">
        <f t="shared" si="575"/>
        <v>0.42</v>
      </c>
      <c r="F7400" s="553"/>
    </row>
    <row r="7401" spans="1:6" ht="12.75" customHeight="1">
      <c r="A7401" s="551" t="s">
        <v>528</v>
      </c>
      <c r="B7401" s="546">
        <v>1.4999999999999999E-2</v>
      </c>
      <c r="C7401" s="547" t="s">
        <v>1228</v>
      </c>
      <c r="D7401" s="563">
        <f>D7399</f>
        <v>1540</v>
      </c>
      <c r="E7401" s="552">
        <f t="shared" si="575"/>
        <v>23.1</v>
      </c>
      <c r="F7401" s="553"/>
    </row>
    <row r="7402" spans="1:6" ht="12.75" customHeight="1">
      <c r="A7402" s="551" t="s">
        <v>1176</v>
      </c>
      <c r="B7402" s="546">
        <v>1</v>
      </c>
      <c r="C7402" s="547" t="s">
        <v>213</v>
      </c>
      <c r="D7402" s="563">
        <f>Prec.!$C$267</f>
        <v>9.92</v>
      </c>
      <c r="E7402" s="552">
        <f t="shared" si="575"/>
        <v>9.92</v>
      </c>
      <c r="F7402" s="553"/>
    </row>
    <row r="7403" spans="1:6" ht="12.75" customHeight="1">
      <c r="A7403" s="551" t="s">
        <v>1273</v>
      </c>
      <c r="B7403" s="546">
        <v>1</v>
      </c>
      <c r="C7403" s="547" t="s">
        <v>213</v>
      </c>
      <c r="D7403" s="563">
        <f>D7313</f>
        <v>32.56</v>
      </c>
      <c r="E7403" s="552">
        <f t="shared" si="575"/>
        <v>32.56</v>
      </c>
      <c r="F7403" s="553"/>
    </row>
    <row r="7404" spans="1:6" ht="12.75" customHeight="1">
      <c r="A7404" s="551" t="s">
        <v>1272</v>
      </c>
      <c r="B7404" s="546">
        <v>1</v>
      </c>
      <c r="C7404" s="547" t="s">
        <v>213</v>
      </c>
      <c r="D7404" s="563">
        <f>D7314</f>
        <v>21.7</v>
      </c>
      <c r="E7404" s="552">
        <f t="shared" si="575"/>
        <v>21.7</v>
      </c>
      <c r="F7404" s="553">
        <f>SUM(E7399:E7404)</f>
        <v>314.08</v>
      </c>
    </row>
    <row r="7405" spans="1:6" ht="12.75" customHeight="1">
      <c r="A7405" s="12"/>
      <c r="B7405" s="30"/>
      <c r="C7405" s="24"/>
      <c r="D7405" s="41"/>
      <c r="E7405" s="31"/>
      <c r="F7405" s="32"/>
    </row>
    <row r="7406" spans="1:6" ht="12.75" hidden="1" customHeight="1">
      <c r="A7406" s="13" t="s">
        <v>484</v>
      </c>
      <c r="B7406" s="30"/>
      <c r="C7406" s="24"/>
      <c r="D7406" s="35"/>
      <c r="E7406" s="31"/>
      <c r="F7406" s="32"/>
    </row>
    <row r="7407" spans="1:6" ht="12.75" hidden="1" customHeight="1">
      <c r="A7407" s="12" t="s">
        <v>483</v>
      </c>
      <c r="B7407" s="30">
        <v>0.14699999999999999</v>
      </c>
      <c r="C7407" s="24" t="s">
        <v>1228</v>
      </c>
      <c r="D7407" s="41">
        <f>Prec.!$C$261</f>
        <v>842</v>
      </c>
      <c r="E7407" s="31">
        <f>ROUND(B7407*D7407,2)</f>
        <v>123.77</v>
      </c>
      <c r="F7407" s="32"/>
    </row>
    <row r="7408" spans="1:6" ht="12.75" hidden="1" customHeight="1">
      <c r="A7408" s="12" t="s">
        <v>475</v>
      </c>
      <c r="B7408" s="30">
        <v>0.14699999999999999</v>
      </c>
      <c r="C7408" s="24" t="s">
        <v>1228</v>
      </c>
      <c r="D7408" s="41">
        <f>D7400</f>
        <v>2.89</v>
      </c>
      <c r="E7408" s="31">
        <f>ROUND(B7408*D7408,2)</f>
        <v>0.42</v>
      </c>
      <c r="F7408" s="32"/>
    </row>
    <row r="7409" spans="1:13" ht="12.75" hidden="1" customHeight="1">
      <c r="A7409" s="12" t="s">
        <v>528</v>
      </c>
      <c r="B7409" s="30">
        <v>1.4999999999999999E-2</v>
      </c>
      <c r="C7409" s="24" t="s">
        <v>1228</v>
      </c>
      <c r="D7409" s="41">
        <f>Prec.!$C$261</f>
        <v>842</v>
      </c>
      <c r="E7409" s="31">
        <f t="shared" ref="E7409:E7416" si="576">ROUND(B7409*D7409,2)</f>
        <v>12.63</v>
      </c>
      <c r="F7409" s="32"/>
    </row>
    <row r="7410" spans="1:13" ht="12.75" hidden="1" customHeight="1">
      <c r="A7410" s="12" t="s">
        <v>983</v>
      </c>
      <c r="B7410" s="30">
        <f>B7407*2</f>
        <v>0.29399999999999998</v>
      </c>
      <c r="C7410" s="24" t="s">
        <v>1228</v>
      </c>
      <c r="D7410" s="41">
        <f>Prec.!C271</f>
        <v>330</v>
      </c>
      <c r="E7410" s="31">
        <f t="shared" si="576"/>
        <v>97.02</v>
      </c>
      <c r="F7410" s="32"/>
    </row>
    <row r="7411" spans="1:13" ht="12.75" hidden="1" customHeight="1">
      <c r="A7411" s="12" t="s">
        <v>434</v>
      </c>
      <c r="B7411" s="30">
        <v>0.29399999999999998</v>
      </c>
      <c r="C7411" s="24" t="s">
        <v>1228</v>
      </c>
      <c r="D7411" s="41">
        <f>D7408</f>
        <v>2.89</v>
      </c>
      <c r="E7411" s="31">
        <f t="shared" si="576"/>
        <v>0.85</v>
      </c>
      <c r="F7411" s="32"/>
    </row>
    <row r="7412" spans="1:13" ht="12.75" hidden="1" customHeight="1">
      <c r="A7412" s="12" t="s">
        <v>1075</v>
      </c>
      <c r="B7412" s="30">
        <v>0.14699999999999999</v>
      </c>
      <c r="C7412" s="24" t="s">
        <v>1228</v>
      </c>
      <c r="D7412" s="41">
        <f>Prec.!$C$272</f>
        <v>900</v>
      </c>
      <c r="E7412" s="31">
        <f t="shared" si="576"/>
        <v>132.30000000000001</v>
      </c>
      <c r="F7412" s="32"/>
    </row>
    <row r="7413" spans="1:13" ht="12.75" hidden="1" customHeight="1">
      <c r="A7413" s="12" t="s">
        <v>980</v>
      </c>
      <c r="B7413" s="30">
        <v>0.14699999999999999</v>
      </c>
      <c r="C7413" s="24" t="s">
        <v>1228</v>
      </c>
      <c r="D7413" s="41">
        <f>D7408</f>
        <v>2.89</v>
      </c>
      <c r="E7413" s="31">
        <f t="shared" si="576"/>
        <v>0.42</v>
      </c>
      <c r="F7413" s="32"/>
    </row>
    <row r="7414" spans="1:13" ht="12.75" hidden="1" customHeight="1">
      <c r="A7414" s="12" t="s">
        <v>1176</v>
      </c>
      <c r="B7414" s="30">
        <v>1</v>
      </c>
      <c r="C7414" s="24" t="s">
        <v>213</v>
      </c>
      <c r="D7414" s="41">
        <f>Prec.!C267</f>
        <v>9.92</v>
      </c>
      <c r="E7414" s="31">
        <f t="shared" si="576"/>
        <v>9.92</v>
      </c>
      <c r="F7414" s="32"/>
    </row>
    <row r="7415" spans="1:13" ht="12.75" hidden="1" customHeight="1">
      <c r="A7415" s="12" t="s">
        <v>481</v>
      </c>
      <c r="B7415" s="30">
        <v>1</v>
      </c>
      <c r="C7415" s="24" t="s">
        <v>213</v>
      </c>
      <c r="D7415" s="41">
        <f>Prec.!$D$641</f>
        <v>0</v>
      </c>
      <c r="E7415" s="31">
        <f t="shared" si="576"/>
        <v>0</v>
      </c>
      <c r="F7415" s="32"/>
    </row>
    <row r="7416" spans="1:13" ht="12.75" hidden="1" customHeight="1">
      <c r="A7416" s="12" t="s">
        <v>482</v>
      </c>
      <c r="B7416" s="30">
        <v>1</v>
      </c>
      <c r="C7416" s="24" t="s">
        <v>213</v>
      </c>
      <c r="D7416" s="41">
        <f>Prec.!$D$642</f>
        <v>0</v>
      </c>
      <c r="E7416" s="31">
        <f t="shared" si="576"/>
        <v>0</v>
      </c>
      <c r="F7416" s="32">
        <f>SUM(E7407:E7416)</f>
        <v>377.33000000000004</v>
      </c>
    </row>
    <row r="7417" spans="1:13" ht="12.75" hidden="1" customHeight="1">
      <c r="A7417" s="12"/>
      <c r="B7417" s="30"/>
      <c r="C7417" s="24"/>
      <c r="D7417" s="41"/>
      <c r="E7417" s="31"/>
      <c r="F7417" s="32"/>
    </row>
    <row r="7418" spans="1:13" s="166" customFormat="1" ht="12.75" hidden="1" customHeight="1">
      <c r="A7418" s="12"/>
      <c r="B7418" s="30"/>
      <c r="C7418" s="24"/>
      <c r="D7418" s="41"/>
      <c r="E7418" s="31"/>
      <c r="F7418" s="32"/>
      <c r="G7418" s="15"/>
      <c r="H7418" s="21"/>
      <c r="I7418" s="15"/>
      <c r="J7418" s="15"/>
      <c r="K7418" s="15"/>
      <c r="L7418" s="21"/>
      <c r="M7418" s="15"/>
    </row>
    <row r="7419" spans="1:13" s="166" customFormat="1" ht="12.75" hidden="1" customHeight="1">
      <c r="A7419" s="12"/>
      <c r="B7419" s="30"/>
      <c r="C7419" s="24"/>
      <c r="D7419" s="41"/>
      <c r="E7419" s="31"/>
      <c r="F7419" s="32"/>
      <c r="G7419" s="15"/>
      <c r="H7419" s="21"/>
      <c r="I7419" s="15"/>
      <c r="J7419" s="15"/>
      <c r="K7419" s="15"/>
      <c r="L7419" s="21"/>
      <c r="M7419" s="15"/>
    </row>
    <row r="7420" spans="1:13" ht="12.75" hidden="1" customHeight="1">
      <c r="A7420" s="13" t="s">
        <v>485</v>
      </c>
      <c r="B7420" s="30"/>
      <c r="C7420" s="24"/>
      <c r="D7420" s="35"/>
      <c r="E7420" s="31"/>
      <c r="F7420" s="32"/>
    </row>
    <row r="7421" spans="1:13" ht="12.75" hidden="1" customHeight="1">
      <c r="A7421" s="12" t="s">
        <v>483</v>
      </c>
      <c r="B7421" s="30">
        <v>0.14699999999999999</v>
      </c>
      <c r="C7421" s="24" t="s">
        <v>1228</v>
      </c>
      <c r="D7421" s="41">
        <f>Prec.!$C$261</f>
        <v>842</v>
      </c>
      <c r="E7421" s="31">
        <f t="shared" ref="E7421:E7428" si="577">ROUND(B7421*D7421,2)</f>
        <v>123.77</v>
      </c>
      <c r="F7421" s="32"/>
    </row>
    <row r="7422" spans="1:13" ht="12.75" hidden="1" customHeight="1">
      <c r="A7422" s="12" t="s">
        <v>475</v>
      </c>
      <c r="B7422" s="30">
        <v>0.14699999999999999</v>
      </c>
      <c r="C7422" s="24" t="s">
        <v>1228</v>
      </c>
      <c r="D7422" s="41">
        <f>D7408</f>
        <v>2.89</v>
      </c>
      <c r="E7422" s="31">
        <f>ROUND(B7422*D7422,2)</f>
        <v>0.42</v>
      </c>
      <c r="F7422" s="32"/>
    </row>
    <row r="7423" spans="1:13" ht="12.75" hidden="1" customHeight="1">
      <c r="A7423" s="12" t="s">
        <v>528</v>
      </c>
      <c r="B7423" s="30">
        <v>1.4999999999999999E-2</v>
      </c>
      <c r="C7423" s="24" t="s">
        <v>1228</v>
      </c>
      <c r="D7423" s="41">
        <f>Prec.!$C$261</f>
        <v>842</v>
      </c>
      <c r="E7423" s="31">
        <f t="shared" si="577"/>
        <v>12.63</v>
      </c>
      <c r="F7423" s="32"/>
    </row>
    <row r="7424" spans="1:13" ht="12.75" hidden="1" customHeight="1">
      <c r="A7424" s="12" t="s">
        <v>983</v>
      </c>
      <c r="B7424" s="30">
        <f>B7421*2</f>
        <v>0.29399999999999998</v>
      </c>
      <c r="C7424" s="24" t="s">
        <v>1228</v>
      </c>
      <c r="D7424" s="41">
        <f>D7410</f>
        <v>330</v>
      </c>
      <c r="E7424" s="31">
        <f t="shared" si="577"/>
        <v>97.02</v>
      </c>
      <c r="F7424" s="32"/>
    </row>
    <row r="7425" spans="1:6" ht="12.75" hidden="1" customHeight="1">
      <c r="A7425" s="12" t="s">
        <v>434</v>
      </c>
      <c r="B7425" s="30">
        <v>0.29399999999999998</v>
      </c>
      <c r="C7425" s="24" t="s">
        <v>1228</v>
      </c>
      <c r="D7425" s="41">
        <f>D7411</f>
        <v>2.89</v>
      </c>
      <c r="E7425" s="31">
        <f>ROUND(B7425*D7425,2)</f>
        <v>0.85</v>
      </c>
      <c r="F7425" s="32"/>
    </row>
    <row r="7426" spans="1:6" ht="12.75" hidden="1" customHeight="1">
      <c r="A7426" s="12" t="s">
        <v>1176</v>
      </c>
      <c r="B7426" s="30">
        <v>1</v>
      </c>
      <c r="C7426" s="24" t="s">
        <v>213</v>
      </c>
      <c r="D7426" s="41">
        <f>D7414</f>
        <v>9.92</v>
      </c>
      <c r="E7426" s="31">
        <f t="shared" si="577"/>
        <v>9.92</v>
      </c>
      <c r="F7426" s="32"/>
    </row>
    <row r="7427" spans="1:6" ht="12.75" hidden="1" customHeight="1">
      <c r="A7427" s="12" t="s">
        <v>481</v>
      </c>
      <c r="B7427" s="30">
        <v>1</v>
      </c>
      <c r="C7427" s="24" t="s">
        <v>213</v>
      </c>
      <c r="D7427" s="41">
        <f>Prec.!$D$641</f>
        <v>0</v>
      </c>
      <c r="E7427" s="31">
        <f t="shared" si="577"/>
        <v>0</v>
      </c>
      <c r="F7427" s="32"/>
    </row>
    <row r="7428" spans="1:6" ht="12.75" hidden="1" customHeight="1">
      <c r="A7428" s="12" t="s">
        <v>482</v>
      </c>
      <c r="B7428" s="30">
        <v>1</v>
      </c>
      <c r="C7428" s="24" t="s">
        <v>213</v>
      </c>
      <c r="D7428" s="41">
        <f>Prec.!$D$642</f>
        <v>0</v>
      </c>
      <c r="E7428" s="31">
        <f t="shared" si="577"/>
        <v>0</v>
      </c>
      <c r="F7428" s="32">
        <f>SUM(E7420:E7428)</f>
        <v>244.60999999999996</v>
      </c>
    </row>
    <row r="7429" spans="1:6" ht="6.75" hidden="1" customHeight="1">
      <c r="A7429" s="12"/>
      <c r="B7429" s="30"/>
      <c r="C7429" s="24"/>
      <c r="D7429" s="41"/>
      <c r="E7429" s="31"/>
      <c r="F7429" s="32"/>
    </row>
    <row r="7430" spans="1:6" ht="12.75" hidden="1" customHeight="1">
      <c r="A7430" s="13" t="s">
        <v>534</v>
      </c>
      <c r="B7430" s="30"/>
      <c r="C7430" s="24"/>
      <c r="D7430" s="41"/>
      <c r="E7430" s="31"/>
      <c r="F7430" s="32"/>
    </row>
    <row r="7431" spans="1:6" ht="12.75" hidden="1" customHeight="1">
      <c r="A7431" s="12" t="s">
        <v>535</v>
      </c>
      <c r="B7431" s="30">
        <v>0.14699999999999999</v>
      </c>
      <c r="C7431" s="24" t="s">
        <v>1228</v>
      </c>
      <c r="D7431" s="41">
        <f>Prec.!C273</f>
        <v>575</v>
      </c>
      <c r="E7431" s="31">
        <f>ROUND(B7431*D7431,2)</f>
        <v>84.53</v>
      </c>
      <c r="F7431" s="32"/>
    </row>
    <row r="7432" spans="1:6" ht="12.75" hidden="1" customHeight="1">
      <c r="A7432" s="12" t="s">
        <v>545</v>
      </c>
      <c r="B7432" s="30">
        <v>0.14699999999999999</v>
      </c>
      <c r="C7432" s="24" t="s">
        <v>1228</v>
      </c>
      <c r="D7432" s="41">
        <f>D7422</f>
        <v>2.89</v>
      </c>
      <c r="E7432" s="31">
        <f>ROUND(B7432*D7432,2)</f>
        <v>0.42</v>
      </c>
      <c r="F7432" s="32"/>
    </row>
    <row r="7433" spans="1:6" ht="12.75" hidden="1" customHeight="1">
      <c r="A7433" s="12" t="s">
        <v>538</v>
      </c>
      <c r="B7433" s="30">
        <v>1.4999999999999999E-2</v>
      </c>
      <c r="C7433" s="24" t="s">
        <v>1228</v>
      </c>
      <c r="D7433" s="41">
        <f>D7431</f>
        <v>575</v>
      </c>
      <c r="E7433" s="31">
        <f>ROUND(B7433*D7433,2)</f>
        <v>8.6300000000000008</v>
      </c>
      <c r="F7433" s="32"/>
    </row>
    <row r="7434" spans="1:6" ht="12.75" hidden="1" customHeight="1">
      <c r="A7434" s="12" t="s">
        <v>981</v>
      </c>
      <c r="B7434" s="30">
        <f>B7431*2</f>
        <v>0.29399999999999998</v>
      </c>
      <c r="C7434" s="24" t="s">
        <v>1228</v>
      </c>
      <c r="D7434" s="41">
        <f>Prec.!C270</f>
        <v>330</v>
      </c>
      <c r="E7434" s="31">
        <f t="shared" ref="E7434:E7440" si="578">ROUND(B7434*D7434,2)</f>
        <v>97.02</v>
      </c>
      <c r="F7434" s="32"/>
    </row>
    <row r="7435" spans="1:6" ht="12.75" hidden="1" customHeight="1">
      <c r="A7435" s="12" t="s">
        <v>532</v>
      </c>
      <c r="B7435" s="30">
        <v>0.29399999999999998</v>
      </c>
      <c r="C7435" s="24" t="s">
        <v>1228</v>
      </c>
      <c r="D7435" s="41">
        <f>D7432</f>
        <v>2.89</v>
      </c>
      <c r="E7435" s="31">
        <f t="shared" si="578"/>
        <v>0.85</v>
      </c>
      <c r="F7435" s="32"/>
    </row>
    <row r="7436" spans="1:6" ht="12.75" hidden="1" customHeight="1">
      <c r="A7436" s="12" t="s">
        <v>1075</v>
      </c>
      <c r="B7436" s="30">
        <v>0.14699999999999999</v>
      </c>
      <c r="C7436" s="24" t="s">
        <v>1228</v>
      </c>
      <c r="D7436" s="41">
        <f>Prec.!C272</f>
        <v>900</v>
      </c>
      <c r="E7436" s="31">
        <f t="shared" si="578"/>
        <v>132.30000000000001</v>
      </c>
      <c r="F7436" s="32"/>
    </row>
    <row r="7437" spans="1:6" ht="12.75" hidden="1" customHeight="1">
      <c r="A7437" s="12" t="s">
        <v>628</v>
      </c>
      <c r="B7437" s="30">
        <v>0.14699999999999999</v>
      </c>
      <c r="C7437" s="24" t="s">
        <v>1228</v>
      </c>
      <c r="D7437" s="41">
        <f>D7435</f>
        <v>2.89</v>
      </c>
      <c r="E7437" s="31">
        <f t="shared" si="578"/>
        <v>0.42</v>
      </c>
      <c r="F7437" s="32"/>
    </row>
    <row r="7438" spans="1:6" ht="12.75" hidden="1" customHeight="1">
      <c r="A7438" s="12" t="s">
        <v>1176</v>
      </c>
      <c r="B7438" s="30">
        <v>1</v>
      </c>
      <c r="C7438" s="24" t="s">
        <v>213</v>
      </c>
      <c r="D7438" s="41">
        <f>D7426</f>
        <v>9.92</v>
      </c>
      <c r="E7438" s="31">
        <f t="shared" si="578"/>
        <v>9.92</v>
      </c>
      <c r="F7438" s="32"/>
    </row>
    <row r="7439" spans="1:6" ht="12.75" hidden="1" customHeight="1">
      <c r="A7439" s="12" t="s">
        <v>536</v>
      </c>
      <c r="B7439" s="30">
        <v>1</v>
      </c>
      <c r="C7439" s="24" t="s">
        <v>213</v>
      </c>
      <c r="D7439" s="41">
        <f>D7427</f>
        <v>0</v>
      </c>
      <c r="E7439" s="31">
        <f t="shared" si="578"/>
        <v>0</v>
      </c>
      <c r="F7439" s="32"/>
    </row>
    <row r="7440" spans="1:6" ht="12.75" hidden="1" customHeight="1">
      <c r="A7440" s="12" t="s">
        <v>537</v>
      </c>
      <c r="B7440" s="30">
        <v>1</v>
      </c>
      <c r="C7440" s="24" t="s">
        <v>213</v>
      </c>
      <c r="D7440" s="41">
        <f>D7428</f>
        <v>0</v>
      </c>
      <c r="E7440" s="31">
        <f t="shared" si="578"/>
        <v>0</v>
      </c>
      <c r="F7440" s="32">
        <f>SUM(E7431:E7440)</f>
        <v>334.09000000000003</v>
      </c>
    </row>
    <row r="7441" spans="1:6" ht="5.25" hidden="1" customHeight="1">
      <c r="A7441" s="50"/>
      <c r="B7441" s="30"/>
      <c r="C7441" s="24"/>
      <c r="D7441" s="41"/>
      <c r="E7441" s="31"/>
      <c r="F7441" s="32"/>
    </row>
    <row r="7442" spans="1:6" ht="12.75" hidden="1" customHeight="1">
      <c r="A7442" s="13" t="s">
        <v>1140</v>
      </c>
      <c r="B7442" s="30"/>
      <c r="C7442" s="24"/>
      <c r="D7442" s="41"/>
      <c r="E7442" s="31"/>
      <c r="F7442" s="32"/>
    </row>
    <row r="7443" spans="1:6" ht="12.75" hidden="1" customHeight="1">
      <c r="A7443" s="12" t="s">
        <v>535</v>
      </c>
      <c r="B7443" s="30">
        <v>0.14699999999999999</v>
      </c>
      <c r="C7443" s="24" t="s">
        <v>1228</v>
      </c>
      <c r="D7443" s="41">
        <f>D7431</f>
        <v>575</v>
      </c>
      <c r="E7443" s="31">
        <f>ROUND(B7443*D7443,2)</f>
        <v>84.53</v>
      </c>
      <c r="F7443" s="32"/>
    </row>
    <row r="7444" spans="1:6" ht="12.75" hidden="1" customHeight="1">
      <c r="A7444" s="12" t="s">
        <v>1074</v>
      </c>
      <c r="B7444" s="30">
        <v>0.14699999999999999</v>
      </c>
      <c r="C7444" s="24" t="s">
        <v>1228</v>
      </c>
      <c r="D7444" s="41">
        <f>D7432</f>
        <v>2.89</v>
      </c>
      <c r="E7444" s="31">
        <f>ROUND(B7444*D7444,2)</f>
        <v>0.42</v>
      </c>
      <c r="F7444" s="32"/>
    </row>
    <row r="7445" spans="1:6" ht="12.75" hidden="1" customHeight="1">
      <c r="A7445" s="12" t="s">
        <v>1141</v>
      </c>
      <c r="B7445" s="30">
        <v>0.5</v>
      </c>
      <c r="C7445" s="24" t="s">
        <v>1142</v>
      </c>
      <c r="D7445" s="41">
        <f>Prec.!C274</f>
        <v>210</v>
      </c>
      <c r="E7445" s="31">
        <f>ROUND(B7445*D7445,2)</f>
        <v>105</v>
      </c>
      <c r="F7445" s="32"/>
    </row>
    <row r="7446" spans="1:6" ht="12.75" hidden="1" customHeight="1">
      <c r="A7446" s="12" t="s">
        <v>538</v>
      </c>
      <c r="B7446" s="30">
        <v>1.4999999999999999E-2</v>
      </c>
      <c r="C7446" s="24" t="s">
        <v>1228</v>
      </c>
      <c r="D7446" s="41">
        <f>D7443</f>
        <v>575</v>
      </c>
      <c r="E7446" s="31">
        <f>ROUND(B7446*D7446,2)</f>
        <v>8.6300000000000008</v>
      </c>
      <c r="F7446" s="32"/>
    </row>
    <row r="7447" spans="1:6" ht="12.75" hidden="1" customHeight="1">
      <c r="A7447" s="12" t="s">
        <v>659</v>
      </c>
      <c r="B7447" s="30">
        <f>B7443*2</f>
        <v>0.29399999999999998</v>
      </c>
      <c r="C7447" s="24" t="s">
        <v>1228</v>
      </c>
      <c r="D7447" s="41">
        <f>D7434</f>
        <v>330</v>
      </c>
      <c r="E7447" s="31">
        <f t="shared" ref="E7447:E7453" si="579">ROUND(B7447*D7447,2)</f>
        <v>97.02</v>
      </c>
      <c r="F7447" s="32"/>
    </row>
    <row r="7448" spans="1:6" ht="12.75" hidden="1" customHeight="1">
      <c r="A7448" s="12" t="s">
        <v>532</v>
      </c>
      <c r="B7448" s="30">
        <v>0.29399999999999998</v>
      </c>
      <c r="C7448" s="24" t="s">
        <v>1228</v>
      </c>
      <c r="D7448" s="41">
        <f>D7444</f>
        <v>2.89</v>
      </c>
      <c r="E7448" s="31">
        <f t="shared" si="579"/>
        <v>0.85</v>
      </c>
      <c r="F7448" s="32"/>
    </row>
    <row r="7449" spans="1:6" ht="12.75" hidden="1" customHeight="1">
      <c r="A7449" s="12" t="s">
        <v>1075</v>
      </c>
      <c r="B7449" s="30">
        <v>0.14699999999999999</v>
      </c>
      <c r="C7449" s="24" t="s">
        <v>1228</v>
      </c>
      <c r="D7449" s="41">
        <f>D7436</f>
        <v>900</v>
      </c>
      <c r="E7449" s="31">
        <f t="shared" si="579"/>
        <v>132.30000000000001</v>
      </c>
      <c r="F7449" s="32"/>
    </row>
    <row r="7450" spans="1:6" ht="12.75" hidden="1" customHeight="1">
      <c r="A7450" s="12" t="s">
        <v>660</v>
      </c>
      <c r="B7450" s="30">
        <v>0.14699999999999999</v>
      </c>
      <c r="C7450" s="24" t="s">
        <v>1228</v>
      </c>
      <c r="D7450" s="41">
        <f>D7448</f>
        <v>2.89</v>
      </c>
      <c r="E7450" s="31">
        <f t="shared" si="579"/>
        <v>0.42</v>
      </c>
      <c r="F7450" s="32"/>
    </row>
    <row r="7451" spans="1:6" ht="12.75" hidden="1" customHeight="1">
      <c r="A7451" s="12" t="s">
        <v>1176</v>
      </c>
      <c r="B7451" s="30">
        <v>1</v>
      </c>
      <c r="C7451" s="24" t="s">
        <v>213</v>
      </c>
      <c r="D7451" s="41">
        <f>D7438</f>
        <v>9.92</v>
      </c>
      <c r="E7451" s="31">
        <f t="shared" si="579"/>
        <v>9.92</v>
      </c>
      <c r="F7451" s="32"/>
    </row>
    <row r="7452" spans="1:6" ht="12.75" hidden="1" customHeight="1">
      <c r="A7452" s="12" t="s">
        <v>536</v>
      </c>
      <c r="B7452" s="30">
        <v>1</v>
      </c>
      <c r="C7452" s="24" t="s">
        <v>213</v>
      </c>
      <c r="D7452" s="41">
        <f>D7439</f>
        <v>0</v>
      </c>
      <c r="E7452" s="31">
        <f t="shared" si="579"/>
        <v>0</v>
      </c>
      <c r="F7452" s="32"/>
    </row>
    <row r="7453" spans="1:6" ht="12.75" hidden="1" customHeight="1">
      <c r="A7453" s="12" t="s">
        <v>537</v>
      </c>
      <c r="B7453" s="30">
        <v>1</v>
      </c>
      <c r="C7453" s="24" t="s">
        <v>213</v>
      </c>
      <c r="D7453" s="41">
        <f>D7440</f>
        <v>0</v>
      </c>
      <c r="E7453" s="31">
        <f t="shared" si="579"/>
        <v>0</v>
      </c>
      <c r="F7453" s="32">
        <f>SUM(E7443:E7453)</f>
        <v>439.09000000000003</v>
      </c>
    </row>
    <row r="7454" spans="1:6" ht="9.75" hidden="1" customHeight="1">
      <c r="A7454" s="50"/>
      <c r="D7454" s="36"/>
    </row>
    <row r="7455" spans="1:6" ht="12.75" customHeight="1">
      <c r="A7455" s="23" t="s">
        <v>662</v>
      </c>
      <c r="B7455" s="7"/>
    </row>
    <row r="7456" spans="1:6" ht="9" customHeight="1">
      <c r="B7456" s="7"/>
    </row>
    <row r="7457" spans="1:13" ht="12.75" hidden="1" customHeight="1">
      <c r="A7457" s="13" t="s">
        <v>527</v>
      </c>
      <c r="B7457" s="30"/>
      <c r="C7457" s="24"/>
      <c r="D7457" s="35"/>
      <c r="E7457" s="31"/>
      <c r="F7457" s="32"/>
    </row>
    <row r="7458" spans="1:13" ht="12.75" hidden="1" customHeight="1">
      <c r="A7458" s="12" t="s">
        <v>894</v>
      </c>
      <c r="B7458" s="30">
        <v>0.11</v>
      </c>
      <c r="C7458" s="24" t="s">
        <v>1228</v>
      </c>
      <c r="D7458" s="41">
        <f>Prec.!$C$249</f>
        <v>325</v>
      </c>
      <c r="E7458" s="31">
        <f t="shared" ref="E7458:E7463" si="580">ROUND(B7458*D7458,2)</f>
        <v>35.75</v>
      </c>
      <c r="F7458" s="32"/>
    </row>
    <row r="7459" spans="1:13" ht="12.75" hidden="1" customHeight="1">
      <c r="A7459" s="12" t="s">
        <v>545</v>
      </c>
      <c r="B7459" s="30">
        <v>0.11</v>
      </c>
      <c r="C7459" s="24" t="s">
        <v>1228</v>
      </c>
      <c r="D7459" s="41">
        <f>Prec.!D654</f>
        <v>4.12</v>
      </c>
      <c r="E7459" s="31">
        <f t="shared" si="580"/>
        <v>0.45</v>
      </c>
      <c r="F7459" s="32"/>
    </row>
    <row r="7460" spans="1:13" ht="12.75" hidden="1" customHeight="1">
      <c r="A7460" s="12" t="s">
        <v>528</v>
      </c>
      <c r="B7460" s="30">
        <v>1.0999999999999999E-2</v>
      </c>
      <c r="C7460" s="24" t="s">
        <v>1228</v>
      </c>
      <c r="D7460" s="41">
        <f>Prec.!$C$249</f>
        <v>325</v>
      </c>
      <c r="E7460" s="31">
        <f t="shared" si="580"/>
        <v>3.58</v>
      </c>
      <c r="F7460" s="32"/>
    </row>
    <row r="7461" spans="1:13" ht="12.75" hidden="1" customHeight="1">
      <c r="A7461" s="12" t="s">
        <v>1176</v>
      </c>
      <c r="B7461" s="30">
        <v>1</v>
      </c>
      <c r="C7461" s="24" t="s">
        <v>213</v>
      </c>
      <c r="D7461" s="41">
        <f>Prec.!$C$267</f>
        <v>9.92</v>
      </c>
      <c r="E7461" s="31">
        <f t="shared" si="580"/>
        <v>9.92</v>
      </c>
      <c r="F7461" s="32"/>
    </row>
    <row r="7462" spans="1:13" ht="12.75" hidden="1" customHeight="1">
      <c r="A7462" s="12" t="s">
        <v>257</v>
      </c>
      <c r="B7462" s="30">
        <v>1</v>
      </c>
      <c r="C7462" s="24" t="s">
        <v>213</v>
      </c>
      <c r="D7462" s="41">
        <f>Prec.!$D$635</f>
        <v>0</v>
      </c>
      <c r="E7462" s="31">
        <f t="shared" si="580"/>
        <v>0</v>
      </c>
      <c r="F7462" s="32"/>
    </row>
    <row r="7463" spans="1:13" ht="12.75" hidden="1" customHeight="1">
      <c r="A7463" s="12" t="s">
        <v>560</v>
      </c>
      <c r="B7463" s="30">
        <v>1</v>
      </c>
      <c r="C7463" s="24" t="s">
        <v>213</v>
      </c>
      <c r="D7463" s="41">
        <f>Prec.!$D$636</f>
        <v>0</v>
      </c>
      <c r="E7463" s="31">
        <f t="shared" si="580"/>
        <v>0</v>
      </c>
      <c r="F7463" s="32">
        <f>SUM(E7457:E7463)</f>
        <v>49.7</v>
      </c>
    </row>
    <row r="7464" spans="1:13" ht="12.75" hidden="1" customHeight="1">
      <c r="B7464" s="7"/>
    </row>
    <row r="7465" spans="1:13" s="166" customFormat="1" ht="12.75" customHeight="1">
      <c r="A7465" s="545" t="s">
        <v>527</v>
      </c>
      <c r="B7465" s="546"/>
      <c r="C7465" s="547"/>
      <c r="D7465" s="548"/>
      <c r="E7465" s="552"/>
      <c r="F7465" s="553"/>
      <c r="G7465" s="15"/>
      <c r="H7465" s="21"/>
      <c r="I7465" s="15"/>
      <c r="J7465" s="15"/>
      <c r="K7465" s="15"/>
      <c r="L7465" s="21"/>
      <c r="M7465" s="15"/>
    </row>
    <row r="7466" spans="1:13" s="166" customFormat="1" ht="12.75" customHeight="1">
      <c r="A7466" s="551" t="s">
        <v>1946</v>
      </c>
      <c r="B7466" s="546">
        <v>0.08</v>
      </c>
      <c r="C7466" s="547" t="s">
        <v>1228</v>
      </c>
      <c r="D7466" s="563">
        <f>D7103</f>
        <v>540.09</v>
      </c>
      <c r="E7466" s="552">
        <f t="shared" ref="E7466:E7471" si="581">ROUND(B7466*D7466,2)</f>
        <v>43.21</v>
      </c>
      <c r="F7466" s="553"/>
      <c r="G7466" s="15"/>
      <c r="H7466" s="21"/>
      <c r="I7466" s="15"/>
      <c r="J7466" s="15"/>
      <c r="K7466" s="15"/>
      <c r="L7466" s="21"/>
      <c r="M7466" s="15"/>
    </row>
    <row r="7467" spans="1:13" s="166" customFormat="1" ht="12.75" customHeight="1">
      <c r="A7467" s="551" t="s">
        <v>545</v>
      </c>
      <c r="B7467" s="546">
        <v>0.08</v>
      </c>
      <c r="C7467" s="547" t="s">
        <v>1228</v>
      </c>
      <c r="D7467" s="563">
        <f>D7459</f>
        <v>4.12</v>
      </c>
      <c r="E7467" s="552">
        <f t="shared" si="581"/>
        <v>0.33</v>
      </c>
      <c r="F7467" s="553"/>
      <c r="G7467" s="15"/>
      <c r="H7467" s="21"/>
      <c r="I7467" s="15"/>
      <c r="J7467" s="15"/>
      <c r="K7467" s="15"/>
      <c r="L7467" s="21"/>
      <c r="M7467" s="15"/>
    </row>
    <row r="7468" spans="1:13" s="166" customFormat="1" ht="12.75" customHeight="1">
      <c r="A7468" s="551" t="s">
        <v>528</v>
      </c>
      <c r="B7468" s="546">
        <v>8.0000000000000002E-3</v>
      </c>
      <c r="C7468" s="547" t="s">
        <v>1228</v>
      </c>
      <c r="D7468" s="563">
        <f>D7466</f>
        <v>540.09</v>
      </c>
      <c r="E7468" s="552">
        <f t="shared" si="581"/>
        <v>4.32</v>
      </c>
      <c r="F7468" s="553"/>
      <c r="G7468" s="15"/>
      <c r="H7468" s="21"/>
      <c r="I7468" s="15"/>
      <c r="J7468" s="15"/>
      <c r="K7468" s="15"/>
      <c r="L7468" s="21"/>
      <c r="M7468" s="15"/>
    </row>
    <row r="7469" spans="1:13" s="166" customFormat="1" ht="12.75" customHeight="1">
      <c r="A7469" s="551" t="s">
        <v>1176</v>
      </c>
      <c r="B7469" s="546">
        <v>1</v>
      </c>
      <c r="C7469" s="547" t="s">
        <v>213</v>
      </c>
      <c r="D7469" s="563">
        <f>D7461</f>
        <v>9.92</v>
      </c>
      <c r="E7469" s="552">
        <f t="shared" si="581"/>
        <v>9.92</v>
      </c>
      <c r="F7469" s="553"/>
      <c r="G7469" s="15"/>
      <c r="H7469" s="21"/>
      <c r="I7469" s="15"/>
      <c r="J7469" s="15"/>
      <c r="K7469" s="15"/>
      <c r="L7469" s="21"/>
      <c r="M7469" s="15"/>
    </row>
    <row r="7470" spans="1:13" s="166" customFormat="1" ht="12.75" customHeight="1">
      <c r="A7470" s="551" t="s">
        <v>257</v>
      </c>
      <c r="B7470" s="546">
        <v>1</v>
      </c>
      <c r="C7470" s="547" t="s">
        <v>213</v>
      </c>
      <c r="D7470" s="563">
        <f>Prec.!C635</f>
        <v>32.56</v>
      </c>
      <c r="E7470" s="552">
        <f t="shared" si="581"/>
        <v>32.56</v>
      </c>
      <c r="F7470" s="553"/>
      <c r="G7470" s="15"/>
      <c r="H7470" s="21"/>
      <c r="I7470" s="15"/>
      <c r="J7470" s="15"/>
      <c r="K7470" s="15"/>
      <c r="L7470" s="21"/>
      <c r="M7470" s="15"/>
    </row>
    <row r="7471" spans="1:13" s="166" customFormat="1" ht="12.75" customHeight="1">
      <c r="A7471" s="551" t="s">
        <v>560</v>
      </c>
      <c r="B7471" s="546">
        <v>1</v>
      </c>
      <c r="C7471" s="547" t="s">
        <v>213</v>
      </c>
      <c r="D7471" s="563">
        <f>Prec.!C636</f>
        <v>21.7</v>
      </c>
      <c r="E7471" s="552">
        <f t="shared" si="581"/>
        <v>21.7</v>
      </c>
      <c r="F7471" s="553">
        <f>SUM(E7465:E7471)</f>
        <v>112.04</v>
      </c>
      <c r="G7471" s="15"/>
      <c r="H7471" s="21"/>
      <c r="I7471" s="15"/>
      <c r="J7471" s="15"/>
      <c r="K7471" s="15"/>
      <c r="L7471" s="21"/>
      <c r="M7471" s="15"/>
    </row>
    <row r="7472" spans="1:13" s="166" customFormat="1" ht="12.75" customHeight="1">
      <c r="A7472" s="12"/>
      <c r="B7472" s="14"/>
      <c r="C7472" s="24"/>
      <c r="D7472" s="35"/>
      <c r="E7472" s="31"/>
      <c r="F7472" s="32"/>
      <c r="G7472" s="15"/>
      <c r="H7472" s="21"/>
      <c r="I7472" s="15"/>
      <c r="J7472" s="15"/>
      <c r="K7472" s="15"/>
      <c r="L7472" s="21"/>
      <c r="M7472" s="15"/>
    </row>
    <row r="7473" spans="1:13" s="166" customFormat="1" ht="12.75" customHeight="1">
      <c r="A7473" s="12"/>
      <c r="B7473" s="14"/>
      <c r="C7473" s="24"/>
      <c r="D7473" s="35"/>
      <c r="E7473" s="31"/>
      <c r="F7473" s="32"/>
      <c r="G7473" s="15"/>
      <c r="H7473" s="21"/>
      <c r="I7473" s="15"/>
      <c r="J7473" s="15"/>
      <c r="K7473" s="15"/>
      <c r="L7473" s="21"/>
      <c r="M7473" s="15"/>
    </row>
    <row r="7474" spans="1:13" ht="12.75" customHeight="1">
      <c r="A7474" s="545" t="s">
        <v>874</v>
      </c>
      <c r="B7474" s="546"/>
      <c r="C7474" s="547"/>
      <c r="D7474" s="548"/>
      <c r="E7474" s="552"/>
      <c r="F7474" s="553"/>
    </row>
    <row r="7475" spans="1:13" ht="12.75" customHeight="1">
      <c r="A7475" s="551" t="s">
        <v>1277</v>
      </c>
      <c r="B7475" s="546">
        <v>0.11</v>
      </c>
      <c r="C7475" s="547" t="s">
        <v>1228</v>
      </c>
      <c r="D7475" s="563">
        <f>Prec.!$C$246</f>
        <v>1140</v>
      </c>
      <c r="E7475" s="552">
        <f t="shared" ref="E7475:E7480" si="582">ROUND(B7475*D7475,2)</f>
        <v>125.4</v>
      </c>
      <c r="F7475" s="553"/>
    </row>
    <row r="7476" spans="1:13" ht="12.75" customHeight="1">
      <c r="A7476" s="551" t="s">
        <v>545</v>
      </c>
      <c r="B7476" s="546">
        <v>0.11</v>
      </c>
      <c r="C7476" s="547" t="s">
        <v>1228</v>
      </c>
      <c r="D7476" s="563">
        <f>D7459</f>
        <v>4.12</v>
      </c>
      <c r="E7476" s="552">
        <f t="shared" si="582"/>
        <v>0.45</v>
      </c>
      <c r="F7476" s="553"/>
    </row>
    <row r="7477" spans="1:13" ht="12.75" customHeight="1">
      <c r="A7477" s="551" t="s">
        <v>528</v>
      </c>
      <c r="B7477" s="546">
        <v>1.0999999999999999E-2</v>
      </c>
      <c r="C7477" s="547" t="s">
        <v>1228</v>
      </c>
      <c r="D7477" s="563">
        <f>Prec.!$C$246</f>
        <v>1140</v>
      </c>
      <c r="E7477" s="552">
        <f t="shared" si="582"/>
        <v>12.54</v>
      </c>
      <c r="F7477" s="553"/>
    </row>
    <row r="7478" spans="1:13" ht="12.75" customHeight="1">
      <c r="A7478" s="551" t="s">
        <v>1176</v>
      </c>
      <c r="B7478" s="546">
        <v>1</v>
      </c>
      <c r="C7478" s="547" t="s">
        <v>213</v>
      </c>
      <c r="D7478" s="563">
        <f>Prec.!$C$267</f>
        <v>9.92</v>
      </c>
      <c r="E7478" s="552">
        <f t="shared" si="582"/>
        <v>9.92</v>
      </c>
      <c r="F7478" s="553"/>
    </row>
    <row r="7479" spans="1:13" ht="12.75" customHeight="1">
      <c r="A7479" s="551" t="s">
        <v>1274</v>
      </c>
      <c r="B7479" s="546">
        <v>1</v>
      </c>
      <c r="C7479" s="547" t="s">
        <v>213</v>
      </c>
      <c r="D7479" s="563">
        <f>D7470</f>
        <v>32.56</v>
      </c>
      <c r="E7479" s="552">
        <f t="shared" si="582"/>
        <v>32.56</v>
      </c>
      <c r="F7479" s="553"/>
    </row>
    <row r="7480" spans="1:13" ht="12.75" customHeight="1">
      <c r="A7480" s="551" t="s">
        <v>1275</v>
      </c>
      <c r="B7480" s="546">
        <v>1</v>
      </c>
      <c r="C7480" s="547" t="s">
        <v>213</v>
      </c>
      <c r="D7480" s="563">
        <f>D7471</f>
        <v>21.7</v>
      </c>
      <c r="E7480" s="552">
        <f t="shared" si="582"/>
        <v>21.7</v>
      </c>
      <c r="F7480" s="553">
        <f>SUM(E7474:E7480)</f>
        <v>202.57</v>
      </c>
    </row>
    <row r="7481" spans="1:13" s="166" customFormat="1" ht="12.75" customHeight="1">
      <c r="A7481" s="12"/>
      <c r="B7481" s="30"/>
      <c r="C7481" s="24"/>
      <c r="D7481" s="41"/>
      <c r="E7481" s="31"/>
      <c r="F7481" s="32"/>
      <c r="G7481" s="15"/>
      <c r="H7481" s="21"/>
      <c r="I7481" s="15"/>
      <c r="J7481" s="15"/>
      <c r="K7481" s="15"/>
      <c r="L7481" s="21"/>
      <c r="M7481" s="15"/>
    </row>
    <row r="7482" spans="1:13" s="166" customFormat="1" ht="12.75" hidden="1" customHeight="1">
      <c r="A7482" s="13" t="s">
        <v>874</v>
      </c>
      <c r="B7482" s="30"/>
      <c r="C7482" s="24"/>
      <c r="D7482" s="35"/>
      <c r="E7482" s="31"/>
      <c r="F7482" s="32"/>
      <c r="G7482" s="15"/>
      <c r="H7482" s="21"/>
      <c r="I7482" s="15"/>
      <c r="J7482" s="15"/>
      <c r="K7482" s="15"/>
      <c r="L7482" s="21"/>
      <c r="M7482" s="15"/>
    </row>
    <row r="7483" spans="1:13" s="166" customFormat="1" ht="12.75" hidden="1" customHeight="1">
      <c r="A7483" s="12" t="s">
        <v>1947</v>
      </c>
      <c r="B7483" s="30">
        <v>0.08</v>
      </c>
      <c r="C7483" s="24" t="s">
        <v>1228</v>
      </c>
      <c r="D7483" s="41">
        <f>D7119</f>
        <v>830.48</v>
      </c>
      <c r="E7483" s="31">
        <f t="shared" ref="E7483:E7488" si="583">ROUND(B7483*D7483,2)</f>
        <v>66.44</v>
      </c>
      <c r="F7483" s="32"/>
      <c r="G7483" s="15"/>
      <c r="H7483" s="21"/>
      <c r="I7483" s="15"/>
      <c r="J7483" s="15"/>
      <c r="K7483" s="15"/>
      <c r="L7483" s="21"/>
      <c r="M7483" s="15"/>
    </row>
    <row r="7484" spans="1:13" s="166" customFormat="1" ht="12.75" hidden="1" customHeight="1">
      <c r="A7484" s="12" t="s">
        <v>545</v>
      </c>
      <c r="B7484" s="30">
        <v>0.08</v>
      </c>
      <c r="C7484" s="24" t="s">
        <v>1228</v>
      </c>
      <c r="D7484" s="41">
        <f>D7476</f>
        <v>4.12</v>
      </c>
      <c r="E7484" s="31">
        <f t="shared" si="583"/>
        <v>0.33</v>
      </c>
      <c r="F7484" s="32"/>
      <c r="G7484" s="15"/>
      <c r="H7484" s="21"/>
      <c r="I7484" s="15"/>
      <c r="J7484" s="15"/>
      <c r="K7484" s="15"/>
      <c r="L7484" s="21"/>
      <c r="M7484" s="15"/>
    </row>
    <row r="7485" spans="1:13" s="166" customFormat="1" ht="12.75" hidden="1" customHeight="1">
      <c r="A7485" s="12" t="s">
        <v>528</v>
      </c>
      <c r="B7485" s="30">
        <v>8.0000000000000002E-3</v>
      </c>
      <c r="C7485" s="24" t="s">
        <v>1228</v>
      </c>
      <c r="D7485" s="41">
        <f>D7483</f>
        <v>830.48</v>
      </c>
      <c r="E7485" s="31">
        <f t="shared" si="583"/>
        <v>6.64</v>
      </c>
      <c r="F7485" s="32"/>
      <c r="G7485" s="15"/>
      <c r="H7485" s="21"/>
      <c r="I7485" s="15"/>
      <c r="J7485" s="15"/>
      <c r="K7485" s="15"/>
      <c r="L7485" s="21"/>
      <c r="M7485" s="15"/>
    </row>
    <row r="7486" spans="1:13" s="166" customFormat="1" ht="12.75" hidden="1" customHeight="1">
      <c r="A7486" s="12" t="s">
        <v>1176</v>
      </c>
      <c r="B7486" s="30">
        <v>1</v>
      </c>
      <c r="C7486" s="24" t="s">
        <v>213</v>
      </c>
      <c r="D7486" s="41">
        <f>D7478</f>
        <v>9.92</v>
      </c>
      <c r="E7486" s="31">
        <f t="shared" si="583"/>
        <v>9.92</v>
      </c>
      <c r="F7486" s="32"/>
      <c r="G7486" s="15"/>
      <c r="H7486" s="21"/>
      <c r="I7486" s="15"/>
      <c r="J7486" s="15"/>
      <c r="K7486" s="15"/>
      <c r="L7486" s="21"/>
      <c r="M7486" s="15"/>
    </row>
    <row r="7487" spans="1:13" s="166" customFormat="1" ht="12.75" hidden="1" customHeight="1">
      <c r="A7487" s="12" t="s">
        <v>1274</v>
      </c>
      <c r="B7487" s="30">
        <v>1</v>
      </c>
      <c r="C7487" s="24" t="s">
        <v>213</v>
      </c>
      <c r="D7487" s="41">
        <f t="shared" ref="D7487:D7488" si="584">D7479</f>
        <v>32.56</v>
      </c>
      <c r="E7487" s="31">
        <f t="shared" si="583"/>
        <v>32.56</v>
      </c>
      <c r="F7487" s="32"/>
      <c r="G7487" s="15"/>
      <c r="H7487" s="21"/>
      <c r="I7487" s="15"/>
      <c r="J7487" s="15"/>
      <c r="K7487" s="15"/>
      <c r="L7487" s="21"/>
      <c r="M7487" s="15"/>
    </row>
    <row r="7488" spans="1:13" s="166" customFormat="1" ht="12.75" hidden="1" customHeight="1">
      <c r="A7488" s="12" t="s">
        <v>1275</v>
      </c>
      <c r="B7488" s="30">
        <v>1</v>
      </c>
      <c r="C7488" s="24" t="s">
        <v>213</v>
      </c>
      <c r="D7488" s="41">
        <f t="shared" si="584"/>
        <v>21.7</v>
      </c>
      <c r="E7488" s="31">
        <f t="shared" si="583"/>
        <v>21.7</v>
      </c>
      <c r="F7488" s="32">
        <f>SUM(E7482:E7488)</f>
        <v>137.59</v>
      </c>
      <c r="G7488" s="15"/>
      <c r="H7488" s="21"/>
      <c r="I7488" s="15"/>
      <c r="J7488" s="15"/>
      <c r="K7488" s="15"/>
      <c r="L7488" s="21"/>
      <c r="M7488" s="15"/>
    </row>
    <row r="7489" spans="1:13" s="166" customFormat="1" ht="12.75" hidden="1" customHeight="1">
      <c r="A7489" s="12"/>
      <c r="B7489" s="30"/>
      <c r="C7489" s="24"/>
      <c r="D7489" s="41"/>
      <c r="E7489" s="31"/>
      <c r="F7489" s="32"/>
      <c r="G7489" s="15"/>
      <c r="H7489" s="21"/>
      <c r="I7489" s="15"/>
      <c r="J7489" s="15"/>
      <c r="K7489" s="15"/>
      <c r="L7489" s="21"/>
      <c r="M7489" s="15"/>
    </row>
    <row r="7490" spans="1:13" s="166" customFormat="1" ht="12.75" hidden="1" customHeight="1">
      <c r="A7490" s="12"/>
      <c r="B7490" s="30"/>
      <c r="C7490" s="24"/>
      <c r="D7490" s="41"/>
      <c r="E7490" s="31"/>
      <c r="F7490" s="32"/>
      <c r="G7490" s="15"/>
      <c r="H7490" s="21"/>
      <c r="I7490" s="15"/>
      <c r="J7490" s="15"/>
      <c r="K7490" s="15"/>
      <c r="L7490" s="21"/>
      <c r="M7490" s="15"/>
    </row>
    <row r="7491" spans="1:13" ht="12.75" customHeight="1">
      <c r="A7491" s="545" t="s">
        <v>872</v>
      </c>
      <c r="B7491" s="546"/>
      <c r="C7491" s="547"/>
      <c r="D7491" s="548"/>
      <c r="E7491" s="552"/>
      <c r="F7491" s="553"/>
    </row>
    <row r="7492" spans="1:13" ht="12.75" customHeight="1">
      <c r="A7492" s="551" t="s">
        <v>1277</v>
      </c>
      <c r="B7492" s="546">
        <v>0.11</v>
      </c>
      <c r="C7492" s="547" t="s">
        <v>1228</v>
      </c>
      <c r="D7492" s="563">
        <f>Prec.!$C$246</f>
        <v>1140</v>
      </c>
      <c r="E7492" s="552">
        <f t="shared" ref="E7492:E7498" si="585">ROUND(B7492*D7492,2)</f>
        <v>125.4</v>
      </c>
      <c r="F7492" s="553"/>
    </row>
    <row r="7493" spans="1:13" ht="12.75" customHeight="1">
      <c r="A7493" s="551" t="s">
        <v>545</v>
      </c>
      <c r="B7493" s="546">
        <v>0.11</v>
      </c>
      <c r="C7493" s="547" t="s">
        <v>1228</v>
      </c>
      <c r="D7493" s="563">
        <f>D7476</f>
        <v>4.12</v>
      </c>
      <c r="E7493" s="552">
        <f>ROUND(B7493*D7493,2)</f>
        <v>0.45</v>
      </c>
      <c r="F7493" s="553"/>
    </row>
    <row r="7494" spans="1:13" ht="12.75" customHeight="1">
      <c r="A7494" s="551" t="s">
        <v>528</v>
      </c>
      <c r="B7494" s="546">
        <v>1.0999999999999999E-2</v>
      </c>
      <c r="C7494" s="547" t="s">
        <v>1228</v>
      </c>
      <c r="D7494" s="563">
        <f>Prec.!$C$246</f>
        <v>1140</v>
      </c>
      <c r="E7494" s="552">
        <f t="shared" si="585"/>
        <v>12.54</v>
      </c>
      <c r="F7494" s="553"/>
    </row>
    <row r="7495" spans="1:13" ht="12.75" customHeight="1">
      <c r="A7495" s="551" t="s">
        <v>1176</v>
      </c>
      <c r="B7495" s="546">
        <v>1</v>
      </c>
      <c r="C7495" s="547" t="s">
        <v>213</v>
      </c>
      <c r="D7495" s="563">
        <f>Prec.!$C$267</f>
        <v>9.92</v>
      </c>
      <c r="E7495" s="552">
        <f t="shared" si="585"/>
        <v>9.92</v>
      </c>
      <c r="F7495" s="553"/>
    </row>
    <row r="7496" spans="1:13" ht="12.75" customHeight="1">
      <c r="A7496" s="551" t="s">
        <v>1274</v>
      </c>
      <c r="B7496" s="546">
        <v>1</v>
      </c>
      <c r="C7496" s="547" t="s">
        <v>213</v>
      </c>
      <c r="D7496" s="563">
        <f>D7479</f>
        <v>32.56</v>
      </c>
      <c r="E7496" s="552">
        <f t="shared" si="585"/>
        <v>32.56</v>
      </c>
      <c r="F7496" s="553"/>
    </row>
    <row r="7497" spans="1:13" ht="12.75" customHeight="1">
      <c r="A7497" s="551" t="s">
        <v>1275</v>
      </c>
      <c r="B7497" s="546">
        <v>1</v>
      </c>
      <c r="C7497" s="547" t="s">
        <v>213</v>
      </c>
      <c r="D7497" s="563">
        <f>D7480</f>
        <v>21.7</v>
      </c>
      <c r="E7497" s="552">
        <f t="shared" si="585"/>
        <v>21.7</v>
      </c>
      <c r="F7497" s="562"/>
    </row>
    <row r="7498" spans="1:13" ht="12.75" customHeight="1">
      <c r="A7498" s="551" t="s">
        <v>873</v>
      </c>
      <c r="B7498" s="546">
        <v>1</v>
      </c>
      <c r="C7498" s="547" t="s">
        <v>213</v>
      </c>
      <c r="D7498" s="563">
        <f>Prec.!C268</f>
        <v>7.35</v>
      </c>
      <c r="E7498" s="552">
        <f t="shared" si="585"/>
        <v>7.35</v>
      </c>
      <c r="F7498" s="553">
        <f>SUM(E7491:E7498)</f>
        <v>209.92</v>
      </c>
    </row>
    <row r="7499" spans="1:13" s="166" customFormat="1" ht="12.75" hidden="1" customHeight="1">
      <c r="A7499" s="12"/>
      <c r="B7499" s="30"/>
      <c r="C7499" s="24"/>
      <c r="D7499" s="41"/>
      <c r="E7499" s="31"/>
      <c r="F7499" s="32"/>
      <c r="G7499" s="15"/>
      <c r="H7499" s="21"/>
      <c r="I7499" s="15"/>
      <c r="J7499" s="15"/>
      <c r="K7499" s="15"/>
      <c r="L7499" s="21"/>
      <c r="M7499" s="15"/>
    </row>
    <row r="7500" spans="1:13" s="166" customFormat="1" ht="12.75" hidden="1" customHeight="1">
      <c r="A7500" s="13" t="s">
        <v>872</v>
      </c>
      <c r="B7500" s="30"/>
      <c r="C7500" s="24"/>
      <c r="D7500" s="35"/>
      <c r="E7500" s="31"/>
      <c r="F7500" s="32"/>
      <c r="G7500" s="15"/>
      <c r="H7500" s="21"/>
      <c r="I7500" s="15"/>
      <c r="J7500" s="15"/>
      <c r="K7500" s="15"/>
      <c r="L7500" s="21"/>
      <c r="M7500" s="15"/>
    </row>
    <row r="7501" spans="1:13" s="166" customFormat="1" ht="12.75" hidden="1" customHeight="1">
      <c r="A7501" s="12" t="s">
        <v>1947</v>
      </c>
      <c r="B7501" s="30">
        <v>0.08</v>
      </c>
      <c r="C7501" s="24" t="s">
        <v>1228</v>
      </c>
      <c r="D7501" s="41">
        <f>D7119</f>
        <v>830.48</v>
      </c>
      <c r="E7501" s="31">
        <f t="shared" ref="E7501" si="586">ROUND(B7501*D7501,2)</f>
        <v>66.44</v>
      </c>
      <c r="F7501" s="32"/>
      <c r="G7501" s="15"/>
      <c r="H7501" s="21"/>
      <c r="I7501" s="15"/>
      <c r="J7501" s="15"/>
      <c r="K7501" s="15"/>
      <c r="L7501" s="21"/>
      <c r="M7501" s="15"/>
    </row>
    <row r="7502" spans="1:13" s="166" customFormat="1" ht="12.75" hidden="1" customHeight="1">
      <c r="A7502" s="12" t="s">
        <v>545</v>
      </c>
      <c r="B7502" s="30">
        <v>0.08</v>
      </c>
      <c r="C7502" s="24" t="s">
        <v>1228</v>
      </c>
      <c r="D7502" s="41">
        <f>D7493</f>
        <v>4.12</v>
      </c>
      <c r="E7502" s="31">
        <f>ROUND(B7502*D7502,2)</f>
        <v>0.33</v>
      </c>
      <c r="F7502" s="32"/>
      <c r="G7502" s="15"/>
      <c r="H7502" s="21"/>
      <c r="I7502" s="15"/>
      <c r="J7502" s="15"/>
      <c r="K7502" s="15"/>
      <c r="L7502" s="21"/>
      <c r="M7502" s="15"/>
    </row>
    <row r="7503" spans="1:13" s="166" customFormat="1" ht="12.75" hidden="1" customHeight="1">
      <c r="A7503" s="12" t="s">
        <v>528</v>
      </c>
      <c r="B7503" s="30">
        <v>8.0000000000000002E-3</v>
      </c>
      <c r="C7503" s="24" t="s">
        <v>1228</v>
      </c>
      <c r="D7503" s="41">
        <f>D7501</f>
        <v>830.48</v>
      </c>
      <c r="E7503" s="31">
        <f t="shared" ref="E7503:E7507" si="587">ROUND(B7503*D7503,2)</f>
        <v>6.64</v>
      </c>
      <c r="F7503" s="32"/>
      <c r="G7503" s="15"/>
      <c r="H7503" s="21"/>
      <c r="I7503" s="15"/>
      <c r="J7503" s="15"/>
      <c r="K7503" s="15"/>
      <c r="L7503" s="21"/>
      <c r="M7503" s="15"/>
    </row>
    <row r="7504" spans="1:13" s="166" customFormat="1" ht="12.75" hidden="1" customHeight="1">
      <c r="A7504" s="12" t="s">
        <v>1176</v>
      </c>
      <c r="B7504" s="30">
        <v>1</v>
      </c>
      <c r="C7504" s="24" t="s">
        <v>213</v>
      </c>
      <c r="D7504" s="41">
        <f>D7495</f>
        <v>9.92</v>
      </c>
      <c r="E7504" s="31">
        <f t="shared" si="587"/>
        <v>9.92</v>
      </c>
      <c r="F7504" s="32"/>
      <c r="G7504" s="15"/>
      <c r="H7504" s="21"/>
      <c r="I7504" s="15"/>
      <c r="J7504" s="15"/>
      <c r="K7504" s="15"/>
      <c r="L7504" s="21"/>
      <c r="M7504" s="15"/>
    </row>
    <row r="7505" spans="1:13" s="166" customFormat="1" ht="12.75" hidden="1" customHeight="1">
      <c r="A7505" s="12" t="s">
        <v>1274</v>
      </c>
      <c r="B7505" s="30">
        <v>1</v>
      </c>
      <c r="C7505" s="24" t="s">
        <v>213</v>
      </c>
      <c r="D7505" s="41">
        <f t="shared" ref="D7505:D7507" si="588">D7496</f>
        <v>32.56</v>
      </c>
      <c r="E7505" s="31">
        <f t="shared" si="587"/>
        <v>32.56</v>
      </c>
      <c r="F7505" s="32"/>
      <c r="G7505" s="15"/>
      <c r="H7505" s="21"/>
      <c r="I7505" s="15"/>
      <c r="J7505" s="15"/>
      <c r="K7505" s="15"/>
      <c r="L7505" s="21"/>
      <c r="M7505" s="15"/>
    </row>
    <row r="7506" spans="1:13" s="166" customFormat="1" ht="12.75" hidden="1" customHeight="1">
      <c r="A7506" s="12" t="s">
        <v>1275</v>
      </c>
      <c r="B7506" s="30">
        <v>1</v>
      </c>
      <c r="C7506" s="24" t="s">
        <v>213</v>
      </c>
      <c r="D7506" s="41">
        <f t="shared" si="588"/>
        <v>21.7</v>
      </c>
      <c r="E7506" s="31">
        <f t="shared" si="587"/>
        <v>21.7</v>
      </c>
      <c r="F7506" s="178"/>
      <c r="G7506" s="15"/>
      <c r="H7506" s="21"/>
      <c r="I7506" s="15"/>
      <c r="J7506" s="15"/>
      <c r="K7506" s="15"/>
      <c r="L7506" s="21"/>
      <c r="M7506" s="15"/>
    </row>
    <row r="7507" spans="1:13" s="166" customFormat="1" ht="12.75" hidden="1" customHeight="1">
      <c r="A7507" s="12" t="s">
        <v>873</v>
      </c>
      <c r="B7507" s="30">
        <v>1</v>
      </c>
      <c r="C7507" s="24" t="s">
        <v>213</v>
      </c>
      <c r="D7507" s="41">
        <f t="shared" si="588"/>
        <v>7.35</v>
      </c>
      <c r="E7507" s="31">
        <f t="shared" si="587"/>
        <v>7.35</v>
      </c>
      <c r="F7507" s="32">
        <f>SUM(E7500:E7507)</f>
        <v>144.94</v>
      </c>
      <c r="G7507" s="15"/>
      <c r="H7507" s="21"/>
      <c r="I7507" s="15"/>
      <c r="J7507" s="15"/>
      <c r="K7507" s="15"/>
      <c r="L7507" s="21"/>
      <c r="M7507" s="15"/>
    </row>
    <row r="7508" spans="1:13" ht="12.75" hidden="1" customHeight="1">
      <c r="A7508" s="12"/>
      <c r="B7508" s="30"/>
      <c r="C7508" s="24"/>
      <c r="D7508" s="35"/>
      <c r="E7508" s="31"/>
      <c r="F7508" s="32"/>
    </row>
    <row r="7509" spans="1:13" ht="12.75" hidden="1" customHeight="1">
      <c r="A7509" s="13" t="s">
        <v>37</v>
      </c>
      <c r="B7509" s="30"/>
      <c r="C7509" s="24"/>
      <c r="D7509" s="35"/>
      <c r="E7509" s="31"/>
      <c r="F7509" s="32"/>
    </row>
    <row r="7510" spans="1:13" ht="12.75" hidden="1" customHeight="1">
      <c r="A7510" s="12" t="s">
        <v>1277</v>
      </c>
      <c r="B7510" s="30">
        <v>0.11</v>
      </c>
      <c r="C7510" s="24" t="s">
        <v>1228</v>
      </c>
      <c r="D7510" s="41">
        <f>Prec.!C248</f>
        <v>550</v>
      </c>
      <c r="E7510" s="31">
        <f t="shared" ref="E7510:E7515" si="589">ROUND(B7510*D7510,2)</f>
        <v>60.5</v>
      </c>
      <c r="F7510" s="32"/>
    </row>
    <row r="7511" spans="1:13" ht="12.75" hidden="1" customHeight="1">
      <c r="A7511" s="12" t="s">
        <v>545</v>
      </c>
      <c r="B7511" s="30">
        <v>0.11</v>
      </c>
      <c r="C7511" s="24" t="s">
        <v>1228</v>
      </c>
      <c r="D7511" s="41">
        <f>D7493</f>
        <v>4.12</v>
      </c>
      <c r="E7511" s="31">
        <f t="shared" si="589"/>
        <v>0.45</v>
      </c>
      <c r="F7511" s="32"/>
    </row>
    <row r="7512" spans="1:13" ht="12.75" hidden="1" customHeight="1">
      <c r="A7512" s="12" t="s">
        <v>528</v>
      </c>
      <c r="B7512" s="30">
        <v>1.0999999999999999E-2</v>
      </c>
      <c r="C7512" s="24" t="s">
        <v>1228</v>
      </c>
      <c r="D7512" s="41">
        <f>D7510</f>
        <v>550</v>
      </c>
      <c r="E7512" s="31">
        <f t="shared" si="589"/>
        <v>6.05</v>
      </c>
      <c r="F7512" s="32"/>
    </row>
    <row r="7513" spans="1:13" ht="12.75" hidden="1" customHeight="1">
      <c r="A7513" s="12" t="s">
        <v>1176</v>
      </c>
      <c r="B7513" s="30">
        <v>1</v>
      </c>
      <c r="C7513" s="24" t="s">
        <v>213</v>
      </c>
      <c r="D7513" s="41">
        <f>D7495</f>
        <v>9.92</v>
      </c>
      <c r="E7513" s="31">
        <f t="shared" si="589"/>
        <v>9.92</v>
      </c>
      <c r="F7513" s="32"/>
    </row>
    <row r="7514" spans="1:13" ht="12.75" hidden="1" customHeight="1">
      <c r="A7514" s="12" t="s">
        <v>1274</v>
      </c>
      <c r="B7514" s="30">
        <v>1</v>
      </c>
      <c r="C7514" s="24" t="s">
        <v>213</v>
      </c>
      <c r="D7514" s="41">
        <f>D7496</f>
        <v>32.56</v>
      </c>
      <c r="E7514" s="31">
        <f t="shared" si="589"/>
        <v>32.56</v>
      </c>
      <c r="F7514" s="32"/>
    </row>
    <row r="7515" spans="1:13" ht="12.75" hidden="1" customHeight="1">
      <c r="A7515" s="12" t="s">
        <v>1275</v>
      </c>
      <c r="B7515" s="30">
        <v>1</v>
      </c>
      <c r="C7515" s="24" t="s">
        <v>213</v>
      </c>
      <c r="D7515" s="41">
        <f>D7497</f>
        <v>21.7</v>
      </c>
      <c r="E7515" s="31">
        <f t="shared" si="589"/>
        <v>21.7</v>
      </c>
      <c r="F7515" s="32">
        <f>SUM(E7509:E7515)</f>
        <v>131.18</v>
      </c>
    </row>
    <row r="7516" spans="1:13" ht="12.75" hidden="1" customHeight="1">
      <c r="A7516" s="12"/>
      <c r="B7516" s="14"/>
      <c r="C7516" s="24"/>
      <c r="D7516" s="35"/>
      <c r="E7516" s="31"/>
      <c r="F7516" s="32"/>
    </row>
    <row r="7517" spans="1:13" ht="12.75" hidden="1" customHeight="1">
      <c r="A7517" s="13" t="s">
        <v>36</v>
      </c>
      <c r="B7517" s="30"/>
      <c r="C7517" s="24"/>
      <c r="D7517" s="35"/>
      <c r="E7517" s="31"/>
      <c r="F7517" s="32"/>
    </row>
    <row r="7518" spans="1:13" ht="12.75" hidden="1" customHeight="1">
      <c r="A7518" s="12" t="s">
        <v>1277</v>
      </c>
      <c r="B7518" s="30">
        <v>0.11</v>
      </c>
      <c r="C7518" s="24" t="s">
        <v>1228</v>
      </c>
      <c r="D7518" s="41">
        <f t="shared" ref="D7518:D7523" si="590">D7510</f>
        <v>550</v>
      </c>
      <c r="E7518" s="31">
        <f t="shared" ref="E7518:E7524" si="591">ROUND(B7518*D7518,2)</f>
        <v>60.5</v>
      </c>
      <c r="F7518" s="32"/>
    </row>
    <row r="7519" spans="1:13" ht="12.75" hidden="1" customHeight="1">
      <c r="A7519" s="12" t="s">
        <v>545</v>
      </c>
      <c r="B7519" s="30">
        <v>0.11</v>
      </c>
      <c r="C7519" s="24" t="s">
        <v>1228</v>
      </c>
      <c r="D7519" s="41">
        <f t="shared" si="590"/>
        <v>4.12</v>
      </c>
      <c r="E7519" s="31">
        <f t="shared" si="591"/>
        <v>0.45</v>
      </c>
      <c r="F7519" s="32"/>
    </row>
    <row r="7520" spans="1:13" ht="12.75" hidden="1" customHeight="1">
      <c r="A7520" s="12" t="s">
        <v>528</v>
      </c>
      <c r="B7520" s="30">
        <v>1.0999999999999999E-2</v>
      </c>
      <c r="C7520" s="24" t="s">
        <v>1228</v>
      </c>
      <c r="D7520" s="41">
        <f t="shared" si="590"/>
        <v>550</v>
      </c>
      <c r="E7520" s="31">
        <f t="shared" si="591"/>
        <v>6.05</v>
      </c>
      <c r="F7520" s="32"/>
    </row>
    <row r="7521" spans="1:6" ht="12.75" hidden="1" customHeight="1">
      <c r="A7521" s="12" t="s">
        <v>1176</v>
      </c>
      <c r="B7521" s="30">
        <v>1</v>
      </c>
      <c r="C7521" s="24" t="s">
        <v>213</v>
      </c>
      <c r="D7521" s="41">
        <f t="shared" si="590"/>
        <v>9.92</v>
      </c>
      <c r="E7521" s="31">
        <f t="shared" si="591"/>
        <v>9.92</v>
      </c>
      <c r="F7521" s="32"/>
    </row>
    <row r="7522" spans="1:6" ht="12.75" hidden="1" customHeight="1">
      <c r="A7522" s="12" t="s">
        <v>1274</v>
      </c>
      <c r="B7522" s="30">
        <v>1</v>
      </c>
      <c r="C7522" s="24" t="s">
        <v>213</v>
      </c>
      <c r="D7522" s="41">
        <f t="shared" si="590"/>
        <v>32.56</v>
      </c>
      <c r="E7522" s="31">
        <f t="shared" si="591"/>
        <v>32.56</v>
      </c>
      <c r="F7522" s="32"/>
    </row>
    <row r="7523" spans="1:6" ht="12.75" hidden="1" customHeight="1">
      <c r="A7523" s="12" t="s">
        <v>1275</v>
      </c>
      <c r="B7523" s="30">
        <v>1</v>
      </c>
      <c r="C7523" s="24" t="s">
        <v>213</v>
      </c>
      <c r="D7523" s="41">
        <f t="shared" si="590"/>
        <v>21.7</v>
      </c>
      <c r="E7523" s="31">
        <f t="shared" si="591"/>
        <v>21.7</v>
      </c>
      <c r="F7523" s="178"/>
    </row>
    <row r="7524" spans="1:6" ht="12.75" hidden="1" customHeight="1">
      <c r="A7524" s="12" t="s">
        <v>873</v>
      </c>
      <c r="B7524" s="30">
        <v>1</v>
      </c>
      <c r="C7524" s="24" t="s">
        <v>213</v>
      </c>
      <c r="D7524" s="41">
        <f>D7498</f>
        <v>7.35</v>
      </c>
      <c r="E7524" s="31">
        <f t="shared" si="591"/>
        <v>7.35</v>
      </c>
      <c r="F7524" s="32">
        <f>SUM(E7517:E7524)</f>
        <v>138.53</v>
      </c>
    </row>
    <row r="7525" spans="1:6" ht="12.75" hidden="1" customHeight="1">
      <c r="A7525" s="12"/>
      <c r="B7525" s="30"/>
      <c r="C7525" s="24"/>
      <c r="D7525" s="35"/>
      <c r="E7525" s="31"/>
      <c r="F7525" s="32"/>
    </row>
    <row r="7526" spans="1:6" ht="12.75" hidden="1" customHeight="1">
      <c r="A7526" s="13" t="s">
        <v>877</v>
      </c>
      <c r="B7526" s="30"/>
      <c r="C7526" s="24"/>
      <c r="D7526" s="35"/>
      <c r="E7526" s="31"/>
      <c r="F7526" s="32"/>
    </row>
    <row r="7527" spans="1:6" ht="12.75" hidden="1" customHeight="1">
      <c r="A7527" s="12" t="s">
        <v>875</v>
      </c>
      <c r="B7527" s="30">
        <v>0.14699999999999999</v>
      </c>
      <c r="C7527" s="24" t="s">
        <v>1228</v>
      </c>
      <c r="D7527" s="41">
        <f>Prec.!$C$250</f>
        <v>1590</v>
      </c>
      <c r="E7527" s="31">
        <f t="shared" ref="E7527:E7533" si="592">ROUND(B7527*D7527,2)</f>
        <v>233.73</v>
      </c>
      <c r="F7527" s="32"/>
    </row>
    <row r="7528" spans="1:6" ht="12.75" hidden="1" customHeight="1">
      <c r="A7528" s="12" t="s">
        <v>545</v>
      </c>
      <c r="B7528" s="30">
        <v>0.14699999999999999</v>
      </c>
      <c r="C7528" s="24" t="s">
        <v>1228</v>
      </c>
      <c r="D7528" s="41">
        <f>D7493</f>
        <v>4.12</v>
      </c>
      <c r="E7528" s="31">
        <f>ROUND(B7528*D7528,2)</f>
        <v>0.61</v>
      </c>
      <c r="F7528" s="32"/>
    </row>
    <row r="7529" spans="1:6" ht="12.75" hidden="1" customHeight="1">
      <c r="A7529" s="12" t="s">
        <v>528</v>
      </c>
      <c r="B7529" s="30">
        <v>1.4999999999999999E-2</v>
      </c>
      <c r="C7529" s="24" t="s">
        <v>1228</v>
      </c>
      <c r="D7529" s="41">
        <f>Prec.!$C$250</f>
        <v>1590</v>
      </c>
      <c r="E7529" s="31">
        <f t="shared" si="592"/>
        <v>23.85</v>
      </c>
      <c r="F7529" s="32"/>
    </row>
    <row r="7530" spans="1:6" ht="12.75" hidden="1" customHeight="1">
      <c r="A7530" s="12" t="s">
        <v>876</v>
      </c>
      <c r="B7530" s="30">
        <v>0.1</v>
      </c>
      <c r="C7530" s="24" t="s">
        <v>1228</v>
      </c>
      <c r="D7530" s="41">
        <f>Prec.!$C$269</f>
        <v>315</v>
      </c>
      <c r="E7530" s="31">
        <f t="shared" si="592"/>
        <v>31.5</v>
      </c>
      <c r="F7530" s="32"/>
    </row>
    <row r="7531" spans="1:6" ht="12.75" hidden="1" customHeight="1">
      <c r="A7531" s="12" t="s">
        <v>629</v>
      </c>
      <c r="B7531" s="30">
        <v>0.1</v>
      </c>
      <c r="C7531" s="24" t="s">
        <v>1228</v>
      </c>
      <c r="D7531" s="41">
        <f>D7528</f>
        <v>4.12</v>
      </c>
      <c r="E7531" s="31">
        <f t="shared" si="592"/>
        <v>0.41</v>
      </c>
      <c r="F7531" s="32"/>
    </row>
    <row r="7532" spans="1:6" ht="12.75" hidden="1" customHeight="1">
      <c r="A7532" s="12" t="s">
        <v>1176</v>
      </c>
      <c r="B7532" s="30">
        <v>1</v>
      </c>
      <c r="C7532" s="24" t="s">
        <v>213</v>
      </c>
      <c r="D7532" s="41">
        <f>Prec.!$C$267</f>
        <v>9.92</v>
      </c>
      <c r="E7532" s="31">
        <f t="shared" si="592"/>
        <v>9.92</v>
      </c>
      <c r="F7532" s="32"/>
    </row>
    <row r="7533" spans="1:6" ht="12.75" hidden="1" customHeight="1">
      <c r="A7533" s="12" t="s">
        <v>998</v>
      </c>
      <c r="B7533" s="30">
        <v>2</v>
      </c>
      <c r="C7533" s="24" t="s">
        <v>213</v>
      </c>
      <c r="D7533" s="41">
        <f>Prec.!$D$648</f>
        <v>109.25</v>
      </c>
      <c r="E7533" s="31">
        <f t="shared" si="592"/>
        <v>218.5</v>
      </c>
      <c r="F7533" s="32">
        <f>SUM(E7526:E7533)</f>
        <v>518.52</v>
      </c>
    </row>
    <row r="7534" spans="1:6" ht="12.75" customHeight="1">
      <c r="A7534" s="12"/>
      <c r="B7534" s="30"/>
      <c r="C7534" s="24"/>
      <c r="D7534" s="41"/>
      <c r="E7534" s="31"/>
      <c r="F7534" s="32"/>
    </row>
    <row r="7535" spans="1:6" ht="12.75" customHeight="1">
      <c r="A7535" s="545" t="s">
        <v>878</v>
      </c>
      <c r="B7535" s="546"/>
      <c r="C7535" s="547"/>
      <c r="D7535" s="548"/>
      <c r="E7535" s="552"/>
      <c r="F7535" s="553"/>
    </row>
    <row r="7536" spans="1:6" ht="12.75" customHeight="1">
      <c r="A7536" s="551" t="s">
        <v>875</v>
      </c>
      <c r="B7536" s="546">
        <v>0.14699999999999999</v>
      </c>
      <c r="C7536" s="547" t="s">
        <v>1228</v>
      </c>
      <c r="D7536" s="563">
        <f>Prec.!$C$250</f>
        <v>1590</v>
      </c>
      <c r="E7536" s="552">
        <f t="shared" ref="E7536:E7543" si="593">ROUND(B7536*D7536,2)</f>
        <v>233.73</v>
      </c>
      <c r="F7536" s="553"/>
    </row>
    <row r="7537" spans="1:13" ht="12.75" customHeight="1">
      <c r="A7537" s="551" t="s">
        <v>545</v>
      </c>
      <c r="B7537" s="546">
        <v>0.14699999999999999</v>
      </c>
      <c r="C7537" s="547" t="s">
        <v>1228</v>
      </c>
      <c r="D7537" s="563">
        <f>D7528</f>
        <v>4.12</v>
      </c>
      <c r="E7537" s="552">
        <f t="shared" si="593"/>
        <v>0.61</v>
      </c>
      <c r="F7537" s="553"/>
    </row>
    <row r="7538" spans="1:13" ht="12.75" customHeight="1">
      <c r="A7538" s="551" t="s">
        <v>528</v>
      </c>
      <c r="B7538" s="546">
        <v>1.4999999999999999E-2</v>
      </c>
      <c r="C7538" s="547" t="s">
        <v>1228</v>
      </c>
      <c r="D7538" s="563">
        <f>Prec.!$C$250</f>
        <v>1590</v>
      </c>
      <c r="E7538" s="552">
        <f t="shared" si="593"/>
        <v>23.85</v>
      </c>
      <c r="F7538" s="553"/>
    </row>
    <row r="7539" spans="1:13" ht="12.75" customHeight="1">
      <c r="A7539" s="551" t="s">
        <v>876</v>
      </c>
      <c r="B7539" s="546">
        <v>0.1</v>
      </c>
      <c r="C7539" s="547" t="s">
        <v>1228</v>
      </c>
      <c r="D7539" s="563">
        <f>Prec.!$C$269</f>
        <v>315</v>
      </c>
      <c r="E7539" s="552">
        <f t="shared" si="593"/>
        <v>31.5</v>
      </c>
      <c r="F7539" s="553"/>
    </row>
    <row r="7540" spans="1:13" ht="12.75" customHeight="1">
      <c r="A7540" s="551" t="s">
        <v>629</v>
      </c>
      <c r="B7540" s="546">
        <v>0.1</v>
      </c>
      <c r="C7540" s="547" t="s">
        <v>1228</v>
      </c>
      <c r="D7540" s="563">
        <f>D7537</f>
        <v>4.12</v>
      </c>
      <c r="E7540" s="552">
        <f t="shared" si="593"/>
        <v>0.41</v>
      </c>
      <c r="F7540" s="553"/>
    </row>
    <row r="7541" spans="1:13" ht="12.75" customHeight="1">
      <c r="A7541" s="551" t="s">
        <v>1176</v>
      </c>
      <c r="B7541" s="546">
        <v>1</v>
      </c>
      <c r="C7541" s="547" t="s">
        <v>213</v>
      </c>
      <c r="D7541" s="563">
        <f>Prec.!$C$267</f>
        <v>9.92</v>
      </c>
      <c r="E7541" s="552">
        <f t="shared" si="593"/>
        <v>9.92</v>
      </c>
      <c r="F7541" s="553"/>
    </row>
    <row r="7542" spans="1:13" ht="12.75" customHeight="1">
      <c r="A7542" s="551" t="s">
        <v>1273</v>
      </c>
      <c r="B7542" s="546">
        <v>1</v>
      </c>
      <c r="C7542" s="547" t="s">
        <v>213</v>
      </c>
      <c r="D7542" s="563">
        <f>Prec.!C637</f>
        <v>34.74</v>
      </c>
      <c r="E7542" s="552">
        <f t="shared" si="593"/>
        <v>34.74</v>
      </c>
      <c r="F7542" s="553"/>
    </row>
    <row r="7543" spans="1:13" ht="12.75" customHeight="1">
      <c r="A7543" s="551" t="s">
        <v>1272</v>
      </c>
      <c r="B7543" s="546">
        <v>1</v>
      </c>
      <c r="C7543" s="547" t="s">
        <v>213</v>
      </c>
      <c r="D7543" s="563">
        <f>Prec.!C638</f>
        <v>32.56</v>
      </c>
      <c r="E7543" s="552">
        <f t="shared" si="593"/>
        <v>32.56</v>
      </c>
      <c r="F7543" s="553">
        <f>SUM(E7535:E7543)</f>
        <v>367.32000000000005</v>
      </c>
    </row>
    <row r="7544" spans="1:13" ht="12.75" customHeight="1">
      <c r="A7544" s="12"/>
      <c r="B7544" s="30"/>
      <c r="C7544" s="24"/>
      <c r="D7544" s="41"/>
      <c r="E7544" s="31"/>
      <c r="F7544" s="32"/>
    </row>
    <row r="7545" spans="1:13" s="166" customFormat="1" ht="12.75" hidden="1" customHeight="1">
      <c r="A7545" s="12"/>
      <c r="B7545" s="30"/>
      <c r="C7545" s="24"/>
      <c r="D7545" s="41"/>
      <c r="E7545" s="31"/>
      <c r="F7545" s="32"/>
      <c r="G7545" s="15"/>
      <c r="H7545" s="21"/>
      <c r="I7545" s="15"/>
      <c r="J7545" s="15"/>
      <c r="K7545" s="15"/>
      <c r="L7545" s="21"/>
      <c r="M7545" s="15"/>
    </row>
    <row r="7546" spans="1:13" s="166" customFormat="1" ht="12.75" hidden="1" customHeight="1">
      <c r="A7546" s="12"/>
      <c r="B7546" s="30"/>
      <c r="C7546" s="24"/>
      <c r="D7546" s="41"/>
      <c r="E7546" s="31"/>
      <c r="F7546" s="32"/>
      <c r="G7546" s="15"/>
      <c r="H7546" s="21"/>
      <c r="I7546" s="15"/>
      <c r="J7546" s="15"/>
      <c r="K7546" s="15"/>
      <c r="L7546" s="21"/>
      <c r="M7546" s="15"/>
    </row>
    <row r="7547" spans="1:13" s="166" customFormat="1" ht="12.75" hidden="1" customHeight="1">
      <c r="A7547" s="12"/>
      <c r="B7547" s="30"/>
      <c r="C7547" s="24"/>
      <c r="D7547" s="41"/>
      <c r="E7547" s="31"/>
      <c r="F7547" s="32"/>
      <c r="G7547" s="15"/>
      <c r="H7547" s="21"/>
      <c r="I7547" s="15"/>
      <c r="J7547" s="15"/>
      <c r="K7547" s="15"/>
      <c r="L7547" s="21"/>
      <c r="M7547" s="15"/>
    </row>
    <row r="7548" spans="1:13" s="166" customFormat="1" ht="12.75" hidden="1" customHeight="1">
      <c r="A7548" s="12"/>
      <c r="B7548" s="30"/>
      <c r="C7548" s="24"/>
      <c r="D7548" s="41"/>
      <c r="E7548" s="31"/>
      <c r="F7548" s="32"/>
      <c r="G7548" s="15"/>
      <c r="H7548" s="21"/>
      <c r="I7548" s="15"/>
      <c r="J7548" s="15"/>
      <c r="K7548" s="15"/>
      <c r="L7548" s="21"/>
      <c r="M7548" s="15"/>
    </row>
    <row r="7549" spans="1:13" s="166" customFormat="1" ht="12.75" hidden="1" customHeight="1">
      <c r="A7549" s="12"/>
      <c r="B7549" s="30"/>
      <c r="C7549" s="24"/>
      <c r="D7549" s="41"/>
      <c r="E7549" s="31"/>
      <c r="F7549" s="32"/>
      <c r="G7549" s="15"/>
      <c r="H7549" s="21"/>
      <c r="I7549" s="15"/>
      <c r="J7549" s="15"/>
      <c r="K7549" s="15"/>
      <c r="L7549" s="21"/>
      <c r="M7549" s="15"/>
    </row>
    <row r="7550" spans="1:13" ht="12.75" hidden="1" customHeight="1">
      <c r="A7550" s="13" t="s">
        <v>1270</v>
      </c>
      <c r="B7550" s="30"/>
      <c r="C7550" s="24"/>
      <c r="D7550" s="35"/>
      <c r="E7550" s="31"/>
      <c r="F7550" s="32"/>
    </row>
    <row r="7551" spans="1:13" ht="12.75" hidden="1" customHeight="1">
      <c r="A7551" s="12" t="s">
        <v>1270</v>
      </c>
      <c r="B7551" s="30">
        <v>0.11</v>
      </c>
      <c r="C7551" s="24" t="s">
        <v>1228</v>
      </c>
      <c r="D7551" s="41">
        <f>Prec.!$C$251</f>
        <v>1110</v>
      </c>
      <c r="E7551" s="31">
        <f t="shared" ref="E7551:E7558" si="594">ROUND(B7551*D7551,2)</f>
        <v>122.1</v>
      </c>
      <c r="F7551" s="32"/>
    </row>
    <row r="7552" spans="1:13" ht="12.75" hidden="1" customHeight="1">
      <c r="A7552" s="12" t="s">
        <v>545</v>
      </c>
      <c r="B7552" s="30">
        <v>0.11</v>
      </c>
      <c r="C7552" s="24" t="s">
        <v>1228</v>
      </c>
      <c r="D7552" s="41">
        <f>D7537</f>
        <v>4.12</v>
      </c>
      <c r="E7552" s="31">
        <f t="shared" si="594"/>
        <v>0.45</v>
      </c>
      <c r="F7552" s="32"/>
    </row>
    <row r="7553" spans="1:6" ht="12.75" hidden="1" customHeight="1">
      <c r="A7553" s="12" t="s">
        <v>528</v>
      </c>
      <c r="B7553" s="30">
        <v>1.0999999999999999E-2</v>
      </c>
      <c r="C7553" s="24" t="s">
        <v>1228</v>
      </c>
      <c r="D7553" s="41">
        <f>Prec.!$C$251</f>
        <v>1110</v>
      </c>
      <c r="E7553" s="31">
        <f t="shared" si="594"/>
        <v>12.21</v>
      </c>
      <c r="F7553" s="32"/>
    </row>
    <row r="7554" spans="1:6" ht="12.75" hidden="1" customHeight="1">
      <c r="A7554" s="12" t="s">
        <v>876</v>
      </c>
      <c r="B7554" s="30">
        <v>0.1</v>
      </c>
      <c r="C7554" s="24" t="s">
        <v>1228</v>
      </c>
      <c r="D7554" s="41">
        <f>Prec.!$C$269</f>
        <v>315</v>
      </c>
      <c r="E7554" s="31">
        <f t="shared" si="594"/>
        <v>31.5</v>
      </c>
      <c r="F7554" s="32"/>
    </row>
    <row r="7555" spans="1:6" ht="12.75" hidden="1" customHeight="1">
      <c r="A7555" s="12" t="s">
        <v>629</v>
      </c>
      <c r="B7555" s="30">
        <v>0.1</v>
      </c>
      <c r="C7555" s="24" t="s">
        <v>1228</v>
      </c>
      <c r="D7555" s="41">
        <f>D7552</f>
        <v>4.12</v>
      </c>
      <c r="E7555" s="31">
        <f t="shared" si="594"/>
        <v>0.41</v>
      </c>
      <c r="F7555" s="32"/>
    </row>
    <row r="7556" spans="1:6" ht="12.75" hidden="1" customHeight="1">
      <c r="A7556" s="12" t="s">
        <v>1176</v>
      </c>
      <c r="B7556" s="30">
        <v>1</v>
      </c>
      <c r="C7556" s="24" t="s">
        <v>213</v>
      </c>
      <c r="D7556" s="41">
        <f>Prec.!$C$267</f>
        <v>9.92</v>
      </c>
      <c r="E7556" s="31">
        <f t="shared" si="594"/>
        <v>9.92</v>
      </c>
      <c r="F7556" s="32"/>
    </row>
    <row r="7557" spans="1:6" ht="12.75" hidden="1" customHeight="1">
      <c r="A7557" s="12" t="s">
        <v>1274</v>
      </c>
      <c r="B7557" s="30">
        <v>1</v>
      </c>
      <c r="C7557" s="24" t="s">
        <v>213</v>
      </c>
      <c r="D7557" s="41">
        <f>Prec.!$D$635</f>
        <v>0</v>
      </c>
      <c r="E7557" s="31">
        <f t="shared" si="594"/>
        <v>0</v>
      </c>
      <c r="F7557" s="32"/>
    </row>
    <row r="7558" spans="1:6" ht="12.75" hidden="1" customHeight="1">
      <c r="A7558" s="12" t="s">
        <v>1275</v>
      </c>
      <c r="B7558" s="30">
        <v>1</v>
      </c>
      <c r="C7558" s="24" t="s">
        <v>213</v>
      </c>
      <c r="D7558" s="41">
        <f>Prec.!$D$636</f>
        <v>0</v>
      </c>
      <c r="E7558" s="31">
        <f t="shared" si="594"/>
        <v>0</v>
      </c>
      <c r="F7558" s="32">
        <f>SUM(E7550:E7558)</f>
        <v>176.58999999999997</v>
      </c>
    </row>
    <row r="7559" spans="1:6" ht="12.75" hidden="1" customHeight="1">
      <c r="A7559" s="12"/>
      <c r="B7559" s="30"/>
      <c r="C7559" s="24"/>
      <c r="D7559" s="41"/>
      <c r="E7559" s="31"/>
      <c r="F7559" s="32"/>
    </row>
    <row r="7560" spans="1:6" ht="12.75" hidden="1" customHeight="1">
      <c r="A7560" s="13" t="s">
        <v>379</v>
      </c>
      <c r="B7560" s="30"/>
      <c r="C7560" s="24"/>
      <c r="D7560" s="35"/>
      <c r="E7560" s="31"/>
      <c r="F7560" s="32"/>
    </row>
    <row r="7561" spans="1:6" ht="12.75" hidden="1" customHeight="1">
      <c r="A7561" s="12" t="s">
        <v>380</v>
      </c>
      <c r="B7561" s="30">
        <v>0.11</v>
      </c>
      <c r="C7561" s="24" t="s">
        <v>1228</v>
      </c>
      <c r="D7561" s="41">
        <f>Prec.!$C$260</f>
        <v>1115</v>
      </c>
      <c r="E7561" s="31">
        <f t="shared" ref="E7561:E7568" si="595">ROUND(B7561*D7561,2)</f>
        <v>122.65</v>
      </c>
      <c r="F7561" s="32"/>
    </row>
    <row r="7562" spans="1:6" ht="12.75" hidden="1" customHeight="1">
      <c r="A7562" s="12" t="s">
        <v>545</v>
      </c>
      <c r="B7562" s="30">
        <v>0.11</v>
      </c>
      <c r="C7562" s="24" t="s">
        <v>1228</v>
      </c>
      <c r="D7562" s="41">
        <f>D7555</f>
        <v>4.12</v>
      </c>
      <c r="E7562" s="31">
        <f t="shared" si="595"/>
        <v>0.45</v>
      </c>
      <c r="F7562" s="32"/>
    </row>
    <row r="7563" spans="1:6" ht="12.75" hidden="1" customHeight="1">
      <c r="A7563" s="12" t="s">
        <v>528</v>
      </c>
      <c r="B7563" s="30">
        <v>1.0999999999999999E-2</v>
      </c>
      <c r="C7563" s="24" t="s">
        <v>1228</v>
      </c>
      <c r="D7563" s="41">
        <f>Prec.!$C$260</f>
        <v>1115</v>
      </c>
      <c r="E7563" s="31">
        <f t="shared" si="595"/>
        <v>12.27</v>
      </c>
      <c r="F7563" s="32"/>
    </row>
    <row r="7564" spans="1:6" ht="12.75" hidden="1" customHeight="1">
      <c r="A7564" s="12" t="s">
        <v>1276</v>
      </c>
      <c r="B7564" s="30">
        <v>0.2</v>
      </c>
      <c r="C7564" s="24" t="s">
        <v>1228</v>
      </c>
      <c r="D7564" s="41">
        <f>Prec.!$C$290</f>
        <v>293.10000000000002</v>
      </c>
      <c r="E7564" s="31">
        <f t="shared" si="595"/>
        <v>58.62</v>
      </c>
      <c r="F7564" s="32"/>
    </row>
    <row r="7565" spans="1:6" ht="12.75" hidden="1" customHeight="1">
      <c r="A7565" s="12" t="s">
        <v>465</v>
      </c>
      <c r="B7565" s="30">
        <v>0.2</v>
      </c>
      <c r="C7565" s="24" t="s">
        <v>1228</v>
      </c>
      <c r="D7565" s="41">
        <f>D7562</f>
        <v>4.12</v>
      </c>
      <c r="E7565" s="31">
        <f t="shared" si="595"/>
        <v>0.82</v>
      </c>
      <c r="F7565" s="32"/>
    </row>
    <row r="7566" spans="1:6" ht="12.75" hidden="1" customHeight="1">
      <c r="A7566" s="12" t="s">
        <v>1176</v>
      </c>
      <c r="B7566" s="30">
        <v>1</v>
      </c>
      <c r="C7566" s="24" t="s">
        <v>213</v>
      </c>
      <c r="D7566" s="41">
        <f>Prec.!$C$267</f>
        <v>9.92</v>
      </c>
      <c r="E7566" s="31">
        <f t="shared" si="595"/>
        <v>9.92</v>
      </c>
      <c r="F7566" s="32"/>
    </row>
    <row r="7567" spans="1:6" ht="12.75" hidden="1" customHeight="1">
      <c r="A7567" s="12" t="s">
        <v>1273</v>
      </c>
      <c r="B7567" s="30">
        <v>1</v>
      </c>
      <c r="C7567" s="24" t="s">
        <v>213</v>
      </c>
      <c r="D7567" s="41">
        <f>Prec.!$D$637</f>
        <v>0</v>
      </c>
      <c r="E7567" s="31">
        <f t="shared" si="595"/>
        <v>0</v>
      </c>
      <c r="F7567" s="32"/>
    </row>
    <row r="7568" spans="1:6" ht="12.75" hidden="1" customHeight="1">
      <c r="A7568" s="12" t="s">
        <v>1272</v>
      </c>
      <c r="B7568" s="30">
        <v>1</v>
      </c>
      <c r="C7568" s="24" t="s">
        <v>213</v>
      </c>
      <c r="D7568" s="41">
        <f>Prec.!$D$638</f>
        <v>0</v>
      </c>
      <c r="E7568" s="31">
        <f t="shared" si="595"/>
        <v>0</v>
      </c>
      <c r="F7568" s="32">
        <f>SUM(E7560:E7568)</f>
        <v>204.73</v>
      </c>
    </row>
    <row r="7569" spans="1:6" ht="12.75" hidden="1" customHeight="1">
      <c r="A7569" s="12"/>
      <c r="B7569" s="30"/>
      <c r="C7569" s="24"/>
      <c r="D7569" s="41"/>
      <c r="E7569" s="31"/>
      <c r="F7569" s="32"/>
    </row>
    <row r="7570" spans="1:6" ht="12.75" hidden="1" customHeight="1">
      <c r="A7570" s="13" t="s">
        <v>381</v>
      </c>
      <c r="B7570" s="30"/>
      <c r="C7570" s="24"/>
      <c r="D7570" s="35"/>
      <c r="E7570" s="31"/>
      <c r="F7570" s="32"/>
    </row>
    <row r="7571" spans="1:6" ht="12.75" hidden="1" customHeight="1">
      <c r="A7571" s="12" t="s">
        <v>1277</v>
      </c>
      <c r="B7571" s="30">
        <v>0.17</v>
      </c>
      <c r="C7571" s="24" t="s">
        <v>1228</v>
      </c>
      <c r="D7571" s="41">
        <f>Prec.!$C$246</f>
        <v>1140</v>
      </c>
      <c r="E7571" s="31">
        <f t="shared" ref="E7571:E7576" si="596">ROUND(B7571*D7571,2)</f>
        <v>193.8</v>
      </c>
      <c r="F7571" s="32"/>
    </row>
    <row r="7572" spans="1:6" ht="12.75" hidden="1" customHeight="1">
      <c r="A7572" s="12" t="s">
        <v>545</v>
      </c>
      <c r="B7572" s="30">
        <v>0.17</v>
      </c>
      <c r="C7572" s="24" t="s">
        <v>1228</v>
      </c>
      <c r="D7572" s="41">
        <f>D7562</f>
        <v>4.12</v>
      </c>
      <c r="E7572" s="31">
        <f t="shared" si="596"/>
        <v>0.7</v>
      </c>
      <c r="F7572" s="32"/>
    </row>
    <row r="7573" spans="1:6" ht="12.75" hidden="1" customHeight="1">
      <c r="A7573" s="12" t="s">
        <v>528</v>
      </c>
      <c r="B7573" s="30">
        <v>1.7000000000000001E-2</v>
      </c>
      <c r="C7573" s="24" t="s">
        <v>1228</v>
      </c>
      <c r="D7573" s="41">
        <f>Prec.!$C$246</f>
        <v>1140</v>
      </c>
      <c r="E7573" s="31">
        <f t="shared" si="596"/>
        <v>19.38</v>
      </c>
      <c r="F7573" s="32"/>
    </row>
    <row r="7574" spans="1:6" ht="12.75" hidden="1" customHeight="1">
      <c r="A7574" s="12" t="s">
        <v>1176</v>
      </c>
      <c r="B7574" s="30">
        <v>1</v>
      </c>
      <c r="C7574" s="24" t="s">
        <v>213</v>
      </c>
      <c r="D7574" s="41">
        <f>Prec.!$C$267</f>
        <v>9.92</v>
      </c>
      <c r="E7574" s="31">
        <f t="shared" si="596"/>
        <v>9.92</v>
      </c>
      <c r="F7574" s="32"/>
    </row>
    <row r="7575" spans="1:6" ht="12.75" hidden="1" customHeight="1">
      <c r="A7575" s="12" t="s">
        <v>1278</v>
      </c>
      <c r="B7575" s="30">
        <v>1</v>
      </c>
      <c r="C7575" s="24" t="s">
        <v>213</v>
      </c>
      <c r="D7575" s="41">
        <f>Prec.!$D$639</f>
        <v>0</v>
      </c>
      <c r="E7575" s="31">
        <f t="shared" si="596"/>
        <v>0</v>
      </c>
      <c r="F7575" s="32"/>
    </row>
    <row r="7576" spans="1:6" ht="12.75" hidden="1" customHeight="1">
      <c r="A7576" s="12" t="s">
        <v>378</v>
      </c>
      <c r="B7576" s="30">
        <v>1</v>
      </c>
      <c r="C7576" s="24" t="s">
        <v>213</v>
      </c>
      <c r="D7576" s="41">
        <f>Prec.!$D$640</f>
        <v>0</v>
      </c>
      <c r="E7576" s="31">
        <f t="shared" si="596"/>
        <v>0</v>
      </c>
      <c r="F7576" s="32">
        <f>SUM(E7570:E7576)</f>
        <v>223.79999999999998</v>
      </c>
    </row>
    <row r="7577" spans="1:6" ht="12.75" customHeight="1">
      <c r="A7577" s="12"/>
      <c r="B7577" s="14"/>
      <c r="C7577" s="24"/>
      <c r="D7577" s="35"/>
      <c r="E7577" s="31"/>
      <c r="F7577" s="32"/>
    </row>
    <row r="7578" spans="1:6" ht="12.75" customHeight="1">
      <c r="A7578" s="545" t="s">
        <v>1144</v>
      </c>
      <c r="B7578" s="546"/>
      <c r="C7578" s="547"/>
      <c r="D7578" s="548"/>
      <c r="E7578" s="552"/>
      <c r="F7578" s="553"/>
    </row>
    <row r="7579" spans="1:6" ht="12.75" customHeight="1">
      <c r="A7579" s="551" t="s">
        <v>219</v>
      </c>
      <c r="B7579" s="546">
        <v>0.14699999999999999</v>
      </c>
      <c r="C7579" s="547" t="s">
        <v>1228</v>
      </c>
      <c r="D7579" s="563">
        <f>Prec.!C254</f>
        <v>1540</v>
      </c>
      <c r="E7579" s="552">
        <f t="shared" ref="E7579:E7584" si="597">ROUND(B7579*D7579,2)</f>
        <v>226.38</v>
      </c>
      <c r="F7579" s="553"/>
    </row>
    <row r="7580" spans="1:6" ht="12.75" customHeight="1">
      <c r="A7580" s="551" t="s">
        <v>545</v>
      </c>
      <c r="B7580" s="546">
        <v>0.14699999999999999</v>
      </c>
      <c r="C7580" s="547" t="s">
        <v>1228</v>
      </c>
      <c r="D7580" s="563">
        <f>D7572</f>
        <v>4.12</v>
      </c>
      <c r="E7580" s="552">
        <f t="shared" si="597"/>
        <v>0.61</v>
      </c>
      <c r="F7580" s="553"/>
    </row>
    <row r="7581" spans="1:6" ht="12.75" customHeight="1">
      <c r="A7581" s="551" t="s">
        <v>528</v>
      </c>
      <c r="B7581" s="546">
        <v>1.4999999999999999E-2</v>
      </c>
      <c r="C7581" s="547" t="s">
        <v>1228</v>
      </c>
      <c r="D7581" s="563">
        <f>D7579</f>
        <v>1540</v>
      </c>
      <c r="E7581" s="552">
        <f t="shared" si="597"/>
        <v>23.1</v>
      </c>
      <c r="F7581" s="553"/>
    </row>
    <row r="7582" spans="1:6" ht="12.75" customHeight="1">
      <c r="A7582" s="551" t="s">
        <v>1176</v>
      </c>
      <c r="B7582" s="546">
        <v>1</v>
      </c>
      <c r="C7582" s="547" t="s">
        <v>213</v>
      </c>
      <c r="D7582" s="563">
        <f>Prec.!$C$267</f>
        <v>9.92</v>
      </c>
      <c r="E7582" s="552">
        <f t="shared" si="597"/>
        <v>9.92</v>
      </c>
      <c r="F7582" s="553"/>
    </row>
    <row r="7583" spans="1:6" ht="12.75" customHeight="1">
      <c r="A7583" s="551" t="s">
        <v>1273</v>
      </c>
      <c r="B7583" s="546">
        <v>1</v>
      </c>
      <c r="C7583" s="547" t="s">
        <v>213</v>
      </c>
      <c r="D7583" s="563">
        <f>D7496</f>
        <v>32.56</v>
      </c>
      <c r="E7583" s="552">
        <f t="shared" si="597"/>
        <v>32.56</v>
      </c>
      <c r="F7583" s="553"/>
    </row>
    <row r="7584" spans="1:6" ht="12.75" customHeight="1">
      <c r="A7584" s="551" t="s">
        <v>1272</v>
      </c>
      <c r="B7584" s="546">
        <v>1</v>
      </c>
      <c r="C7584" s="547" t="s">
        <v>213</v>
      </c>
      <c r="D7584" s="563">
        <f>D7497</f>
        <v>21.7</v>
      </c>
      <c r="E7584" s="552">
        <f t="shared" si="597"/>
        <v>21.7</v>
      </c>
      <c r="F7584" s="553">
        <f>SUM(E7578:E7584)</f>
        <v>314.27</v>
      </c>
    </row>
    <row r="7585" spans="1:13" ht="12.75" customHeight="1">
      <c r="A7585" s="12"/>
      <c r="B7585" s="30"/>
      <c r="C7585" s="24"/>
      <c r="D7585" s="41"/>
      <c r="E7585" s="31"/>
      <c r="F7585" s="32"/>
    </row>
    <row r="7586" spans="1:13" ht="12.75" customHeight="1">
      <c r="A7586" s="13" t="s">
        <v>484</v>
      </c>
      <c r="B7586" s="30"/>
      <c r="C7586" s="24"/>
      <c r="D7586" s="35"/>
      <c r="E7586" s="31"/>
      <c r="F7586" s="32"/>
    </row>
    <row r="7587" spans="1:13" ht="12.75" customHeight="1">
      <c r="A7587" s="12" t="s">
        <v>483</v>
      </c>
      <c r="B7587" s="30">
        <v>0.14699999999999999</v>
      </c>
      <c r="C7587" s="24" t="s">
        <v>1228</v>
      </c>
      <c r="D7587" s="41">
        <f>Prec.!$C$261</f>
        <v>842</v>
      </c>
      <c r="E7587" s="31">
        <f t="shared" ref="E7587:E7596" si="598">ROUND(B7587*D7587,2)</f>
        <v>123.77</v>
      </c>
      <c r="F7587" s="32"/>
    </row>
    <row r="7588" spans="1:13" ht="12.75" customHeight="1">
      <c r="A7588" s="12" t="s">
        <v>545</v>
      </c>
      <c r="B7588" s="30">
        <v>0.14699999999999999</v>
      </c>
      <c r="C7588" s="24" t="s">
        <v>1228</v>
      </c>
      <c r="D7588" s="41">
        <f>D7580</f>
        <v>4.12</v>
      </c>
      <c r="E7588" s="31">
        <f t="shared" si="598"/>
        <v>0.61</v>
      </c>
      <c r="F7588" s="32"/>
    </row>
    <row r="7589" spans="1:13" ht="12.75" customHeight="1">
      <c r="A7589" s="12" t="s">
        <v>528</v>
      </c>
      <c r="B7589" s="30">
        <v>1.4999999999999999E-2</v>
      </c>
      <c r="C7589" s="24" t="s">
        <v>1228</v>
      </c>
      <c r="D7589" s="41">
        <f>Prec.!$C$261</f>
        <v>842</v>
      </c>
      <c r="E7589" s="31">
        <f t="shared" si="598"/>
        <v>12.63</v>
      </c>
      <c r="F7589" s="32"/>
    </row>
    <row r="7590" spans="1:13" ht="12.75" customHeight="1">
      <c r="A7590" s="12" t="s">
        <v>984</v>
      </c>
      <c r="B7590" s="30">
        <f>B7587*2</f>
        <v>0.29399999999999998</v>
      </c>
      <c r="C7590" s="24" t="s">
        <v>1228</v>
      </c>
      <c r="D7590" s="41">
        <f>Prec.!C271</f>
        <v>330</v>
      </c>
      <c r="E7590" s="31">
        <f t="shared" si="598"/>
        <v>97.02</v>
      </c>
      <c r="F7590" s="32"/>
    </row>
    <row r="7591" spans="1:13" ht="12.75" customHeight="1">
      <c r="A7591" s="12" t="s">
        <v>532</v>
      </c>
      <c r="B7591" s="30">
        <v>0.29399999999999998</v>
      </c>
      <c r="C7591" s="24" t="s">
        <v>1228</v>
      </c>
      <c r="D7591" s="41">
        <f>D7588</f>
        <v>4.12</v>
      </c>
      <c r="E7591" s="31">
        <f t="shared" si="598"/>
        <v>1.21</v>
      </c>
      <c r="F7591" s="32"/>
    </row>
    <row r="7592" spans="1:13" ht="12.75" customHeight="1">
      <c r="A7592" s="12" t="s">
        <v>1075</v>
      </c>
      <c r="B7592" s="30">
        <v>0.14699999999999999</v>
      </c>
      <c r="C7592" s="24" t="s">
        <v>1228</v>
      </c>
      <c r="D7592" s="41">
        <f>Prec.!$C$272</f>
        <v>900</v>
      </c>
      <c r="E7592" s="31">
        <f t="shared" si="598"/>
        <v>132.30000000000001</v>
      </c>
      <c r="F7592" s="32"/>
    </row>
    <row r="7593" spans="1:13" ht="12.75" customHeight="1">
      <c r="A7593" s="12" t="s">
        <v>982</v>
      </c>
      <c r="B7593" s="30">
        <v>0.14699999999999999</v>
      </c>
      <c r="C7593" s="24" t="s">
        <v>1228</v>
      </c>
      <c r="D7593" s="41">
        <f>D7591</f>
        <v>4.12</v>
      </c>
      <c r="E7593" s="31">
        <f t="shared" si="598"/>
        <v>0.61</v>
      </c>
      <c r="F7593" s="32"/>
    </row>
    <row r="7594" spans="1:13" ht="12.75" customHeight="1">
      <c r="A7594" s="12" t="s">
        <v>1176</v>
      </c>
      <c r="B7594" s="30">
        <v>1</v>
      </c>
      <c r="C7594" s="24" t="s">
        <v>213</v>
      </c>
      <c r="D7594" s="41">
        <f>D7582</f>
        <v>9.92</v>
      </c>
      <c r="E7594" s="31">
        <f t="shared" si="598"/>
        <v>9.92</v>
      </c>
      <c r="F7594" s="32"/>
    </row>
    <row r="7595" spans="1:13" ht="12.75" customHeight="1">
      <c r="A7595" s="12" t="s">
        <v>1138</v>
      </c>
      <c r="B7595" s="30">
        <v>1</v>
      </c>
      <c r="C7595" s="24" t="s">
        <v>213</v>
      </c>
      <c r="D7595" s="41">
        <f>Prec.!$D$641</f>
        <v>0</v>
      </c>
      <c r="E7595" s="31">
        <f t="shared" si="598"/>
        <v>0</v>
      </c>
      <c r="F7595" s="32"/>
    </row>
    <row r="7596" spans="1:13" ht="12.75" customHeight="1">
      <c r="A7596" s="12" t="s">
        <v>482</v>
      </c>
      <c r="B7596" s="30">
        <v>1</v>
      </c>
      <c r="C7596" s="24" t="s">
        <v>213</v>
      </c>
      <c r="D7596" s="41">
        <f>Prec.!$D$642</f>
        <v>0</v>
      </c>
      <c r="E7596" s="31">
        <f t="shared" si="598"/>
        <v>0</v>
      </c>
      <c r="F7596" s="32">
        <f>SUM(E7586:E7596)</f>
        <v>378.07</v>
      </c>
    </row>
    <row r="7597" spans="1:13" ht="12.75" customHeight="1">
      <c r="A7597" s="12"/>
      <c r="B7597" s="30"/>
      <c r="C7597" s="24"/>
      <c r="D7597" s="41"/>
      <c r="E7597" s="31"/>
      <c r="F7597" s="32"/>
    </row>
    <row r="7598" spans="1:13" s="166" customFormat="1" ht="12.75" customHeight="1">
      <c r="A7598" s="12"/>
      <c r="B7598" s="30"/>
      <c r="C7598" s="24"/>
      <c r="D7598" s="41"/>
      <c r="E7598" s="31"/>
      <c r="F7598" s="32"/>
      <c r="G7598" s="15"/>
      <c r="H7598" s="21"/>
      <c r="I7598" s="15"/>
      <c r="J7598" s="15"/>
      <c r="K7598" s="15"/>
      <c r="L7598" s="21"/>
      <c r="M7598" s="15"/>
    </row>
    <row r="7599" spans="1:13" s="166" customFormat="1" ht="12.75" customHeight="1">
      <c r="A7599" s="12"/>
      <c r="B7599" s="30"/>
      <c r="C7599" s="24"/>
      <c r="D7599" s="41"/>
      <c r="E7599" s="31"/>
      <c r="F7599" s="32"/>
      <c r="G7599" s="15"/>
      <c r="H7599" s="21"/>
      <c r="I7599" s="15"/>
      <c r="J7599" s="15"/>
      <c r="K7599" s="15"/>
      <c r="L7599" s="21"/>
      <c r="M7599" s="15"/>
    </row>
    <row r="7600" spans="1:13" ht="12.75" customHeight="1">
      <c r="A7600" s="13" t="s">
        <v>485</v>
      </c>
      <c r="B7600" s="30"/>
      <c r="C7600" s="24"/>
      <c r="D7600" s="35"/>
      <c r="E7600" s="31"/>
      <c r="F7600" s="32"/>
    </row>
    <row r="7601" spans="1:6" ht="12.75" customHeight="1">
      <c r="A7601" s="12" t="s">
        <v>483</v>
      </c>
      <c r="B7601" s="30">
        <v>0.14699999999999999</v>
      </c>
      <c r="C7601" s="24" t="s">
        <v>1228</v>
      </c>
      <c r="D7601" s="41">
        <f>Prec.!$C$261</f>
        <v>842</v>
      </c>
      <c r="E7601" s="31">
        <f t="shared" ref="E7601:E7608" si="599">ROUND(B7601*D7601,2)</f>
        <v>123.77</v>
      </c>
      <c r="F7601" s="32"/>
    </row>
    <row r="7602" spans="1:6" ht="12.75" customHeight="1">
      <c r="A7602" s="12" t="s">
        <v>545</v>
      </c>
      <c r="B7602" s="30">
        <v>0.14699999999999999</v>
      </c>
      <c r="C7602" s="24" t="s">
        <v>1228</v>
      </c>
      <c r="D7602" s="41">
        <f>D7591</f>
        <v>4.12</v>
      </c>
      <c r="E7602" s="31">
        <f t="shared" si="599"/>
        <v>0.61</v>
      </c>
      <c r="F7602" s="32"/>
    </row>
    <row r="7603" spans="1:6" ht="12.75" customHeight="1">
      <c r="A7603" s="12" t="s">
        <v>528</v>
      </c>
      <c r="B7603" s="30">
        <v>1.4999999999999999E-2</v>
      </c>
      <c r="C7603" s="24" t="s">
        <v>1228</v>
      </c>
      <c r="D7603" s="41">
        <f>Prec.!$C$261</f>
        <v>842</v>
      </c>
      <c r="E7603" s="31">
        <f t="shared" si="599"/>
        <v>12.63</v>
      </c>
      <c r="F7603" s="32"/>
    </row>
    <row r="7604" spans="1:6" ht="12.75" customHeight="1">
      <c r="A7604" s="12" t="s">
        <v>984</v>
      </c>
      <c r="B7604" s="30">
        <f>B7601*2</f>
        <v>0.29399999999999998</v>
      </c>
      <c r="C7604" s="24" t="s">
        <v>1228</v>
      </c>
      <c r="D7604" s="41">
        <f>D7590</f>
        <v>330</v>
      </c>
      <c r="E7604" s="31">
        <f t="shared" si="599"/>
        <v>97.02</v>
      </c>
      <c r="F7604" s="32"/>
    </row>
    <row r="7605" spans="1:6" ht="12.75" customHeight="1">
      <c r="A7605" s="12" t="s">
        <v>532</v>
      </c>
      <c r="B7605" s="30">
        <v>0.29399999999999998</v>
      </c>
      <c r="C7605" s="24" t="s">
        <v>1228</v>
      </c>
      <c r="D7605" s="41">
        <f>D7602</f>
        <v>4.12</v>
      </c>
      <c r="E7605" s="31">
        <f t="shared" si="599"/>
        <v>1.21</v>
      </c>
      <c r="F7605" s="32"/>
    </row>
    <row r="7606" spans="1:6" ht="12.75" customHeight="1">
      <c r="A7606" s="12" t="s">
        <v>1176</v>
      </c>
      <c r="B7606" s="30">
        <v>1</v>
      </c>
      <c r="C7606" s="24" t="s">
        <v>213</v>
      </c>
      <c r="D7606" s="41">
        <f>Prec.!C267</f>
        <v>9.92</v>
      </c>
      <c r="E7606" s="31">
        <f t="shared" si="599"/>
        <v>9.92</v>
      </c>
      <c r="F7606" s="32"/>
    </row>
    <row r="7607" spans="1:6" ht="12.75" customHeight="1">
      <c r="A7607" s="12" t="s">
        <v>481</v>
      </c>
      <c r="B7607" s="30">
        <v>1</v>
      </c>
      <c r="C7607" s="24" t="s">
        <v>213</v>
      </c>
      <c r="D7607" s="41">
        <f>Prec.!$D$641</f>
        <v>0</v>
      </c>
      <c r="E7607" s="31">
        <f t="shared" si="599"/>
        <v>0</v>
      </c>
      <c r="F7607" s="32"/>
    </row>
    <row r="7608" spans="1:6" ht="12.75" customHeight="1">
      <c r="A7608" s="12" t="s">
        <v>482</v>
      </c>
      <c r="B7608" s="30">
        <v>1</v>
      </c>
      <c r="C7608" s="24" t="s">
        <v>213</v>
      </c>
      <c r="D7608" s="41">
        <f>Prec.!$D$642</f>
        <v>0</v>
      </c>
      <c r="E7608" s="31">
        <f t="shared" si="599"/>
        <v>0</v>
      </c>
      <c r="F7608" s="32">
        <f>SUM(E7600:E7608)</f>
        <v>245.15999999999997</v>
      </c>
    </row>
    <row r="7609" spans="1:6" ht="7.5" customHeight="1">
      <c r="A7609" s="12"/>
      <c r="B7609" s="30"/>
      <c r="C7609" s="24"/>
      <c r="D7609" s="41"/>
      <c r="E7609" s="31"/>
      <c r="F7609" s="32"/>
    </row>
    <row r="7610" spans="1:6" ht="12.75" customHeight="1">
      <c r="A7610" s="13" t="s">
        <v>534</v>
      </c>
      <c r="B7610" s="30"/>
      <c r="C7610" s="24"/>
      <c r="D7610" s="41"/>
      <c r="E7610" s="31"/>
      <c r="F7610" s="32"/>
    </row>
    <row r="7611" spans="1:6" ht="12.75" customHeight="1">
      <c r="A7611" s="12" t="s">
        <v>535</v>
      </c>
      <c r="B7611" s="30">
        <v>0.14699999999999999</v>
      </c>
      <c r="C7611" s="24" t="s">
        <v>1228</v>
      </c>
      <c r="D7611" s="41">
        <f>Prec.!C273</f>
        <v>575</v>
      </c>
      <c r="E7611" s="31">
        <f>ROUND(B7611*D7611,2)</f>
        <v>84.53</v>
      </c>
      <c r="F7611" s="32"/>
    </row>
    <row r="7612" spans="1:6" ht="12.75" customHeight="1">
      <c r="A7612" s="12" t="s">
        <v>545</v>
      </c>
      <c r="B7612" s="30">
        <v>0.14699999999999999</v>
      </c>
      <c r="C7612" s="24" t="s">
        <v>1228</v>
      </c>
      <c r="D7612" s="41">
        <f>Prec.!D654</f>
        <v>4.12</v>
      </c>
      <c r="E7612" s="31">
        <f>ROUND(B7612*D7612,2)</f>
        <v>0.61</v>
      </c>
      <c r="F7612" s="32"/>
    </row>
    <row r="7613" spans="1:6" ht="12.75" customHeight="1">
      <c r="A7613" s="12" t="s">
        <v>538</v>
      </c>
      <c r="B7613" s="30">
        <v>1.4999999999999999E-2</v>
      </c>
      <c r="C7613" s="24" t="s">
        <v>1228</v>
      </c>
      <c r="D7613" s="41">
        <f>D7611</f>
        <v>575</v>
      </c>
      <c r="E7613" s="31">
        <f>ROUND(B7613*D7613,2)</f>
        <v>8.6300000000000008</v>
      </c>
      <c r="F7613" s="32"/>
    </row>
    <row r="7614" spans="1:6" ht="12.75" customHeight="1">
      <c r="A7614" s="12" t="s">
        <v>659</v>
      </c>
      <c r="B7614" s="30">
        <f>B7611*2</f>
        <v>0.29399999999999998</v>
      </c>
      <c r="C7614" s="24" t="s">
        <v>1228</v>
      </c>
      <c r="D7614" s="41">
        <f>Prec.!C270</f>
        <v>330</v>
      </c>
      <c r="E7614" s="31">
        <f t="shared" ref="E7614:E7620" si="600">ROUND(B7614*D7614,2)</f>
        <v>97.02</v>
      </c>
      <c r="F7614" s="32"/>
    </row>
    <row r="7615" spans="1:6" ht="12.75" customHeight="1">
      <c r="A7615" s="12" t="s">
        <v>532</v>
      </c>
      <c r="B7615" s="30">
        <v>0.29399999999999998</v>
      </c>
      <c r="C7615" s="24" t="s">
        <v>1228</v>
      </c>
      <c r="D7615" s="41">
        <f>D7612</f>
        <v>4.12</v>
      </c>
      <c r="E7615" s="31">
        <f t="shared" si="600"/>
        <v>1.21</v>
      </c>
      <c r="F7615" s="32"/>
    </row>
    <row r="7616" spans="1:6" ht="12.75" customHeight="1">
      <c r="A7616" s="12" t="s">
        <v>1075</v>
      </c>
      <c r="B7616" s="30">
        <v>0.14699999999999999</v>
      </c>
      <c r="C7616" s="24" t="s">
        <v>1228</v>
      </c>
      <c r="D7616" s="41">
        <f>Prec.!C272</f>
        <v>900</v>
      </c>
      <c r="E7616" s="31">
        <f t="shared" si="600"/>
        <v>132.30000000000001</v>
      </c>
      <c r="F7616" s="32"/>
    </row>
    <row r="7617" spans="1:6" ht="12.75" customHeight="1">
      <c r="A7617" s="12" t="s">
        <v>628</v>
      </c>
      <c r="B7617" s="30">
        <v>0.14699999999999999</v>
      </c>
      <c r="C7617" s="24" t="s">
        <v>1228</v>
      </c>
      <c r="D7617" s="41">
        <f>D7615</f>
        <v>4.12</v>
      </c>
      <c r="E7617" s="31">
        <f t="shared" si="600"/>
        <v>0.61</v>
      </c>
      <c r="F7617" s="32"/>
    </row>
    <row r="7618" spans="1:6" ht="12.75" customHeight="1">
      <c r="A7618" s="12" t="s">
        <v>1176</v>
      </c>
      <c r="B7618" s="30">
        <v>1</v>
      </c>
      <c r="C7618" s="24" t="s">
        <v>213</v>
      </c>
      <c r="D7618" s="41">
        <f>D7606</f>
        <v>9.92</v>
      </c>
      <c r="E7618" s="31">
        <f t="shared" si="600"/>
        <v>9.92</v>
      </c>
      <c r="F7618" s="32"/>
    </row>
    <row r="7619" spans="1:6" ht="12.75" customHeight="1">
      <c r="A7619" s="12" t="s">
        <v>536</v>
      </c>
      <c r="B7619" s="30">
        <v>1</v>
      </c>
      <c r="C7619" s="24" t="s">
        <v>213</v>
      </c>
      <c r="D7619" s="41">
        <f>D7607</f>
        <v>0</v>
      </c>
      <c r="E7619" s="31">
        <f t="shared" si="600"/>
        <v>0</v>
      </c>
      <c r="F7619" s="32"/>
    </row>
    <row r="7620" spans="1:6" ht="12.75" customHeight="1">
      <c r="A7620" s="12" t="s">
        <v>537</v>
      </c>
      <c r="B7620" s="30">
        <v>1</v>
      </c>
      <c r="C7620" s="24" t="s">
        <v>213</v>
      </c>
      <c r="D7620" s="41">
        <f>D7607</f>
        <v>0</v>
      </c>
      <c r="E7620" s="31">
        <f t="shared" si="600"/>
        <v>0</v>
      </c>
      <c r="F7620" s="32">
        <f>SUM(E7611:E7620)</f>
        <v>334.83000000000004</v>
      </c>
    </row>
    <row r="7621" spans="1:6" ht="6" customHeight="1">
      <c r="A7621" s="12"/>
      <c r="B7621" s="30"/>
      <c r="C7621" s="24"/>
      <c r="D7621" s="41"/>
      <c r="E7621" s="31"/>
      <c r="F7621" s="32"/>
    </row>
    <row r="7622" spans="1:6" ht="12.75" customHeight="1">
      <c r="A7622" s="13" t="s">
        <v>1140</v>
      </c>
      <c r="B7622" s="30"/>
      <c r="C7622" s="24"/>
      <c r="D7622" s="41"/>
      <c r="E7622" s="31"/>
      <c r="F7622" s="32"/>
    </row>
    <row r="7623" spans="1:6" ht="12.75" customHeight="1">
      <c r="A7623" s="12" t="s">
        <v>535</v>
      </c>
      <c r="B7623" s="30">
        <v>0.14699999999999999</v>
      </c>
      <c r="C7623" s="24" t="s">
        <v>1228</v>
      </c>
      <c r="D7623" s="41">
        <f>D7611</f>
        <v>575</v>
      </c>
      <c r="E7623" s="31">
        <f>ROUND(B7623*D7623,2)</f>
        <v>84.53</v>
      </c>
      <c r="F7623" s="32"/>
    </row>
    <row r="7624" spans="1:6" ht="12.75" customHeight="1">
      <c r="A7624" s="12" t="s">
        <v>1074</v>
      </c>
      <c r="B7624" s="30">
        <v>0.14699999999999999</v>
      </c>
      <c r="C7624" s="24" t="s">
        <v>1228</v>
      </c>
      <c r="D7624" s="41">
        <f>D7612</f>
        <v>4.12</v>
      </c>
      <c r="E7624" s="31">
        <f>ROUND(B7624*D7624,2)</f>
        <v>0.61</v>
      </c>
      <c r="F7624" s="32"/>
    </row>
    <row r="7625" spans="1:6" ht="12.75" customHeight="1">
      <c r="A7625" s="12" t="s">
        <v>1141</v>
      </c>
      <c r="B7625" s="30">
        <v>0.5</v>
      </c>
      <c r="C7625" s="24" t="s">
        <v>1142</v>
      </c>
      <c r="D7625" s="41">
        <f>Prec.!C274</f>
        <v>210</v>
      </c>
      <c r="E7625" s="31">
        <f>ROUND(B7625*D7625,2)</f>
        <v>105</v>
      </c>
      <c r="F7625" s="32"/>
    </row>
    <row r="7626" spans="1:6" ht="12.75" customHeight="1">
      <c r="A7626" s="12" t="s">
        <v>538</v>
      </c>
      <c r="B7626" s="30">
        <v>1.4999999999999999E-2</v>
      </c>
      <c r="C7626" s="24" t="s">
        <v>1228</v>
      </c>
      <c r="D7626" s="41">
        <f>D7623</f>
        <v>575</v>
      </c>
      <c r="E7626" s="31">
        <f>ROUND(B7626*D7626,2)</f>
        <v>8.6300000000000008</v>
      </c>
      <c r="F7626" s="32"/>
    </row>
    <row r="7627" spans="1:6" ht="12.75" customHeight="1">
      <c r="A7627" s="12" t="s">
        <v>659</v>
      </c>
      <c r="B7627" s="30">
        <f>B7623*2</f>
        <v>0.29399999999999998</v>
      </c>
      <c r="C7627" s="24" t="s">
        <v>1228</v>
      </c>
      <c r="D7627" s="41">
        <f>D7614</f>
        <v>330</v>
      </c>
      <c r="E7627" s="31">
        <f t="shared" ref="E7627:E7633" si="601">ROUND(B7627*D7627,2)</f>
        <v>97.02</v>
      </c>
      <c r="F7627" s="32"/>
    </row>
    <row r="7628" spans="1:6" ht="12.75" customHeight="1">
      <c r="A7628" s="12" t="s">
        <v>532</v>
      </c>
      <c r="B7628" s="30">
        <v>0.29399999999999998</v>
      </c>
      <c r="C7628" s="24" t="s">
        <v>1228</v>
      </c>
      <c r="D7628" s="41">
        <f>D7624</f>
        <v>4.12</v>
      </c>
      <c r="E7628" s="31">
        <f t="shared" si="601"/>
        <v>1.21</v>
      </c>
      <c r="F7628" s="32"/>
    </row>
    <row r="7629" spans="1:6" ht="12.75" customHeight="1">
      <c r="A7629" s="12" t="s">
        <v>1075</v>
      </c>
      <c r="B7629" s="30">
        <v>0.14699999999999999</v>
      </c>
      <c r="C7629" s="24" t="s">
        <v>1228</v>
      </c>
      <c r="D7629" s="41">
        <f>D7616</f>
        <v>900</v>
      </c>
      <c r="E7629" s="31">
        <f t="shared" si="601"/>
        <v>132.30000000000001</v>
      </c>
      <c r="F7629" s="32"/>
    </row>
    <row r="7630" spans="1:6" ht="12.75" customHeight="1">
      <c r="A7630" s="12" t="s">
        <v>660</v>
      </c>
      <c r="B7630" s="30">
        <v>0.14699999999999999</v>
      </c>
      <c r="C7630" s="24" t="s">
        <v>1228</v>
      </c>
      <c r="D7630" s="41">
        <f>D7628</f>
        <v>4.12</v>
      </c>
      <c r="E7630" s="31">
        <f t="shared" si="601"/>
        <v>0.61</v>
      </c>
      <c r="F7630" s="32"/>
    </row>
    <row r="7631" spans="1:6" ht="12.75" customHeight="1">
      <c r="A7631" s="12" t="s">
        <v>1176</v>
      </c>
      <c r="B7631" s="30">
        <v>1</v>
      </c>
      <c r="C7631" s="24" t="s">
        <v>213</v>
      </c>
      <c r="D7631" s="41">
        <f>D7618</f>
        <v>9.92</v>
      </c>
      <c r="E7631" s="31">
        <f t="shared" si="601"/>
        <v>9.92</v>
      </c>
      <c r="F7631" s="32"/>
    </row>
    <row r="7632" spans="1:6" ht="12.75" customHeight="1">
      <c r="A7632" s="12" t="s">
        <v>536</v>
      </c>
      <c r="B7632" s="30">
        <v>1</v>
      </c>
      <c r="C7632" s="24" t="s">
        <v>213</v>
      </c>
      <c r="D7632" s="41">
        <f>D7619</f>
        <v>0</v>
      </c>
      <c r="E7632" s="31">
        <f t="shared" si="601"/>
        <v>0</v>
      </c>
      <c r="F7632" s="32"/>
    </row>
    <row r="7633" spans="1:13" ht="12.75" customHeight="1">
      <c r="A7633" s="12" t="s">
        <v>537</v>
      </c>
      <c r="B7633" s="30">
        <v>1</v>
      </c>
      <c r="C7633" s="24" t="s">
        <v>213</v>
      </c>
      <c r="D7633" s="41">
        <f>D7619</f>
        <v>0</v>
      </c>
      <c r="E7633" s="31">
        <f t="shared" si="601"/>
        <v>0</v>
      </c>
      <c r="F7633" s="32">
        <f>SUM(E7623:E7633)</f>
        <v>439.83</v>
      </c>
    </row>
    <row r="7634" spans="1:13" ht="8.25" customHeight="1">
      <c r="D7634" s="36"/>
    </row>
    <row r="7635" spans="1:13" ht="12.75" customHeight="1">
      <c r="A7635" s="23" t="s">
        <v>745</v>
      </c>
      <c r="B7635" s="7"/>
    </row>
    <row r="7636" spans="1:13" ht="7.5" customHeight="1">
      <c r="B7636" s="7"/>
    </row>
    <row r="7637" spans="1:13" ht="12.75" customHeight="1">
      <c r="A7637" s="13" t="s">
        <v>527</v>
      </c>
      <c r="B7637" s="30"/>
      <c r="C7637" s="24"/>
      <c r="D7637" s="35"/>
      <c r="E7637" s="31"/>
      <c r="F7637" s="32"/>
    </row>
    <row r="7638" spans="1:13" ht="12.75" customHeight="1">
      <c r="A7638" s="12" t="s">
        <v>894</v>
      </c>
      <c r="B7638" s="30">
        <v>0.11</v>
      </c>
      <c r="C7638" s="24" t="s">
        <v>1228</v>
      </c>
      <c r="D7638" s="41">
        <f>Prec.!$C$249</f>
        <v>325</v>
      </c>
      <c r="E7638" s="31">
        <f t="shared" ref="E7638:E7643" si="602">ROUND(B7638*D7638,2)</f>
        <v>35.75</v>
      </c>
      <c r="F7638" s="32"/>
    </row>
    <row r="7639" spans="1:13" ht="12.75" customHeight="1">
      <c r="A7639" s="12" t="s">
        <v>545</v>
      </c>
      <c r="B7639" s="30">
        <v>0.11</v>
      </c>
      <c r="C7639" s="24" t="s">
        <v>1228</v>
      </c>
      <c r="D7639" s="41">
        <f>Prec.!D655</f>
        <v>5.36</v>
      </c>
      <c r="E7639" s="31">
        <f t="shared" si="602"/>
        <v>0.59</v>
      </c>
      <c r="F7639" s="32"/>
    </row>
    <row r="7640" spans="1:13" ht="12.75" customHeight="1">
      <c r="A7640" s="12" t="s">
        <v>528</v>
      </c>
      <c r="B7640" s="30">
        <v>1.0999999999999999E-2</v>
      </c>
      <c r="C7640" s="24" t="s">
        <v>1228</v>
      </c>
      <c r="D7640" s="41">
        <f>Prec.!$C$249</f>
        <v>325</v>
      </c>
      <c r="E7640" s="31">
        <f t="shared" si="602"/>
        <v>3.58</v>
      </c>
      <c r="F7640" s="32"/>
    </row>
    <row r="7641" spans="1:13" ht="12.75" customHeight="1">
      <c r="A7641" s="12" t="s">
        <v>1176</v>
      </c>
      <c r="B7641" s="30">
        <v>1</v>
      </c>
      <c r="C7641" s="24" t="s">
        <v>213</v>
      </c>
      <c r="D7641" s="41">
        <f>Prec.!$C$267</f>
        <v>9.92</v>
      </c>
      <c r="E7641" s="31">
        <f t="shared" si="602"/>
        <v>9.92</v>
      </c>
      <c r="F7641" s="32"/>
    </row>
    <row r="7642" spans="1:13" ht="12.75" customHeight="1">
      <c r="A7642" s="12" t="s">
        <v>257</v>
      </c>
      <c r="B7642" s="30">
        <v>1</v>
      </c>
      <c r="C7642" s="24" t="s">
        <v>213</v>
      </c>
      <c r="D7642" s="41">
        <f>Prec.!$D$635</f>
        <v>0</v>
      </c>
      <c r="E7642" s="31">
        <f t="shared" si="602"/>
        <v>0</v>
      </c>
      <c r="F7642" s="32"/>
    </row>
    <row r="7643" spans="1:13" ht="12.75" customHeight="1">
      <c r="A7643" s="12" t="s">
        <v>560</v>
      </c>
      <c r="B7643" s="30">
        <v>1</v>
      </c>
      <c r="C7643" s="24" t="s">
        <v>213</v>
      </c>
      <c r="D7643" s="41">
        <f>Prec.!$D$636</f>
        <v>0</v>
      </c>
      <c r="E7643" s="31">
        <f t="shared" si="602"/>
        <v>0</v>
      </c>
      <c r="F7643" s="32">
        <f>SUM(E7637:E7643)</f>
        <v>49.84</v>
      </c>
    </row>
    <row r="7644" spans="1:13" ht="12.75" customHeight="1">
      <c r="B7644" s="7"/>
    </row>
    <row r="7645" spans="1:13" s="166" customFormat="1" ht="12.75" customHeight="1">
      <c r="A7645" s="13" t="s">
        <v>527</v>
      </c>
      <c r="B7645" s="30"/>
      <c r="C7645" s="24"/>
      <c r="D7645" s="35"/>
      <c r="E7645" s="31"/>
      <c r="F7645" s="32"/>
      <c r="G7645" s="15"/>
      <c r="H7645" s="21"/>
      <c r="I7645" s="15"/>
      <c r="J7645" s="15"/>
      <c r="K7645" s="15"/>
      <c r="L7645" s="21"/>
      <c r="M7645" s="15"/>
    </row>
    <row r="7646" spans="1:13" s="166" customFormat="1" ht="12.75" customHeight="1">
      <c r="A7646" s="12" t="s">
        <v>1946</v>
      </c>
      <c r="B7646" s="30">
        <v>0.08</v>
      </c>
      <c r="C7646" s="24" t="s">
        <v>1228</v>
      </c>
      <c r="D7646" s="41">
        <f>D7103</f>
        <v>540.09</v>
      </c>
      <c r="E7646" s="31">
        <f t="shared" ref="E7646:E7651" si="603">ROUND(B7646*D7646,2)</f>
        <v>43.21</v>
      </c>
      <c r="F7646" s="32"/>
      <c r="G7646" s="15"/>
      <c r="H7646" s="21"/>
      <c r="I7646" s="15"/>
      <c r="J7646" s="15"/>
      <c r="K7646" s="15"/>
      <c r="L7646" s="21"/>
      <c r="M7646" s="15"/>
    </row>
    <row r="7647" spans="1:13" s="166" customFormat="1" ht="12.75" customHeight="1">
      <c r="A7647" s="12" t="s">
        <v>545</v>
      </c>
      <c r="B7647" s="30">
        <v>0.08</v>
      </c>
      <c r="C7647" s="24" t="s">
        <v>1228</v>
      </c>
      <c r="D7647" s="41">
        <f>D7639</f>
        <v>5.36</v>
      </c>
      <c r="E7647" s="31">
        <f t="shared" si="603"/>
        <v>0.43</v>
      </c>
      <c r="F7647" s="32"/>
      <c r="G7647" s="15"/>
      <c r="H7647" s="21"/>
      <c r="I7647" s="15"/>
      <c r="J7647" s="15"/>
      <c r="K7647" s="15"/>
      <c r="L7647" s="21"/>
      <c r="M7647" s="15"/>
    </row>
    <row r="7648" spans="1:13" s="166" customFormat="1" ht="12.75" customHeight="1">
      <c r="A7648" s="12" t="s">
        <v>528</v>
      </c>
      <c r="B7648" s="30">
        <v>8.0000000000000002E-3</v>
      </c>
      <c r="C7648" s="24" t="s">
        <v>1228</v>
      </c>
      <c r="D7648" s="41">
        <f>D7646</f>
        <v>540.09</v>
      </c>
      <c r="E7648" s="31">
        <f t="shared" si="603"/>
        <v>4.32</v>
      </c>
      <c r="F7648" s="32"/>
      <c r="G7648" s="15"/>
      <c r="H7648" s="21"/>
      <c r="I7648" s="15"/>
      <c r="J7648" s="15"/>
      <c r="K7648" s="15"/>
      <c r="L7648" s="21"/>
      <c r="M7648" s="15"/>
    </row>
    <row r="7649" spans="1:13" s="166" customFormat="1" ht="12.75" customHeight="1">
      <c r="A7649" s="12" t="s">
        <v>1176</v>
      </c>
      <c r="B7649" s="30">
        <v>1</v>
      </c>
      <c r="C7649" s="24" t="s">
        <v>213</v>
      </c>
      <c r="D7649" s="41">
        <f>D7641</f>
        <v>9.92</v>
      </c>
      <c r="E7649" s="31">
        <f t="shared" si="603"/>
        <v>9.92</v>
      </c>
      <c r="F7649" s="32"/>
      <c r="G7649" s="15"/>
      <c r="H7649" s="21"/>
      <c r="I7649" s="15"/>
      <c r="J7649" s="15"/>
      <c r="K7649" s="15"/>
      <c r="L7649" s="21"/>
      <c r="M7649" s="15"/>
    </row>
    <row r="7650" spans="1:13" s="166" customFormat="1" ht="12.75" customHeight="1">
      <c r="A7650" s="12" t="s">
        <v>257</v>
      </c>
      <c r="B7650" s="30">
        <v>1</v>
      </c>
      <c r="C7650" s="24" t="s">
        <v>213</v>
      </c>
      <c r="D7650" s="41">
        <f t="shared" ref="D7650:D7651" si="604">D7642</f>
        <v>0</v>
      </c>
      <c r="E7650" s="31">
        <f t="shared" si="603"/>
        <v>0</v>
      </c>
      <c r="F7650" s="32"/>
      <c r="G7650" s="15"/>
      <c r="H7650" s="21"/>
      <c r="I7650" s="15"/>
      <c r="J7650" s="15"/>
      <c r="K7650" s="15"/>
      <c r="L7650" s="21"/>
      <c r="M7650" s="15"/>
    </row>
    <row r="7651" spans="1:13" s="166" customFormat="1" ht="12.75" customHeight="1">
      <c r="A7651" s="12" t="s">
        <v>560</v>
      </c>
      <c r="B7651" s="30">
        <v>1</v>
      </c>
      <c r="C7651" s="24" t="s">
        <v>213</v>
      </c>
      <c r="D7651" s="41">
        <f t="shared" si="604"/>
        <v>0</v>
      </c>
      <c r="E7651" s="31">
        <f t="shared" si="603"/>
        <v>0</v>
      </c>
      <c r="F7651" s="32">
        <f>SUM(E7645:E7651)</f>
        <v>57.88</v>
      </c>
      <c r="G7651" s="15"/>
      <c r="H7651" s="21"/>
      <c r="I7651" s="15"/>
      <c r="J7651" s="15"/>
      <c r="K7651" s="15"/>
      <c r="L7651" s="21"/>
      <c r="M7651" s="15"/>
    </row>
    <row r="7652" spans="1:13" s="166" customFormat="1" ht="12.75" customHeight="1">
      <c r="A7652" s="12"/>
      <c r="B7652" s="14"/>
      <c r="C7652" s="24"/>
      <c r="D7652" s="35"/>
      <c r="E7652" s="31"/>
      <c r="F7652" s="32"/>
      <c r="G7652" s="15"/>
      <c r="H7652" s="21"/>
      <c r="I7652" s="15"/>
      <c r="J7652" s="15"/>
      <c r="K7652" s="15"/>
      <c r="L7652" s="21"/>
      <c r="M7652" s="15"/>
    </row>
    <row r="7653" spans="1:13" ht="12.75" customHeight="1">
      <c r="A7653" s="13" t="s">
        <v>874</v>
      </c>
      <c r="B7653" s="30"/>
      <c r="C7653" s="24"/>
      <c r="D7653" s="35"/>
      <c r="E7653" s="31"/>
      <c r="F7653" s="32"/>
    </row>
    <row r="7654" spans="1:13" ht="12.75" customHeight="1">
      <c r="A7654" s="12" t="s">
        <v>1277</v>
      </c>
      <c r="B7654" s="30">
        <v>0.11</v>
      </c>
      <c r="C7654" s="24" t="s">
        <v>1228</v>
      </c>
      <c r="D7654" s="41">
        <f>Prec.!$C$246</f>
        <v>1140</v>
      </c>
      <c r="E7654" s="31">
        <f t="shared" ref="E7654:E7659" si="605">ROUND(B7654*D7654,2)</f>
        <v>125.4</v>
      </c>
      <c r="F7654" s="32"/>
    </row>
    <row r="7655" spans="1:13" ht="12.75" customHeight="1">
      <c r="A7655" s="12" t="s">
        <v>545</v>
      </c>
      <c r="B7655" s="30">
        <v>0.11</v>
      </c>
      <c r="C7655" s="24" t="s">
        <v>1228</v>
      </c>
      <c r="D7655" s="41">
        <f>D7639</f>
        <v>5.36</v>
      </c>
      <c r="E7655" s="31">
        <f t="shared" si="605"/>
        <v>0.59</v>
      </c>
      <c r="F7655" s="32"/>
    </row>
    <row r="7656" spans="1:13" ht="12.75" customHeight="1">
      <c r="A7656" s="12" t="s">
        <v>528</v>
      </c>
      <c r="B7656" s="30">
        <v>1.0999999999999999E-2</v>
      </c>
      <c r="C7656" s="24" t="s">
        <v>1228</v>
      </c>
      <c r="D7656" s="41">
        <f>Prec.!$C$246</f>
        <v>1140</v>
      </c>
      <c r="E7656" s="31">
        <f t="shared" si="605"/>
        <v>12.54</v>
      </c>
      <c r="F7656" s="32"/>
    </row>
    <row r="7657" spans="1:13" ht="12.75" customHeight="1">
      <c r="A7657" s="12" t="s">
        <v>1176</v>
      </c>
      <c r="B7657" s="30">
        <v>1</v>
      </c>
      <c r="C7657" s="24" t="s">
        <v>213</v>
      </c>
      <c r="D7657" s="41">
        <f>Prec.!$C$267</f>
        <v>9.92</v>
      </c>
      <c r="E7657" s="31">
        <f t="shared" si="605"/>
        <v>9.92</v>
      </c>
      <c r="F7657" s="32"/>
    </row>
    <row r="7658" spans="1:13" ht="12.75" customHeight="1">
      <c r="A7658" s="12" t="s">
        <v>1274</v>
      </c>
      <c r="B7658" s="30">
        <v>1</v>
      </c>
      <c r="C7658" s="24" t="s">
        <v>213</v>
      </c>
      <c r="D7658" s="41">
        <f>Prec.!$D$635</f>
        <v>0</v>
      </c>
      <c r="E7658" s="31">
        <f t="shared" si="605"/>
        <v>0</v>
      </c>
      <c r="F7658" s="32"/>
    </row>
    <row r="7659" spans="1:13" ht="12.75" customHeight="1">
      <c r="A7659" s="12" t="s">
        <v>1275</v>
      </c>
      <c r="B7659" s="30">
        <v>1</v>
      </c>
      <c r="C7659" s="24" t="s">
        <v>213</v>
      </c>
      <c r="D7659" s="41">
        <f>Prec.!$D$636</f>
        <v>0</v>
      </c>
      <c r="E7659" s="31">
        <f t="shared" si="605"/>
        <v>0</v>
      </c>
      <c r="F7659" s="32">
        <f>SUM(E7653:E7659)</f>
        <v>148.44999999999999</v>
      </c>
    </row>
    <row r="7660" spans="1:13" s="166" customFormat="1" ht="12.75" customHeight="1">
      <c r="A7660" s="12"/>
      <c r="B7660" s="30"/>
      <c r="C7660" s="24"/>
      <c r="D7660" s="41"/>
      <c r="E7660" s="31"/>
      <c r="F7660" s="32"/>
      <c r="G7660" s="15"/>
      <c r="H7660" s="21"/>
      <c r="I7660" s="15"/>
      <c r="J7660" s="15"/>
      <c r="K7660" s="15"/>
      <c r="L7660" s="21"/>
      <c r="M7660" s="15"/>
    </row>
    <row r="7661" spans="1:13" s="166" customFormat="1" ht="12.75" customHeight="1">
      <c r="A7661" s="13" t="s">
        <v>874</v>
      </c>
      <c r="B7661" s="30"/>
      <c r="C7661" s="24"/>
      <c r="D7661" s="35"/>
      <c r="E7661" s="31"/>
      <c r="F7661" s="32"/>
      <c r="G7661" s="15"/>
      <c r="H7661" s="21"/>
      <c r="I7661" s="15"/>
      <c r="J7661" s="15"/>
      <c r="K7661" s="15"/>
      <c r="L7661" s="21"/>
      <c r="M7661" s="15"/>
    </row>
    <row r="7662" spans="1:13" s="166" customFormat="1" ht="12.75" customHeight="1">
      <c r="A7662" s="12" t="s">
        <v>1947</v>
      </c>
      <c r="B7662" s="30">
        <v>0.08</v>
      </c>
      <c r="C7662" s="24" t="s">
        <v>1228</v>
      </c>
      <c r="D7662" s="41">
        <f>D7119</f>
        <v>830.48</v>
      </c>
      <c r="E7662" s="31">
        <f t="shared" ref="E7662:E7667" si="606">ROUND(B7662*D7662,2)</f>
        <v>66.44</v>
      </c>
      <c r="F7662" s="32"/>
      <c r="G7662" s="15"/>
      <c r="H7662" s="21"/>
      <c r="I7662" s="15"/>
      <c r="J7662" s="15"/>
      <c r="K7662" s="15"/>
      <c r="L7662" s="21"/>
      <c r="M7662" s="15"/>
    </row>
    <row r="7663" spans="1:13" s="166" customFormat="1" ht="12.75" customHeight="1">
      <c r="A7663" s="12" t="s">
        <v>545</v>
      </c>
      <c r="B7663" s="30">
        <v>0.08</v>
      </c>
      <c r="C7663" s="24" t="s">
        <v>1228</v>
      </c>
      <c r="D7663" s="41">
        <f>D7655</f>
        <v>5.36</v>
      </c>
      <c r="E7663" s="31">
        <f t="shared" si="606"/>
        <v>0.43</v>
      </c>
      <c r="F7663" s="32"/>
      <c r="G7663" s="15"/>
      <c r="H7663" s="21"/>
      <c r="I7663" s="15"/>
      <c r="J7663" s="15"/>
      <c r="K7663" s="15"/>
      <c r="L7663" s="21"/>
      <c r="M7663" s="15"/>
    </row>
    <row r="7664" spans="1:13" s="166" customFormat="1" ht="12.75" customHeight="1">
      <c r="A7664" s="12" t="s">
        <v>528</v>
      </c>
      <c r="B7664" s="30">
        <v>8.0000000000000002E-3</v>
      </c>
      <c r="C7664" s="24" t="s">
        <v>1228</v>
      </c>
      <c r="D7664" s="41">
        <f>D7662</f>
        <v>830.48</v>
      </c>
      <c r="E7664" s="31">
        <f t="shared" si="606"/>
        <v>6.64</v>
      </c>
      <c r="F7664" s="32"/>
      <c r="G7664" s="15"/>
      <c r="H7664" s="21"/>
      <c r="I7664" s="15"/>
      <c r="J7664" s="15"/>
      <c r="K7664" s="15"/>
      <c r="L7664" s="21"/>
      <c r="M7664" s="15"/>
    </row>
    <row r="7665" spans="1:13" s="166" customFormat="1" ht="12.75" customHeight="1">
      <c r="A7665" s="12" t="s">
        <v>1176</v>
      </c>
      <c r="B7665" s="30">
        <v>1</v>
      </c>
      <c r="C7665" s="24" t="s">
        <v>213</v>
      </c>
      <c r="D7665" s="41">
        <f>D7657</f>
        <v>9.92</v>
      </c>
      <c r="E7665" s="31">
        <f t="shared" si="606"/>
        <v>9.92</v>
      </c>
      <c r="F7665" s="32"/>
      <c r="G7665" s="15"/>
      <c r="H7665" s="21"/>
      <c r="I7665" s="15"/>
      <c r="J7665" s="15"/>
      <c r="K7665" s="15"/>
      <c r="L7665" s="21"/>
      <c r="M7665" s="15"/>
    </row>
    <row r="7666" spans="1:13" s="166" customFormat="1" ht="12.75" customHeight="1">
      <c r="A7666" s="12" t="s">
        <v>1274</v>
      </c>
      <c r="B7666" s="30">
        <v>1</v>
      </c>
      <c r="C7666" s="24" t="s">
        <v>213</v>
      </c>
      <c r="D7666" s="41">
        <f t="shared" ref="D7666:D7667" si="607">D7658</f>
        <v>0</v>
      </c>
      <c r="E7666" s="31">
        <f t="shared" si="606"/>
        <v>0</v>
      </c>
      <c r="F7666" s="32"/>
      <c r="G7666" s="15"/>
      <c r="H7666" s="21"/>
      <c r="I7666" s="15"/>
      <c r="J7666" s="15"/>
      <c r="K7666" s="15"/>
      <c r="L7666" s="21"/>
      <c r="M7666" s="15"/>
    </row>
    <row r="7667" spans="1:13" s="166" customFormat="1" ht="12.75" customHeight="1">
      <c r="A7667" s="12" t="s">
        <v>1275</v>
      </c>
      <c r="B7667" s="30">
        <v>1</v>
      </c>
      <c r="C7667" s="24" t="s">
        <v>213</v>
      </c>
      <c r="D7667" s="41">
        <f t="shared" si="607"/>
        <v>0</v>
      </c>
      <c r="E7667" s="31">
        <f t="shared" si="606"/>
        <v>0</v>
      </c>
      <c r="F7667" s="32">
        <f>SUM(E7661:E7667)</f>
        <v>83.43</v>
      </c>
      <c r="G7667" s="15"/>
      <c r="H7667" s="21"/>
      <c r="I7667" s="15"/>
      <c r="J7667" s="15"/>
      <c r="K7667" s="15"/>
      <c r="L7667" s="21"/>
      <c r="M7667" s="15"/>
    </row>
    <row r="7668" spans="1:13" s="166" customFormat="1" ht="12.75" customHeight="1">
      <c r="A7668" s="12"/>
      <c r="B7668" s="30"/>
      <c r="C7668" s="24"/>
      <c r="D7668" s="41"/>
      <c r="E7668" s="31"/>
      <c r="F7668" s="32"/>
      <c r="G7668" s="15"/>
      <c r="H7668" s="21"/>
      <c r="I7668" s="15"/>
      <c r="J7668" s="15"/>
      <c r="K7668" s="15"/>
      <c r="L7668" s="21"/>
      <c r="M7668" s="15"/>
    </row>
    <row r="7669" spans="1:13" s="166" customFormat="1" ht="12.75" customHeight="1">
      <c r="A7669" s="12"/>
      <c r="B7669" s="30"/>
      <c r="C7669" s="24"/>
      <c r="D7669" s="41"/>
      <c r="E7669" s="31"/>
      <c r="F7669" s="32"/>
      <c r="G7669" s="15"/>
      <c r="H7669" s="21"/>
      <c r="I7669" s="15"/>
      <c r="J7669" s="15"/>
      <c r="K7669" s="15"/>
      <c r="L7669" s="21"/>
      <c r="M7669" s="15"/>
    </row>
    <row r="7670" spans="1:13" ht="12.75" customHeight="1">
      <c r="A7670" s="13" t="s">
        <v>872</v>
      </c>
      <c r="B7670" s="30"/>
      <c r="C7670" s="24"/>
      <c r="D7670" s="35"/>
      <c r="E7670" s="31"/>
      <c r="F7670" s="32"/>
    </row>
    <row r="7671" spans="1:13" ht="12.75" customHeight="1">
      <c r="A7671" s="12" t="s">
        <v>1277</v>
      </c>
      <c r="B7671" s="30">
        <v>0.11</v>
      </c>
      <c r="C7671" s="24" t="s">
        <v>1228</v>
      </c>
      <c r="D7671" s="41">
        <f>Prec.!$C$246</f>
        <v>1140</v>
      </c>
      <c r="E7671" s="31">
        <f t="shared" ref="E7671:E7677" si="608">ROUND(B7671*D7671,2)</f>
        <v>125.4</v>
      </c>
      <c r="F7671" s="32"/>
    </row>
    <row r="7672" spans="1:13" ht="12.75" customHeight="1">
      <c r="A7672" s="12" t="s">
        <v>545</v>
      </c>
      <c r="B7672" s="30">
        <v>0.11</v>
      </c>
      <c r="C7672" s="24" t="s">
        <v>1228</v>
      </c>
      <c r="D7672" s="41">
        <f>D7655</f>
        <v>5.36</v>
      </c>
      <c r="E7672" s="31">
        <f>ROUND(B7672*D7672,2)</f>
        <v>0.59</v>
      </c>
      <c r="F7672" s="32"/>
    </row>
    <row r="7673" spans="1:13" ht="12.75" customHeight="1">
      <c r="A7673" s="12" t="s">
        <v>528</v>
      </c>
      <c r="B7673" s="30">
        <v>1.0999999999999999E-2</v>
      </c>
      <c r="C7673" s="24" t="s">
        <v>1228</v>
      </c>
      <c r="D7673" s="41">
        <f>Prec.!$C$246</f>
        <v>1140</v>
      </c>
      <c r="E7673" s="31">
        <f t="shared" si="608"/>
        <v>12.54</v>
      </c>
      <c r="F7673" s="32"/>
    </row>
    <row r="7674" spans="1:13" ht="12.75" customHeight="1">
      <c r="A7674" s="12" t="s">
        <v>1176</v>
      </c>
      <c r="B7674" s="30">
        <v>1</v>
      </c>
      <c r="C7674" s="24" t="s">
        <v>213</v>
      </c>
      <c r="D7674" s="41">
        <f>Prec.!$C$267</f>
        <v>9.92</v>
      </c>
      <c r="E7674" s="31">
        <f t="shared" si="608"/>
        <v>9.92</v>
      </c>
      <c r="F7674" s="32"/>
    </row>
    <row r="7675" spans="1:13" ht="12.75" customHeight="1">
      <c r="A7675" s="12" t="s">
        <v>1274</v>
      </c>
      <c r="B7675" s="30">
        <v>1</v>
      </c>
      <c r="C7675" s="24" t="s">
        <v>213</v>
      </c>
      <c r="D7675" s="41">
        <f>Prec.!$D$635</f>
        <v>0</v>
      </c>
      <c r="E7675" s="31">
        <f t="shared" si="608"/>
        <v>0</v>
      </c>
      <c r="F7675" s="32"/>
    </row>
    <row r="7676" spans="1:13" ht="12.75" customHeight="1">
      <c r="A7676" s="12" t="s">
        <v>1275</v>
      </c>
      <c r="B7676" s="30">
        <v>1</v>
      </c>
      <c r="C7676" s="24" t="s">
        <v>213</v>
      </c>
      <c r="D7676" s="41">
        <f>Prec.!$D$636</f>
        <v>0</v>
      </c>
      <c r="E7676" s="31">
        <f t="shared" si="608"/>
        <v>0</v>
      </c>
      <c r="F7676" s="178"/>
    </row>
    <row r="7677" spans="1:13" ht="12.75" customHeight="1">
      <c r="A7677" s="12" t="s">
        <v>873</v>
      </c>
      <c r="B7677" s="30">
        <v>1</v>
      </c>
      <c r="C7677" s="24" t="s">
        <v>213</v>
      </c>
      <c r="D7677" s="41">
        <f>Prec.!C268</f>
        <v>7.35</v>
      </c>
      <c r="E7677" s="31">
        <f t="shared" si="608"/>
        <v>7.35</v>
      </c>
      <c r="F7677" s="32">
        <f>SUM(E7670:E7677)</f>
        <v>155.79999999999998</v>
      </c>
    </row>
    <row r="7678" spans="1:13" s="166" customFormat="1" ht="12.75" customHeight="1">
      <c r="A7678" s="12"/>
      <c r="B7678" s="30"/>
      <c r="C7678" s="24"/>
      <c r="D7678" s="41"/>
      <c r="E7678" s="31"/>
      <c r="F7678" s="32"/>
      <c r="G7678" s="15"/>
      <c r="H7678" s="21"/>
      <c r="I7678" s="15"/>
      <c r="J7678" s="15"/>
      <c r="K7678" s="15"/>
      <c r="L7678" s="21"/>
      <c r="M7678" s="15"/>
    </row>
    <row r="7679" spans="1:13" s="166" customFormat="1" ht="12.75" customHeight="1">
      <c r="A7679" s="13" t="s">
        <v>872</v>
      </c>
      <c r="B7679" s="30"/>
      <c r="C7679" s="24"/>
      <c r="D7679" s="35"/>
      <c r="E7679" s="31"/>
      <c r="F7679" s="32"/>
      <c r="G7679" s="15"/>
      <c r="H7679" s="21"/>
      <c r="I7679" s="15"/>
      <c r="J7679" s="15"/>
      <c r="K7679" s="15"/>
      <c r="L7679" s="21"/>
      <c r="M7679" s="15"/>
    </row>
    <row r="7680" spans="1:13" s="166" customFormat="1" ht="12.75" customHeight="1">
      <c r="A7680" s="12" t="s">
        <v>1947</v>
      </c>
      <c r="B7680" s="30">
        <v>0.08</v>
      </c>
      <c r="C7680" s="24" t="s">
        <v>1228</v>
      </c>
      <c r="D7680" s="41">
        <f>D7119</f>
        <v>830.48</v>
      </c>
      <c r="E7680" s="31">
        <f t="shared" ref="E7680" si="609">ROUND(B7680*D7680,2)</f>
        <v>66.44</v>
      </c>
      <c r="F7680" s="32"/>
      <c r="G7680" s="15"/>
      <c r="H7680" s="21"/>
      <c r="I7680" s="15"/>
      <c r="J7680" s="15"/>
      <c r="K7680" s="15"/>
      <c r="L7680" s="21"/>
      <c r="M7680" s="15"/>
    </row>
    <row r="7681" spans="1:13" s="166" customFormat="1" ht="12.75" customHeight="1">
      <c r="A7681" s="12" t="s">
        <v>545</v>
      </c>
      <c r="B7681" s="30">
        <v>0.08</v>
      </c>
      <c r="C7681" s="24" t="s">
        <v>1228</v>
      </c>
      <c r="D7681" s="41">
        <f>D7672</f>
        <v>5.36</v>
      </c>
      <c r="E7681" s="31">
        <f>ROUND(B7681*D7681,2)</f>
        <v>0.43</v>
      </c>
      <c r="F7681" s="32"/>
      <c r="G7681" s="15"/>
      <c r="H7681" s="21"/>
      <c r="I7681" s="15"/>
      <c r="J7681" s="15"/>
      <c r="K7681" s="15"/>
      <c r="L7681" s="21"/>
      <c r="M7681" s="15"/>
    </row>
    <row r="7682" spans="1:13" s="166" customFormat="1" ht="12.75" customHeight="1">
      <c r="A7682" s="12" t="s">
        <v>528</v>
      </c>
      <c r="B7682" s="30">
        <v>8.0000000000000002E-3</v>
      </c>
      <c r="C7682" s="24" t="s">
        <v>1228</v>
      </c>
      <c r="D7682" s="41">
        <f>D7680</f>
        <v>830.48</v>
      </c>
      <c r="E7682" s="31">
        <f t="shared" ref="E7682:E7686" si="610">ROUND(B7682*D7682,2)</f>
        <v>6.64</v>
      </c>
      <c r="F7682" s="32"/>
      <c r="G7682" s="15"/>
      <c r="H7682" s="21"/>
      <c r="I7682" s="15"/>
      <c r="J7682" s="15"/>
      <c r="K7682" s="15"/>
      <c r="L7682" s="21"/>
      <c r="M7682" s="15"/>
    </row>
    <row r="7683" spans="1:13" s="166" customFormat="1" ht="12.75" customHeight="1">
      <c r="A7683" s="12" t="s">
        <v>1176</v>
      </c>
      <c r="B7683" s="30">
        <v>1</v>
      </c>
      <c r="C7683" s="24" t="s">
        <v>213</v>
      </c>
      <c r="D7683" s="41">
        <f>D7674</f>
        <v>9.92</v>
      </c>
      <c r="E7683" s="31">
        <f t="shared" si="610"/>
        <v>9.92</v>
      </c>
      <c r="F7683" s="32"/>
      <c r="G7683" s="15"/>
      <c r="H7683" s="21"/>
      <c r="I7683" s="15"/>
      <c r="J7683" s="15"/>
      <c r="K7683" s="15"/>
      <c r="L7683" s="21"/>
      <c r="M7683" s="15"/>
    </row>
    <row r="7684" spans="1:13" s="166" customFormat="1" ht="12.75" customHeight="1">
      <c r="A7684" s="12" t="s">
        <v>1274</v>
      </c>
      <c r="B7684" s="30">
        <v>1</v>
      </c>
      <c r="C7684" s="24" t="s">
        <v>213</v>
      </c>
      <c r="D7684" s="41">
        <f t="shared" ref="D7684:D7686" si="611">D7675</f>
        <v>0</v>
      </c>
      <c r="E7684" s="31">
        <f t="shared" si="610"/>
        <v>0</v>
      </c>
      <c r="F7684" s="32"/>
      <c r="G7684" s="15"/>
      <c r="H7684" s="21"/>
      <c r="I7684" s="15"/>
      <c r="J7684" s="15"/>
      <c r="K7684" s="15"/>
      <c r="L7684" s="21"/>
      <c r="M7684" s="15"/>
    </row>
    <row r="7685" spans="1:13" s="166" customFormat="1" ht="12.75" customHeight="1">
      <c r="A7685" s="12" t="s">
        <v>1275</v>
      </c>
      <c r="B7685" s="30">
        <v>1</v>
      </c>
      <c r="C7685" s="24" t="s">
        <v>213</v>
      </c>
      <c r="D7685" s="41">
        <f t="shared" si="611"/>
        <v>0</v>
      </c>
      <c r="E7685" s="31">
        <f t="shared" si="610"/>
        <v>0</v>
      </c>
      <c r="F7685" s="178"/>
      <c r="G7685" s="15"/>
      <c r="H7685" s="21"/>
      <c r="I7685" s="15"/>
      <c r="J7685" s="15"/>
      <c r="K7685" s="15"/>
      <c r="L7685" s="21"/>
      <c r="M7685" s="15"/>
    </row>
    <row r="7686" spans="1:13" s="166" customFormat="1" ht="12.75" customHeight="1">
      <c r="A7686" s="12" t="s">
        <v>873</v>
      </c>
      <c r="B7686" s="30">
        <v>1</v>
      </c>
      <c r="C7686" s="24" t="s">
        <v>213</v>
      </c>
      <c r="D7686" s="41">
        <f t="shared" si="611"/>
        <v>7.35</v>
      </c>
      <c r="E7686" s="31">
        <f t="shared" si="610"/>
        <v>7.35</v>
      </c>
      <c r="F7686" s="32">
        <f>SUM(E7679:E7686)</f>
        <v>90.78</v>
      </c>
      <c r="G7686" s="15"/>
      <c r="H7686" s="21"/>
      <c r="I7686" s="15"/>
      <c r="J7686" s="15"/>
      <c r="K7686" s="15"/>
      <c r="L7686" s="21"/>
      <c r="M7686" s="15"/>
    </row>
    <row r="7687" spans="1:13" s="166" customFormat="1" ht="12.75" customHeight="1">
      <c r="A7687" s="12"/>
      <c r="B7687" s="30"/>
      <c r="C7687" s="24"/>
      <c r="D7687" s="41"/>
      <c r="E7687" s="31"/>
      <c r="F7687" s="32"/>
      <c r="G7687" s="15"/>
      <c r="H7687" s="21"/>
      <c r="I7687" s="15"/>
      <c r="J7687" s="15"/>
      <c r="K7687" s="15"/>
      <c r="L7687" s="21"/>
      <c r="M7687" s="15"/>
    </row>
    <row r="7688" spans="1:13" ht="12.75" customHeight="1">
      <c r="A7688" s="12"/>
      <c r="B7688" s="30"/>
      <c r="C7688" s="24"/>
      <c r="D7688" s="35"/>
      <c r="E7688" s="31"/>
      <c r="F7688" s="32"/>
    </row>
    <row r="7689" spans="1:13" ht="12.75" customHeight="1">
      <c r="A7689" s="13" t="s">
        <v>985</v>
      </c>
      <c r="B7689" s="30"/>
      <c r="C7689" s="24"/>
      <c r="D7689" s="35"/>
      <c r="E7689" s="31"/>
      <c r="F7689" s="32"/>
    </row>
    <row r="7690" spans="1:13" ht="12.75" customHeight="1">
      <c r="A7690" s="12" t="s">
        <v>1277</v>
      </c>
      <c r="B7690" s="30">
        <v>0.11</v>
      </c>
      <c r="C7690" s="24" t="s">
        <v>1228</v>
      </c>
      <c r="D7690" s="41">
        <f>Prec.!C248</f>
        <v>550</v>
      </c>
      <c r="E7690" s="31">
        <f t="shared" ref="E7690:E7695" si="612">ROUND(B7690*D7690,2)</f>
        <v>60.5</v>
      </c>
      <c r="F7690" s="32"/>
    </row>
    <row r="7691" spans="1:13" ht="12.75" customHeight="1">
      <c r="A7691" s="12" t="s">
        <v>545</v>
      </c>
      <c r="B7691" s="30">
        <v>0.11</v>
      </c>
      <c r="C7691" s="24" t="s">
        <v>1228</v>
      </c>
      <c r="D7691" s="41">
        <f>D7672</f>
        <v>5.36</v>
      </c>
      <c r="E7691" s="31">
        <f t="shared" si="612"/>
        <v>0.59</v>
      </c>
      <c r="F7691" s="32"/>
    </row>
    <row r="7692" spans="1:13" ht="12.75" customHeight="1">
      <c r="A7692" s="12" t="s">
        <v>528</v>
      </c>
      <c r="B7692" s="30">
        <v>1.0999999999999999E-2</v>
      </c>
      <c r="C7692" s="24" t="s">
        <v>1228</v>
      </c>
      <c r="D7692" s="41">
        <f>D7690</f>
        <v>550</v>
      </c>
      <c r="E7692" s="31">
        <f t="shared" si="612"/>
        <v>6.05</v>
      </c>
      <c r="F7692" s="32"/>
    </row>
    <row r="7693" spans="1:13" ht="12.75" customHeight="1">
      <c r="A7693" s="12" t="s">
        <v>1176</v>
      </c>
      <c r="B7693" s="30">
        <v>1</v>
      </c>
      <c r="C7693" s="24" t="s">
        <v>213</v>
      </c>
      <c r="D7693" s="41">
        <f>D7674</f>
        <v>9.92</v>
      </c>
      <c r="E7693" s="31">
        <f t="shared" si="612"/>
        <v>9.92</v>
      </c>
      <c r="F7693" s="32"/>
    </row>
    <row r="7694" spans="1:13" ht="12.75" customHeight="1">
      <c r="A7694" s="12" t="s">
        <v>1274</v>
      </c>
      <c r="B7694" s="30">
        <v>1</v>
      </c>
      <c r="C7694" s="24" t="s">
        <v>213</v>
      </c>
      <c r="D7694" s="41">
        <f>D7675</f>
        <v>0</v>
      </c>
      <c r="E7694" s="31">
        <f t="shared" si="612"/>
        <v>0</v>
      </c>
      <c r="F7694" s="32"/>
    </row>
    <row r="7695" spans="1:13" ht="12.75" customHeight="1">
      <c r="A7695" s="12" t="s">
        <v>1275</v>
      </c>
      <c r="B7695" s="30">
        <v>1</v>
      </c>
      <c r="C7695" s="24" t="s">
        <v>213</v>
      </c>
      <c r="D7695" s="41">
        <f>D7676</f>
        <v>0</v>
      </c>
      <c r="E7695" s="31">
        <f t="shared" si="612"/>
        <v>0</v>
      </c>
      <c r="F7695" s="32">
        <f>SUM(E7689:E7695)</f>
        <v>77.06</v>
      </c>
    </row>
    <row r="7696" spans="1:13" ht="12.75" customHeight="1">
      <c r="A7696" s="12"/>
      <c r="B7696" s="14"/>
      <c r="C7696" s="24"/>
      <c r="D7696" s="35"/>
      <c r="E7696" s="31"/>
      <c r="F7696" s="32"/>
    </row>
    <row r="7697" spans="1:6" ht="12.75" customHeight="1">
      <c r="A7697" s="13" t="s">
        <v>986</v>
      </c>
      <c r="B7697" s="30"/>
      <c r="C7697" s="24"/>
      <c r="D7697" s="35"/>
      <c r="E7697" s="31"/>
      <c r="F7697" s="32"/>
    </row>
    <row r="7698" spans="1:6" ht="12.75" customHeight="1">
      <c r="A7698" s="12" t="s">
        <v>1277</v>
      </c>
      <c r="B7698" s="30">
        <v>0.11</v>
      </c>
      <c r="C7698" s="24" t="s">
        <v>1228</v>
      </c>
      <c r="D7698" s="41">
        <f>D7690</f>
        <v>550</v>
      </c>
      <c r="E7698" s="31">
        <f t="shared" ref="E7698:E7704" si="613">ROUND(B7698*D7698,2)</f>
        <v>60.5</v>
      </c>
      <c r="F7698" s="32"/>
    </row>
    <row r="7699" spans="1:6" ht="12.75" customHeight="1">
      <c r="A7699" s="12" t="s">
        <v>545</v>
      </c>
      <c r="B7699" s="30">
        <v>0.11</v>
      </c>
      <c r="C7699" s="24" t="s">
        <v>1228</v>
      </c>
      <c r="D7699" s="41">
        <f>D7691</f>
        <v>5.36</v>
      </c>
      <c r="E7699" s="31">
        <f t="shared" si="613"/>
        <v>0.59</v>
      </c>
      <c r="F7699" s="32"/>
    </row>
    <row r="7700" spans="1:6" ht="12.75" customHeight="1">
      <c r="A7700" s="12" t="s">
        <v>528</v>
      </c>
      <c r="B7700" s="30">
        <v>1.0999999999999999E-2</v>
      </c>
      <c r="C7700" s="24" t="s">
        <v>1228</v>
      </c>
      <c r="D7700" s="41">
        <f>D7698</f>
        <v>550</v>
      </c>
      <c r="E7700" s="31">
        <f t="shared" si="613"/>
        <v>6.05</v>
      </c>
      <c r="F7700" s="32"/>
    </row>
    <row r="7701" spans="1:6" ht="12.75" customHeight="1">
      <c r="A7701" s="12" t="s">
        <v>1176</v>
      </c>
      <c r="B7701" s="30">
        <v>1</v>
      </c>
      <c r="C7701" s="24" t="s">
        <v>213</v>
      </c>
      <c r="D7701" s="41">
        <f>D7693</f>
        <v>9.92</v>
      </c>
      <c r="E7701" s="31">
        <f t="shared" si="613"/>
        <v>9.92</v>
      </c>
      <c r="F7701" s="32"/>
    </row>
    <row r="7702" spans="1:6" ht="12.75" customHeight="1">
      <c r="A7702" s="12" t="s">
        <v>1274</v>
      </c>
      <c r="B7702" s="30">
        <v>1</v>
      </c>
      <c r="C7702" s="24" t="s">
        <v>213</v>
      </c>
      <c r="D7702" s="41">
        <f>D7694</f>
        <v>0</v>
      </c>
      <c r="E7702" s="31">
        <f t="shared" si="613"/>
        <v>0</v>
      </c>
      <c r="F7702" s="32"/>
    </row>
    <row r="7703" spans="1:6" ht="12.75" customHeight="1">
      <c r="A7703" s="12" t="s">
        <v>1275</v>
      </c>
      <c r="B7703" s="30">
        <v>1</v>
      </c>
      <c r="C7703" s="24" t="s">
        <v>213</v>
      </c>
      <c r="D7703" s="41">
        <f>D7695</f>
        <v>0</v>
      </c>
      <c r="E7703" s="31">
        <f t="shared" si="613"/>
        <v>0</v>
      </c>
      <c r="F7703" s="178"/>
    </row>
    <row r="7704" spans="1:6" ht="12.75" customHeight="1">
      <c r="A7704" s="12" t="s">
        <v>873</v>
      </c>
      <c r="B7704" s="30">
        <v>1</v>
      </c>
      <c r="C7704" s="24" t="s">
        <v>213</v>
      </c>
      <c r="D7704" s="41">
        <f>D7677</f>
        <v>7.35</v>
      </c>
      <c r="E7704" s="31">
        <f t="shared" si="613"/>
        <v>7.35</v>
      </c>
      <c r="F7704" s="32">
        <f>SUM(E7697:E7704)</f>
        <v>84.41</v>
      </c>
    </row>
    <row r="7705" spans="1:6" ht="12.75" customHeight="1">
      <c r="A7705" s="12"/>
      <c r="B7705" s="30"/>
      <c r="C7705" s="24"/>
      <c r="D7705" s="35"/>
      <c r="E7705" s="31"/>
      <c r="F7705" s="32"/>
    </row>
    <row r="7706" spans="1:6" ht="12.75" customHeight="1">
      <c r="A7706" s="13" t="s">
        <v>877</v>
      </c>
      <c r="B7706" s="30"/>
      <c r="C7706" s="24"/>
      <c r="D7706" s="35"/>
      <c r="E7706" s="31"/>
      <c r="F7706" s="32"/>
    </row>
    <row r="7707" spans="1:6" ht="12.75" customHeight="1">
      <c r="A7707" s="12" t="s">
        <v>875</v>
      </c>
      <c r="B7707" s="30">
        <v>0.14699999999999999</v>
      </c>
      <c r="C7707" s="24" t="s">
        <v>1228</v>
      </c>
      <c r="D7707" s="41">
        <f>Prec.!$C$250</f>
        <v>1590</v>
      </c>
      <c r="E7707" s="31">
        <f t="shared" ref="E7707:E7713" si="614">ROUND(B7707*D7707,2)</f>
        <v>233.73</v>
      </c>
      <c r="F7707" s="32"/>
    </row>
    <row r="7708" spans="1:6" ht="12.75" customHeight="1">
      <c r="A7708" s="12" t="s">
        <v>545</v>
      </c>
      <c r="B7708" s="30">
        <v>0.14699999999999999</v>
      </c>
      <c r="C7708" s="24" t="s">
        <v>1228</v>
      </c>
      <c r="D7708" s="41">
        <f>D7672</f>
        <v>5.36</v>
      </c>
      <c r="E7708" s="31">
        <f t="shared" si="614"/>
        <v>0.79</v>
      </c>
      <c r="F7708" s="32"/>
    </row>
    <row r="7709" spans="1:6" ht="12.75" customHeight="1">
      <c r="A7709" s="12" t="s">
        <v>528</v>
      </c>
      <c r="B7709" s="30">
        <v>1.4999999999999999E-2</v>
      </c>
      <c r="C7709" s="24" t="s">
        <v>1228</v>
      </c>
      <c r="D7709" s="41">
        <f>Prec.!$C$250</f>
        <v>1590</v>
      </c>
      <c r="E7709" s="31">
        <f t="shared" si="614"/>
        <v>23.85</v>
      </c>
      <c r="F7709" s="32"/>
    </row>
    <row r="7710" spans="1:6" ht="12.75" customHeight="1">
      <c r="A7710" s="12" t="s">
        <v>876</v>
      </c>
      <c r="B7710" s="30">
        <v>0.1</v>
      </c>
      <c r="C7710" s="24" t="s">
        <v>1228</v>
      </c>
      <c r="D7710" s="41">
        <f>Prec.!$C$269</f>
        <v>315</v>
      </c>
      <c r="E7710" s="31">
        <f t="shared" si="614"/>
        <v>31.5</v>
      </c>
      <c r="F7710" s="32"/>
    </row>
    <row r="7711" spans="1:6" ht="12.75" customHeight="1">
      <c r="A7711" s="12" t="s">
        <v>629</v>
      </c>
      <c r="B7711" s="30">
        <v>0.1</v>
      </c>
      <c r="C7711" s="24" t="s">
        <v>1228</v>
      </c>
      <c r="D7711" s="41">
        <f>D7708</f>
        <v>5.36</v>
      </c>
      <c r="E7711" s="31">
        <f t="shared" si="614"/>
        <v>0.54</v>
      </c>
      <c r="F7711" s="32"/>
    </row>
    <row r="7712" spans="1:6" ht="12.75" customHeight="1">
      <c r="A7712" s="12" t="s">
        <v>1176</v>
      </c>
      <c r="B7712" s="30">
        <v>1</v>
      </c>
      <c r="C7712" s="24" t="s">
        <v>213</v>
      </c>
      <c r="D7712" s="41">
        <f>Prec.!$C$267</f>
        <v>9.92</v>
      </c>
      <c r="E7712" s="31">
        <f t="shared" si="614"/>
        <v>9.92</v>
      </c>
      <c r="F7712" s="32"/>
    </row>
    <row r="7713" spans="1:13" ht="12.75" customHeight="1">
      <c r="A7713" s="12" t="s">
        <v>998</v>
      </c>
      <c r="B7713" s="30">
        <v>2</v>
      </c>
      <c r="C7713" s="24" t="s">
        <v>213</v>
      </c>
      <c r="D7713" s="41">
        <f>Prec.!$D$648</f>
        <v>109.25</v>
      </c>
      <c r="E7713" s="31">
        <f t="shared" si="614"/>
        <v>218.5</v>
      </c>
      <c r="F7713" s="32">
        <f>SUM(E7706:E7713)</f>
        <v>518.83000000000004</v>
      </c>
    </row>
    <row r="7714" spans="1:13" ht="12.75" customHeight="1">
      <c r="A7714" s="12"/>
      <c r="B7714" s="30"/>
      <c r="C7714" s="24"/>
      <c r="D7714" s="41"/>
      <c r="E7714" s="31"/>
      <c r="F7714" s="32"/>
    </row>
    <row r="7715" spans="1:13" ht="12.75" customHeight="1">
      <c r="A7715" s="13" t="s">
        <v>878</v>
      </c>
      <c r="B7715" s="30"/>
      <c r="C7715" s="24"/>
      <c r="D7715" s="35"/>
      <c r="E7715" s="31"/>
      <c r="F7715" s="32"/>
    </row>
    <row r="7716" spans="1:13" ht="12.75" customHeight="1">
      <c r="A7716" s="12" t="s">
        <v>875</v>
      </c>
      <c r="B7716" s="30">
        <v>0.14699999999999999</v>
      </c>
      <c r="C7716" s="24" t="s">
        <v>1228</v>
      </c>
      <c r="D7716" s="41">
        <f>Prec.!$C$250</f>
        <v>1590</v>
      </c>
      <c r="E7716" s="31">
        <f t="shared" ref="E7716:E7723" si="615">ROUND(B7716*D7716,2)</f>
        <v>233.73</v>
      </c>
      <c r="F7716" s="32"/>
    </row>
    <row r="7717" spans="1:13" ht="12.75" customHeight="1">
      <c r="A7717" s="12" t="s">
        <v>545</v>
      </c>
      <c r="B7717" s="30">
        <v>0.14699999999999999</v>
      </c>
      <c r="C7717" s="24" t="s">
        <v>1228</v>
      </c>
      <c r="D7717" s="41">
        <f>D7708</f>
        <v>5.36</v>
      </c>
      <c r="E7717" s="31">
        <f>ROUND(B7717*D7717,2)</f>
        <v>0.79</v>
      </c>
      <c r="F7717" s="32"/>
    </row>
    <row r="7718" spans="1:13" ht="12.75" customHeight="1">
      <c r="A7718" s="12" t="s">
        <v>528</v>
      </c>
      <c r="B7718" s="30">
        <v>1.4999999999999999E-2</v>
      </c>
      <c r="C7718" s="24" t="s">
        <v>1228</v>
      </c>
      <c r="D7718" s="41">
        <f>Prec.!$C$250</f>
        <v>1590</v>
      </c>
      <c r="E7718" s="31">
        <f t="shared" si="615"/>
        <v>23.85</v>
      </c>
      <c r="F7718" s="32"/>
    </row>
    <row r="7719" spans="1:13" ht="12.75" customHeight="1">
      <c r="A7719" s="12" t="s">
        <v>876</v>
      </c>
      <c r="B7719" s="30">
        <v>0.1</v>
      </c>
      <c r="C7719" s="24" t="s">
        <v>1228</v>
      </c>
      <c r="D7719" s="41">
        <f>Prec.!$C$269</f>
        <v>315</v>
      </c>
      <c r="E7719" s="31">
        <f t="shared" si="615"/>
        <v>31.5</v>
      </c>
      <c r="F7719" s="32"/>
    </row>
    <row r="7720" spans="1:13" ht="12.75" customHeight="1">
      <c r="A7720" s="12" t="s">
        <v>629</v>
      </c>
      <c r="B7720" s="30">
        <v>0.1</v>
      </c>
      <c r="C7720" s="24" t="s">
        <v>1228</v>
      </c>
      <c r="D7720" s="41">
        <f>D7717</f>
        <v>5.36</v>
      </c>
      <c r="E7720" s="31">
        <f>ROUND(B7720*D7720,2)</f>
        <v>0.54</v>
      </c>
      <c r="F7720" s="32"/>
    </row>
    <row r="7721" spans="1:13" ht="12.75" customHeight="1">
      <c r="A7721" s="12" t="s">
        <v>1176</v>
      </c>
      <c r="B7721" s="30">
        <v>1</v>
      </c>
      <c r="C7721" s="24" t="s">
        <v>213</v>
      </c>
      <c r="D7721" s="41">
        <f>Prec.!$C$267</f>
        <v>9.92</v>
      </c>
      <c r="E7721" s="31">
        <f t="shared" si="615"/>
        <v>9.92</v>
      </c>
      <c r="F7721" s="32"/>
    </row>
    <row r="7722" spans="1:13" ht="12.75" customHeight="1">
      <c r="A7722" s="12" t="s">
        <v>1273</v>
      </c>
      <c r="B7722" s="30">
        <v>1</v>
      </c>
      <c r="C7722" s="24" t="s">
        <v>213</v>
      </c>
      <c r="D7722" s="41">
        <f>Prec.!$D$637</f>
        <v>0</v>
      </c>
      <c r="E7722" s="31">
        <f t="shared" si="615"/>
        <v>0</v>
      </c>
      <c r="F7722" s="32"/>
    </row>
    <row r="7723" spans="1:13" ht="12.75" customHeight="1">
      <c r="A7723" s="12" t="s">
        <v>1272</v>
      </c>
      <c r="B7723" s="30">
        <v>1</v>
      </c>
      <c r="C7723" s="24" t="s">
        <v>213</v>
      </c>
      <c r="D7723" s="41">
        <f>Prec.!$D$638</f>
        <v>0</v>
      </c>
      <c r="E7723" s="31">
        <f t="shared" si="615"/>
        <v>0</v>
      </c>
      <c r="F7723" s="32">
        <f>SUM(E7715:E7723)</f>
        <v>300.33000000000004</v>
      </c>
    </row>
    <row r="7724" spans="1:13" ht="12.75" customHeight="1">
      <c r="A7724" s="12"/>
      <c r="B7724" s="30"/>
      <c r="C7724" s="24"/>
      <c r="D7724" s="41"/>
      <c r="E7724" s="31"/>
      <c r="F7724" s="32"/>
    </row>
    <row r="7725" spans="1:13" s="166" customFormat="1" ht="12.75" customHeight="1">
      <c r="A7725" s="12"/>
      <c r="B7725" s="30"/>
      <c r="C7725" s="24"/>
      <c r="D7725" s="41"/>
      <c r="E7725" s="31"/>
      <c r="F7725" s="32"/>
      <c r="G7725" s="15"/>
      <c r="H7725" s="21"/>
      <c r="I7725" s="15"/>
      <c r="J7725" s="15"/>
      <c r="K7725" s="15"/>
      <c r="L7725" s="21"/>
      <c r="M7725" s="15"/>
    </row>
    <row r="7726" spans="1:13" s="166" customFormat="1" ht="12.75" customHeight="1">
      <c r="A7726" s="12"/>
      <c r="B7726" s="30"/>
      <c r="C7726" s="24"/>
      <c r="D7726" s="41"/>
      <c r="E7726" s="31"/>
      <c r="F7726" s="32"/>
      <c r="G7726" s="15"/>
      <c r="H7726" s="21"/>
      <c r="I7726" s="15"/>
      <c r="J7726" s="15"/>
      <c r="K7726" s="15"/>
      <c r="L7726" s="21"/>
      <c r="M7726" s="15"/>
    </row>
    <row r="7727" spans="1:13" s="166" customFormat="1" ht="12.75" customHeight="1">
      <c r="A7727" s="12"/>
      <c r="B7727" s="30"/>
      <c r="C7727" s="24"/>
      <c r="D7727" s="41"/>
      <c r="E7727" s="31"/>
      <c r="F7727" s="32"/>
      <c r="G7727" s="15"/>
      <c r="H7727" s="21"/>
      <c r="I7727" s="15"/>
      <c r="J7727" s="15"/>
      <c r="K7727" s="15"/>
      <c r="L7727" s="21"/>
      <c r="M7727" s="15"/>
    </row>
    <row r="7728" spans="1:13" s="166" customFormat="1" ht="12.75" customHeight="1">
      <c r="A7728" s="12"/>
      <c r="B7728" s="30"/>
      <c r="C7728" s="24"/>
      <c r="D7728" s="41"/>
      <c r="E7728" s="31"/>
      <c r="F7728" s="32"/>
      <c r="G7728" s="15"/>
      <c r="H7728" s="21"/>
      <c r="I7728" s="15"/>
      <c r="J7728" s="15"/>
      <c r="K7728" s="15"/>
      <c r="L7728" s="21"/>
      <c r="M7728" s="15"/>
    </row>
    <row r="7729" spans="1:13" s="166" customFormat="1" ht="12.75" customHeight="1">
      <c r="A7729" s="12"/>
      <c r="B7729" s="30"/>
      <c r="C7729" s="24"/>
      <c r="D7729" s="41"/>
      <c r="E7729" s="31"/>
      <c r="F7729" s="32"/>
      <c r="G7729" s="15"/>
      <c r="H7729" s="21"/>
      <c r="I7729" s="15"/>
      <c r="J7729" s="15"/>
      <c r="K7729" s="15"/>
      <c r="L7729" s="21"/>
      <c r="M7729" s="15"/>
    </row>
    <row r="7730" spans="1:13" ht="12.75" customHeight="1">
      <c r="A7730" s="13" t="s">
        <v>1270</v>
      </c>
      <c r="B7730" s="30"/>
      <c r="C7730" s="24"/>
      <c r="D7730" s="35"/>
      <c r="E7730" s="31"/>
      <c r="F7730" s="32"/>
    </row>
    <row r="7731" spans="1:13" ht="12.75" customHeight="1">
      <c r="A7731" s="12" t="s">
        <v>1270</v>
      </c>
      <c r="B7731" s="30">
        <v>0.11</v>
      </c>
      <c r="C7731" s="24" t="s">
        <v>1228</v>
      </c>
      <c r="D7731" s="41">
        <f>Prec.!$C$251</f>
        <v>1110</v>
      </c>
      <c r="E7731" s="31">
        <f t="shared" ref="E7731:E7738" si="616">ROUND(B7731*D7731,2)</f>
        <v>122.1</v>
      </c>
      <c r="F7731" s="32"/>
    </row>
    <row r="7732" spans="1:13" ht="12.75" customHeight="1">
      <c r="A7732" s="12" t="s">
        <v>545</v>
      </c>
      <c r="B7732" s="30">
        <v>0.11</v>
      </c>
      <c r="C7732" s="24" t="s">
        <v>1228</v>
      </c>
      <c r="D7732" s="41">
        <f>D7720</f>
        <v>5.36</v>
      </c>
      <c r="E7732" s="31">
        <f t="shared" si="616"/>
        <v>0.59</v>
      </c>
      <c r="F7732" s="32"/>
    </row>
    <row r="7733" spans="1:13" ht="12.75" customHeight="1">
      <c r="A7733" s="12" t="s">
        <v>528</v>
      </c>
      <c r="B7733" s="30">
        <v>1.0999999999999999E-2</v>
      </c>
      <c r="C7733" s="24" t="s">
        <v>1228</v>
      </c>
      <c r="D7733" s="41">
        <f>Prec.!$C$251</f>
        <v>1110</v>
      </c>
      <c r="E7733" s="31">
        <f t="shared" si="616"/>
        <v>12.21</v>
      </c>
      <c r="F7733" s="32"/>
    </row>
    <row r="7734" spans="1:13" ht="12.75" customHeight="1">
      <c r="A7734" s="12" t="s">
        <v>876</v>
      </c>
      <c r="B7734" s="30">
        <v>0.1</v>
      </c>
      <c r="C7734" s="24" t="s">
        <v>1228</v>
      </c>
      <c r="D7734" s="41">
        <f>Prec.!$C$269</f>
        <v>315</v>
      </c>
      <c r="E7734" s="31">
        <f t="shared" si="616"/>
        <v>31.5</v>
      </c>
      <c r="F7734" s="32"/>
    </row>
    <row r="7735" spans="1:13" ht="12.75" customHeight="1">
      <c r="A7735" s="12" t="s">
        <v>629</v>
      </c>
      <c r="B7735" s="30">
        <v>0.1</v>
      </c>
      <c r="C7735" s="24" t="s">
        <v>1228</v>
      </c>
      <c r="D7735" s="41">
        <f>D7720</f>
        <v>5.36</v>
      </c>
      <c r="E7735" s="31">
        <f t="shared" si="616"/>
        <v>0.54</v>
      </c>
      <c r="F7735" s="32"/>
    </row>
    <row r="7736" spans="1:13" ht="12.75" customHeight="1">
      <c r="A7736" s="12" t="s">
        <v>1176</v>
      </c>
      <c r="B7736" s="30">
        <v>1</v>
      </c>
      <c r="C7736" s="24" t="s">
        <v>213</v>
      </c>
      <c r="D7736" s="41">
        <f>Prec.!$C$267</f>
        <v>9.92</v>
      </c>
      <c r="E7736" s="31">
        <f t="shared" si="616"/>
        <v>9.92</v>
      </c>
      <c r="F7736" s="32"/>
    </row>
    <row r="7737" spans="1:13" ht="12.75" customHeight="1">
      <c r="A7737" s="12" t="s">
        <v>1274</v>
      </c>
      <c r="B7737" s="30">
        <v>1</v>
      </c>
      <c r="C7737" s="24" t="s">
        <v>213</v>
      </c>
      <c r="D7737" s="41">
        <f>Prec.!$D$635</f>
        <v>0</v>
      </c>
      <c r="E7737" s="31">
        <f t="shared" si="616"/>
        <v>0</v>
      </c>
      <c r="F7737" s="32"/>
    </row>
    <row r="7738" spans="1:13" ht="12.75" customHeight="1">
      <c r="A7738" s="12" t="s">
        <v>1275</v>
      </c>
      <c r="B7738" s="30">
        <v>1</v>
      </c>
      <c r="C7738" s="24" t="s">
        <v>213</v>
      </c>
      <c r="D7738" s="41">
        <f>Prec.!$D$636</f>
        <v>0</v>
      </c>
      <c r="E7738" s="31">
        <f t="shared" si="616"/>
        <v>0</v>
      </c>
      <c r="F7738" s="32">
        <f>SUM(E7730:E7738)</f>
        <v>176.85999999999999</v>
      </c>
    </row>
    <row r="7739" spans="1:13" ht="12.75" customHeight="1">
      <c r="A7739" s="12"/>
      <c r="B7739" s="30"/>
      <c r="C7739" s="24"/>
      <c r="D7739" s="41"/>
      <c r="E7739" s="31"/>
      <c r="F7739" s="32"/>
    </row>
    <row r="7740" spans="1:13" ht="12.75" customHeight="1">
      <c r="A7740" s="13" t="s">
        <v>379</v>
      </c>
      <c r="B7740" s="30"/>
      <c r="C7740" s="24"/>
      <c r="D7740" s="35"/>
      <c r="E7740" s="31"/>
      <c r="F7740" s="32"/>
    </row>
    <row r="7741" spans="1:13" ht="12.75" customHeight="1">
      <c r="A7741" s="12" t="s">
        <v>380</v>
      </c>
      <c r="B7741" s="30">
        <v>0.11</v>
      </c>
      <c r="C7741" s="24" t="s">
        <v>1228</v>
      </c>
      <c r="D7741" s="41">
        <f>Prec.!$C$260</f>
        <v>1115</v>
      </c>
      <c r="E7741" s="31">
        <f t="shared" ref="E7741:E7748" si="617">ROUND(B7741*D7741,2)</f>
        <v>122.65</v>
      </c>
      <c r="F7741" s="32"/>
    </row>
    <row r="7742" spans="1:13" ht="12.75" customHeight="1">
      <c r="A7742" s="12" t="s">
        <v>545</v>
      </c>
      <c r="B7742" s="30">
        <v>0.11</v>
      </c>
      <c r="C7742" s="24" t="s">
        <v>1228</v>
      </c>
      <c r="D7742" s="41">
        <f>D7735</f>
        <v>5.36</v>
      </c>
      <c r="E7742" s="31">
        <f t="shared" si="617"/>
        <v>0.59</v>
      </c>
      <c r="F7742" s="32"/>
    </row>
    <row r="7743" spans="1:13" ht="12.75" customHeight="1">
      <c r="A7743" s="12" t="s">
        <v>528</v>
      </c>
      <c r="B7743" s="30">
        <v>1.0999999999999999E-2</v>
      </c>
      <c r="C7743" s="24" t="s">
        <v>1228</v>
      </c>
      <c r="D7743" s="41">
        <f>Prec.!$C$260</f>
        <v>1115</v>
      </c>
      <c r="E7743" s="31">
        <f t="shared" si="617"/>
        <v>12.27</v>
      </c>
      <c r="F7743" s="32"/>
    </row>
    <row r="7744" spans="1:13" ht="12.75" customHeight="1">
      <c r="A7744" s="12" t="s">
        <v>1276</v>
      </c>
      <c r="B7744" s="30">
        <v>0.2</v>
      </c>
      <c r="C7744" s="24" t="s">
        <v>1228</v>
      </c>
      <c r="D7744" s="41">
        <f>Prec.!$C$290</f>
        <v>293.10000000000002</v>
      </c>
      <c r="E7744" s="31">
        <f t="shared" si="617"/>
        <v>58.62</v>
      </c>
      <c r="F7744" s="32"/>
    </row>
    <row r="7745" spans="1:6" ht="12.75" customHeight="1">
      <c r="A7745" s="12" t="s">
        <v>465</v>
      </c>
      <c r="B7745" s="30">
        <v>0.2</v>
      </c>
      <c r="C7745" s="24" t="s">
        <v>1228</v>
      </c>
      <c r="D7745" s="41">
        <f>D7742</f>
        <v>5.36</v>
      </c>
      <c r="E7745" s="31">
        <f t="shared" si="617"/>
        <v>1.07</v>
      </c>
      <c r="F7745" s="32"/>
    </row>
    <row r="7746" spans="1:6" ht="12.75" customHeight="1">
      <c r="A7746" s="12" t="s">
        <v>1176</v>
      </c>
      <c r="B7746" s="30">
        <v>1</v>
      </c>
      <c r="C7746" s="24" t="s">
        <v>213</v>
      </c>
      <c r="D7746" s="41">
        <f>Prec.!$C$267</f>
        <v>9.92</v>
      </c>
      <c r="E7746" s="31">
        <f t="shared" si="617"/>
        <v>9.92</v>
      </c>
      <c r="F7746" s="32"/>
    </row>
    <row r="7747" spans="1:6" ht="12.75" customHeight="1">
      <c r="A7747" s="12" t="s">
        <v>1273</v>
      </c>
      <c r="B7747" s="30">
        <v>1</v>
      </c>
      <c r="C7747" s="24" t="s">
        <v>213</v>
      </c>
      <c r="D7747" s="41">
        <f>Prec.!$D$637</f>
        <v>0</v>
      </c>
      <c r="E7747" s="31">
        <f t="shared" si="617"/>
        <v>0</v>
      </c>
      <c r="F7747" s="32"/>
    </row>
    <row r="7748" spans="1:6" ht="12.75" customHeight="1">
      <c r="A7748" s="12" t="s">
        <v>1272</v>
      </c>
      <c r="B7748" s="30">
        <v>1</v>
      </c>
      <c r="C7748" s="24" t="s">
        <v>213</v>
      </c>
      <c r="D7748" s="41">
        <f>Prec.!$D$638</f>
        <v>0</v>
      </c>
      <c r="E7748" s="31">
        <f t="shared" si="617"/>
        <v>0</v>
      </c>
      <c r="F7748" s="32">
        <f>SUM(E7740:E7748)</f>
        <v>205.12</v>
      </c>
    </row>
    <row r="7749" spans="1:6" ht="12.75" customHeight="1">
      <c r="A7749" s="12"/>
      <c r="B7749" s="30"/>
      <c r="C7749" s="24"/>
      <c r="D7749" s="41"/>
      <c r="E7749" s="31"/>
      <c r="F7749" s="32"/>
    </row>
    <row r="7750" spans="1:6" ht="12.75" customHeight="1">
      <c r="A7750" s="13" t="s">
        <v>381</v>
      </c>
      <c r="B7750" s="30"/>
      <c r="C7750" s="24"/>
      <c r="D7750" s="35"/>
      <c r="E7750" s="31"/>
      <c r="F7750" s="32"/>
    </row>
    <row r="7751" spans="1:6" ht="12.75" customHeight="1">
      <c r="A7751" s="12" t="s">
        <v>1277</v>
      </c>
      <c r="B7751" s="30">
        <v>0.17</v>
      </c>
      <c r="C7751" s="24" t="s">
        <v>1228</v>
      </c>
      <c r="D7751" s="41">
        <f>Prec.!$C$246</f>
        <v>1140</v>
      </c>
      <c r="E7751" s="31">
        <f t="shared" ref="E7751:E7756" si="618">ROUND(B7751*D7751,2)</f>
        <v>193.8</v>
      </c>
      <c r="F7751" s="32"/>
    </row>
    <row r="7752" spans="1:6" ht="12.75" customHeight="1">
      <c r="A7752" s="12" t="s">
        <v>545</v>
      </c>
      <c r="B7752" s="30">
        <v>0.17</v>
      </c>
      <c r="C7752" s="24" t="s">
        <v>1228</v>
      </c>
      <c r="D7752" s="41">
        <f>D7742</f>
        <v>5.36</v>
      </c>
      <c r="E7752" s="31">
        <f t="shared" si="618"/>
        <v>0.91</v>
      </c>
      <c r="F7752" s="32"/>
    </row>
    <row r="7753" spans="1:6" ht="12.75" customHeight="1">
      <c r="A7753" s="12" t="s">
        <v>528</v>
      </c>
      <c r="B7753" s="30">
        <v>1.7000000000000001E-2</v>
      </c>
      <c r="C7753" s="24" t="s">
        <v>1228</v>
      </c>
      <c r="D7753" s="41">
        <f>Prec.!$C$246</f>
        <v>1140</v>
      </c>
      <c r="E7753" s="31">
        <f t="shared" si="618"/>
        <v>19.38</v>
      </c>
      <c r="F7753" s="32"/>
    </row>
    <row r="7754" spans="1:6" ht="12.75" customHeight="1">
      <c r="A7754" s="12" t="s">
        <v>1176</v>
      </c>
      <c r="B7754" s="30">
        <v>1</v>
      </c>
      <c r="C7754" s="24" t="s">
        <v>213</v>
      </c>
      <c r="D7754" s="41">
        <f>Prec.!$C$267</f>
        <v>9.92</v>
      </c>
      <c r="E7754" s="31">
        <f t="shared" si="618"/>
        <v>9.92</v>
      </c>
      <c r="F7754" s="32"/>
    </row>
    <row r="7755" spans="1:6" ht="12.75" customHeight="1">
      <c r="A7755" s="12" t="s">
        <v>1278</v>
      </c>
      <c r="B7755" s="30">
        <v>1</v>
      </c>
      <c r="C7755" s="24" t="s">
        <v>213</v>
      </c>
      <c r="D7755" s="41">
        <f>Prec.!$D$639</f>
        <v>0</v>
      </c>
      <c r="E7755" s="31">
        <f t="shared" si="618"/>
        <v>0</v>
      </c>
      <c r="F7755" s="32"/>
    </row>
    <row r="7756" spans="1:6" ht="12.75" customHeight="1">
      <c r="A7756" s="12" t="s">
        <v>378</v>
      </c>
      <c r="B7756" s="30">
        <v>1</v>
      </c>
      <c r="C7756" s="24" t="s">
        <v>213</v>
      </c>
      <c r="D7756" s="41">
        <f>Prec.!$D$640</f>
        <v>0</v>
      </c>
      <c r="E7756" s="31">
        <f t="shared" si="618"/>
        <v>0</v>
      </c>
      <c r="F7756" s="32">
        <f>SUM(E7750:E7756)</f>
        <v>224.01</v>
      </c>
    </row>
    <row r="7757" spans="1:6" ht="12.75" customHeight="1">
      <c r="A7757" s="12"/>
      <c r="B7757" s="14"/>
      <c r="C7757" s="24"/>
      <c r="D7757" s="35"/>
      <c r="E7757" s="31"/>
      <c r="F7757" s="32"/>
    </row>
    <row r="7758" spans="1:6" ht="12.75" customHeight="1">
      <c r="A7758" s="13" t="s">
        <v>1144</v>
      </c>
      <c r="B7758" s="30"/>
      <c r="C7758" s="24"/>
      <c r="D7758" s="35"/>
      <c r="E7758" s="31"/>
      <c r="F7758" s="32"/>
    </row>
    <row r="7759" spans="1:6" ht="12.75" customHeight="1">
      <c r="A7759" s="12" t="s">
        <v>219</v>
      </c>
      <c r="B7759" s="30">
        <v>0.14699999999999999</v>
      </c>
      <c r="C7759" s="24" t="s">
        <v>1228</v>
      </c>
      <c r="D7759" s="41" t="e">
        <f>Prec.!#REF!</f>
        <v>#REF!</v>
      </c>
      <c r="E7759" s="31" t="e">
        <f t="shared" ref="E7759:E7764" si="619">ROUND(B7759*D7759,2)</f>
        <v>#REF!</v>
      </c>
      <c r="F7759" s="32"/>
    </row>
    <row r="7760" spans="1:6" ht="12.75" customHeight="1">
      <c r="A7760" s="12" t="s">
        <v>545</v>
      </c>
      <c r="B7760" s="30">
        <v>0.14699999999999999</v>
      </c>
      <c r="C7760" s="24" t="s">
        <v>1228</v>
      </c>
      <c r="D7760" s="41">
        <f>D7752</f>
        <v>5.36</v>
      </c>
      <c r="E7760" s="31">
        <f t="shared" si="619"/>
        <v>0.79</v>
      </c>
      <c r="F7760" s="32"/>
    </row>
    <row r="7761" spans="1:6" ht="12.75" customHeight="1">
      <c r="A7761" s="12" t="s">
        <v>528</v>
      </c>
      <c r="B7761" s="30">
        <v>1.4999999999999999E-2</v>
      </c>
      <c r="C7761" s="24" t="s">
        <v>1228</v>
      </c>
      <c r="D7761" s="41" t="e">
        <f>Prec.!#REF!</f>
        <v>#REF!</v>
      </c>
      <c r="E7761" s="31" t="e">
        <f t="shared" si="619"/>
        <v>#REF!</v>
      </c>
      <c r="F7761" s="32"/>
    </row>
    <row r="7762" spans="1:6" ht="12.75" customHeight="1">
      <c r="A7762" s="12" t="s">
        <v>1176</v>
      </c>
      <c r="B7762" s="30">
        <v>1</v>
      </c>
      <c r="C7762" s="24" t="s">
        <v>213</v>
      </c>
      <c r="D7762" s="41">
        <f>Prec.!$C$267</f>
        <v>9.92</v>
      </c>
      <c r="E7762" s="31">
        <f t="shared" si="619"/>
        <v>9.92</v>
      </c>
      <c r="F7762" s="32"/>
    </row>
    <row r="7763" spans="1:6" ht="12.75" customHeight="1">
      <c r="A7763" s="12" t="s">
        <v>1273</v>
      </c>
      <c r="B7763" s="30">
        <v>1</v>
      </c>
      <c r="C7763" s="24" t="s">
        <v>213</v>
      </c>
      <c r="D7763" s="41">
        <f>Prec.!$D$637</f>
        <v>0</v>
      </c>
      <c r="E7763" s="31">
        <f t="shared" si="619"/>
        <v>0</v>
      </c>
      <c r="F7763" s="32"/>
    </row>
    <row r="7764" spans="1:6" ht="12.75" customHeight="1">
      <c r="A7764" s="12" t="s">
        <v>1272</v>
      </c>
      <c r="B7764" s="30">
        <v>1</v>
      </c>
      <c r="C7764" s="24" t="s">
        <v>213</v>
      </c>
      <c r="D7764" s="41">
        <f>Prec.!$D$636</f>
        <v>0</v>
      </c>
      <c r="E7764" s="31">
        <f t="shared" si="619"/>
        <v>0</v>
      </c>
      <c r="F7764" s="32" t="e">
        <f>SUM(E7758:E7764)</f>
        <v>#REF!</v>
      </c>
    </row>
    <row r="7765" spans="1:6" ht="12.75" customHeight="1">
      <c r="A7765" s="12"/>
      <c r="B7765" s="30"/>
      <c r="C7765" s="24"/>
      <c r="D7765" s="41"/>
      <c r="E7765" s="31"/>
      <c r="F7765" s="32"/>
    </row>
    <row r="7766" spans="1:6" ht="12.75" customHeight="1">
      <c r="A7766" s="13" t="s">
        <v>484</v>
      </c>
      <c r="B7766" s="30"/>
      <c r="C7766" s="24"/>
      <c r="D7766" s="35"/>
      <c r="E7766" s="31"/>
      <c r="F7766" s="32"/>
    </row>
    <row r="7767" spans="1:6" ht="12.75" customHeight="1">
      <c r="A7767" s="12" t="s">
        <v>483</v>
      </c>
      <c r="B7767" s="30">
        <v>0.14699999999999999</v>
      </c>
      <c r="C7767" s="24" t="s">
        <v>1228</v>
      </c>
      <c r="D7767" s="41">
        <f>Prec.!$C$261</f>
        <v>842</v>
      </c>
      <c r="E7767" s="31">
        <f t="shared" ref="E7767:E7776" si="620">ROUND(B7767*D7767,2)</f>
        <v>123.77</v>
      </c>
      <c r="F7767" s="32"/>
    </row>
    <row r="7768" spans="1:6" ht="12.75" customHeight="1">
      <c r="A7768" s="12" t="s">
        <v>545</v>
      </c>
      <c r="B7768" s="30">
        <v>0.14699999999999999</v>
      </c>
      <c r="C7768" s="24" t="s">
        <v>1228</v>
      </c>
      <c r="D7768" s="41">
        <f>D7760</f>
        <v>5.36</v>
      </c>
      <c r="E7768" s="31">
        <f t="shared" si="620"/>
        <v>0.79</v>
      </c>
      <c r="F7768" s="32"/>
    </row>
    <row r="7769" spans="1:6" ht="12.75" customHeight="1">
      <c r="A7769" s="12" t="s">
        <v>528</v>
      </c>
      <c r="B7769" s="30">
        <v>1.4999999999999999E-2</v>
      </c>
      <c r="C7769" s="24" t="s">
        <v>1228</v>
      </c>
      <c r="D7769" s="41">
        <f>Prec.!$C$261</f>
        <v>842</v>
      </c>
      <c r="E7769" s="31">
        <f t="shared" si="620"/>
        <v>12.63</v>
      </c>
      <c r="F7769" s="32"/>
    </row>
    <row r="7770" spans="1:6" ht="12.75" customHeight="1">
      <c r="A7770" s="12" t="s">
        <v>983</v>
      </c>
      <c r="B7770" s="30">
        <f>B7767*2</f>
        <v>0.29399999999999998</v>
      </c>
      <c r="C7770" s="24" t="s">
        <v>1228</v>
      </c>
      <c r="D7770" s="41">
        <f>Prec.!C271</f>
        <v>330</v>
      </c>
      <c r="E7770" s="31">
        <f t="shared" si="620"/>
        <v>97.02</v>
      </c>
      <c r="F7770" s="32"/>
    </row>
    <row r="7771" spans="1:6" ht="12.75" customHeight="1">
      <c r="A7771" s="12" t="s">
        <v>532</v>
      </c>
      <c r="B7771" s="30">
        <v>0.29399999999999998</v>
      </c>
      <c r="C7771" s="24" t="s">
        <v>1228</v>
      </c>
      <c r="D7771" s="41">
        <f>D7768</f>
        <v>5.36</v>
      </c>
      <c r="E7771" s="31">
        <f t="shared" si="620"/>
        <v>1.58</v>
      </c>
      <c r="F7771" s="32"/>
    </row>
    <row r="7772" spans="1:6" ht="12.75" customHeight="1">
      <c r="A7772" s="12" t="s">
        <v>1075</v>
      </c>
      <c r="B7772" s="30">
        <v>0.14699999999999999</v>
      </c>
      <c r="C7772" s="24" t="s">
        <v>1228</v>
      </c>
      <c r="D7772" s="41">
        <f>Prec.!$C$272</f>
        <v>900</v>
      </c>
      <c r="E7772" s="31">
        <f t="shared" si="620"/>
        <v>132.30000000000001</v>
      </c>
      <c r="F7772" s="32"/>
    </row>
    <row r="7773" spans="1:6" ht="12.75" customHeight="1">
      <c r="A7773" s="12" t="s">
        <v>982</v>
      </c>
      <c r="B7773" s="30">
        <v>0.14699999999999999</v>
      </c>
      <c r="C7773" s="24" t="s">
        <v>1228</v>
      </c>
      <c r="D7773" s="41">
        <f>D7768</f>
        <v>5.36</v>
      </c>
      <c r="E7773" s="31">
        <f t="shared" si="620"/>
        <v>0.79</v>
      </c>
      <c r="F7773" s="32"/>
    </row>
    <row r="7774" spans="1:6" ht="12.75" customHeight="1">
      <c r="A7774" s="12" t="s">
        <v>1176</v>
      </c>
      <c r="B7774" s="30">
        <v>1</v>
      </c>
      <c r="C7774" s="24" t="s">
        <v>213</v>
      </c>
      <c r="D7774" s="41">
        <f>D7762</f>
        <v>9.92</v>
      </c>
      <c r="E7774" s="31">
        <f t="shared" si="620"/>
        <v>9.92</v>
      </c>
      <c r="F7774" s="32"/>
    </row>
    <row r="7775" spans="1:6" ht="12.75" customHeight="1">
      <c r="A7775" s="12" t="s">
        <v>481</v>
      </c>
      <c r="B7775" s="30">
        <v>1</v>
      </c>
      <c r="C7775" s="24" t="s">
        <v>213</v>
      </c>
      <c r="D7775" s="41">
        <f>Prec.!$D$641</f>
        <v>0</v>
      </c>
      <c r="E7775" s="31">
        <f t="shared" si="620"/>
        <v>0</v>
      </c>
      <c r="F7775" s="32"/>
    </row>
    <row r="7776" spans="1:6" ht="12.75" customHeight="1">
      <c r="A7776" s="12" t="s">
        <v>482</v>
      </c>
      <c r="B7776" s="30">
        <v>1</v>
      </c>
      <c r="C7776" s="24" t="s">
        <v>213</v>
      </c>
      <c r="D7776" s="41">
        <f>Prec.!$D$642</f>
        <v>0</v>
      </c>
      <c r="E7776" s="31">
        <f t="shared" si="620"/>
        <v>0</v>
      </c>
      <c r="F7776" s="32">
        <f>SUM(E7766:E7776)</f>
        <v>378.80000000000007</v>
      </c>
    </row>
    <row r="7777" spans="1:13" ht="12.75" customHeight="1">
      <c r="A7777" s="12"/>
      <c r="B7777" s="30"/>
      <c r="C7777" s="24"/>
      <c r="D7777" s="41"/>
      <c r="E7777" s="31"/>
      <c r="F7777" s="32"/>
    </row>
    <row r="7778" spans="1:13" s="166" customFormat="1" ht="12.75" customHeight="1">
      <c r="A7778" s="12"/>
      <c r="B7778" s="30"/>
      <c r="C7778" s="24"/>
      <c r="D7778" s="41"/>
      <c r="E7778" s="31"/>
      <c r="F7778" s="32"/>
      <c r="G7778" s="15"/>
      <c r="H7778" s="21"/>
      <c r="I7778" s="15"/>
      <c r="J7778" s="15"/>
      <c r="K7778" s="15"/>
      <c r="L7778" s="21"/>
      <c r="M7778" s="15"/>
    </row>
    <row r="7779" spans="1:13" s="166" customFormat="1" ht="12.75" customHeight="1">
      <c r="A7779" s="12"/>
      <c r="B7779" s="30"/>
      <c r="C7779" s="24"/>
      <c r="D7779" s="41"/>
      <c r="E7779" s="31"/>
      <c r="F7779" s="32"/>
      <c r="G7779" s="15"/>
      <c r="H7779" s="21"/>
      <c r="I7779" s="15"/>
      <c r="J7779" s="15"/>
      <c r="K7779" s="15"/>
      <c r="L7779" s="21"/>
      <c r="M7779" s="15"/>
    </row>
    <row r="7780" spans="1:13" ht="12.75" customHeight="1">
      <c r="A7780" s="13" t="s">
        <v>485</v>
      </c>
      <c r="B7780" s="30"/>
      <c r="C7780" s="24"/>
      <c r="D7780" s="35"/>
      <c r="E7780" s="31"/>
      <c r="F7780" s="32"/>
    </row>
    <row r="7781" spans="1:13" ht="12.75" customHeight="1">
      <c r="A7781" s="12" t="s">
        <v>483</v>
      </c>
      <c r="B7781" s="30">
        <v>0.14699999999999999</v>
      </c>
      <c r="C7781" s="24" t="s">
        <v>1228</v>
      </c>
      <c r="D7781" s="41">
        <f>Prec.!$C$261</f>
        <v>842</v>
      </c>
      <c r="E7781" s="31">
        <f t="shared" ref="E7781:E7788" si="621">ROUND(B7781*D7781,2)</f>
        <v>123.77</v>
      </c>
      <c r="F7781" s="32"/>
    </row>
    <row r="7782" spans="1:13" ht="12.75" customHeight="1">
      <c r="A7782" s="12" t="s">
        <v>545</v>
      </c>
      <c r="B7782" s="30">
        <v>0.14699999999999999</v>
      </c>
      <c r="C7782" s="24" t="s">
        <v>1228</v>
      </c>
      <c r="D7782" s="41">
        <f>D7771</f>
        <v>5.36</v>
      </c>
      <c r="E7782" s="31">
        <f>B7782*D7782</f>
        <v>0.78791999999999995</v>
      </c>
      <c r="F7782" s="32"/>
    </row>
    <row r="7783" spans="1:13" ht="12.75" customHeight="1">
      <c r="A7783" s="12" t="s">
        <v>528</v>
      </c>
      <c r="B7783" s="30">
        <v>1.4999999999999999E-2</v>
      </c>
      <c r="C7783" s="24" t="s">
        <v>1228</v>
      </c>
      <c r="D7783" s="41">
        <f>Prec.!$C$261</f>
        <v>842</v>
      </c>
      <c r="E7783" s="31">
        <f t="shared" si="621"/>
        <v>12.63</v>
      </c>
      <c r="F7783" s="32"/>
    </row>
    <row r="7784" spans="1:13" ht="12.75" customHeight="1">
      <c r="A7784" s="12" t="s">
        <v>983</v>
      </c>
      <c r="B7784" s="30">
        <v>0.29399999999999998</v>
      </c>
      <c r="C7784" s="24" t="s">
        <v>1228</v>
      </c>
      <c r="D7784" s="41">
        <f>D7770</f>
        <v>330</v>
      </c>
      <c r="E7784" s="31">
        <f t="shared" si="621"/>
        <v>97.02</v>
      </c>
      <c r="F7784" s="32"/>
    </row>
    <row r="7785" spans="1:13" ht="12.75" customHeight="1">
      <c r="A7785" s="12" t="s">
        <v>532</v>
      </c>
      <c r="B7785" s="30">
        <v>0.29399999999999998</v>
      </c>
      <c r="C7785" s="24" t="s">
        <v>1228</v>
      </c>
      <c r="D7785" s="41">
        <f>D7782</f>
        <v>5.36</v>
      </c>
      <c r="E7785" s="31">
        <f t="shared" si="621"/>
        <v>1.58</v>
      </c>
      <c r="F7785" s="32"/>
    </row>
    <row r="7786" spans="1:13" ht="12.75" customHeight="1">
      <c r="A7786" s="12" t="s">
        <v>1176</v>
      </c>
      <c r="B7786" s="30">
        <v>1</v>
      </c>
      <c r="C7786" s="24" t="s">
        <v>213</v>
      </c>
      <c r="D7786" s="41">
        <f>Prec.!C267</f>
        <v>9.92</v>
      </c>
      <c r="E7786" s="31">
        <f t="shared" si="621"/>
        <v>9.92</v>
      </c>
      <c r="F7786" s="32"/>
    </row>
    <row r="7787" spans="1:13" ht="12.75" customHeight="1">
      <c r="A7787" s="12" t="s">
        <v>481</v>
      </c>
      <c r="B7787" s="30">
        <v>1</v>
      </c>
      <c r="C7787" s="24" t="s">
        <v>213</v>
      </c>
      <c r="D7787" s="41">
        <f>Prec.!$D$641</f>
        <v>0</v>
      </c>
      <c r="E7787" s="31">
        <f t="shared" si="621"/>
        <v>0</v>
      </c>
      <c r="F7787" s="32"/>
    </row>
    <row r="7788" spans="1:13" ht="12.75" customHeight="1">
      <c r="A7788" s="12" t="s">
        <v>482</v>
      </c>
      <c r="B7788" s="30">
        <v>1</v>
      </c>
      <c r="C7788" s="24" t="s">
        <v>213</v>
      </c>
      <c r="D7788" s="41">
        <f>Prec.!$D$642</f>
        <v>0</v>
      </c>
      <c r="E7788" s="31">
        <f t="shared" si="621"/>
        <v>0</v>
      </c>
      <c r="F7788" s="32">
        <f>SUM(E7780:E7788)</f>
        <v>245.70792</v>
      </c>
    </row>
    <row r="7789" spans="1:13" ht="6" customHeight="1">
      <c r="A7789" s="12"/>
      <c r="B7789" s="30"/>
      <c r="C7789" s="24"/>
      <c r="D7789" s="41"/>
      <c r="E7789" s="31"/>
      <c r="F7789" s="32"/>
    </row>
    <row r="7790" spans="1:13" ht="12.75" customHeight="1">
      <c r="A7790" s="13" t="s">
        <v>534</v>
      </c>
      <c r="B7790" s="30"/>
      <c r="C7790" s="24"/>
      <c r="D7790" s="41"/>
      <c r="E7790" s="31"/>
      <c r="F7790" s="32"/>
    </row>
    <row r="7791" spans="1:13" ht="12.75" customHeight="1">
      <c r="A7791" s="12" t="s">
        <v>535</v>
      </c>
      <c r="B7791" s="30">
        <v>0.14699999999999999</v>
      </c>
      <c r="C7791" s="24" t="s">
        <v>1228</v>
      </c>
      <c r="D7791" s="41">
        <f>Prec.!C273</f>
        <v>575</v>
      </c>
      <c r="E7791" s="31">
        <f>ROUND(B7791*D7791,2)</f>
        <v>84.53</v>
      </c>
      <c r="F7791" s="32"/>
    </row>
    <row r="7792" spans="1:13" ht="12.75" customHeight="1">
      <c r="A7792" s="12" t="s">
        <v>545</v>
      </c>
      <c r="B7792" s="30">
        <v>0.14699999999999999</v>
      </c>
      <c r="C7792" s="24" t="s">
        <v>1228</v>
      </c>
      <c r="D7792" s="41">
        <f>D7785</f>
        <v>5.36</v>
      </c>
      <c r="E7792" s="31">
        <f>ROUND(B7792*D7792,2)</f>
        <v>0.79</v>
      </c>
      <c r="F7792" s="32"/>
    </row>
    <row r="7793" spans="1:6" ht="12.75" customHeight="1">
      <c r="A7793" s="12" t="s">
        <v>538</v>
      </c>
      <c r="B7793" s="30">
        <v>1.4999999999999999E-2</v>
      </c>
      <c r="C7793" s="24" t="s">
        <v>1228</v>
      </c>
      <c r="D7793" s="41">
        <f>D7791</f>
        <v>575</v>
      </c>
      <c r="E7793" s="31">
        <f>ROUND(B7793*D7793,2)</f>
        <v>8.6300000000000008</v>
      </c>
      <c r="F7793" s="32"/>
    </row>
    <row r="7794" spans="1:6" ht="12.75" customHeight="1">
      <c r="A7794" s="12" t="s">
        <v>981</v>
      </c>
      <c r="B7794" s="30">
        <v>0.29399999999999998</v>
      </c>
      <c r="C7794" s="24" t="s">
        <v>1228</v>
      </c>
      <c r="D7794" s="41">
        <f>Prec.!C270</f>
        <v>330</v>
      </c>
      <c r="E7794" s="31">
        <f t="shared" ref="E7794:E7800" si="622">ROUND(B7794*D7794,2)</f>
        <v>97.02</v>
      </c>
      <c r="F7794" s="32"/>
    </row>
    <row r="7795" spans="1:6" ht="12.75" customHeight="1">
      <c r="A7795" s="12" t="s">
        <v>532</v>
      </c>
      <c r="B7795" s="30">
        <v>0.29399999999999998</v>
      </c>
      <c r="C7795" s="24" t="s">
        <v>1228</v>
      </c>
      <c r="D7795" s="41">
        <f>D7792</f>
        <v>5.36</v>
      </c>
      <c r="E7795" s="31">
        <f t="shared" si="622"/>
        <v>1.58</v>
      </c>
      <c r="F7795" s="32"/>
    </row>
    <row r="7796" spans="1:6" ht="12.75" customHeight="1">
      <c r="A7796" s="12" t="s">
        <v>1075</v>
      </c>
      <c r="B7796" s="30">
        <v>0.14699999999999999</v>
      </c>
      <c r="C7796" s="24" t="s">
        <v>1228</v>
      </c>
      <c r="D7796" s="41">
        <f>Prec.!C272</f>
        <v>900</v>
      </c>
      <c r="E7796" s="31">
        <f t="shared" si="622"/>
        <v>132.30000000000001</v>
      </c>
      <c r="F7796" s="32"/>
    </row>
    <row r="7797" spans="1:6" ht="12.75" customHeight="1">
      <c r="A7797" s="12" t="s">
        <v>628</v>
      </c>
      <c r="B7797" s="30">
        <v>0.14699999999999999</v>
      </c>
      <c r="C7797" s="24" t="s">
        <v>1228</v>
      </c>
      <c r="D7797" s="41">
        <f>D7795</f>
        <v>5.36</v>
      </c>
      <c r="E7797" s="31">
        <f t="shared" si="622"/>
        <v>0.79</v>
      </c>
      <c r="F7797" s="32"/>
    </row>
    <row r="7798" spans="1:6" ht="12.75" customHeight="1">
      <c r="A7798" s="12" t="s">
        <v>1176</v>
      </c>
      <c r="B7798" s="30">
        <v>1</v>
      </c>
      <c r="C7798" s="24" t="s">
        <v>213</v>
      </c>
      <c r="D7798" s="41">
        <f>D7786</f>
        <v>9.92</v>
      </c>
      <c r="E7798" s="31">
        <f t="shared" si="622"/>
        <v>9.92</v>
      </c>
      <c r="F7798" s="32"/>
    </row>
    <row r="7799" spans="1:6" ht="12.75" customHeight="1">
      <c r="A7799" s="12" t="s">
        <v>536</v>
      </c>
      <c r="B7799" s="30">
        <v>1</v>
      </c>
      <c r="C7799" s="24" t="s">
        <v>213</v>
      </c>
      <c r="D7799" s="41">
        <f>D7787</f>
        <v>0</v>
      </c>
      <c r="E7799" s="31">
        <f t="shared" si="622"/>
        <v>0</v>
      </c>
      <c r="F7799" s="32"/>
    </row>
    <row r="7800" spans="1:6" ht="12.75" customHeight="1">
      <c r="A7800" s="12" t="s">
        <v>537</v>
      </c>
      <c r="B7800" s="30">
        <v>1</v>
      </c>
      <c r="C7800" s="24" t="s">
        <v>213</v>
      </c>
      <c r="D7800" s="41">
        <f>D7788</f>
        <v>0</v>
      </c>
      <c r="E7800" s="31">
        <f t="shared" si="622"/>
        <v>0</v>
      </c>
      <c r="F7800" s="32">
        <f>SUM(E7791:E7800)</f>
        <v>335.56000000000006</v>
      </c>
    </row>
    <row r="7801" spans="1:6" ht="5.25" customHeight="1">
      <c r="A7801" s="12"/>
      <c r="B7801" s="30"/>
      <c r="C7801" s="24"/>
      <c r="D7801" s="41"/>
      <c r="E7801" s="31"/>
      <c r="F7801" s="32"/>
    </row>
    <row r="7802" spans="1:6" ht="12.75" customHeight="1">
      <c r="A7802" s="13" t="s">
        <v>1140</v>
      </c>
      <c r="B7802" s="30"/>
      <c r="C7802" s="24"/>
      <c r="D7802" s="41"/>
      <c r="E7802" s="31"/>
      <c r="F7802" s="32"/>
    </row>
    <row r="7803" spans="1:6" ht="12.75" customHeight="1">
      <c r="A7803" s="12" t="s">
        <v>535</v>
      </c>
      <c r="B7803" s="30">
        <v>0.14699999999999999</v>
      </c>
      <c r="C7803" s="24" t="s">
        <v>1228</v>
      </c>
      <c r="D7803" s="41">
        <f>D7791</f>
        <v>575</v>
      </c>
      <c r="E7803" s="31">
        <f>ROUND(B7803*D7803,2)</f>
        <v>84.53</v>
      </c>
      <c r="F7803" s="32"/>
    </row>
    <row r="7804" spans="1:6" ht="12.75" customHeight="1">
      <c r="A7804" s="12" t="s">
        <v>1074</v>
      </c>
      <c r="B7804" s="30">
        <v>0.14699999999999999</v>
      </c>
      <c r="C7804" s="24" t="s">
        <v>1228</v>
      </c>
      <c r="D7804" s="41">
        <f>D7792</f>
        <v>5.36</v>
      </c>
      <c r="E7804" s="31">
        <f>ROUND(B7804*D7804,2)</f>
        <v>0.79</v>
      </c>
      <c r="F7804" s="32"/>
    </row>
    <row r="7805" spans="1:6" ht="12.75" customHeight="1">
      <c r="A7805" s="12" t="s">
        <v>1141</v>
      </c>
      <c r="B7805" s="30">
        <v>0.5</v>
      </c>
      <c r="C7805" s="24" t="s">
        <v>1142</v>
      </c>
      <c r="D7805" s="41">
        <f>Prec.!C274</f>
        <v>210</v>
      </c>
      <c r="E7805" s="31">
        <f>ROUND(B7805*D7805,2)</f>
        <v>105</v>
      </c>
      <c r="F7805" s="32"/>
    </row>
    <row r="7806" spans="1:6" ht="12.75" customHeight="1">
      <c r="A7806" s="12" t="s">
        <v>538</v>
      </c>
      <c r="B7806" s="30">
        <v>1.4999999999999999E-2</v>
      </c>
      <c r="C7806" s="24" t="s">
        <v>1228</v>
      </c>
      <c r="D7806" s="41">
        <f>D7803</f>
        <v>575</v>
      </c>
      <c r="E7806" s="31">
        <f>ROUND(B7806*D7806,2)</f>
        <v>8.6300000000000008</v>
      </c>
      <c r="F7806" s="32"/>
    </row>
    <row r="7807" spans="1:6" ht="12.75" customHeight="1">
      <c r="A7807" s="12" t="s">
        <v>659</v>
      </c>
      <c r="B7807" s="30">
        <f>B7803*2</f>
        <v>0.29399999999999998</v>
      </c>
      <c r="C7807" s="24" t="s">
        <v>1228</v>
      </c>
      <c r="D7807" s="41">
        <f>D7794</f>
        <v>330</v>
      </c>
      <c r="E7807" s="31">
        <f t="shared" ref="E7807:E7813" si="623">ROUND(B7807*D7807,2)</f>
        <v>97.02</v>
      </c>
      <c r="F7807" s="32"/>
    </row>
    <row r="7808" spans="1:6" ht="12.75" customHeight="1">
      <c r="A7808" s="12" t="s">
        <v>532</v>
      </c>
      <c r="B7808" s="30">
        <v>0.29399999999999998</v>
      </c>
      <c r="C7808" s="24" t="s">
        <v>1228</v>
      </c>
      <c r="D7808" s="41">
        <f>D7804</f>
        <v>5.36</v>
      </c>
      <c r="E7808" s="31">
        <f t="shared" si="623"/>
        <v>1.58</v>
      </c>
      <c r="F7808" s="32"/>
    </row>
    <row r="7809" spans="1:6" ht="12.75" customHeight="1">
      <c r="A7809" s="12" t="s">
        <v>1075</v>
      </c>
      <c r="B7809" s="30">
        <v>0.14699999999999999</v>
      </c>
      <c r="C7809" s="24" t="s">
        <v>1228</v>
      </c>
      <c r="D7809" s="41">
        <f>D7796</f>
        <v>900</v>
      </c>
      <c r="E7809" s="31">
        <f t="shared" si="623"/>
        <v>132.30000000000001</v>
      </c>
      <c r="F7809" s="32"/>
    </row>
    <row r="7810" spans="1:6" ht="12.75" customHeight="1">
      <c r="A7810" s="12" t="s">
        <v>660</v>
      </c>
      <c r="B7810" s="30">
        <v>0.14699999999999999</v>
      </c>
      <c r="C7810" s="24" t="s">
        <v>1228</v>
      </c>
      <c r="D7810" s="41">
        <f>D7808</f>
        <v>5.36</v>
      </c>
      <c r="E7810" s="31">
        <f t="shared" si="623"/>
        <v>0.79</v>
      </c>
      <c r="F7810" s="32"/>
    </row>
    <row r="7811" spans="1:6" ht="12.75" customHeight="1">
      <c r="A7811" s="12" t="s">
        <v>1176</v>
      </c>
      <c r="B7811" s="30">
        <v>1</v>
      </c>
      <c r="C7811" s="24" t="s">
        <v>213</v>
      </c>
      <c r="D7811" s="41">
        <f>D7798</f>
        <v>9.92</v>
      </c>
      <c r="E7811" s="31">
        <f t="shared" si="623"/>
        <v>9.92</v>
      </c>
      <c r="F7811" s="32"/>
    </row>
    <row r="7812" spans="1:6" ht="12.75" customHeight="1">
      <c r="A7812" s="12" t="s">
        <v>536</v>
      </c>
      <c r="B7812" s="30">
        <v>1</v>
      </c>
      <c r="C7812" s="24" t="s">
        <v>213</v>
      </c>
      <c r="D7812" s="41">
        <f>D7799</f>
        <v>0</v>
      </c>
      <c r="E7812" s="31">
        <f t="shared" si="623"/>
        <v>0</v>
      </c>
      <c r="F7812" s="32"/>
    </row>
    <row r="7813" spans="1:6" ht="12.75" customHeight="1">
      <c r="A7813" s="12" t="s">
        <v>537</v>
      </c>
      <c r="B7813" s="30">
        <v>1</v>
      </c>
      <c r="C7813" s="24" t="s">
        <v>213</v>
      </c>
      <c r="D7813" s="41">
        <f>D7799</f>
        <v>0</v>
      </c>
      <c r="E7813" s="31">
        <f t="shared" si="623"/>
        <v>0</v>
      </c>
      <c r="F7813" s="32">
        <f>SUM(E7803:E7813)</f>
        <v>440.56</v>
      </c>
    </row>
    <row r="7814" spans="1:6" ht="6.75" customHeight="1">
      <c r="D7814" s="36"/>
    </row>
    <row r="7815" spans="1:6" ht="12.75" customHeight="1">
      <c r="A7815" s="23" t="s">
        <v>1189</v>
      </c>
      <c r="B7815" s="7"/>
    </row>
    <row r="7816" spans="1:6" ht="8.25" customHeight="1">
      <c r="B7816" s="7"/>
    </row>
    <row r="7817" spans="1:6" ht="12.75" customHeight="1">
      <c r="A7817" s="1" t="s">
        <v>527</v>
      </c>
    </row>
    <row r="7818" spans="1:6" ht="12.75" customHeight="1">
      <c r="A7818" s="4" t="s">
        <v>894</v>
      </c>
      <c r="B7818" s="8">
        <v>0.11</v>
      </c>
      <c r="C7818" s="6" t="s">
        <v>1228</v>
      </c>
      <c r="D7818" s="36">
        <f>Prec.!$C$249</f>
        <v>325</v>
      </c>
      <c r="E7818" s="25">
        <f t="shared" ref="E7818:E7823" si="624">ROUND(B7818*D7818,2)</f>
        <v>35.75</v>
      </c>
    </row>
    <row r="7819" spans="1:6" ht="12.75" customHeight="1">
      <c r="A7819" s="4" t="s">
        <v>545</v>
      </c>
      <c r="B7819" s="8">
        <v>0.11</v>
      </c>
      <c r="C7819" s="6" t="s">
        <v>1228</v>
      </c>
      <c r="D7819" s="36">
        <f>Prec.!D656</f>
        <v>6.58</v>
      </c>
      <c r="E7819" s="25">
        <f t="shared" si="624"/>
        <v>0.72</v>
      </c>
    </row>
    <row r="7820" spans="1:6" ht="12.75" customHeight="1">
      <c r="A7820" s="4" t="s">
        <v>528</v>
      </c>
      <c r="B7820" s="8">
        <v>1.0999999999999999E-2</v>
      </c>
      <c r="C7820" s="6" t="s">
        <v>1228</v>
      </c>
      <c r="D7820" s="36">
        <f>Prec.!$C$249</f>
        <v>325</v>
      </c>
      <c r="E7820" s="25">
        <f t="shared" si="624"/>
        <v>3.58</v>
      </c>
    </row>
    <row r="7821" spans="1:6" ht="12.75" customHeight="1">
      <c r="A7821" s="4" t="s">
        <v>1176</v>
      </c>
      <c r="B7821" s="8">
        <v>1</v>
      </c>
      <c r="C7821" s="6" t="s">
        <v>213</v>
      </c>
      <c r="D7821" s="36">
        <f>Prec.!$C$267</f>
        <v>9.92</v>
      </c>
      <c r="E7821" s="25">
        <f t="shared" si="624"/>
        <v>9.92</v>
      </c>
    </row>
    <row r="7822" spans="1:6" ht="12.75" customHeight="1">
      <c r="A7822" s="4" t="s">
        <v>257</v>
      </c>
      <c r="B7822" s="8">
        <v>1</v>
      </c>
      <c r="C7822" s="6" t="s">
        <v>213</v>
      </c>
      <c r="D7822" s="36">
        <f>Prec.!$D$635</f>
        <v>0</v>
      </c>
      <c r="E7822" s="25">
        <f t="shared" si="624"/>
        <v>0</v>
      </c>
    </row>
    <row r="7823" spans="1:6" ht="12.75" customHeight="1">
      <c r="A7823" s="4" t="s">
        <v>560</v>
      </c>
      <c r="B7823" s="8">
        <v>1</v>
      </c>
      <c r="C7823" s="6" t="s">
        <v>213</v>
      </c>
      <c r="D7823" s="36">
        <f>Prec.!$D$636</f>
        <v>0</v>
      </c>
      <c r="E7823" s="25">
        <f t="shared" si="624"/>
        <v>0</v>
      </c>
      <c r="F7823" s="26">
        <f>SUM(E7817:E7823)</f>
        <v>49.97</v>
      </c>
    </row>
    <row r="7824" spans="1:6" ht="6" customHeight="1">
      <c r="B7824" s="7"/>
    </row>
    <row r="7825" spans="1:6" ht="12.75" customHeight="1">
      <c r="A7825" s="1" t="s">
        <v>874</v>
      </c>
    </row>
    <row r="7826" spans="1:6" ht="12.75" customHeight="1">
      <c r="A7826" s="4" t="s">
        <v>1277</v>
      </c>
      <c r="B7826" s="8">
        <v>0.11</v>
      </c>
      <c r="C7826" s="6" t="s">
        <v>1228</v>
      </c>
      <c r="D7826" s="36">
        <f>Prec.!$C$246</f>
        <v>1140</v>
      </c>
      <c r="E7826" s="25">
        <f t="shared" ref="E7826:E7831" si="625">ROUND(B7826*D7826,2)</f>
        <v>125.4</v>
      </c>
    </row>
    <row r="7827" spans="1:6" ht="12.75" customHeight="1">
      <c r="A7827" s="4" t="s">
        <v>545</v>
      </c>
      <c r="B7827" s="8">
        <v>0.11</v>
      </c>
      <c r="C7827" s="6" t="s">
        <v>1228</v>
      </c>
      <c r="D7827" s="36">
        <f>D7819</f>
        <v>6.58</v>
      </c>
      <c r="E7827" s="25">
        <f t="shared" si="625"/>
        <v>0.72</v>
      </c>
    </row>
    <row r="7828" spans="1:6" ht="12.75" customHeight="1">
      <c r="A7828" s="4" t="s">
        <v>528</v>
      </c>
      <c r="B7828" s="8">
        <v>1.0999999999999999E-2</v>
      </c>
      <c r="C7828" s="6" t="s">
        <v>1228</v>
      </c>
      <c r="D7828" s="36">
        <f>Prec.!$C$246</f>
        <v>1140</v>
      </c>
      <c r="E7828" s="25">
        <f t="shared" si="625"/>
        <v>12.54</v>
      </c>
    </row>
    <row r="7829" spans="1:6" ht="12.75" customHeight="1">
      <c r="A7829" s="4" t="s">
        <v>1176</v>
      </c>
      <c r="B7829" s="8">
        <v>1</v>
      </c>
      <c r="C7829" s="6" t="s">
        <v>213</v>
      </c>
      <c r="D7829" s="36">
        <f>Prec.!$C$267</f>
        <v>9.92</v>
      </c>
      <c r="E7829" s="25">
        <f t="shared" si="625"/>
        <v>9.92</v>
      </c>
    </row>
    <row r="7830" spans="1:6" ht="12.75" customHeight="1">
      <c r="A7830" s="4" t="s">
        <v>1274</v>
      </c>
      <c r="B7830" s="8">
        <v>1</v>
      </c>
      <c r="C7830" s="6" t="s">
        <v>213</v>
      </c>
      <c r="D7830" s="36">
        <f>Prec.!$D$635</f>
        <v>0</v>
      </c>
      <c r="E7830" s="25">
        <f t="shared" si="625"/>
        <v>0</v>
      </c>
    </row>
    <row r="7831" spans="1:6" ht="12.75" customHeight="1">
      <c r="A7831" s="4" t="s">
        <v>1275</v>
      </c>
      <c r="B7831" s="8">
        <v>1</v>
      </c>
      <c r="C7831" s="6" t="s">
        <v>213</v>
      </c>
      <c r="D7831" s="36">
        <f>Prec.!$D$636</f>
        <v>0</v>
      </c>
      <c r="E7831" s="25">
        <f t="shared" si="625"/>
        <v>0</v>
      </c>
      <c r="F7831" s="26">
        <f>SUM(E7825:E7831)</f>
        <v>148.57999999999998</v>
      </c>
    </row>
    <row r="7832" spans="1:6" ht="12.75" customHeight="1">
      <c r="A7832" s="1" t="s">
        <v>872</v>
      </c>
    </row>
    <row r="7833" spans="1:6" ht="12.75" customHeight="1">
      <c r="A7833" s="4" t="s">
        <v>1277</v>
      </c>
      <c r="B7833" s="8">
        <v>0.11</v>
      </c>
      <c r="C7833" s="6" t="s">
        <v>1228</v>
      </c>
      <c r="D7833" s="36">
        <f>Prec.!$C$246</f>
        <v>1140</v>
      </c>
      <c r="E7833" s="25">
        <f t="shared" ref="E7833:E7839" si="626">ROUND(B7833*D7833,2)</f>
        <v>125.4</v>
      </c>
    </row>
    <row r="7834" spans="1:6" ht="12.75" customHeight="1">
      <c r="A7834" s="4" t="s">
        <v>545</v>
      </c>
      <c r="B7834" s="8">
        <v>0.11</v>
      </c>
      <c r="C7834" s="6" t="s">
        <v>1228</v>
      </c>
      <c r="D7834" s="36">
        <f>D7827</f>
        <v>6.58</v>
      </c>
      <c r="E7834" s="25">
        <f t="shared" si="626"/>
        <v>0.72</v>
      </c>
    </row>
    <row r="7835" spans="1:6" ht="12.75" customHeight="1">
      <c r="A7835" s="4" t="s">
        <v>528</v>
      </c>
      <c r="B7835" s="8">
        <v>1.0999999999999999E-2</v>
      </c>
      <c r="C7835" s="6" t="s">
        <v>1228</v>
      </c>
      <c r="D7835" s="36">
        <f>Prec.!$C$246</f>
        <v>1140</v>
      </c>
      <c r="E7835" s="25">
        <f t="shared" si="626"/>
        <v>12.54</v>
      </c>
    </row>
    <row r="7836" spans="1:6" ht="12.75" customHeight="1">
      <c r="A7836" s="4" t="s">
        <v>1176</v>
      </c>
      <c r="B7836" s="8">
        <v>1</v>
      </c>
      <c r="C7836" s="6" t="s">
        <v>213</v>
      </c>
      <c r="D7836" s="36">
        <f>Prec.!$C$267</f>
        <v>9.92</v>
      </c>
      <c r="E7836" s="25">
        <f t="shared" si="626"/>
        <v>9.92</v>
      </c>
    </row>
    <row r="7837" spans="1:6" ht="12.75" customHeight="1">
      <c r="A7837" s="4" t="s">
        <v>1274</v>
      </c>
      <c r="B7837" s="8">
        <v>1</v>
      </c>
      <c r="C7837" s="6" t="s">
        <v>213</v>
      </c>
      <c r="D7837" s="36">
        <f>Prec.!$D$635</f>
        <v>0</v>
      </c>
      <c r="E7837" s="25">
        <f t="shared" si="626"/>
        <v>0</v>
      </c>
    </row>
    <row r="7838" spans="1:6" ht="12.75" customHeight="1">
      <c r="A7838" s="4" t="s">
        <v>1275</v>
      </c>
      <c r="B7838" s="8">
        <v>1</v>
      </c>
      <c r="C7838" s="6" t="s">
        <v>213</v>
      </c>
      <c r="D7838" s="36">
        <f>Prec.!$D$636</f>
        <v>0</v>
      </c>
      <c r="E7838" s="25">
        <f t="shared" si="626"/>
        <v>0</v>
      </c>
      <c r="F7838" s="19"/>
    </row>
    <row r="7839" spans="1:6" ht="12.75" customHeight="1">
      <c r="A7839" s="4" t="s">
        <v>873</v>
      </c>
      <c r="B7839" s="8">
        <v>1</v>
      </c>
      <c r="C7839" s="6" t="s">
        <v>213</v>
      </c>
      <c r="D7839" s="36">
        <f>Prec.!C268</f>
        <v>7.35</v>
      </c>
      <c r="E7839" s="25">
        <f t="shared" si="626"/>
        <v>7.35</v>
      </c>
      <c r="F7839" s="26">
        <f>SUM(E7832:E7839)</f>
        <v>155.92999999999998</v>
      </c>
    </row>
    <row r="7840" spans="1:6" ht="12.75" customHeight="1">
      <c r="D7840" s="36"/>
    </row>
    <row r="7841" spans="1:6" ht="12.75" customHeight="1">
      <c r="A7841" s="1" t="s">
        <v>37</v>
      </c>
    </row>
    <row r="7842" spans="1:6" ht="12.75" customHeight="1">
      <c r="A7842" s="4" t="s">
        <v>1277</v>
      </c>
      <c r="B7842" s="8">
        <v>0.11</v>
      </c>
      <c r="C7842" s="6" t="s">
        <v>1228</v>
      </c>
      <c r="D7842" s="36">
        <f>Prec.!C248</f>
        <v>550</v>
      </c>
      <c r="E7842" s="25">
        <f t="shared" ref="E7842:E7847" si="627">ROUND(B7842*D7842,2)</f>
        <v>60.5</v>
      </c>
    </row>
    <row r="7843" spans="1:6" ht="12.75" customHeight="1">
      <c r="A7843" s="4" t="s">
        <v>545</v>
      </c>
      <c r="B7843" s="8">
        <v>0.11</v>
      </c>
      <c r="C7843" s="6" t="s">
        <v>1228</v>
      </c>
      <c r="D7843" s="36">
        <f>D7834</f>
        <v>6.58</v>
      </c>
      <c r="E7843" s="25">
        <f t="shared" si="627"/>
        <v>0.72</v>
      </c>
    </row>
    <row r="7844" spans="1:6" ht="12.75" customHeight="1">
      <c r="A7844" s="4" t="s">
        <v>528</v>
      </c>
      <c r="B7844" s="8">
        <v>1.0999999999999999E-2</v>
      </c>
      <c r="C7844" s="6" t="s">
        <v>1228</v>
      </c>
      <c r="D7844" s="36">
        <f>D7842</f>
        <v>550</v>
      </c>
      <c r="E7844" s="25">
        <f t="shared" si="627"/>
        <v>6.05</v>
      </c>
    </row>
    <row r="7845" spans="1:6" ht="12.75" customHeight="1">
      <c r="A7845" s="4" t="s">
        <v>1176</v>
      </c>
      <c r="B7845" s="8">
        <v>1</v>
      </c>
      <c r="C7845" s="6" t="s">
        <v>213</v>
      </c>
      <c r="D7845" s="36">
        <f>D7836</f>
        <v>9.92</v>
      </c>
      <c r="E7845" s="25">
        <f t="shared" si="627"/>
        <v>9.92</v>
      </c>
    </row>
    <row r="7846" spans="1:6" ht="12.75" customHeight="1">
      <c r="A7846" s="4" t="s">
        <v>1274</v>
      </c>
      <c r="B7846" s="8">
        <v>1</v>
      </c>
      <c r="C7846" s="6" t="s">
        <v>213</v>
      </c>
      <c r="D7846" s="36">
        <f>D7837</f>
        <v>0</v>
      </c>
      <c r="E7846" s="25">
        <f t="shared" si="627"/>
        <v>0</v>
      </c>
    </row>
    <row r="7847" spans="1:6" ht="12.75" customHeight="1">
      <c r="A7847" s="4" t="s">
        <v>1275</v>
      </c>
      <c r="B7847" s="8">
        <v>1</v>
      </c>
      <c r="C7847" s="6" t="s">
        <v>213</v>
      </c>
      <c r="D7847" s="36">
        <f>D7838</f>
        <v>0</v>
      </c>
      <c r="E7847" s="25">
        <f t="shared" si="627"/>
        <v>0</v>
      </c>
      <c r="F7847" s="26">
        <f>SUM(E7841:E7847)</f>
        <v>77.19</v>
      </c>
    </row>
    <row r="7848" spans="1:6" ht="12.75" customHeight="1">
      <c r="B7848" s="7"/>
    </row>
    <row r="7849" spans="1:6" ht="12.75" customHeight="1">
      <c r="A7849" s="1" t="s">
        <v>36</v>
      </c>
    </row>
    <row r="7850" spans="1:6" ht="12.75" customHeight="1">
      <c r="A7850" s="4" t="s">
        <v>1277</v>
      </c>
      <c r="B7850" s="8">
        <v>0.11</v>
      </c>
      <c r="C7850" s="6" t="s">
        <v>1228</v>
      </c>
      <c r="D7850" s="36">
        <f>D7842</f>
        <v>550</v>
      </c>
      <c r="E7850" s="25">
        <f t="shared" ref="E7850:E7856" si="628">ROUND(B7850*D7850,2)</f>
        <v>60.5</v>
      </c>
    </row>
    <row r="7851" spans="1:6" ht="12.75" customHeight="1">
      <c r="A7851" s="4" t="s">
        <v>545</v>
      </c>
      <c r="B7851" s="8">
        <v>0.11</v>
      </c>
      <c r="C7851" s="6" t="s">
        <v>1228</v>
      </c>
      <c r="D7851" s="36">
        <f>D7843</f>
        <v>6.58</v>
      </c>
      <c r="E7851" s="25">
        <f t="shared" si="628"/>
        <v>0.72</v>
      </c>
    </row>
    <row r="7852" spans="1:6" ht="12.75" customHeight="1">
      <c r="A7852" s="4" t="s">
        <v>528</v>
      </c>
      <c r="B7852" s="8">
        <v>1.0999999999999999E-2</v>
      </c>
      <c r="C7852" s="6" t="s">
        <v>1228</v>
      </c>
      <c r="D7852" s="36">
        <f>D7850</f>
        <v>550</v>
      </c>
      <c r="E7852" s="25">
        <f t="shared" si="628"/>
        <v>6.05</v>
      </c>
    </row>
    <row r="7853" spans="1:6" ht="12.75" customHeight="1">
      <c r="A7853" s="4" t="s">
        <v>1176</v>
      </c>
      <c r="B7853" s="8">
        <v>1</v>
      </c>
      <c r="C7853" s="6" t="s">
        <v>213</v>
      </c>
      <c r="D7853" s="36">
        <f>D7845</f>
        <v>9.92</v>
      </c>
      <c r="E7853" s="25">
        <f t="shared" si="628"/>
        <v>9.92</v>
      </c>
    </row>
    <row r="7854" spans="1:6" ht="12.75" customHeight="1">
      <c r="A7854" s="4" t="s">
        <v>1274</v>
      </c>
      <c r="B7854" s="8">
        <v>1</v>
      </c>
      <c r="C7854" s="6" t="s">
        <v>213</v>
      </c>
      <c r="D7854" s="36">
        <f>D7846</f>
        <v>0</v>
      </c>
      <c r="E7854" s="25">
        <f t="shared" si="628"/>
        <v>0</v>
      </c>
    </row>
    <row r="7855" spans="1:6" ht="12.75" customHeight="1">
      <c r="A7855" s="4" t="s">
        <v>1275</v>
      </c>
      <c r="B7855" s="8">
        <v>1</v>
      </c>
      <c r="C7855" s="6" t="s">
        <v>213</v>
      </c>
      <c r="D7855" s="36">
        <f>D7847</f>
        <v>0</v>
      </c>
      <c r="E7855" s="25">
        <f t="shared" si="628"/>
        <v>0</v>
      </c>
      <c r="F7855" s="19"/>
    </row>
    <row r="7856" spans="1:6" ht="12.75" customHeight="1">
      <c r="A7856" s="4" t="s">
        <v>873</v>
      </c>
      <c r="B7856" s="8">
        <v>1</v>
      </c>
      <c r="C7856" s="6" t="s">
        <v>213</v>
      </c>
      <c r="D7856" s="36">
        <f>D7839</f>
        <v>7.35</v>
      </c>
      <c r="E7856" s="25">
        <f t="shared" si="628"/>
        <v>7.35</v>
      </c>
      <c r="F7856" s="26">
        <f>SUM(E7849:E7856)</f>
        <v>84.539999999999992</v>
      </c>
    </row>
    <row r="7857" spans="1:6" ht="12.75" customHeight="1">
      <c r="D7857" s="36"/>
    </row>
    <row r="7858" spans="1:6" ht="12.75" customHeight="1">
      <c r="A7858" s="13" t="s">
        <v>877</v>
      </c>
    </row>
    <row r="7859" spans="1:6" ht="12.75" customHeight="1">
      <c r="A7859" s="4" t="s">
        <v>875</v>
      </c>
      <c r="B7859" s="8">
        <v>0.14699999999999999</v>
      </c>
      <c r="C7859" s="6" t="s">
        <v>1228</v>
      </c>
      <c r="D7859" s="36">
        <f>Prec.!$C$250</f>
        <v>1590</v>
      </c>
      <c r="E7859" s="25">
        <f t="shared" ref="E7859:E7865" si="629">ROUND(B7859*D7859,2)</f>
        <v>233.73</v>
      </c>
    </row>
    <row r="7860" spans="1:6" ht="12.75" customHeight="1">
      <c r="A7860" s="4" t="s">
        <v>545</v>
      </c>
      <c r="B7860" s="8">
        <v>0.14699999999999999</v>
      </c>
      <c r="C7860" s="6" t="s">
        <v>1228</v>
      </c>
      <c r="D7860" s="36">
        <f>D7834</f>
        <v>6.58</v>
      </c>
      <c r="E7860" s="25">
        <f t="shared" si="629"/>
        <v>0.97</v>
      </c>
    </row>
    <row r="7861" spans="1:6" ht="12.75" customHeight="1">
      <c r="A7861" s="4" t="s">
        <v>528</v>
      </c>
      <c r="B7861" s="8">
        <v>1.4999999999999999E-2</v>
      </c>
      <c r="C7861" s="6" t="s">
        <v>1228</v>
      </c>
      <c r="D7861" s="36">
        <f>Prec.!$C$250</f>
        <v>1590</v>
      </c>
      <c r="E7861" s="25">
        <f t="shared" si="629"/>
        <v>23.85</v>
      </c>
    </row>
    <row r="7862" spans="1:6" ht="12.75" customHeight="1">
      <c r="A7862" s="4" t="s">
        <v>876</v>
      </c>
      <c r="B7862" s="8">
        <v>0.1</v>
      </c>
      <c r="C7862" s="6" t="s">
        <v>1228</v>
      </c>
      <c r="D7862" s="36">
        <f>Prec.!$C$269</f>
        <v>315</v>
      </c>
      <c r="E7862" s="25">
        <f t="shared" si="629"/>
        <v>31.5</v>
      </c>
    </row>
    <row r="7863" spans="1:6" ht="12.75" customHeight="1">
      <c r="A7863" s="4" t="s">
        <v>629</v>
      </c>
      <c r="B7863" s="8">
        <v>0.1</v>
      </c>
      <c r="C7863" s="6" t="s">
        <v>1228</v>
      </c>
      <c r="D7863" s="36">
        <f>D7860</f>
        <v>6.58</v>
      </c>
      <c r="E7863" s="25">
        <f t="shared" si="629"/>
        <v>0.66</v>
      </c>
    </row>
    <row r="7864" spans="1:6" ht="12.75" customHeight="1">
      <c r="A7864" s="4" t="s">
        <v>1176</v>
      </c>
      <c r="B7864" s="8">
        <v>1</v>
      </c>
      <c r="C7864" s="6" t="s">
        <v>213</v>
      </c>
      <c r="D7864" s="36">
        <f>Prec.!$C$267</f>
        <v>9.92</v>
      </c>
      <c r="E7864" s="25">
        <f t="shared" si="629"/>
        <v>9.92</v>
      </c>
    </row>
    <row r="7865" spans="1:6" ht="12.75" customHeight="1">
      <c r="A7865" s="4" t="s">
        <v>998</v>
      </c>
      <c r="B7865" s="8">
        <v>2</v>
      </c>
      <c r="C7865" s="6" t="s">
        <v>213</v>
      </c>
      <c r="D7865" s="36">
        <f>Prec.!$D$648</f>
        <v>109.25</v>
      </c>
      <c r="E7865" s="25">
        <f t="shared" si="629"/>
        <v>218.5</v>
      </c>
      <c r="F7865" s="26">
        <f>SUM(E7858:E7865)</f>
        <v>519.13000000000011</v>
      </c>
    </row>
    <row r="7866" spans="1:6" ht="12.75" customHeight="1">
      <c r="D7866" s="36"/>
    </row>
    <row r="7867" spans="1:6" ht="12.75" customHeight="1">
      <c r="A7867" s="13" t="s">
        <v>878</v>
      </c>
    </row>
    <row r="7868" spans="1:6" ht="12.75" customHeight="1">
      <c r="A7868" s="4" t="s">
        <v>875</v>
      </c>
      <c r="B7868" s="8">
        <v>0.14699999999999999</v>
      </c>
      <c r="C7868" s="6" t="s">
        <v>1228</v>
      </c>
      <c r="D7868" s="36">
        <f>Prec.!$C$250</f>
        <v>1590</v>
      </c>
      <c r="E7868" s="25">
        <f t="shared" ref="E7868:E7875" si="630">ROUND(B7868*D7868,2)</f>
        <v>233.73</v>
      </c>
    </row>
    <row r="7869" spans="1:6" ht="12.75" customHeight="1">
      <c r="A7869" s="4" t="s">
        <v>545</v>
      </c>
      <c r="B7869" s="8">
        <v>0.14699999999999999</v>
      </c>
      <c r="C7869" s="6" t="s">
        <v>1228</v>
      </c>
      <c r="D7869" s="36">
        <f>D7860</f>
        <v>6.58</v>
      </c>
      <c r="E7869" s="25">
        <f t="shared" si="630"/>
        <v>0.97</v>
      </c>
    </row>
    <row r="7870" spans="1:6" ht="12.75" customHeight="1">
      <c r="A7870" s="4" t="s">
        <v>528</v>
      </c>
      <c r="B7870" s="8">
        <v>1.4999999999999999E-2</v>
      </c>
      <c r="C7870" s="6" t="s">
        <v>1228</v>
      </c>
      <c r="D7870" s="36">
        <f>Prec.!$C$250</f>
        <v>1590</v>
      </c>
      <c r="E7870" s="25">
        <f t="shared" si="630"/>
        <v>23.85</v>
      </c>
    </row>
    <row r="7871" spans="1:6" ht="12.75" customHeight="1">
      <c r="A7871" s="4" t="s">
        <v>876</v>
      </c>
      <c r="B7871" s="8">
        <v>0.1</v>
      </c>
      <c r="C7871" s="6" t="s">
        <v>1228</v>
      </c>
      <c r="D7871" s="36">
        <f>Prec.!$C$269</f>
        <v>315</v>
      </c>
      <c r="E7871" s="25">
        <f t="shared" si="630"/>
        <v>31.5</v>
      </c>
    </row>
    <row r="7872" spans="1:6" ht="12.75" customHeight="1">
      <c r="A7872" s="4" t="s">
        <v>629</v>
      </c>
      <c r="B7872" s="8">
        <v>0.1</v>
      </c>
      <c r="C7872" s="6" t="s">
        <v>1228</v>
      </c>
      <c r="D7872" s="36">
        <f>D7869</f>
        <v>6.58</v>
      </c>
      <c r="E7872" s="25">
        <f t="shared" si="630"/>
        <v>0.66</v>
      </c>
    </row>
    <row r="7873" spans="1:13" ht="12.75" customHeight="1">
      <c r="A7873" s="4" t="s">
        <v>1176</v>
      </c>
      <c r="B7873" s="8">
        <v>1</v>
      </c>
      <c r="C7873" s="6" t="s">
        <v>213</v>
      </c>
      <c r="D7873" s="36">
        <f>Prec.!$C$267</f>
        <v>9.92</v>
      </c>
      <c r="E7873" s="25">
        <f t="shared" si="630"/>
        <v>9.92</v>
      </c>
    </row>
    <row r="7874" spans="1:13" ht="12.75" customHeight="1">
      <c r="A7874" s="4" t="s">
        <v>1273</v>
      </c>
      <c r="B7874" s="8">
        <v>1</v>
      </c>
      <c r="C7874" s="6" t="s">
        <v>213</v>
      </c>
      <c r="D7874" s="36">
        <f>Prec.!$D$637</f>
        <v>0</v>
      </c>
      <c r="E7874" s="25">
        <f t="shared" si="630"/>
        <v>0</v>
      </c>
    </row>
    <row r="7875" spans="1:13" ht="12.75" customHeight="1">
      <c r="A7875" s="4" t="s">
        <v>1272</v>
      </c>
      <c r="B7875" s="8">
        <v>1</v>
      </c>
      <c r="C7875" s="6" t="s">
        <v>213</v>
      </c>
      <c r="D7875" s="36">
        <f>Prec.!$D$638</f>
        <v>0</v>
      </c>
      <c r="E7875" s="25">
        <f t="shared" si="630"/>
        <v>0</v>
      </c>
      <c r="F7875" s="26">
        <f>SUM(E7867:E7875)</f>
        <v>300.63000000000005</v>
      </c>
    </row>
    <row r="7876" spans="1:13" ht="12.75" customHeight="1">
      <c r="D7876" s="36"/>
    </row>
    <row r="7877" spans="1:13" s="166" customFormat="1" ht="12.75" customHeight="1">
      <c r="B7877" s="8"/>
      <c r="C7877" s="165"/>
      <c r="D7877" s="36"/>
      <c r="E7877" s="25"/>
      <c r="F7877" s="26"/>
      <c r="G7877" s="15"/>
      <c r="H7877" s="21"/>
      <c r="I7877" s="15"/>
      <c r="J7877" s="15"/>
      <c r="K7877" s="15"/>
      <c r="L7877" s="21"/>
      <c r="M7877" s="15"/>
    </row>
    <row r="7878" spans="1:13" s="166" customFormat="1" ht="12.75" customHeight="1">
      <c r="B7878" s="8"/>
      <c r="C7878" s="165"/>
      <c r="D7878" s="36"/>
      <c r="E7878" s="25"/>
      <c r="F7878" s="26"/>
      <c r="G7878" s="15"/>
      <c r="H7878" s="21"/>
      <c r="I7878" s="15"/>
      <c r="J7878" s="15"/>
      <c r="K7878" s="15"/>
      <c r="L7878" s="21"/>
      <c r="M7878" s="15"/>
    </row>
    <row r="7879" spans="1:13" s="166" customFormat="1" ht="12.75" customHeight="1">
      <c r="B7879" s="8"/>
      <c r="C7879" s="165"/>
      <c r="D7879" s="36"/>
      <c r="E7879" s="25"/>
      <c r="F7879" s="26"/>
      <c r="G7879" s="15"/>
      <c r="H7879" s="21"/>
      <c r="I7879" s="15"/>
      <c r="J7879" s="15"/>
      <c r="K7879" s="15"/>
      <c r="L7879" s="21"/>
      <c r="M7879" s="15"/>
    </row>
    <row r="7880" spans="1:13" s="166" customFormat="1" ht="12.75" customHeight="1">
      <c r="B7880" s="8"/>
      <c r="C7880" s="165"/>
      <c r="D7880" s="36"/>
      <c r="E7880" s="25"/>
      <c r="F7880" s="26"/>
      <c r="G7880" s="15"/>
      <c r="H7880" s="21"/>
      <c r="I7880" s="15"/>
      <c r="J7880" s="15"/>
      <c r="K7880" s="15"/>
      <c r="L7880" s="21"/>
      <c r="M7880" s="15"/>
    </row>
    <row r="7881" spans="1:13" s="166" customFormat="1" ht="12.75" customHeight="1">
      <c r="B7881" s="8"/>
      <c r="C7881" s="165"/>
      <c r="D7881" s="36"/>
      <c r="E7881" s="25"/>
      <c r="F7881" s="26"/>
      <c r="G7881" s="15"/>
      <c r="H7881" s="21"/>
      <c r="I7881" s="15"/>
      <c r="J7881" s="15"/>
      <c r="K7881" s="15"/>
      <c r="L7881" s="21"/>
      <c r="M7881" s="15"/>
    </row>
    <row r="7882" spans="1:13" ht="12.75" customHeight="1">
      <c r="A7882" s="13" t="s">
        <v>1270</v>
      </c>
    </row>
    <row r="7883" spans="1:13" ht="12.75" customHeight="1">
      <c r="A7883" s="4" t="s">
        <v>1270</v>
      </c>
      <c r="B7883" s="8">
        <v>0.11</v>
      </c>
      <c r="C7883" s="6" t="s">
        <v>1228</v>
      </c>
      <c r="D7883" s="36">
        <f>Prec.!$C$251</f>
        <v>1110</v>
      </c>
      <c r="E7883" s="25">
        <f t="shared" ref="E7883:E7890" si="631">ROUND(B7883*D7883,2)</f>
        <v>122.1</v>
      </c>
    </row>
    <row r="7884" spans="1:13" ht="12.75" customHeight="1">
      <c r="A7884" s="4" t="s">
        <v>545</v>
      </c>
      <c r="B7884" s="8">
        <v>0.11</v>
      </c>
      <c r="C7884" s="6" t="s">
        <v>1228</v>
      </c>
      <c r="D7884" s="36">
        <f>D7869</f>
        <v>6.58</v>
      </c>
      <c r="E7884" s="25">
        <f t="shared" si="631"/>
        <v>0.72</v>
      </c>
    </row>
    <row r="7885" spans="1:13" ht="12.75" customHeight="1">
      <c r="A7885" s="4" t="s">
        <v>528</v>
      </c>
      <c r="B7885" s="8">
        <v>1.0999999999999999E-2</v>
      </c>
      <c r="C7885" s="6" t="s">
        <v>1228</v>
      </c>
      <c r="D7885" s="36">
        <f>Prec.!$C$251</f>
        <v>1110</v>
      </c>
      <c r="E7885" s="25">
        <f t="shared" si="631"/>
        <v>12.21</v>
      </c>
    </row>
    <row r="7886" spans="1:13" ht="12.75" customHeight="1">
      <c r="A7886" s="4" t="s">
        <v>876</v>
      </c>
      <c r="B7886" s="8">
        <v>0.1</v>
      </c>
      <c r="C7886" s="6" t="s">
        <v>1228</v>
      </c>
      <c r="D7886" s="36">
        <f>Prec.!$C$269</f>
        <v>315</v>
      </c>
      <c r="E7886" s="25">
        <f t="shared" si="631"/>
        <v>31.5</v>
      </c>
    </row>
    <row r="7887" spans="1:13" ht="12.75" customHeight="1">
      <c r="A7887" s="4" t="s">
        <v>629</v>
      </c>
      <c r="B7887" s="8">
        <v>0.1</v>
      </c>
      <c r="C7887" s="6" t="s">
        <v>1228</v>
      </c>
      <c r="D7887" s="36">
        <f>D7884</f>
        <v>6.58</v>
      </c>
      <c r="E7887" s="25">
        <f t="shared" si="631"/>
        <v>0.66</v>
      </c>
    </row>
    <row r="7888" spans="1:13" ht="12.75" customHeight="1">
      <c r="A7888" s="4" t="s">
        <v>1176</v>
      </c>
      <c r="B7888" s="8">
        <v>1</v>
      </c>
      <c r="C7888" s="6" t="s">
        <v>213</v>
      </c>
      <c r="D7888" s="36">
        <f>Prec.!$C$267</f>
        <v>9.92</v>
      </c>
      <c r="E7888" s="25">
        <f t="shared" si="631"/>
        <v>9.92</v>
      </c>
    </row>
    <row r="7889" spans="1:6" ht="12.75" customHeight="1">
      <c r="A7889" s="4" t="s">
        <v>1274</v>
      </c>
      <c r="B7889" s="8">
        <v>1</v>
      </c>
      <c r="C7889" s="6" t="s">
        <v>213</v>
      </c>
      <c r="D7889" s="36">
        <f>Prec.!$D$635</f>
        <v>0</v>
      </c>
      <c r="E7889" s="25">
        <f t="shared" si="631"/>
        <v>0</v>
      </c>
    </row>
    <row r="7890" spans="1:6" ht="12.75" customHeight="1">
      <c r="A7890" s="4" t="s">
        <v>1275</v>
      </c>
      <c r="B7890" s="8">
        <v>1</v>
      </c>
      <c r="C7890" s="6" t="s">
        <v>213</v>
      </c>
      <c r="D7890" s="36">
        <f>Prec.!$D$636</f>
        <v>0</v>
      </c>
      <c r="E7890" s="25">
        <f t="shared" si="631"/>
        <v>0</v>
      </c>
      <c r="F7890" s="26">
        <f>SUM(E7882:E7890)</f>
        <v>177.10999999999999</v>
      </c>
    </row>
    <row r="7891" spans="1:6" ht="12.75" customHeight="1">
      <c r="D7891" s="36"/>
    </row>
    <row r="7892" spans="1:6" ht="12.75" customHeight="1">
      <c r="A7892" s="13" t="s">
        <v>379</v>
      </c>
    </row>
    <row r="7893" spans="1:6" ht="12.75" customHeight="1">
      <c r="A7893" s="4" t="s">
        <v>380</v>
      </c>
      <c r="B7893" s="8">
        <v>0.11</v>
      </c>
      <c r="C7893" s="6" t="s">
        <v>1228</v>
      </c>
      <c r="D7893" s="36">
        <f>Prec.!$C$260</f>
        <v>1115</v>
      </c>
      <c r="E7893" s="25">
        <f t="shared" ref="E7893:E7900" si="632">ROUND(B7893*D7893,2)</f>
        <v>122.65</v>
      </c>
    </row>
    <row r="7894" spans="1:6" ht="12.75" customHeight="1">
      <c r="A7894" s="4" t="s">
        <v>545</v>
      </c>
      <c r="B7894" s="8">
        <v>0.11</v>
      </c>
      <c r="C7894" s="6" t="s">
        <v>1228</v>
      </c>
      <c r="D7894" s="36">
        <f>D7884</f>
        <v>6.58</v>
      </c>
      <c r="E7894" s="25">
        <f t="shared" si="632"/>
        <v>0.72</v>
      </c>
    </row>
    <row r="7895" spans="1:6" ht="12.75" customHeight="1">
      <c r="A7895" s="4" t="s">
        <v>528</v>
      </c>
      <c r="B7895" s="8">
        <v>1.0999999999999999E-2</v>
      </c>
      <c r="C7895" s="6" t="s">
        <v>1228</v>
      </c>
      <c r="D7895" s="36">
        <f>Prec.!$C$260</f>
        <v>1115</v>
      </c>
      <c r="E7895" s="25">
        <f t="shared" si="632"/>
        <v>12.27</v>
      </c>
    </row>
    <row r="7896" spans="1:6" ht="12.75" customHeight="1">
      <c r="A7896" s="4" t="s">
        <v>1276</v>
      </c>
      <c r="B7896" s="8">
        <v>0.2</v>
      </c>
      <c r="C7896" s="6" t="s">
        <v>1228</v>
      </c>
      <c r="D7896" s="36">
        <f>Prec.!$C$290</f>
        <v>293.10000000000002</v>
      </c>
      <c r="E7896" s="25">
        <f t="shared" si="632"/>
        <v>58.62</v>
      </c>
    </row>
    <row r="7897" spans="1:6" ht="12.75" customHeight="1">
      <c r="A7897" s="4" t="s">
        <v>465</v>
      </c>
      <c r="B7897" s="8">
        <v>0.2</v>
      </c>
      <c r="C7897" s="6" t="s">
        <v>1228</v>
      </c>
      <c r="D7897" s="36">
        <f>D7894</f>
        <v>6.58</v>
      </c>
      <c r="E7897" s="25">
        <f t="shared" si="632"/>
        <v>1.32</v>
      </c>
    </row>
    <row r="7898" spans="1:6" ht="12.75" customHeight="1">
      <c r="A7898" s="4" t="s">
        <v>1176</v>
      </c>
      <c r="B7898" s="8">
        <v>1</v>
      </c>
      <c r="C7898" s="6" t="s">
        <v>213</v>
      </c>
      <c r="D7898" s="36">
        <f>Prec.!$C$267</f>
        <v>9.92</v>
      </c>
      <c r="E7898" s="25">
        <f t="shared" si="632"/>
        <v>9.92</v>
      </c>
    </row>
    <row r="7899" spans="1:6" ht="12.75" customHeight="1">
      <c r="A7899" s="4" t="s">
        <v>1273</v>
      </c>
      <c r="B7899" s="8">
        <v>1</v>
      </c>
      <c r="C7899" s="6" t="s">
        <v>213</v>
      </c>
      <c r="D7899" s="36">
        <f>Prec.!$D$637</f>
        <v>0</v>
      </c>
      <c r="E7899" s="25">
        <f t="shared" si="632"/>
        <v>0</v>
      </c>
    </row>
    <row r="7900" spans="1:6" ht="12.75" customHeight="1">
      <c r="A7900" s="4" t="s">
        <v>1272</v>
      </c>
      <c r="B7900" s="8">
        <v>1</v>
      </c>
      <c r="C7900" s="6" t="s">
        <v>213</v>
      </c>
      <c r="D7900" s="36">
        <f>Prec.!$D$638</f>
        <v>0</v>
      </c>
      <c r="E7900" s="25">
        <f t="shared" si="632"/>
        <v>0</v>
      </c>
      <c r="F7900" s="26">
        <f>SUM(E7892:E7900)</f>
        <v>205.5</v>
      </c>
    </row>
    <row r="7901" spans="1:6" ht="12.75" customHeight="1">
      <c r="D7901" s="36"/>
    </row>
    <row r="7902" spans="1:6" ht="12.75" customHeight="1">
      <c r="A7902" s="1" t="s">
        <v>381</v>
      </c>
    </row>
    <row r="7903" spans="1:6" ht="12.75" customHeight="1">
      <c r="A7903" s="4" t="s">
        <v>1277</v>
      </c>
      <c r="B7903" s="8">
        <v>0.17</v>
      </c>
      <c r="C7903" s="6" t="s">
        <v>1228</v>
      </c>
      <c r="D7903" s="36">
        <f>Prec.!$C$246</f>
        <v>1140</v>
      </c>
      <c r="E7903" s="25">
        <f t="shared" ref="E7903:E7908" si="633">ROUND(B7903*D7903,2)</f>
        <v>193.8</v>
      </c>
    </row>
    <row r="7904" spans="1:6" ht="12.75" customHeight="1">
      <c r="A7904" s="4" t="s">
        <v>545</v>
      </c>
      <c r="B7904" s="8">
        <v>0.17</v>
      </c>
      <c r="C7904" s="6" t="s">
        <v>1228</v>
      </c>
      <c r="D7904" s="36">
        <f>D7894</f>
        <v>6.58</v>
      </c>
      <c r="E7904" s="25">
        <f t="shared" si="633"/>
        <v>1.1200000000000001</v>
      </c>
    </row>
    <row r="7905" spans="1:6" ht="12.75" customHeight="1">
      <c r="A7905" s="4" t="s">
        <v>528</v>
      </c>
      <c r="B7905" s="8">
        <v>1.7000000000000001E-2</v>
      </c>
      <c r="C7905" s="6" t="s">
        <v>1228</v>
      </c>
      <c r="D7905" s="36">
        <f>Prec.!$C$246</f>
        <v>1140</v>
      </c>
      <c r="E7905" s="25">
        <f t="shared" si="633"/>
        <v>19.38</v>
      </c>
    </row>
    <row r="7906" spans="1:6" ht="12.75" customHeight="1">
      <c r="A7906" s="4" t="s">
        <v>1176</v>
      </c>
      <c r="B7906" s="8">
        <v>1</v>
      </c>
      <c r="C7906" s="6" t="s">
        <v>213</v>
      </c>
      <c r="D7906" s="36">
        <f>Prec.!$C$267</f>
        <v>9.92</v>
      </c>
      <c r="E7906" s="25">
        <f t="shared" si="633"/>
        <v>9.92</v>
      </c>
    </row>
    <row r="7907" spans="1:6" ht="12.75" customHeight="1">
      <c r="A7907" s="4" t="s">
        <v>1278</v>
      </c>
      <c r="B7907" s="8">
        <v>1</v>
      </c>
      <c r="C7907" s="6" t="s">
        <v>213</v>
      </c>
      <c r="D7907" s="36">
        <f>Prec.!$D$639</f>
        <v>0</v>
      </c>
      <c r="E7907" s="25">
        <f t="shared" si="633"/>
        <v>0</v>
      </c>
    </row>
    <row r="7908" spans="1:6" ht="12.75" customHeight="1">
      <c r="A7908" s="4" t="s">
        <v>378</v>
      </c>
      <c r="B7908" s="8">
        <v>1</v>
      </c>
      <c r="C7908" s="6" t="s">
        <v>213</v>
      </c>
      <c r="D7908" s="36">
        <f>Prec.!$D$640</f>
        <v>0</v>
      </c>
      <c r="E7908" s="25">
        <f t="shared" si="633"/>
        <v>0</v>
      </c>
      <c r="F7908" s="26">
        <f>SUM(E7902:E7908)</f>
        <v>224.22</v>
      </c>
    </row>
    <row r="7909" spans="1:6" ht="12.75" customHeight="1">
      <c r="B7909" s="7"/>
    </row>
    <row r="7910" spans="1:6" ht="12.75" customHeight="1">
      <c r="A7910" s="13" t="s">
        <v>1144</v>
      </c>
    </row>
    <row r="7911" spans="1:6" ht="12.75" customHeight="1">
      <c r="A7911" s="4" t="s">
        <v>219</v>
      </c>
      <c r="B7911" s="8">
        <v>0.14699999999999999</v>
      </c>
      <c r="C7911" s="6" t="s">
        <v>1228</v>
      </c>
      <c r="D7911" s="36" t="e">
        <f>Prec.!#REF!</f>
        <v>#REF!</v>
      </c>
      <c r="E7911" s="25" t="e">
        <f t="shared" ref="E7911:E7916" si="634">ROUND(B7911*D7911,2)</f>
        <v>#REF!</v>
      </c>
    </row>
    <row r="7912" spans="1:6" ht="12.75" customHeight="1">
      <c r="A7912" s="4" t="s">
        <v>545</v>
      </c>
      <c r="B7912" s="8">
        <v>0.14699999999999999</v>
      </c>
      <c r="C7912" s="6" t="s">
        <v>1228</v>
      </c>
      <c r="D7912" s="36">
        <f>D7904</f>
        <v>6.58</v>
      </c>
      <c r="E7912" s="25">
        <f t="shared" si="634"/>
        <v>0.97</v>
      </c>
    </row>
    <row r="7913" spans="1:6" ht="12.75" customHeight="1">
      <c r="A7913" s="4" t="s">
        <v>528</v>
      </c>
      <c r="B7913" s="8">
        <v>1.4999999999999999E-2</v>
      </c>
      <c r="C7913" s="6" t="s">
        <v>1228</v>
      </c>
      <c r="D7913" s="36" t="e">
        <f>Prec.!#REF!</f>
        <v>#REF!</v>
      </c>
      <c r="E7913" s="25" t="e">
        <f t="shared" si="634"/>
        <v>#REF!</v>
      </c>
    </row>
    <row r="7914" spans="1:6" ht="12.75" customHeight="1">
      <c r="A7914" s="4" t="s">
        <v>1176</v>
      </c>
      <c r="B7914" s="8">
        <v>1</v>
      </c>
      <c r="C7914" s="6" t="s">
        <v>213</v>
      </c>
      <c r="D7914" s="36">
        <f>Prec.!$C$267</f>
        <v>9.92</v>
      </c>
      <c r="E7914" s="25">
        <f t="shared" si="634"/>
        <v>9.92</v>
      </c>
    </row>
    <row r="7915" spans="1:6" ht="12.75" customHeight="1">
      <c r="A7915" s="4" t="s">
        <v>1273</v>
      </c>
      <c r="B7915" s="8">
        <v>1</v>
      </c>
      <c r="C7915" s="6" t="s">
        <v>213</v>
      </c>
      <c r="D7915" s="36">
        <f>Prec.!$D$637</f>
        <v>0</v>
      </c>
      <c r="E7915" s="25">
        <f t="shared" si="634"/>
        <v>0</v>
      </c>
    </row>
    <row r="7916" spans="1:6" ht="12.75" customHeight="1">
      <c r="A7916" s="4" t="s">
        <v>1272</v>
      </c>
      <c r="B7916" s="8">
        <v>1</v>
      </c>
      <c r="C7916" s="6" t="s">
        <v>213</v>
      </c>
      <c r="D7916" s="36">
        <f>Prec.!$D$636</f>
        <v>0</v>
      </c>
      <c r="E7916" s="25">
        <f t="shared" si="634"/>
        <v>0</v>
      </c>
      <c r="F7916" s="26" t="e">
        <f>SUM(E7910:E7916)</f>
        <v>#REF!</v>
      </c>
    </row>
    <row r="7917" spans="1:6" ht="12.75" customHeight="1">
      <c r="D7917" s="36"/>
    </row>
    <row r="7918" spans="1:6" ht="12.75" customHeight="1">
      <c r="A7918" s="13" t="s">
        <v>484</v>
      </c>
    </row>
    <row r="7919" spans="1:6" ht="12.75" customHeight="1">
      <c r="A7919" s="4" t="s">
        <v>483</v>
      </c>
      <c r="B7919" s="8">
        <v>0.14699999999999999</v>
      </c>
      <c r="C7919" s="6" t="s">
        <v>1228</v>
      </c>
      <c r="D7919" s="36">
        <f>Prec.!$C$261</f>
        <v>842</v>
      </c>
      <c r="E7919" s="25">
        <f t="shared" ref="E7919:E7928" si="635">ROUND(B7919*D7919,2)</f>
        <v>123.77</v>
      </c>
    </row>
    <row r="7920" spans="1:6" ht="12.75" customHeight="1">
      <c r="A7920" s="4" t="s">
        <v>545</v>
      </c>
      <c r="B7920" s="8">
        <v>0.14699999999999999</v>
      </c>
      <c r="C7920" s="6" t="s">
        <v>1228</v>
      </c>
      <c r="D7920" s="36">
        <f>D7912</f>
        <v>6.58</v>
      </c>
      <c r="E7920" s="25">
        <f t="shared" si="635"/>
        <v>0.97</v>
      </c>
    </row>
    <row r="7921" spans="1:13" ht="12.75" customHeight="1">
      <c r="A7921" s="4" t="s">
        <v>528</v>
      </c>
      <c r="B7921" s="8">
        <v>1.4999999999999999E-2</v>
      </c>
      <c r="C7921" s="6" t="s">
        <v>1228</v>
      </c>
      <c r="D7921" s="36">
        <f>Prec.!$C$261</f>
        <v>842</v>
      </c>
      <c r="E7921" s="25">
        <f t="shared" si="635"/>
        <v>12.63</v>
      </c>
    </row>
    <row r="7922" spans="1:13" ht="12.75" customHeight="1">
      <c r="A7922" s="4" t="s">
        <v>983</v>
      </c>
      <c r="B7922" s="8">
        <f>B7919*2</f>
        <v>0.29399999999999998</v>
      </c>
      <c r="C7922" s="6" t="s">
        <v>1228</v>
      </c>
      <c r="D7922" s="36">
        <f>Prec.!C271</f>
        <v>330</v>
      </c>
      <c r="E7922" s="25">
        <f t="shared" si="635"/>
        <v>97.02</v>
      </c>
    </row>
    <row r="7923" spans="1:13" ht="12.75" customHeight="1">
      <c r="A7923" s="4" t="s">
        <v>532</v>
      </c>
      <c r="B7923" s="8">
        <v>0.29399999999999998</v>
      </c>
      <c r="C7923" s="6" t="s">
        <v>1228</v>
      </c>
      <c r="D7923" s="36">
        <f>D7912</f>
        <v>6.58</v>
      </c>
      <c r="E7923" s="25">
        <f t="shared" si="635"/>
        <v>1.93</v>
      </c>
    </row>
    <row r="7924" spans="1:13" ht="12.75" customHeight="1">
      <c r="A7924" s="4" t="s">
        <v>1075</v>
      </c>
      <c r="B7924" s="8">
        <v>0.14699999999999999</v>
      </c>
      <c r="C7924" s="6" t="s">
        <v>1228</v>
      </c>
      <c r="D7924" s="36">
        <f>Prec.!$C$272</f>
        <v>900</v>
      </c>
      <c r="E7924" s="25">
        <f t="shared" si="635"/>
        <v>132.30000000000001</v>
      </c>
    </row>
    <row r="7925" spans="1:13" ht="12.75" customHeight="1">
      <c r="A7925" s="4" t="s">
        <v>23</v>
      </c>
      <c r="B7925" s="8">
        <v>0.14699999999999999</v>
      </c>
      <c r="C7925" s="6" t="s">
        <v>1228</v>
      </c>
      <c r="D7925" s="36">
        <f>D7923</f>
        <v>6.58</v>
      </c>
      <c r="E7925" s="25">
        <f t="shared" si="635"/>
        <v>0.97</v>
      </c>
    </row>
    <row r="7926" spans="1:13" ht="12.75" customHeight="1">
      <c r="A7926" s="4" t="s">
        <v>1176</v>
      </c>
      <c r="B7926" s="8">
        <v>1</v>
      </c>
      <c r="C7926" s="6" t="s">
        <v>213</v>
      </c>
      <c r="D7926" s="36">
        <f>D7914</f>
        <v>9.92</v>
      </c>
      <c r="E7926" s="25">
        <f t="shared" si="635"/>
        <v>9.92</v>
      </c>
    </row>
    <row r="7927" spans="1:13" ht="12.75" customHeight="1">
      <c r="A7927" s="4" t="s">
        <v>481</v>
      </c>
      <c r="B7927" s="8">
        <v>1</v>
      </c>
      <c r="C7927" s="6" t="s">
        <v>213</v>
      </c>
      <c r="D7927" s="36">
        <f>Prec.!$D$641</f>
        <v>0</v>
      </c>
      <c r="E7927" s="25">
        <f t="shared" si="635"/>
        <v>0</v>
      </c>
    </row>
    <row r="7928" spans="1:13" ht="12.75" customHeight="1">
      <c r="A7928" s="4" t="s">
        <v>482</v>
      </c>
      <c r="B7928" s="8">
        <v>1</v>
      </c>
      <c r="C7928" s="6" t="s">
        <v>213</v>
      </c>
      <c r="D7928" s="36">
        <f>Prec.!$D$642</f>
        <v>0</v>
      </c>
      <c r="E7928" s="25">
        <f t="shared" si="635"/>
        <v>0</v>
      </c>
      <c r="F7928" s="26">
        <f>SUM(E7918:E7928)</f>
        <v>379.51000000000005</v>
      </c>
    </row>
    <row r="7929" spans="1:13" ht="12.75" customHeight="1">
      <c r="D7929" s="36"/>
    </row>
    <row r="7930" spans="1:13" s="166" customFormat="1" ht="12.75" customHeight="1">
      <c r="B7930" s="8"/>
      <c r="C7930" s="165"/>
      <c r="D7930" s="36"/>
      <c r="E7930" s="25"/>
      <c r="F7930" s="26"/>
      <c r="G7930" s="15"/>
      <c r="H7930" s="21"/>
      <c r="I7930" s="15"/>
      <c r="J7930" s="15"/>
      <c r="K7930" s="15"/>
      <c r="L7930" s="21"/>
      <c r="M7930" s="15"/>
    </row>
    <row r="7931" spans="1:13" s="166" customFormat="1" ht="12.75" customHeight="1">
      <c r="B7931" s="8"/>
      <c r="C7931" s="165"/>
      <c r="D7931" s="36"/>
      <c r="E7931" s="25"/>
      <c r="F7931" s="26"/>
      <c r="G7931" s="15"/>
      <c r="H7931" s="21"/>
      <c r="I7931" s="15"/>
      <c r="J7931" s="15"/>
      <c r="K7931" s="15"/>
      <c r="L7931" s="21"/>
      <c r="M7931" s="15"/>
    </row>
    <row r="7932" spans="1:13" ht="12.75" customHeight="1">
      <c r="A7932" s="13" t="s">
        <v>485</v>
      </c>
    </row>
    <row r="7933" spans="1:13" ht="12.75" customHeight="1">
      <c r="A7933" s="4" t="s">
        <v>483</v>
      </c>
      <c r="B7933" s="8">
        <v>0.14699999999999999</v>
      </c>
      <c r="C7933" s="6" t="s">
        <v>1228</v>
      </c>
      <c r="D7933" s="36">
        <f>Prec.!$C$261</f>
        <v>842</v>
      </c>
      <c r="E7933" s="25">
        <f t="shared" ref="E7933:E7940" si="636">ROUND(B7933*D7933,2)</f>
        <v>123.77</v>
      </c>
    </row>
    <row r="7934" spans="1:13" ht="12.75" customHeight="1">
      <c r="A7934" s="4" t="s">
        <v>545</v>
      </c>
      <c r="B7934" s="8">
        <v>0.14699999999999999</v>
      </c>
      <c r="C7934" s="6" t="s">
        <v>1228</v>
      </c>
      <c r="D7934" s="36">
        <f>D7925</f>
        <v>6.58</v>
      </c>
      <c r="E7934" s="25">
        <f t="shared" si="636"/>
        <v>0.97</v>
      </c>
    </row>
    <row r="7935" spans="1:13" ht="12.75" customHeight="1">
      <c r="A7935" s="4" t="s">
        <v>528</v>
      </c>
      <c r="B7935" s="8">
        <v>1.4999999999999999E-2</v>
      </c>
      <c r="C7935" s="6" t="s">
        <v>1228</v>
      </c>
      <c r="D7935" s="36">
        <f>Prec.!$C$261</f>
        <v>842</v>
      </c>
      <c r="E7935" s="25">
        <f t="shared" si="636"/>
        <v>12.63</v>
      </c>
    </row>
    <row r="7936" spans="1:13" ht="12.75" customHeight="1">
      <c r="A7936" s="4" t="s">
        <v>979</v>
      </c>
      <c r="B7936" s="8">
        <v>0.29399999999999998</v>
      </c>
      <c r="C7936" s="6" t="s">
        <v>1228</v>
      </c>
      <c r="D7936" s="36">
        <f>D7922</f>
        <v>330</v>
      </c>
      <c r="E7936" s="25">
        <f t="shared" si="636"/>
        <v>97.02</v>
      </c>
    </row>
    <row r="7937" spans="1:6" ht="12.75" customHeight="1">
      <c r="A7937" s="4" t="s">
        <v>532</v>
      </c>
      <c r="B7937" s="8">
        <v>0.29399999999999998</v>
      </c>
      <c r="C7937" s="6" t="s">
        <v>1228</v>
      </c>
      <c r="D7937" s="36">
        <f>D7925</f>
        <v>6.58</v>
      </c>
      <c r="E7937" s="25">
        <f t="shared" si="636"/>
        <v>1.93</v>
      </c>
    </row>
    <row r="7938" spans="1:6" ht="12.75" customHeight="1">
      <c r="A7938" s="4" t="s">
        <v>1176</v>
      </c>
      <c r="B7938" s="8">
        <v>1</v>
      </c>
      <c r="C7938" s="6" t="s">
        <v>213</v>
      </c>
      <c r="D7938" s="36">
        <f>Prec.!C267</f>
        <v>9.92</v>
      </c>
      <c r="E7938" s="25">
        <f t="shared" si="636"/>
        <v>9.92</v>
      </c>
    </row>
    <row r="7939" spans="1:6" ht="12.75" customHeight="1">
      <c r="A7939" s="4" t="s">
        <v>481</v>
      </c>
      <c r="B7939" s="8">
        <v>1</v>
      </c>
      <c r="C7939" s="6" t="s">
        <v>213</v>
      </c>
      <c r="D7939" s="36">
        <f>Prec.!$D$641</f>
        <v>0</v>
      </c>
      <c r="E7939" s="25">
        <f t="shared" si="636"/>
        <v>0</v>
      </c>
    </row>
    <row r="7940" spans="1:6" ht="12.75" customHeight="1">
      <c r="A7940" s="4" t="s">
        <v>482</v>
      </c>
      <c r="B7940" s="8">
        <v>1</v>
      </c>
      <c r="C7940" s="6" t="s">
        <v>213</v>
      </c>
      <c r="D7940" s="36">
        <f>Prec.!$D$642</f>
        <v>0</v>
      </c>
      <c r="E7940" s="25">
        <f t="shared" si="636"/>
        <v>0</v>
      </c>
      <c r="F7940" s="26">
        <f>SUM(E7932:E7940)</f>
        <v>246.23999999999998</v>
      </c>
    </row>
    <row r="7941" spans="1:6" ht="12.75" customHeight="1">
      <c r="D7941" s="36"/>
    </row>
    <row r="7942" spans="1:6" ht="12.75" customHeight="1">
      <c r="A7942" s="1" t="s">
        <v>534</v>
      </c>
      <c r="D7942" s="36"/>
    </row>
    <row r="7943" spans="1:6" ht="12.75" customHeight="1">
      <c r="A7943" s="4" t="s">
        <v>535</v>
      </c>
      <c r="B7943" s="8">
        <v>0.14699999999999999</v>
      </c>
      <c r="C7943" s="6" t="s">
        <v>1228</v>
      </c>
      <c r="D7943" s="36">
        <f>Prec.!C273</f>
        <v>575</v>
      </c>
      <c r="E7943" s="25">
        <f>ROUND(B7943*D7943,2)</f>
        <v>84.53</v>
      </c>
    </row>
    <row r="7944" spans="1:6" ht="12.75" customHeight="1">
      <c r="A7944" s="4" t="s">
        <v>545</v>
      </c>
      <c r="B7944" s="8">
        <v>0.14699999999999999</v>
      </c>
      <c r="C7944" s="6" t="s">
        <v>1228</v>
      </c>
      <c r="D7944" s="36">
        <f>D7937</f>
        <v>6.58</v>
      </c>
      <c r="E7944" s="25">
        <f>ROUND(B7944*D7944,2)</f>
        <v>0.97</v>
      </c>
    </row>
    <row r="7945" spans="1:6" ht="12.75" customHeight="1">
      <c r="A7945" s="4" t="s">
        <v>538</v>
      </c>
      <c r="B7945" s="8">
        <v>1.4999999999999999E-2</v>
      </c>
      <c r="C7945" s="6" t="s">
        <v>1228</v>
      </c>
      <c r="D7945" s="36">
        <f>D7943</f>
        <v>575</v>
      </c>
      <c r="E7945" s="25">
        <f>ROUND(B7945*D7945,2)</f>
        <v>8.6300000000000008</v>
      </c>
    </row>
    <row r="7946" spans="1:6" ht="12.75" customHeight="1">
      <c r="A7946" s="4" t="s">
        <v>981</v>
      </c>
      <c r="B7946" s="8">
        <v>0.29399999999999998</v>
      </c>
      <c r="C7946" s="6" t="s">
        <v>1228</v>
      </c>
      <c r="D7946" s="36">
        <f>Prec.!C270</f>
        <v>330</v>
      </c>
      <c r="E7946" s="25">
        <f t="shared" ref="E7946:E7952" si="637">ROUND(B7946*D7946,2)</f>
        <v>97.02</v>
      </c>
    </row>
    <row r="7947" spans="1:6" ht="12.75" customHeight="1">
      <c r="A7947" s="4" t="s">
        <v>532</v>
      </c>
      <c r="B7947" s="8">
        <v>0.29399999999999998</v>
      </c>
      <c r="C7947" s="6" t="s">
        <v>1228</v>
      </c>
      <c r="D7947" s="36">
        <f>D7944</f>
        <v>6.58</v>
      </c>
      <c r="E7947" s="25">
        <f t="shared" si="637"/>
        <v>1.93</v>
      </c>
    </row>
    <row r="7948" spans="1:6" ht="12.75" customHeight="1">
      <c r="A7948" s="4" t="s">
        <v>1075</v>
      </c>
      <c r="B7948" s="8">
        <v>0.14699999999999999</v>
      </c>
      <c r="C7948" s="6" t="s">
        <v>1228</v>
      </c>
      <c r="D7948" s="36">
        <f>Prec.!C272</f>
        <v>900</v>
      </c>
      <c r="E7948" s="25">
        <f t="shared" si="637"/>
        <v>132.30000000000001</v>
      </c>
    </row>
    <row r="7949" spans="1:6" ht="12.75" customHeight="1">
      <c r="A7949" s="4" t="s">
        <v>628</v>
      </c>
      <c r="B7949" s="8">
        <v>0.14699999999999999</v>
      </c>
      <c r="C7949" s="6" t="s">
        <v>1228</v>
      </c>
      <c r="D7949" s="36">
        <f>D7947</f>
        <v>6.58</v>
      </c>
      <c r="E7949" s="25">
        <f t="shared" si="637"/>
        <v>0.97</v>
      </c>
    </row>
    <row r="7950" spans="1:6" ht="12.75" customHeight="1">
      <c r="A7950" s="4" t="s">
        <v>1176</v>
      </c>
      <c r="B7950" s="8">
        <v>1</v>
      </c>
      <c r="C7950" s="6" t="s">
        <v>213</v>
      </c>
      <c r="D7950" s="36">
        <f>D7938</f>
        <v>9.92</v>
      </c>
      <c r="E7950" s="25">
        <f t="shared" si="637"/>
        <v>9.92</v>
      </c>
    </row>
    <row r="7951" spans="1:6" ht="12.75" customHeight="1">
      <c r="A7951" s="4" t="s">
        <v>536</v>
      </c>
      <c r="B7951" s="8">
        <v>1</v>
      </c>
      <c r="C7951" s="6" t="s">
        <v>213</v>
      </c>
      <c r="D7951" s="36">
        <f>D7939</f>
        <v>0</v>
      </c>
      <c r="E7951" s="25">
        <f t="shared" si="637"/>
        <v>0</v>
      </c>
    </row>
    <row r="7952" spans="1:6" ht="12.75" customHeight="1">
      <c r="A7952" s="4" t="s">
        <v>537</v>
      </c>
      <c r="B7952" s="8">
        <v>1</v>
      </c>
      <c r="C7952" s="6" t="s">
        <v>213</v>
      </c>
      <c r="D7952" s="36">
        <f>D7940</f>
        <v>0</v>
      </c>
      <c r="E7952" s="25">
        <f t="shared" si="637"/>
        <v>0</v>
      </c>
      <c r="F7952" s="26">
        <f>SUM(E7943:E7952)</f>
        <v>336.27000000000004</v>
      </c>
    </row>
    <row r="7953" spans="1:13" ht="12.75" customHeight="1">
      <c r="D7953" s="36"/>
    </row>
    <row r="7954" spans="1:13" ht="12.75" customHeight="1">
      <c r="A7954" s="13" t="s">
        <v>1140</v>
      </c>
      <c r="D7954" s="36"/>
    </row>
    <row r="7955" spans="1:13" ht="12.75" customHeight="1">
      <c r="A7955" s="4" t="s">
        <v>535</v>
      </c>
      <c r="B7955" s="8">
        <v>0.14699999999999999</v>
      </c>
      <c r="C7955" s="6" t="s">
        <v>1228</v>
      </c>
      <c r="D7955" s="36">
        <f>D7943</f>
        <v>575</v>
      </c>
      <c r="E7955" s="25">
        <f>ROUND(B7955*D7955,2)</f>
        <v>84.53</v>
      </c>
    </row>
    <row r="7956" spans="1:13" ht="12.75" customHeight="1">
      <c r="A7956" s="4" t="s">
        <v>1074</v>
      </c>
      <c r="B7956" s="8">
        <v>0.14699999999999999</v>
      </c>
      <c r="C7956" s="6" t="s">
        <v>1228</v>
      </c>
      <c r="D7956" s="36">
        <f>D7944</f>
        <v>6.58</v>
      </c>
      <c r="E7956" s="25">
        <f>ROUND(B7956*D7956,2)</f>
        <v>0.97</v>
      </c>
    </row>
    <row r="7957" spans="1:13" ht="12.75" customHeight="1">
      <c r="A7957" s="4" t="s">
        <v>1141</v>
      </c>
      <c r="B7957" s="8">
        <v>0.5</v>
      </c>
      <c r="C7957" s="6" t="s">
        <v>1142</v>
      </c>
      <c r="D7957" s="36">
        <f>Prec.!C274</f>
        <v>210</v>
      </c>
      <c r="E7957" s="25">
        <f>ROUND(B7957*D7957,2)</f>
        <v>105</v>
      </c>
    </row>
    <row r="7958" spans="1:13" ht="12.75" customHeight="1">
      <c r="A7958" s="4" t="s">
        <v>538</v>
      </c>
      <c r="B7958" s="30">
        <v>1.4999999999999999E-2</v>
      </c>
      <c r="C7958" s="6" t="s">
        <v>1228</v>
      </c>
      <c r="D7958" s="36">
        <f>D7955</f>
        <v>575</v>
      </c>
      <c r="E7958" s="25">
        <f>ROUND(B7958*D7958,2)</f>
        <v>8.6300000000000008</v>
      </c>
    </row>
    <row r="7959" spans="1:13" ht="12.75" customHeight="1">
      <c r="A7959" s="4" t="s">
        <v>659</v>
      </c>
      <c r="B7959" s="30">
        <f>B7955*2</f>
        <v>0.29399999999999998</v>
      </c>
      <c r="C7959" s="6" t="s">
        <v>1228</v>
      </c>
      <c r="D7959" s="36">
        <f>D7946</f>
        <v>330</v>
      </c>
      <c r="E7959" s="25">
        <f t="shared" ref="E7959:E7965" si="638">ROUND(B7959*D7959,2)</f>
        <v>97.02</v>
      </c>
    </row>
    <row r="7960" spans="1:13" ht="12.75" customHeight="1">
      <c r="A7960" s="4" t="s">
        <v>532</v>
      </c>
      <c r="B7960" s="30">
        <v>0.29399999999999998</v>
      </c>
      <c r="C7960" s="6" t="s">
        <v>1228</v>
      </c>
      <c r="D7960" s="36">
        <f>D7956</f>
        <v>6.58</v>
      </c>
      <c r="E7960" s="25">
        <f t="shared" si="638"/>
        <v>1.93</v>
      </c>
    </row>
    <row r="7961" spans="1:13" ht="12.75" customHeight="1">
      <c r="A7961" s="4" t="s">
        <v>1075</v>
      </c>
      <c r="B7961" s="8">
        <v>0.14699999999999999</v>
      </c>
      <c r="C7961" s="6" t="s">
        <v>1228</v>
      </c>
      <c r="D7961" s="36">
        <f>D7948</f>
        <v>900</v>
      </c>
      <c r="E7961" s="25">
        <f t="shared" si="638"/>
        <v>132.30000000000001</v>
      </c>
    </row>
    <row r="7962" spans="1:13" ht="12.75" customHeight="1">
      <c r="A7962" s="4" t="s">
        <v>660</v>
      </c>
      <c r="B7962" s="8">
        <v>0.14699999999999999</v>
      </c>
      <c r="C7962" s="6" t="s">
        <v>1228</v>
      </c>
      <c r="D7962" s="36">
        <f>D7960</f>
        <v>6.58</v>
      </c>
      <c r="E7962" s="25">
        <f t="shared" si="638"/>
        <v>0.97</v>
      </c>
    </row>
    <row r="7963" spans="1:13" ht="12.75" customHeight="1">
      <c r="A7963" s="4" t="s">
        <v>1176</v>
      </c>
      <c r="B7963" s="8">
        <v>1</v>
      </c>
      <c r="C7963" s="6" t="s">
        <v>213</v>
      </c>
      <c r="D7963" s="36">
        <f>D7950</f>
        <v>9.92</v>
      </c>
      <c r="E7963" s="25">
        <f t="shared" si="638"/>
        <v>9.92</v>
      </c>
    </row>
    <row r="7964" spans="1:13" ht="12.75" customHeight="1">
      <c r="A7964" s="4" t="s">
        <v>536</v>
      </c>
      <c r="B7964" s="8">
        <v>1</v>
      </c>
      <c r="C7964" s="6" t="s">
        <v>213</v>
      </c>
      <c r="D7964" s="36">
        <f>D7952</f>
        <v>0</v>
      </c>
      <c r="E7964" s="25">
        <f t="shared" si="638"/>
        <v>0</v>
      </c>
    </row>
    <row r="7965" spans="1:13" ht="12.75" customHeight="1">
      <c r="A7965" s="4" t="s">
        <v>537</v>
      </c>
      <c r="B7965" s="8">
        <v>1</v>
      </c>
      <c r="C7965" s="6" t="s">
        <v>213</v>
      </c>
      <c r="D7965" s="36">
        <f>D7952</f>
        <v>0</v>
      </c>
      <c r="E7965" s="25">
        <f t="shared" si="638"/>
        <v>0</v>
      </c>
      <c r="F7965" s="26">
        <f>SUM(E7955:E7965)</f>
        <v>441.27000000000004</v>
      </c>
    </row>
    <row r="7966" spans="1:13" ht="14.1" customHeight="1">
      <c r="D7966" s="36"/>
    </row>
    <row r="7967" spans="1:13" s="154" customFormat="1" ht="14.1" customHeight="1">
      <c r="B7967" s="8"/>
      <c r="C7967" s="155"/>
      <c r="D7967" s="36"/>
      <c r="E7967" s="25"/>
      <c r="F7967" s="26"/>
      <c r="G7967" s="15"/>
      <c r="H7967" s="21"/>
      <c r="I7967" s="15"/>
      <c r="J7967" s="15"/>
      <c r="K7967" s="15"/>
      <c r="L7967" s="21"/>
      <c r="M7967" s="15"/>
    </row>
    <row r="7968" spans="1:13" s="154" customFormat="1" ht="14.1" customHeight="1">
      <c r="B7968" s="8"/>
      <c r="C7968" s="155"/>
      <c r="D7968" s="36"/>
      <c r="E7968" s="25"/>
      <c r="F7968" s="26"/>
      <c r="G7968" s="15"/>
      <c r="H7968" s="21"/>
      <c r="I7968" s="15"/>
      <c r="J7968" s="15"/>
      <c r="K7968" s="15"/>
      <c r="L7968" s="21"/>
      <c r="M7968" s="15"/>
    </row>
    <row r="7969" spans="1:13" s="154" customFormat="1" ht="14.1" customHeight="1">
      <c r="B7969" s="8"/>
      <c r="C7969" s="155"/>
      <c r="D7969" s="36"/>
      <c r="E7969" s="25"/>
      <c r="F7969" s="26"/>
      <c r="G7969" s="15"/>
      <c r="H7969" s="21"/>
      <c r="I7969" s="15"/>
      <c r="J7969" s="15"/>
      <c r="K7969" s="15"/>
      <c r="L7969" s="21"/>
      <c r="M7969" s="15"/>
    </row>
    <row r="7970" spans="1:13" s="154" customFormat="1" ht="14.1" customHeight="1">
      <c r="B7970" s="8"/>
      <c r="C7970" s="155"/>
      <c r="D7970" s="36"/>
      <c r="E7970" s="25"/>
      <c r="F7970" s="26"/>
      <c r="G7970" s="15"/>
      <c r="H7970" s="21"/>
      <c r="I7970" s="15"/>
      <c r="J7970" s="15"/>
      <c r="K7970" s="15"/>
      <c r="L7970" s="21"/>
      <c r="M7970" s="15"/>
    </row>
    <row r="7971" spans="1:13" s="154" customFormat="1" ht="14.1" customHeight="1">
      <c r="B7971" s="8"/>
      <c r="C7971" s="155"/>
      <c r="D7971" s="36"/>
      <c r="E7971" s="25"/>
      <c r="F7971" s="26"/>
      <c r="G7971" s="15"/>
      <c r="H7971" s="21"/>
      <c r="I7971" s="15"/>
      <c r="J7971" s="15"/>
      <c r="K7971" s="15"/>
      <c r="L7971" s="21"/>
      <c r="M7971" s="15"/>
    </row>
    <row r="7972" spans="1:13" s="154" customFormat="1" ht="14.1" customHeight="1">
      <c r="B7972" s="8"/>
      <c r="C7972" s="155"/>
      <c r="D7972" s="36"/>
      <c r="E7972" s="25"/>
      <c r="F7972" s="26"/>
      <c r="G7972" s="15"/>
      <c r="H7972" s="21"/>
      <c r="I7972" s="15"/>
      <c r="J7972" s="15"/>
      <c r="K7972" s="15"/>
      <c r="L7972" s="21"/>
      <c r="M7972" s="15"/>
    </row>
    <row r="7973" spans="1:13" s="154" customFormat="1" ht="14.1" customHeight="1">
      <c r="B7973" s="8"/>
      <c r="C7973" s="155"/>
      <c r="D7973" s="36"/>
      <c r="E7973" s="25"/>
      <c r="F7973" s="26"/>
      <c r="G7973" s="15"/>
      <c r="H7973" s="21"/>
      <c r="I7973" s="15"/>
      <c r="J7973" s="15"/>
      <c r="K7973" s="15"/>
      <c r="L7973" s="21"/>
      <c r="M7973" s="15"/>
    </row>
    <row r="7974" spans="1:13" s="154" customFormat="1" ht="14.1" customHeight="1">
      <c r="B7974" s="8"/>
      <c r="C7974" s="155"/>
      <c r="D7974" s="36"/>
      <c r="E7974" s="25"/>
      <c r="F7974" s="26"/>
      <c r="G7974" s="15"/>
      <c r="H7974" s="21"/>
      <c r="I7974" s="15"/>
      <c r="J7974" s="15"/>
      <c r="K7974" s="15"/>
      <c r="L7974" s="21"/>
      <c r="M7974" s="15"/>
    </row>
    <row r="7975" spans="1:13" s="154" customFormat="1" ht="14.1" customHeight="1">
      <c r="B7975" s="8"/>
      <c r="C7975" s="155"/>
      <c r="D7975" s="36"/>
      <c r="E7975" s="25"/>
      <c r="F7975" s="26"/>
      <c r="G7975" s="15"/>
      <c r="H7975" s="21"/>
      <c r="I7975" s="15"/>
      <c r="J7975" s="15"/>
      <c r="K7975" s="15"/>
      <c r="L7975" s="21"/>
      <c r="M7975" s="15"/>
    </row>
    <row r="7976" spans="1:13" s="154" customFormat="1" ht="14.1" customHeight="1">
      <c r="B7976" s="8"/>
      <c r="C7976" s="155"/>
      <c r="D7976" s="36"/>
      <c r="E7976" s="25"/>
      <c r="F7976" s="26"/>
      <c r="G7976" s="15"/>
      <c r="H7976" s="21"/>
      <c r="I7976" s="15"/>
      <c r="J7976" s="15"/>
      <c r="K7976" s="15"/>
      <c r="L7976" s="21"/>
      <c r="M7976" s="15"/>
    </row>
    <row r="7977" spans="1:13" s="154" customFormat="1" ht="14.1" customHeight="1">
      <c r="B7977" s="8"/>
      <c r="C7977" s="155"/>
      <c r="D7977" s="36"/>
      <c r="E7977" s="25"/>
      <c r="F7977" s="26"/>
      <c r="G7977" s="15"/>
      <c r="H7977" s="21"/>
      <c r="I7977" s="15"/>
      <c r="J7977" s="15"/>
      <c r="K7977" s="15"/>
      <c r="L7977" s="21"/>
      <c r="M7977" s="15"/>
    </row>
    <row r="7978" spans="1:13" s="154" customFormat="1" ht="14.1" customHeight="1">
      <c r="B7978" s="8"/>
      <c r="C7978" s="155"/>
      <c r="D7978" s="36"/>
      <c r="E7978" s="25"/>
      <c r="F7978" s="26"/>
      <c r="G7978" s="15"/>
      <c r="H7978" s="21"/>
      <c r="I7978" s="15"/>
      <c r="J7978" s="15"/>
      <c r="K7978" s="15"/>
      <c r="L7978" s="21"/>
      <c r="M7978" s="15"/>
    </row>
    <row r="7979" spans="1:13" s="154" customFormat="1" ht="14.1" customHeight="1">
      <c r="B7979" s="8"/>
      <c r="C7979" s="155"/>
      <c r="D7979" s="36"/>
      <c r="E7979" s="25"/>
      <c r="F7979" s="26"/>
      <c r="G7979" s="15"/>
      <c r="H7979" s="21"/>
      <c r="I7979" s="15"/>
      <c r="J7979" s="15"/>
      <c r="K7979" s="15"/>
      <c r="L7979" s="21"/>
      <c r="M7979" s="15"/>
    </row>
    <row r="7980" spans="1:13" s="166" customFormat="1" ht="9.9499999999999993" customHeight="1">
      <c r="B7980" s="8"/>
      <c r="C7980" s="165"/>
      <c r="D7980" s="36"/>
      <c r="E7980" s="25"/>
      <c r="F7980" s="26"/>
      <c r="G7980" s="15"/>
      <c r="H7980" s="21"/>
      <c r="I7980" s="15"/>
      <c r="J7980" s="15"/>
      <c r="K7980" s="15"/>
      <c r="L7980" s="21"/>
      <c r="M7980" s="15"/>
    </row>
    <row r="7981" spans="1:13" ht="12.75" customHeight="1">
      <c r="A7981" s="39" t="s">
        <v>235</v>
      </c>
      <c r="B7981" s="7"/>
    </row>
    <row r="7982" spans="1:13" ht="11.1" customHeight="1">
      <c r="B7982" s="7"/>
    </row>
    <row r="7983" spans="1:13" ht="12.75" customHeight="1">
      <c r="A7983" s="513" t="s">
        <v>1196</v>
      </c>
      <c r="B7983" s="505"/>
      <c r="C7983" s="506"/>
      <c r="D7983" s="507"/>
      <c r="E7983" s="514" t="s">
        <v>151</v>
      </c>
      <c r="F7983" s="515" t="s">
        <v>213</v>
      </c>
    </row>
    <row r="7984" spans="1:13" ht="12.75" customHeight="1">
      <c r="A7984" s="512" t="s">
        <v>421</v>
      </c>
      <c r="B7984" s="510">
        <v>8.4000000000000005E-2</v>
      </c>
      <c r="C7984" s="511" t="s">
        <v>825</v>
      </c>
      <c r="D7984" s="507">
        <f>F97</f>
        <v>5147.68</v>
      </c>
      <c r="E7984" s="508">
        <f t="shared" ref="E7984:E7991" si="639">ROUND(B7984*D7984,2)</f>
        <v>432.41</v>
      </c>
      <c r="F7984" s="509"/>
    </row>
    <row r="7985" spans="1:13" ht="12.75" customHeight="1">
      <c r="A7985" s="512" t="s">
        <v>427</v>
      </c>
      <c r="B7985" s="510">
        <v>2.1000000000000001E-2</v>
      </c>
      <c r="C7985" s="511" t="s">
        <v>825</v>
      </c>
      <c r="D7985" s="507">
        <f>F46</f>
        <v>6653.49</v>
      </c>
      <c r="E7985" s="508">
        <f t="shared" si="639"/>
        <v>139.72</v>
      </c>
      <c r="F7985" s="509"/>
    </row>
    <row r="7986" spans="1:13" ht="12.75" customHeight="1">
      <c r="A7986" s="512" t="s">
        <v>182</v>
      </c>
      <c r="B7986" s="510">
        <v>0.22</v>
      </c>
      <c r="C7986" s="511" t="s">
        <v>211</v>
      </c>
      <c r="D7986" s="507">
        <f>Prec.!C198</f>
        <v>44</v>
      </c>
      <c r="E7986" s="508">
        <f t="shared" si="639"/>
        <v>9.68</v>
      </c>
      <c r="F7986" s="509"/>
    </row>
    <row r="7987" spans="1:13" s="166" customFormat="1" ht="12.75" customHeight="1">
      <c r="A7987" s="517" t="s">
        <v>2030</v>
      </c>
      <c r="B7987" s="518">
        <f>0.0104</f>
        <v>1.04E-2</v>
      </c>
      <c r="C7987" s="512" t="s">
        <v>1110</v>
      </c>
      <c r="D7987" s="519">
        <f>Prec.!C60</f>
        <v>8500</v>
      </c>
      <c r="E7987" s="512">
        <f t="shared" si="639"/>
        <v>88.4</v>
      </c>
      <c r="F7987" s="509"/>
      <c r="G7987" s="15"/>
      <c r="H7987" s="21"/>
      <c r="I7987" s="15"/>
      <c r="J7987" s="15"/>
      <c r="K7987" s="15"/>
      <c r="L7987" s="21"/>
      <c r="M7987" s="15"/>
    </row>
    <row r="7988" spans="1:13" s="166" customFormat="1" ht="12.75" customHeight="1">
      <c r="A7988" s="517" t="s">
        <v>1737</v>
      </c>
      <c r="B7988" s="512">
        <v>0.11</v>
      </c>
      <c r="C7988" s="512" t="s">
        <v>4</v>
      </c>
      <c r="D7988" s="520">
        <f>D3552</f>
        <v>486.5</v>
      </c>
      <c r="E7988" s="512">
        <f t="shared" si="639"/>
        <v>53.52</v>
      </c>
      <c r="F7988" s="509"/>
      <c r="G7988" s="15"/>
      <c r="H7988" s="21"/>
      <c r="I7988" s="15"/>
      <c r="J7988" s="15"/>
      <c r="K7988" s="15"/>
      <c r="L7988" s="21"/>
      <c r="M7988" s="15"/>
    </row>
    <row r="7989" spans="1:13" ht="12.75" customHeight="1">
      <c r="A7989" s="512" t="s">
        <v>1170</v>
      </c>
      <c r="B7989" s="510">
        <v>2</v>
      </c>
      <c r="C7989" s="511" t="s">
        <v>1171</v>
      </c>
      <c r="D7989" s="507">
        <f>F2837</f>
        <v>102.31</v>
      </c>
      <c r="E7989" s="508">
        <f t="shared" si="639"/>
        <v>204.62</v>
      </c>
      <c r="F7989" s="509"/>
    </row>
    <row r="7990" spans="1:13" ht="12.75" customHeight="1">
      <c r="A7990" s="512" t="s">
        <v>1168</v>
      </c>
      <c r="B7990" s="510">
        <v>0.1</v>
      </c>
      <c r="C7990" s="511" t="s">
        <v>825</v>
      </c>
      <c r="D7990" s="507">
        <f>Prec.!C681</f>
        <v>1448.1834999999999</v>
      </c>
      <c r="E7990" s="508">
        <f t="shared" si="639"/>
        <v>144.82</v>
      </c>
      <c r="F7990" s="509"/>
    </row>
    <row r="7991" spans="1:13" ht="12.75" customHeight="1">
      <c r="A7991" s="512" t="s">
        <v>208</v>
      </c>
      <c r="B7991" s="516">
        <f>SUM(E7984:E7987)</f>
        <v>670.20999999999992</v>
      </c>
      <c r="C7991" s="511" t="s">
        <v>209</v>
      </c>
      <c r="D7991" s="507">
        <v>0.02</v>
      </c>
      <c r="E7991" s="508">
        <f t="shared" si="639"/>
        <v>13.4</v>
      </c>
      <c r="F7991" s="509">
        <f>SUM(E7984:E7991)</f>
        <v>1086.57</v>
      </c>
    </row>
    <row r="7992" spans="1:13" ht="12.75" customHeight="1">
      <c r="A7992" s="12"/>
      <c r="B7992" s="14"/>
      <c r="C7992" s="24"/>
      <c r="D7992" s="35"/>
      <c r="E7992" s="31"/>
      <c r="F7992" s="32"/>
    </row>
    <row r="7993" spans="1:13" s="166" customFormat="1" ht="12.75" customHeight="1">
      <c r="A7993" s="12"/>
      <c r="B7993" s="14"/>
      <c r="C7993" s="24"/>
      <c r="D7993" s="35"/>
      <c r="E7993" s="31"/>
      <c r="F7993" s="32"/>
      <c r="G7993" s="15"/>
      <c r="H7993" s="21"/>
      <c r="I7993" s="15"/>
      <c r="J7993" s="15"/>
      <c r="K7993" s="15"/>
      <c r="L7993" s="21"/>
      <c r="M7993" s="15"/>
    </row>
    <row r="7994" spans="1:13" s="166" customFormat="1" ht="12.75" customHeight="1">
      <c r="A7994" s="13" t="s">
        <v>1713</v>
      </c>
      <c r="B7994" s="42"/>
      <c r="C7994" s="29"/>
      <c r="D7994" s="35"/>
      <c r="E7994" s="43" t="s">
        <v>151</v>
      </c>
      <c r="F7994" s="44" t="s">
        <v>213</v>
      </c>
      <c r="G7994" s="15"/>
      <c r="H7994" s="21"/>
      <c r="I7994" s="15"/>
      <c r="J7994" s="15"/>
      <c r="K7994" s="15"/>
      <c r="L7994" s="21"/>
      <c r="M7994" s="15"/>
    </row>
    <row r="7995" spans="1:13" s="166" customFormat="1" ht="12.75" customHeight="1">
      <c r="A7995" s="12" t="s">
        <v>421</v>
      </c>
      <c r="B7995" s="30">
        <v>1</v>
      </c>
      <c r="C7995" s="24" t="s">
        <v>825</v>
      </c>
      <c r="D7995" s="35">
        <f>D7984</f>
        <v>5147.68</v>
      </c>
      <c r="E7995" s="31">
        <f t="shared" ref="E7995" si="640">ROUND(B7995*D7995,2)</f>
        <v>5147.68</v>
      </c>
      <c r="F7995" s="32">
        <f>E7995</f>
        <v>5147.68</v>
      </c>
      <c r="G7995" s="15"/>
      <c r="H7995" s="21"/>
      <c r="I7995" s="15"/>
      <c r="J7995" s="15"/>
      <c r="K7995" s="15"/>
      <c r="L7995" s="21"/>
      <c r="M7995" s="15"/>
    </row>
    <row r="7996" spans="1:13" s="166" customFormat="1" ht="12.75" customHeight="1">
      <c r="A7996" s="12"/>
      <c r="B7996" s="14"/>
      <c r="C7996" s="24"/>
      <c r="D7996" s="35"/>
      <c r="E7996" s="31"/>
      <c r="F7996" s="32"/>
      <c r="G7996" s="15"/>
      <c r="H7996" s="21"/>
      <c r="I7996" s="15"/>
      <c r="J7996" s="15"/>
      <c r="K7996" s="15"/>
      <c r="L7996" s="21"/>
      <c r="M7996" s="15"/>
    </row>
    <row r="7997" spans="1:13" s="166" customFormat="1" ht="12.75" customHeight="1">
      <c r="A7997" s="12"/>
      <c r="B7997" s="14"/>
      <c r="C7997" s="24"/>
      <c r="D7997" s="35"/>
      <c r="E7997" s="31"/>
      <c r="F7997" s="32"/>
      <c r="G7997" s="15"/>
      <c r="H7997" s="21"/>
      <c r="I7997" s="15"/>
      <c r="J7997" s="15"/>
      <c r="K7997" s="15"/>
      <c r="L7997" s="21"/>
      <c r="M7997" s="15"/>
    </row>
    <row r="7998" spans="1:13" s="166" customFormat="1" ht="12.75" customHeight="1">
      <c r="A7998" s="12"/>
      <c r="B7998" s="14"/>
      <c r="C7998" s="24"/>
      <c r="D7998" s="35"/>
      <c r="E7998" s="31"/>
      <c r="F7998" s="32"/>
      <c r="G7998" s="15"/>
      <c r="H7998" s="21"/>
      <c r="I7998" s="15"/>
      <c r="J7998" s="15"/>
      <c r="K7998" s="15"/>
      <c r="L7998" s="21"/>
      <c r="M7998" s="15"/>
    </row>
    <row r="7999" spans="1:13" s="166" customFormat="1" ht="12.75" customHeight="1">
      <c r="A7999" s="12"/>
      <c r="B7999" s="14"/>
      <c r="C7999" s="24"/>
      <c r="D7999" s="35"/>
      <c r="E7999" s="31"/>
      <c r="F7999" s="32"/>
      <c r="G7999" s="15"/>
      <c r="H7999" s="21"/>
      <c r="I7999" s="15"/>
      <c r="J7999" s="15"/>
      <c r="K7999" s="15"/>
      <c r="L7999" s="21"/>
      <c r="M7999" s="15"/>
    </row>
    <row r="8000" spans="1:13" s="166" customFormat="1" ht="12.75" customHeight="1">
      <c r="A8000" s="12"/>
      <c r="B8000" s="14"/>
      <c r="C8000" s="24"/>
      <c r="D8000" s="35"/>
      <c r="E8000" s="31"/>
      <c r="F8000" s="32"/>
      <c r="G8000" s="15"/>
      <c r="H8000" s="21"/>
      <c r="I8000" s="15"/>
      <c r="J8000" s="15"/>
      <c r="K8000" s="15"/>
      <c r="L8000" s="21"/>
      <c r="M8000" s="15"/>
    </row>
    <row r="8001" spans="1:13" s="166" customFormat="1" ht="12.75" customHeight="1">
      <c r="A8001" s="12"/>
      <c r="B8001" s="14"/>
      <c r="C8001" s="24"/>
      <c r="D8001" s="35"/>
      <c r="E8001" s="31"/>
      <c r="F8001" s="32"/>
      <c r="G8001" s="15"/>
      <c r="H8001" s="21"/>
      <c r="I8001" s="15"/>
      <c r="J8001" s="15"/>
      <c r="K8001" s="15"/>
      <c r="L8001" s="21"/>
      <c r="M8001" s="15"/>
    </row>
    <row r="8002" spans="1:13" ht="12.75" customHeight="1">
      <c r="A8002" s="513" t="s">
        <v>1624</v>
      </c>
      <c r="B8002" s="505"/>
      <c r="C8002" s="506"/>
      <c r="D8002" s="507"/>
      <c r="E8002" s="514" t="s">
        <v>151</v>
      </c>
      <c r="F8002" s="515" t="s">
        <v>1171</v>
      </c>
    </row>
    <row r="8003" spans="1:13" ht="12.75" customHeight="1">
      <c r="A8003" s="512" t="s">
        <v>355</v>
      </c>
      <c r="B8003" s="510">
        <v>0.10199999999999999</v>
      </c>
      <c r="C8003" s="511" t="s">
        <v>825</v>
      </c>
      <c r="D8003" s="507">
        <f>horm.ymez.!C17</f>
        <v>5459</v>
      </c>
      <c r="E8003" s="508">
        <f t="shared" ref="E8003:E8008" si="641">ROUND(B8003*D8003,2)</f>
        <v>556.82000000000005</v>
      </c>
      <c r="F8003" s="509"/>
    </row>
    <row r="8004" spans="1:13" ht="12.75" customHeight="1">
      <c r="A8004" s="512" t="s">
        <v>1625</v>
      </c>
      <c r="B8004" s="510">
        <v>0.1</v>
      </c>
      <c r="C8004" s="511" t="s">
        <v>1172</v>
      </c>
      <c r="D8004" s="507">
        <f>Prec.!C5</f>
        <v>425</v>
      </c>
      <c r="E8004" s="508">
        <f t="shared" si="641"/>
        <v>42.5</v>
      </c>
      <c r="F8004" s="509"/>
    </row>
    <row r="8005" spans="1:13" ht="12.75" customHeight="1">
      <c r="A8005" s="512" t="s">
        <v>6</v>
      </c>
      <c r="B8005" s="510">
        <v>0.55000000000000004</v>
      </c>
      <c r="C8005" s="511" t="s">
        <v>1018</v>
      </c>
      <c r="D8005" s="507">
        <f>Prec.!$C$151</f>
        <v>40</v>
      </c>
      <c r="E8005" s="508">
        <f t="shared" si="641"/>
        <v>22</v>
      </c>
      <c r="F8005" s="509"/>
    </row>
    <row r="8006" spans="1:13" ht="12.75" customHeight="1">
      <c r="A8006" s="512" t="s">
        <v>182</v>
      </c>
      <c r="B8006" s="510">
        <v>1.21</v>
      </c>
      <c r="C8006" s="511" t="s">
        <v>211</v>
      </c>
      <c r="D8006" s="507">
        <f>D7986</f>
        <v>44</v>
      </c>
      <c r="E8006" s="508">
        <f t="shared" si="641"/>
        <v>53.24</v>
      </c>
      <c r="F8006" s="509"/>
    </row>
    <row r="8007" spans="1:13" ht="12.75" customHeight="1">
      <c r="A8007" s="512" t="s">
        <v>1168</v>
      </c>
      <c r="B8007" s="510">
        <v>1</v>
      </c>
      <c r="C8007" s="511" t="s">
        <v>1171</v>
      </c>
      <c r="D8007" s="507">
        <f>Prec.!C682</f>
        <v>150.68449999999999</v>
      </c>
      <c r="E8007" s="508">
        <f t="shared" si="641"/>
        <v>150.68</v>
      </c>
      <c r="F8007" s="509"/>
    </row>
    <row r="8008" spans="1:13" ht="12.75" customHeight="1">
      <c r="A8008" s="512" t="s">
        <v>208</v>
      </c>
      <c r="B8008" s="516">
        <f>SUM(E8003:E8006)</f>
        <v>674.56000000000006</v>
      </c>
      <c r="C8008" s="511" t="s">
        <v>209</v>
      </c>
      <c r="D8008" s="507">
        <v>0.02</v>
      </c>
      <c r="E8008" s="508">
        <f t="shared" si="641"/>
        <v>13.49</v>
      </c>
      <c r="F8008" s="509">
        <f>SUM(E8003:E8008)</f>
        <v>838.73</v>
      </c>
    </row>
    <row r="8009" spans="1:13" ht="5.25" customHeight="1">
      <c r="A8009" s="12"/>
      <c r="B8009" s="14"/>
      <c r="C8009" s="24"/>
      <c r="D8009" s="35"/>
      <c r="E8009" s="31"/>
      <c r="F8009" s="32"/>
    </row>
    <row r="8010" spans="1:13" ht="12.75" customHeight="1">
      <c r="A8010" s="13" t="s">
        <v>1253</v>
      </c>
      <c r="B8010" s="42"/>
      <c r="C8010" s="29"/>
      <c r="D8010" s="35"/>
      <c r="E8010" s="43" t="s">
        <v>151</v>
      </c>
      <c r="F8010" s="44" t="s">
        <v>213</v>
      </c>
    </row>
    <row r="8011" spans="1:13" ht="12.75" customHeight="1">
      <c r="A8011" s="12" t="s">
        <v>421</v>
      </c>
      <c r="B8011" s="30">
        <v>8.4000000000000005E-2</v>
      </c>
      <c r="C8011" s="24" t="s">
        <v>825</v>
      </c>
      <c r="D8011" s="35">
        <f>horm.ymez.!C14</f>
        <v>5147.68</v>
      </c>
      <c r="E8011" s="31">
        <f>ROUND(B8011*D8011,2)</f>
        <v>432.41</v>
      </c>
      <c r="F8011" s="32"/>
    </row>
    <row r="8012" spans="1:13" ht="12.75" customHeight="1">
      <c r="A8012" s="12" t="s">
        <v>427</v>
      </c>
      <c r="B8012" s="30">
        <v>2.1000000000000001E-2</v>
      </c>
      <c r="C8012" s="24" t="s">
        <v>825</v>
      </c>
      <c r="D8012" s="35">
        <f>horm.ymez.!C8</f>
        <v>6653.49</v>
      </c>
      <c r="E8012" s="31">
        <f t="shared" ref="E8012:E8021" si="642">ROUND(B8012*D8012,2)</f>
        <v>139.72</v>
      </c>
      <c r="F8012" s="32"/>
    </row>
    <row r="8013" spans="1:13" ht="12.75" customHeight="1">
      <c r="A8013" s="12" t="s">
        <v>1197</v>
      </c>
      <c r="B8013" s="30">
        <v>6.3E-2</v>
      </c>
      <c r="C8013" s="24" t="s">
        <v>4</v>
      </c>
      <c r="D8013" s="35">
        <f>Prec.!$C$53</f>
        <v>3200</v>
      </c>
      <c r="E8013" s="31">
        <f t="shared" si="642"/>
        <v>201.6</v>
      </c>
      <c r="F8013" s="32"/>
    </row>
    <row r="8014" spans="1:13" ht="12.75" customHeight="1">
      <c r="A8014" s="12" t="s">
        <v>1198</v>
      </c>
      <c r="B8014" s="30">
        <v>0.126</v>
      </c>
      <c r="C8014" s="24" t="s">
        <v>1018</v>
      </c>
      <c r="D8014" s="35">
        <f>Prec.!$C$75</f>
        <v>60</v>
      </c>
      <c r="E8014" s="31">
        <f t="shared" si="642"/>
        <v>7.56</v>
      </c>
      <c r="F8014" s="32"/>
    </row>
    <row r="8015" spans="1:13" ht="12.75" customHeight="1">
      <c r="A8015" s="12" t="s">
        <v>6</v>
      </c>
      <c r="B8015" s="30">
        <v>1.4999999999999999E-2</v>
      </c>
      <c r="C8015" s="24" t="s">
        <v>1018</v>
      </c>
      <c r="D8015" s="35">
        <f>Prec.!$C$151</f>
        <v>40</v>
      </c>
      <c r="E8015" s="31">
        <f t="shared" si="642"/>
        <v>0.6</v>
      </c>
      <c r="F8015" s="32"/>
    </row>
    <row r="8016" spans="1:13" ht="12.75" customHeight="1">
      <c r="A8016" s="12" t="s">
        <v>182</v>
      </c>
      <c r="B8016" s="30">
        <v>0.29399999999999998</v>
      </c>
      <c r="C8016" s="24" t="s">
        <v>211</v>
      </c>
      <c r="D8016" s="35">
        <f>D8006</f>
        <v>44</v>
      </c>
      <c r="E8016" s="31">
        <f t="shared" si="642"/>
        <v>12.94</v>
      </c>
      <c r="F8016" s="32"/>
    </row>
    <row r="8017" spans="1:13" ht="12.75" customHeight="1">
      <c r="A8017" s="12" t="s">
        <v>1170</v>
      </c>
      <c r="B8017" s="30">
        <v>2</v>
      </c>
      <c r="C8017" s="24" t="s">
        <v>1171</v>
      </c>
      <c r="D8017" s="35">
        <f>Prec.!$D$438</f>
        <v>0</v>
      </c>
      <c r="E8017" s="31">
        <f t="shared" si="642"/>
        <v>0</v>
      </c>
      <c r="F8017" s="32"/>
    </row>
    <row r="8018" spans="1:13" ht="12.75" customHeight="1">
      <c r="A8018" s="12" t="s">
        <v>152</v>
      </c>
      <c r="B8018" s="30">
        <v>1</v>
      </c>
      <c r="C8018" s="24" t="s">
        <v>213</v>
      </c>
      <c r="D8018" s="35">
        <f>Prec.!$D$477</f>
        <v>54.98</v>
      </c>
      <c r="E8018" s="31">
        <f t="shared" si="642"/>
        <v>54.98</v>
      </c>
      <c r="F8018" s="32"/>
    </row>
    <row r="8019" spans="1:13" ht="12.75" customHeight="1">
      <c r="A8019" s="12" t="s">
        <v>519</v>
      </c>
      <c r="B8019" s="30">
        <v>0.08</v>
      </c>
      <c r="C8019" s="24" t="s">
        <v>825</v>
      </c>
      <c r="D8019" s="35">
        <f>Prec.!D676</f>
        <v>606.97</v>
      </c>
      <c r="E8019" s="31">
        <f t="shared" si="642"/>
        <v>48.56</v>
      </c>
      <c r="F8019" s="32"/>
    </row>
    <row r="8020" spans="1:13" ht="12.75" customHeight="1">
      <c r="A8020" s="12" t="s">
        <v>1037</v>
      </c>
      <c r="B8020" s="30">
        <v>0.06</v>
      </c>
      <c r="C8020" s="24" t="s">
        <v>4</v>
      </c>
      <c r="D8020" s="35">
        <f>Prec.!D344</f>
        <v>0</v>
      </c>
      <c r="E8020" s="31">
        <f t="shared" si="642"/>
        <v>0</v>
      </c>
      <c r="F8020" s="32"/>
    </row>
    <row r="8021" spans="1:13" ht="12.75" customHeight="1">
      <c r="A8021" s="12" t="s">
        <v>208</v>
      </c>
      <c r="B8021" s="14">
        <f>SUM(E8011:E8020)</f>
        <v>898.37000000000012</v>
      </c>
      <c r="C8021" s="24" t="s">
        <v>209</v>
      </c>
      <c r="D8021" s="35">
        <f>Prec.!C302</f>
        <v>1.4999999999999999E-2</v>
      </c>
      <c r="E8021" s="31">
        <f t="shared" si="642"/>
        <v>13.48</v>
      </c>
      <c r="F8021" s="32">
        <f>SUM(E8011:E8021)</f>
        <v>911.85000000000014</v>
      </c>
    </row>
    <row r="8022" spans="1:13" ht="12.75" customHeight="1">
      <c r="A8022" s="13" t="s">
        <v>1081</v>
      </c>
      <c r="B8022" s="42"/>
      <c r="C8022" s="29"/>
      <c r="D8022" s="35"/>
      <c r="E8022" s="43" t="s">
        <v>151</v>
      </c>
      <c r="F8022" s="44" t="s">
        <v>213</v>
      </c>
    </row>
    <row r="8023" spans="1:13" ht="12.75" customHeight="1">
      <c r="A8023" s="12" t="s">
        <v>355</v>
      </c>
      <c r="B8023" s="30">
        <v>1.05</v>
      </c>
      <c r="C8023" s="24" t="s">
        <v>825</v>
      </c>
      <c r="D8023" s="35">
        <f>horm.ymez.!C17</f>
        <v>5459</v>
      </c>
      <c r="E8023" s="31">
        <f t="shared" ref="E8023:E8028" si="643">ROUND(B8023*D8023,2)</f>
        <v>5731.95</v>
      </c>
      <c r="F8023" s="32"/>
    </row>
    <row r="8024" spans="1:13" ht="12.75" customHeight="1">
      <c r="A8024" s="12" t="s">
        <v>173</v>
      </c>
      <c r="B8024" s="30">
        <v>0.68</v>
      </c>
      <c r="C8024" s="24" t="s">
        <v>4</v>
      </c>
      <c r="D8024" s="35">
        <f>Prec.!C54</f>
        <v>3200</v>
      </c>
      <c r="E8024" s="31">
        <f t="shared" si="643"/>
        <v>2176</v>
      </c>
      <c r="F8024" s="32"/>
    </row>
    <row r="8025" spans="1:13" ht="12.75" customHeight="1">
      <c r="A8025" s="12" t="s">
        <v>1198</v>
      </c>
      <c r="B8025" s="30">
        <f>B8024*2</f>
        <v>1.36</v>
      </c>
      <c r="C8025" s="24" t="s">
        <v>1018</v>
      </c>
      <c r="D8025" s="35">
        <f>Prec.!$C$75</f>
        <v>60</v>
      </c>
      <c r="E8025" s="31">
        <f t="shared" si="643"/>
        <v>81.599999999999994</v>
      </c>
      <c r="F8025" s="32"/>
    </row>
    <row r="8026" spans="1:13" ht="12.75" customHeight="1">
      <c r="A8026" s="12" t="s">
        <v>1037</v>
      </c>
      <c r="B8026" s="30">
        <f>B8024</f>
        <v>0.68</v>
      </c>
      <c r="C8026" s="24" t="s">
        <v>216</v>
      </c>
      <c r="D8026" s="35">
        <f>Prec.!$D$344</f>
        <v>0</v>
      </c>
      <c r="E8026" s="31">
        <f t="shared" si="643"/>
        <v>0</v>
      </c>
      <c r="F8026" s="32"/>
    </row>
    <row r="8027" spans="1:13" ht="12.75" customHeight="1">
      <c r="A8027" s="12" t="s">
        <v>519</v>
      </c>
      <c r="B8027" s="30">
        <v>1.05</v>
      </c>
      <c r="C8027" s="24" t="s">
        <v>825</v>
      </c>
      <c r="D8027" s="35">
        <f>Prec.!D676</f>
        <v>606.97</v>
      </c>
      <c r="E8027" s="31">
        <f t="shared" si="643"/>
        <v>637.32000000000005</v>
      </c>
      <c r="F8027" s="32"/>
    </row>
    <row r="8028" spans="1:13" ht="12.75" customHeight="1">
      <c r="A8028" s="12" t="s">
        <v>208</v>
      </c>
      <c r="B8028" s="14">
        <f>SUM(E8023:E8027)</f>
        <v>8626.8700000000008</v>
      </c>
      <c r="C8028" s="24" t="s">
        <v>209</v>
      </c>
      <c r="D8028" s="35">
        <f>Prec.!C302</f>
        <v>1.4999999999999999E-2</v>
      </c>
      <c r="E8028" s="31">
        <f t="shared" si="643"/>
        <v>129.4</v>
      </c>
      <c r="F8028" s="32">
        <f>SUM(E8023:E8028)</f>
        <v>8756.27</v>
      </c>
    </row>
    <row r="8029" spans="1:13" s="166" customFormat="1" ht="12.75" customHeight="1">
      <c r="A8029" s="12"/>
      <c r="B8029" s="14"/>
      <c r="C8029" s="24"/>
      <c r="D8029" s="35"/>
      <c r="E8029" s="31"/>
      <c r="F8029" s="32"/>
      <c r="G8029" s="15"/>
      <c r="H8029" s="21"/>
      <c r="I8029" s="15"/>
      <c r="J8029" s="15"/>
      <c r="K8029" s="15"/>
      <c r="L8029" s="21"/>
      <c r="M8029" s="15"/>
    </row>
    <row r="8030" spans="1:13" s="166" customFormat="1" ht="12.75" customHeight="1">
      <c r="A8030" s="13" t="s">
        <v>2022</v>
      </c>
      <c r="B8030" s="42"/>
      <c r="C8030" s="29"/>
      <c r="D8030" s="35"/>
      <c r="E8030" s="43" t="s">
        <v>151</v>
      </c>
      <c r="F8030" s="44" t="s">
        <v>213</v>
      </c>
      <c r="G8030" s="15"/>
      <c r="H8030" s="21"/>
      <c r="I8030" s="15"/>
      <c r="J8030" s="15"/>
      <c r="K8030" s="15"/>
      <c r="L8030" s="21"/>
      <c r="M8030" s="15"/>
    </row>
    <row r="8031" spans="1:13" s="166" customFormat="1" ht="12.75" customHeight="1">
      <c r="A8031" s="12" t="s">
        <v>1681</v>
      </c>
      <c r="B8031" s="30">
        <v>1.05</v>
      </c>
      <c r="C8031" s="24" t="s">
        <v>825</v>
      </c>
      <c r="D8031" s="35">
        <f>Prec.!C36</f>
        <v>6850</v>
      </c>
      <c r="E8031" s="31">
        <f t="shared" ref="E8031:E8036" si="644">ROUND(B8031*D8031,2)</f>
        <v>7192.5</v>
      </c>
      <c r="F8031" s="32"/>
      <c r="G8031" s="15"/>
      <c r="H8031" s="21"/>
      <c r="I8031" s="15"/>
      <c r="J8031" s="15"/>
      <c r="K8031" s="15"/>
      <c r="L8031" s="21"/>
      <c r="M8031" s="15"/>
    </row>
    <row r="8032" spans="1:13" s="166" customFormat="1" ht="12.75" customHeight="1">
      <c r="A8032" s="12" t="s">
        <v>1683</v>
      </c>
      <c r="B8032" s="30">
        <v>1.61</v>
      </c>
      <c r="C8032" s="24" t="s">
        <v>4</v>
      </c>
      <c r="D8032" s="35">
        <f>D8024</f>
        <v>3200</v>
      </c>
      <c r="E8032" s="31">
        <f t="shared" si="644"/>
        <v>5152</v>
      </c>
      <c r="F8032" s="32"/>
      <c r="G8032" s="15"/>
      <c r="H8032" s="21"/>
      <c r="I8032" s="15"/>
      <c r="J8032" s="15"/>
      <c r="K8032" s="15"/>
      <c r="L8032" s="21"/>
      <c r="M8032" s="15"/>
    </row>
    <row r="8033" spans="1:13" s="166" customFormat="1" ht="12.75" customHeight="1">
      <c r="A8033" s="12" t="s">
        <v>1198</v>
      </c>
      <c r="B8033" s="30">
        <f>B8032*2</f>
        <v>3.22</v>
      </c>
      <c r="C8033" s="24" t="s">
        <v>1018</v>
      </c>
      <c r="D8033" s="35">
        <f t="shared" ref="D8033" si="645">D8025</f>
        <v>60</v>
      </c>
      <c r="E8033" s="31">
        <f t="shared" si="644"/>
        <v>193.2</v>
      </c>
      <c r="F8033" s="32"/>
      <c r="G8033" s="15"/>
      <c r="H8033" s="21"/>
      <c r="I8033" s="15"/>
      <c r="J8033" s="15"/>
      <c r="K8033" s="15"/>
      <c r="L8033" s="21"/>
      <c r="M8033" s="15"/>
    </row>
    <row r="8034" spans="1:13" s="166" customFormat="1" ht="12.75" customHeight="1">
      <c r="A8034" s="12" t="s">
        <v>1037</v>
      </c>
      <c r="B8034" s="30">
        <f>B8032</f>
        <v>1.61</v>
      </c>
      <c r="C8034" s="24" t="s">
        <v>216</v>
      </c>
      <c r="D8034" s="35">
        <f>Prec.!C350</f>
        <v>486.5</v>
      </c>
      <c r="E8034" s="31">
        <f t="shared" si="644"/>
        <v>783.27</v>
      </c>
      <c r="F8034" s="32"/>
      <c r="G8034" s="15"/>
      <c r="H8034" s="21"/>
      <c r="I8034" s="15"/>
      <c r="J8034" s="15"/>
      <c r="K8034" s="15"/>
      <c r="L8034" s="21"/>
      <c r="M8034" s="15"/>
    </row>
    <row r="8035" spans="1:13" s="166" customFormat="1" ht="12.75" customHeight="1">
      <c r="A8035" s="12" t="s">
        <v>1682</v>
      </c>
      <c r="B8035" s="30">
        <v>1</v>
      </c>
      <c r="C8035" s="24" t="s">
        <v>825</v>
      </c>
      <c r="D8035" s="35">
        <f>Prec.!C675</f>
        <v>600.29999999999995</v>
      </c>
      <c r="E8035" s="31">
        <f t="shared" si="644"/>
        <v>600.29999999999995</v>
      </c>
      <c r="F8035" s="32"/>
      <c r="G8035" s="15"/>
      <c r="H8035" s="21"/>
      <c r="I8035" s="15"/>
      <c r="J8035" s="15"/>
      <c r="K8035" s="15"/>
      <c r="L8035" s="21"/>
      <c r="M8035" s="15"/>
    </row>
    <row r="8036" spans="1:13" s="166" customFormat="1" ht="12.75" customHeight="1">
      <c r="A8036" s="12" t="s">
        <v>208</v>
      </c>
      <c r="B8036" s="14">
        <f>SUM(E8031:E8033)</f>
        <v>12537.7</v>
      </c>
      <c r="C8036" s="24" t="s">
        <v>209</v>
      </c>
      <c r="D8036" s="35">
        <v>0.02</v>
      </c>
      <c r="E8036" s="31">
        <f t="shared" si="644"/>
        <v>250.75</v>
      </c>
      <c r="F8036" s="32">
        <f>SUM(E8031:E8036)</f>
        <v>14172.02</v>
      </c>
      <c r="G8036" s="15"/>
      <c r="H8036" s="21"/>
      <c r="I8036" s="15"/>
      <c r="J8036" s="15"/>
      <c r="K8036" s="15"/>
      <c r="L8036" s="21"/>
      <c r="M8036" s="15"/>
    </row>
    <row r="8037" spans="1:13" s="166" customFormat="1" ht="12.75" customHeight="1">
      <c r="A8037" s="12"/>
      <c r="B8037" s="14"/>
      <c r="C8037" s="24"/>
      <c r="D8037" s="35"/>
      <c r="E8037" s="31"/>
      <c r="F8037" s="32"/>
      <c r="G8037" s="15"/>
      <c r="H8037" s="21"/>
      <c r="I8037" s="15"/>
      <c r="J8037" s="15"/>
      <c r="K8037" s="15"/>
      <c r="L8037" s="21"/>
      <c r="M8037" s="15"/>
    </row>
    <row r="8038" spans="1:13" s="166" customFormat="1" ht="12.75" customHeight="1">
      <c r="A8038" s="698" t="s">
        <v>4419</v>
      </c>
      <c r="B8038" s="706"/>
      <c r="C8038" s="707"/>
      <c r="D8038" s="708"/>
      <c r="E8038" s="709" t="s">
        <v>151</v>
      </c>
      <c r="F8038" s="710" t="s">
        <v>213</v>
      </c>
      <c r="G8038" s="15"/>
      <c r="H8038" s="21"/>
      <c r="I8038" s="15"/>
      <c r="J8038" s="15"/>
      <c r="K8038" s="15"/>
      <c r="L8038" s="21"/>
      <c r="M8038" s="15"/>
    </row>
    <row r="8039" spans="1:13" s="166" customFormat="1" ht="12.75" customHeight="1">
      <c r="A8039" s="704" t="s">
        <v>1681</v>
      </c>
      <c r="B8039" s="705">
        <v>1.05</v>
      </c>
      <c r="C8039" s="700" t="s">
        <v>825</v>
      </c>
      <c r="D8039" s="708">
        <f>D8047</f>
        <v>6850</v>
      </c>
      <c r="E8039" s="702">
        <f t="shared" ref="E8039:E8044" si="646">ROUND(B8039*D8039,2)</f>
        <v>7192.5</v>
      </c>
      <c r="F8039" s="703"/>
      <c r="G8039" s="15"/>
      <c r="H8039" s="21"/>
      <c r="I8039" s="15"/>
      <c r="J8039" s="15"/>
      <c r="K8039" s="15"/>
      <c r="L8039" s="21"/>
      <c r="M8039" s="15"/>
    </row>
    <row r="8040" spans="1:13" s="166" customFormat="1" ht="12.75" customHeight="1">
      <c r="A8040" s="704" t="s">
        <v>1683</v>
      </c>
      <c r="B8040" s="705">
        <v>1.42</v>
      </c>
      <c r="C8040" s="700" t="s">
        <v>4</v>
      </c>
      <c r="D8040" s="708">
        <f t="shared" ref="D8040:D8044" si="647">D8048</f>
        <v>3200</v>
      </c>
      <c r="E8040" s="702">
        <f t="shared" si="646"/>
        <v>4544</v>
      </c>
      <c r="F8040" s="703"/>
      <c r="G8040" s="15"/>
      <c r="H8040" s="21"/>
      <c r="I8040" s="15"/>
      <c r="J8040" s="15"/>
      <c r="K8040" s="15"/>
      <c r="L8040" s="21"/>
      <c r="M8040" s="15"/>
    </row>
    <row r="8041" spans="1:13" s="166" customFormat="1" ht="12.75" customHeight="1">
      <c r="A8041" s="704" t="s">
        <v>1198</v>
      </c>
      <c r="B8041" s="705">
        <f>B8040*2</f>
        <v>2.84</v>
      </c>
      <c r="C8041" s="700" t="s">
        <v>1018</v>
      </c>
      <c r="D8041" s="708">
        <f t="shared" si="647"/>
        <v>60</v>
      </c>
      <c r="E8041" s="702">
        <f t="shared" si="646"/>
        <v>170.4</v>
      </c>
      <c r="F8041" s="703"/>
      <c r="G8041" s="15"/>
      <c r="H8041" s="21"/>
      <c r="I8041" s="15"/>
      <c r="J8041" s="15"/>
      <c r="K8041" s="15"/>
      <c r="L8041" s="21"/>
      <c r="M8041" s="15"/>
    </row>
    <row r="8042" spans="1:13" s="166" customFormat="1" ht="12.75" customHeight="1">
      <c r="A8042" s="704" t="s">
        <v>1037</v>
      </c>
      <c r="B8042" s="705">
        <f>B8040</f>
        <v>1.42</v>
      </c>
      <c r="C8042" s="700" t="s">
        <v>216</v>
      </c>
      <c r="D8042" s="708">
        <f t="shared" si="647"/>
        <v>486.5</v>
      </c>
      <c r="E8042" s="702">
        <f t="shared" si="646"/>
        <v>690.83</v>
      </c>
      <c r="F8042" s="703"/>
      <c r="G8042" s="15"/>
      <c r="H8042" s="21"/>
      <c r="I8042" s="15"/>
      <c r="J8042" s="15"/>
      <c r="K8042" s="15"/>
      <c r="L8042" s="21"/>
      <c r="M8042" s="15"/>
    </row>
    <row r="8043" spans="1:13" s="166" customFormat="1" ht="12.75" customHeight="1">
      <c r="A8043" s="704" t="s">
        <v>1682</v>
      </c>
      <c r="B8043" s="705">
        <v>1</v>
      </c>
      <c r="C8043" s="700" t="s">
        <v>825</v>
      </c>
      <c r="D8043" s="708">
        <f t="shared" si="647"/>
        <v>600.29999999999995</v>
      </c>
      <c r="E8043" s="702"/>
      <c r="F8043" s="703"/>
      <c r="G8043" s="15"/>
      <c r="H8043" s="21"/>
      <c r="I8043" s="15"/>
      <c r="J8043" s="15"/>
      <c r="K8043" s="15"/>
      <c r="L8043" s="21"/>
      <c r="M8043" s="15"/>
    </row>
    <row r="8044" spans="1:13" s="166" customFormat="1" ht="12.75" customHeight="1">
      <c r="A8044" s="704" t="s">
        <v>208</v>
      </c>
      <c r="B8044" s="711">
        <f>SUM(E8039:E8041)</f>
        <v>11906.9</v>
      </c>
      <c r="C8044" s="700" t="s">
        <v>209</v>
      </c>
      <c r="D8044" s="708">
        <f t="shared" si="647"/>
        <v>0.02</v>
      </c>
      <c r="E8044" s="702">
        <f t="shared" si="646"/>
        <v>238.14</v>
      </c>
      <c r="F8044" s="703">
        <f>SUM(E8039:E8044)</f>
        <v>12835.869999999999</v>
      </c>
      <c r="G8044" s="15"/>
      <c r="H8044" s="21"/>
      <c r="I8044" s="15"/>
      <c r="J8044" s="15"/>
      <c r="K8044" s="15"/>
      <c r="L8044" s="21"/>
      <c r="M8044" s="15"/>
    </row>
    <row r="8045" spans="1:13" s="166" customFormat="1" ht="12.75" customHeight="1">
      <c r="A8045" s="12"/>
      <c r="B8045" s="14"/>
      <c r="C8045" s="24"/>
      <c r="D8045" s="35"/>
      <c r="E8045" s="31"/>
      <c r="F8045" s="32"/>
      <c r="G8045" s="15"/>
      <c r="H8045" s="21"/>
      <c r="I8045" s="15"/>
      <c r="J8045" s="15"/>
      <c r="K8045" s="15"/>
      <c r="L8045" s="21"/>
      <c r="M8045" s="15"/>
    </row>
    <row r="8046" spans="1:13" s="166" customFormat="1" ht="12.75" customHeight="1">
      <c r="A8046" s="698" t="s">
        <v>4420</v>
      </c>
      <c r="B8046" s="706"/>
      <c r="C8046" s="707"/>
      <c r="D8046" s="708"/>
      <c r="E8046" s="709" t="s">
        <v>151</v>
      </c>
      <c r="F8046" s="710" t="s">
        <v>213</v>
      </c>
      <c r="G8046" s="15"/>
      <c r="H8046" s="21"/>
      <c r="I8046" s="15"/>
      <c r="J8046" s="15"/>
      <c r="K8046" s="15"/>
      <c r="L8046" s="21"/>
      <c r="M8046" s="15"/>
    </row>
    <row r="8047" spans="1:13" s="166" customFormat="1" ht="12.75" customHeight="1">
      <c r="A8047" s="704" t="s">
        <v>1681</v>
      </c>
      <c r="B8047" s="705">
        <v>1.05</v>
      </c>
      <c r="C8047" s="700" t="s">
        <v>825</v>
      </c>
      <c r="D8047" s="708">
        <f t="shared" ref="D8047:D8052" si="648">D8031</f>
        <v>6850</v>
      </c>
      <c r="E8047" s="702">
        <f t="shared" ref="E8047:E8052" si="649">ROUND(B8047*D8047,2)</f>
        <v>7192.5</v>
      </c>
      <c r="F8047" s="703"/>
      <c r="G8047" s="15"/>
      <c r="H8047" s="21"/>
      <c r="I8047" s="15"/>
      <c r="J8047" s="15"/>
      <c r="K8047" s="15"/>
      <c r="L8047" s="21"/>
      <c r="M8047" s="15"/>
    </row>
    <row r="8048" spans="1:13" s="166" customFormat="1" ht="12.75" customHeight="1">
      <c r="A8048" s="704" t="s">
        <v>1683</v>
      </c>
      <c r="B8048" s="705">
        <v>1.02</v>
      </c>
      <c r="C8048" s="700" t="s">
        <v>4</v>
      </c>
      <c r="D8048" s="708">
        <f t="shared" si="648"/>
        <v>3200</v>
      </c>
      <c r="E8048" s="702">
        <f t="shared" si="649"/>
        <v>3264</v>
      </c>
      <c r="F8048" s="703"/>
      <c r="G8048" s="15"/>
      <c r="H8048" s="21"/>
      <c r="I8048" s="15"/>
      <c r="J8048" s="15"/>
      <c r="K8048" s="15"/>
      <c r="L8048" s="21"/>
      <c r="M8048" s="15"/>
    </row>
    <row r="8049" spans="1:13" s="166" customFormat="1" ht="12.75" customHeight="1">
      <c r="A8049" s="704" t="s">
        <v>1198</v>
      </c>
      <c r="B8049" s="705">
        <f>B8048*2</f>
        <v>2.04</v>
      </c>
      <c r="C8049" s="700" t="s">
        <v>1018</v>
      </c>
      <c r="D8049" s="708">
        <f t="shared" si="648"/>
        <v>60</v>
      </c>
      <c r="E8049" s="702">
        <f t="shared" si="649"/>
        <v>122.4</v>
      </c>
      <c r="F8049" s="703"/>
      <c r="G8049" s="15"/>
      <c r="H8049" s="21"/>
      <c r="I8049" s="15"/>
      <c r="J8049" s="15"/>
      <c r="K8049" s="15"/>
      <c r="L8049" s="21"/>
      <c r="M8049" s="15"/>
    </row>
    <row r="8050" spans="1:13" s="166" customFormat="1" ht="12.75" customHeight="1">
      <c r="A8050" s="704" t="s">
        <v>1037</v>
      </c>
      <c r="B8050" s="705">
        <f>B8048</f>
        <v>1.02</v>
      </c>
      <c r="C8050" s="700" t="s">
        <v>216</v>
      </c>
      <c r="D8050" s="708">
        <f t="shared" si="648"/>
        <v>486.5</v>
      </c>
      <c r="E8050" s="702">
        <f t="shared" si="649"/>
        <v>496.23</v>
      </c>
      <c r="F8050" s="703"/>
      <c r="G8050" s="15"/>
      <c r="H8050" s="21"/>
      <c r="I8050" s="15"/>
      <c r="J8050" s="15"/>
      <c r="K8050" s="15"/>
      <c r="L8050" s="21"/>
      <c r="M8050" s="15"/>
    </row>
    <row r="8051" spans="1:13" s="166" customFormat="1" ht="12.75" customHeight="1">
      <c r="A8051" s="704" t="s">
        <v>1682</v>
      </c>
      <c r="B8051" s="705">
        <v>1</v>
      </c>
      <c r="C8051" s="700" t="s">
        <v>825</v>
      </c>
      <c r="D8051" s="708">
        <f t="shared" si="648"/>
        <v>600.29999999999995</v>
      </c>
      <c r="E8051" s="702"/>
      <c r="F8051" s="703"/>
      <c r="G8051" s="15"/>
      <c r="H8051" s="21"/>
      <c r="I8051" s="15"/>
      <c r="J8051" s="15"/>
      <c r="K8051" s="15"/>
      <c r="L8051" s="21"/>
      <c r="M8051" s="15"/>
    </row>
    <row r="8052" spans="1:13" s="166" customFormat="1" ht="12.75" customHeight="1">
      <c r="A8052" s="704" t="s">
        <v>208</v>
      </c>
      <c r="B8052" s="711">
        <f>SUM(E8047:E8049)</f>
        <v>10578.9</v>
      </c>
      <c r="C8052" s="700" t="s">
        <v>209</v>
      </c>
      <c r="D8052" s="708">
        <f t="shared" si="648"/>
        <v>0.02</v>
      </c>
      <c r="E8052" s="702">
        <f t="shared" si="649"/>
        <v>211.58</v>
      </c>
      <c r="F8052" s="703">
        <f>SUM(E8047:E8052)</f>
        <v>11286.71</v>
      </c>
      <c r="G8052" s="15"/>
      <c r="H8052" s="21"/>
      <c r="I8052" s="15"/>
      <c r="J8052" s="15"/>
      <c r="K8052" s="15"/>
      <c r="L8052" s="21"/>
      <c r="M8052" s="15"/>
    </row>
    <row r="8053" spans="1:13" s="166" customFormat="1" ht="12.75" customHeight="1">
      <c r="A8053" s="12"/>
      <c r="B8053" s="14"/>
      <c r="C8053" s="24"/>
      <c r="D8053" s="35"/>
      <c r="E8053" s="31"/>
      <c r="F8053" s="32"/>
      <c r="G8053" s="15"/>
      <c r="H8053" s="21"/>
      <c r="I8053" s="15"/>
      <c r="J8053" s="15"/>
      <c r="K8053" s="15"/>
      <c r="L8053" s="21"/>
      <c r="M8053" s="15"/>
    </row>
    <row r="8054" spans="1:13" s="166" customFormat="1" ht="12.75" customHeight="1">
      <c r="A8054" s="13" t="s">
        <v>4398</v>
      </c>
      <c r="B8054" s="42"/>
      <c r="C8054" s="29"/>
      <c r="D8054" s="35"/>
      <c r="E8054" s="43" t="s">
        <v>151</v>
      </c>
      <c r="F8054" s="44" t="s">
        <v>213</v>
      </c>
      <c r="G8054" s="15"/>
      <c r="H8054" s="21"/>
      <c r="I8054" s="15"/>
      <c r="J8054" s="15"/>
      <c r="K8054" s="15"/>
      <c r="L8054" s="21"/>
      <c r="M8054" s="15"/>
    </row>
    <row r="8055" spans="1:13" s="166" customFormat="1" ht="12.75" customHeight="1">
      <c r="A8055" s="12" t="s">
        <v>1681</v>
      </c>
      <c r="B8055" s="30">
        <v>1.05</v>
      </c>
      <c r="C8055" s="24" t="s">
        <v>825</v>
      </c>
      <c r="D8055" s="35">
        <f t="shared" ref="D8055:D8060" si="650">D8039</f>
        <v>6850</v>
      </c>
      <c r="E8055" s="31">
        <f t="shared" ref="E8055:E8058" si="651">ROUND(B8055*D8055,2)</f>
        <v>7192.5</v>
      </c>
      <c r="F8055" s="32"/>
      <c r="G8055" s="15"/>
      <c r="H8055" s="21"/>
      <c r="I8055" s="15"/>
      <c r="J8055" s="15"/>
      <c r="K8055" s="15"/>
      <c r="L8055" s="21"/>
      <c r="M8055" s="15"/>
    </row>
    <row r="8056" spans="1:13" s="166" customFormat="1" ht="12.75" customHeight="1">
      <c r="A8056" s="12" t="s">
        <v>1683</v>
      </c>
      <c r="B8056" s="30">
        <v>1.89</v>
      </c>
      <c r="C8056" s="24" t="s">
        <v>4</v>
      </c>
      <c r="D8056" s="35">
        <f t="shared" si="650"/>
        <v>3200</v>
      </c>
      <c r="E8056" s="31">
        <f t="shared" si="651"/>
        <v>6048</v>
      </c>
      <c r="F8056" s="32"/>
      <c r="G8056" s="15"/>
      <c r="H8056" s="21"/>
      <c r="I8056" s="15"/>
      <c r="J8056" s="15"/>
      <c r="K8056" s="15"/>
      <c r="L8056" s="21"/>
      <c r="M8056" s="15"/>
    </row>
    <row r="8057" spans="1:13" s="166" customFormat="1" ht="12.75" customHeight="1">
      <c r="A8057" s="12" t="s">
        <v>1198</v>
      </c>
      <c r="B8057" s="30">
        <f>B8056*2</f>
        <v>3.78</v>
      </c>
      <c r="C8057" s="24" t="s">
        <v>1018</v>
      </c>
      <c r="D8057" s="35">
        <f t="shared" si="650"/>
        <v>60</v>
      </c>
      <c r="E8057" s="31">
        <f t="shared" si="651"/>
        <v>226.8</v>
      </c>
      <c r="F8057" s="32"/>
      <c r="G8057" s="15"/>
      <c r="H8057" s="21"/>
      <c r="I8057" s="15"/>
      <c r="J8057" s="15"/>
      <c r="K8057" s="15"/>
      <c r="L8057" s="21"/>
      <c r="M8057" s="15"/>
    </row>
    <row r="8058" spans="1:13" s="166" customFormat="1" ht="12.75" customHeight="1">
      <c r="A8058" s="12" t="s">
        <v>1037</v>
      </c>
      <c r="B8058" s="30">
        <f>B8056</f>
        <v>1.89</v>
      </c>
      <c r="C8058" s="24" t="s">
        <v>216</v>
      </c>
      <c r="D8058" s="35">
        <f t="shared" si="650"/>
        <v>486.5</v>
      </c>
      <c r="E8058" s="31">
        <f t="shared" si="651"/>
        <v>919.49</v>
      </c>
      <c r="F8058" s="32"/>
      <c r="G8058" s="15"/>
      <c r="H8058" s="21"/>
      <c r="I8058" s="15"/>
      <c r="J8058" s="15"/>
      <c r="K8058" s="15"/>
      <c r="L8058" s="21"/>
      <c r="M8058" s="15"/>
    </row>
    <row r="8059" spans="1:13" s="166" customFormat="1" ht="12.75" customHeight="1">
      <c r="A8059" s="12" t="s">
        <v>1682</v>
      </c>
      <c r="B8059" s="30">
        <v>1</v>
      </c>
      <c r="C8059" s="24" t="s">
        <v>825</v>
      </c>
      <c r="D8059" s="35">
        <f t="shared" si="650"/>
        <v>600.29999999999995</v>
      </c>
      <c r="E8059" s="31"/>
      <c r="F8059" s="32"/>
      <c r="G8059" s="15"/>
      <c r="H8059" s="21"/>
      <c r="I8059" s="15"/>
      <c r="J8059" s="15"/>
      <c r="K8059" s="15"/>
      <c r="L8059" s="21"/>
      <c r="M8059" s="15"/>
    </row>
    <row r="8060" spans="1:13" s="166" customFormat="1" ht="12.75" customHeight="1">
      <c r="A8060" s="12" t="s">
        <v>208</v>
      </c>
      <c r="B8060" s="14">
        <f>SUM(E8055:E8057)</f>
        <v>13467.3</v>
      </c>
      <c r="C8060" s="24" t="s">
        <v>209</v>
      </c>
      <c r="D8060" s="35">
        <f t="shared" si="650"/>
        <v>0.02</v>
      </c>
      <c r="E8060" s="31">
        <f t="shared" ref="E8060" si="652">ROUND(B8060*D8060,2)</f>
        <v>269.35000000000002</v>
      </c>
      <c r="F8060" s="32">
        <f>SUM(E8055:E8060)</f>
        <v>14656.14</v>
      </c>
      <c r="G8060" s="15"/>
      <c r="H8060" s="21"/>
      <c r="I8060" s="15"/>
      <c r="J8060" s="15"/>
      <c r="K8060" s="15"/>
      <c r="L8060" s="21"/>
      <c r="M8060" s="15"/>
    </row>
    <row r="8061" spans="1:13" s="166" customFormat="1" ht="12.75" customHeight="1">
      <c r="A8061" s="12"/>
      <c r="B8061" s="14"/>
      <c r="C8061" s="24"/>
      <c r="D8061" s="35"/>
      <c r="E8061" s="31"/>
      <c r="F8061" s="32"/>
      <c r="G8061" s="15"/>
      <c r="H8061" s="21"/>
      <c r="I8061" s="15"/>
      <c r="J8061" s="15"/>
      <c r="K8061" s="15"/>
      <c r="L8061" s="21"/>
      <c r="M8061" s="15"/>
    </row>
    <row r="8062" spans="1:13" s="166" customFormat="1" ht="12.75" customHeight="1">
      <c r="A8062" s="13" t="s">
        <v>4399</v>
      </c>
      <c r="B8062" s="42"/>
      <c r="C8062" s="29"/>
      <c r="D8062" s="35"/>
      <c r="E8062" s="43" t="s">
        <v>151</v>
      </c>
      <c r="F8062" s="44" t="s">
        <v>213</v>
      </c>
      <c r="G8062" s="15"/>
      <c r="H8062" s="21"/>
      <c r="I8062" s="15"/>
      <c r="J8062" s="15"/>
      <c r="K8062" s="15"/>
      <c r="L8062" s="21"/>
      <c r="M8062" s="15"/>
    </row>
    <row r="8063" spans="1:13" s="166" customFormat="1" ht="12.75" customHeight="1">
      <c r="A8063" s="12" t="s">
        <v>1681</v>
      </c>
      <c r="B8063" s="30">
        <v>1.05</v>
      </c>
      <c r="C8063" s="24" t="s">
        <v>825</v>
      </c>
      <c r="D8063" s="35">
        <f t="shared" ref="D8063:D8068" si="653">D8047</f>
        <v>6850</v>
      </c>
      <c r="E8063" s="31">
        <f t="shared" ref="E8063:E8066" si="654">ROUND(B8063*D8063,2)</f>
        <v>7192.5</v>
      </c>
      <c r="F8063" s="32"/>
      <c r="G8063" s="15"/>
      <c r="H8063" s="21"/>
      <c r="I8063" s="15"/>
      <c r="J8063" s="15"/>
      <c r="K8063" s="15"/>
      <c r="L8063" s="21"/>
      <c r="M8063" s="15"/>
    </row>
    <row r="8064" spans="1:13" s="166" customFormat="1" ht="12.75" customHeight="1">
      <c r="A8064" s="12" t="s">
        <v>1683</v>
      </c>
      <c r="B8064" s="30">
        <v>1.82</v>
      </c>
      <c r="C8064" s="24" t="s">
        <v>4</v>
      </c>
      <c r="D8064" s="35">
        <f t="shared" si="653"/>
        <v>3200</v>
      </c>
      <c r="E8064" s="31">
        <f t="shared" si="654"/>
        <v>5824</v>
      </c>
      <c r="F8064" s="32"/>
      <c r="G8064" s="15"/>
      <c r="H8064" s="21"/>
      <c r="I8064" s="15"/>
      <c r="J8064" s="15"/>
      <c r="K8064" s="15"/>
      <c r="L8064" s="21"/>
      <c r="M8064" s="15"/>
    </row>
    <row r="8065" spans="1:13" s="166" customFormat="1" ht="12.75" customHeight="1">
      <c r="A8065" s="12" t="s">
        <v>1198</v>
      </c>
      <c r="B8065" s="30">
        <f>B8064*2</f>
        <v>3.64</v>
      </c>
      <c r="C8065" s="24" t="s">
        <v>1018</v>
      </c>
      <c r="D8065" s="35">
        <f t="shared" si="653"/>
        <v>60</v>
      </c>
      <c r="E8065" s="31">
        <f t="shared" si="654"/>
        <v>218.4</v>
      </c>
      <c r="F8065" s="32"/>
      <c r="G8065" s="15"/>
      <c r="H8065" s="21"/>
      <c r="I8065" s="15"/>
      <c r="J8065" s="15"/>
      <c r="K8065" s="15"/>
      <c r="L8065" s="21"/>
      <c r="M8065" s="15"/>
    </row>
    <row r="8066" spans="1:13" s="166" customFormat="1" ht="12.75" customHeight="1">
      <c r="A8066" s="12" t="s">
        <v>1037</v>
      </c>
      <c r="B8066" s="30">
        <f>B8064</f>
        <v>1.82</v>
      </c>
      <c r="C8066" s="24" t="s">
        <v>216</v>
      </c>
      <c r="D8066" s="35">
        <f t="shared" si="653"/>
        <v>486.5</v>
      </c>
      <c r="E8066" s="31">
        <f t="shared" si="654"/>
        <v>885.43</v>
      </c>
      <c r="F8066" s="32"/>
      <c r="G8066" s="15"/>
      <c r="H8066" s="21"/>
      <c r="I8066" s="15"/>
      <c r="J8066" s="15"/>
      <c r="K8066" s="15"/>
      <c r="L8066" s="21"/>
      <c r="M8066" s="15"/>
    </row>
    <row r="8067" spans="1:13" s="166" customFormat="1" ht="12.75" customHeight="1">
      <c r="A8067" s="12" t="s">
        <v>1682</v>
      </c>
      <c r="B8067" s="30">
        <v>1</v>
      </c>
      <c r="C8067" s="24" t="s">
        <v>825</v>
      </c>
      <c r="D8067" s="35">
        <f t="shared" si="653"/>
        <v>600.29999999999995</v>
      </c>
      <c r="E8067" s="31"/>
      <c r="F8067" s="32"/>
      <c r="G8067" s="15"/>
      <c r="H8067" s="21"/>
      <c r="I8067" s="15"/>
      <c r="J8067" s="15"/>
      <c r="K8067" s="15"/>
      <c r="L8067" s="21"/>
      <c r="M8067" s="15"/>
    </row>
    <row r="8068" spans="1:13" s="166" customFormat="1" ht="12.75" customHeight="1">
      <c r="A8068" s="12" t="s">
        <v>208</v>
      </c>
      <c r="B8068" s="14">
        <f>SUM(E8063:E8065)</f>
        <v>13234.9</v>
      </c>
      <c r="C8068" s="24" t="s">
        <v>209</v>
      </c>
      <c r="D8068" s="35">
        <f t="shared" si="653"/>
        <v>0.02</v>
      </c>
      <c r="E8068" s="31">
        <f t="shared" ref="E8068" si="655">ROUND(B8068*D8068,2)</f>
        <v>264.7</v>
      </c>
      <c r="F8068" s="32">
        <f>SUM(E8063:E8068)</f>
        <v>14385.03</v>
      </c>
      <c r="G8068" s="15"/>
      <c r="H8068" s="21"/>
      <c r="I8068" s="15"/>
      <c r="J8068" s="15"/>
      <c r="K8068" s="15"/>
      <c r="L8068" s="21"/>
      <c r="M8068" s="15"/>
    </row>
    <row r="8069" spans="1:13" s="166" customFormat="1" ht="12.75" customHeight="1">
      <c r="A8069" s="12"/>
      <c r="B8069" s="14"/>
      <c r="C8069" s="24"/>
      <c r="D8069" s="35"/>
      <c r="E8069" s="31"/>
      <c r="F8069" s="32"/>
      <c r="G8069" s="15"/>
      <c r="H8069" s="21"/>
      <c r="I8069" s="15"/>
      <c r="J8069" s="15"/>
      <c r="K8069" s="15"/>
      <c r="L8069" s="21"/>
      <c r="M8069" s="15"/>
    </row>
    <row r="8070" spans="1:13" s="166" customFormat="1" ht="12.75" customHeight="1">
      <c r="A8070" s="13" t="s">
        <v>4400</v>
      </c>
      <c r="B8070" s="42"/>
      <c r="C8070" s="29"/>
      <c r="D8070" s="35"/>
      <c r="E8070" s="43" t="s">
        <v>151</v>
      </c>
      <c r="F8070" s="44" t="s">
        <v>213</v>
      </c>
      <c r="G8070" s="15"/>
      <c r="H8070" s="21"/>
      <c r="I8070" s="15"/>
      <c r="J8070" s="15"/>
      <c r="K8070" s="15"/>
      <c r="L8070" s="21"/>
      <c r="M8070" s="15"/>
    </row>
    <row r="8071" spans="1:13" s="166" customFormat="1" ht="12.75" customHeight="1">
      <c r="A8071" s="12" t="s">
        <v>1681</v>
      </c>
      <c r="B8071" s="30">
        <v>1.05</v>
      </c>
      <c r="C8071" s="24" t="s">
        <v>825</v>
      </c>
      <c r="D8071" s="35">
        <f t="shared" ref="D8071:D8076" si="656">D8055</f>
        <v>6850</v>
      </c>
      <c r="E8071" s="31">
        <f t="shared" ref="E8071:E8074" si="657">ROUND(B8071*D8071,2)</f>
        <v>7192.5</v>
      </c>
      <c r="F8071" s="32"/>
      <c r="G8071" s="15"/>
      <c r="H8071" s="21"/>
      <c r="I8071" s="15"/>
      <c r="J8071" s="15"/>
      <c r="K8071" s="15"/>
      <c r="L8071" s="21"/>
      <c r="M8071" s="15"/>
    </row>
    <row r="8072" spans="1:13" s="166" customFormat="1" ht="12.75" customHeight="1">
      <c r="A8072" s="12" t="s">
        <v>1683</v>
      </c>
      <c r="B8072" s="30">
        <v>2.34</v>
      </c>
      <c r="C8072" s="24" t="s">
        <v>4</v>
      </c>
      <c r="D8072" s="35">
        <f t="shared" si="656"/>
        <v>3200</v>
      </c>
      <c r="E8072" s="31">
        <f t="shared" si="657"/>
        <v>7488</v>
      </c>
      <c r="F8072" s="32"/>
      <c r="G8072" s="15"/>
      <c r="H8072" s="21"/>
      <c r="I8072" s="15"/>
      <c r="J8072" s="15"/>
      <c r="K8072" s="15"/>
      <c r="L8072" s="21"/>
      <c r="M8072" s="15"/>
    </row>
    <row r="8073" spans="1:13" s="166" customFormat="1" ht="12.75" customHeight="1">
      <c r="A8073" s="12" t="s">
        <v>1198</v>
      </c>
      <c r="B8073" s="30">
        <f>B8072*2</f>
        <v>4.68</v>
      </c>
      <c r="C8073" s="24" t="s">
        <v>1018</v>
      </c>
      <c r="D8073" s="35">
        <f t="shared" si="656"/>
        <v>60</v>
      </c>
      <c r="E8073" s="31">
        <f t="shared" si="657"/>
        <v>280.8</v>
      </c>
      <c r="F8073" s="32"/>
      <c r="G8073" s="15"/>
      <c r="H8073" s="21"/>
      <c r="I8073" s="15"/>
      <c r="J8073" s="15"/>
      <c r="K8073" s="15"/>
      <c r="L8073" s="21"/>
      <c r="M8073" s="15"/>
    </row>
    <row r="8074" spans="1:13" s="166" customFormat="1" ht="12.75" customHeight="1">
      <c r="A8074" s="12" t="s">
        <v>1037</v>
      </c>
      <c r="B8074" s="30">
        <f>B8072</f>
        <v>2.34</v>
      </c>
      <c r="C8074" s="24" t="s">
        <v>216</v>
      </c>
      <c r="D8074" s="35">
        <f t="shared" si="656"/>
        <v>486.5</v>
      </c>
      <c r="E8074" s="31">
        <f t="shared" si="657"/>
        <v>1138.4100000000001</v>
      </c>
      <c r="F8074" s="32"/>
      <c r="G8074" s="15"/>
      <c r="H8074" s="21"/>
      <c r="I8074" s="15"/>
      <c r="J8074" s="15"/>
      <c r="K8074" s="15"/>
      <c r="L8074" s="21"/>
      <c r="M8074" s="15"/>
    </row>
    <row r="8075" spans="1:13" s="166" customFormat="1" ht="12.75" customHeight="1">
      <c r="A8075" s="12" t="s">
        <v>1682</v>
      </c>
      <c r="B8075" s="30">
        <v>1</v>
      </c>
      <c r="C8075" s="24" t="s">
        <v>825</v>
      </c>
      <c r="D8075" s="35">
        <f t="shared" si="656"/>
        <v>600.29999999999995</v>
      </c>
      <c r="E8075" s="31"/>
      <c r="F8075" s="32"/>
      <c r="G8075" s="15"/>
      <c r="H8075" s="21"/>
      <c r="I8075" s="15"/>
      <c r="J8075" s="15"/>
      <c r="K8075" s="15"/>
      <c r="L8075" s="21"/>
      <c r="M8075" s="15"/>
    </row>
    <row r="8076" spans="1:13" s="166" customFormat="1" ht="12.75" customHeight="1">
      <c r="A8076" s="12" t="s">
        <v>208</v>
      </c>
      <c r="B8076" s="14">
        <f>SUM(E8071:E8073)</f>
        <v>14961.3</v>
      </c>
      <c r="C8076" s="24" t="s">
        <v>209</v>
      </c>
      <c r="D8076" s="35">
        <f t="shared" si="656"/>
        <v>0.02</v>
      </c>
      <c r="E8076" s="31">
        <f t="shared" ref="E8076" si="658">ROUND(B8076*D8076,2)</f>
        <v>299.23</v>
      </c>
      <c r="F8076" s="32">
        <f>SUM(E8071:E8076)</f>
        <v>16398.939999999999</v>
      </c>
      <c r="G8076" s="15"/>
      <c r="H8076" s="21"/>
      <c r="I8076" s="15"/>
      <c r="J8076" s="15"/>
      <c r="K8076" s="15"/>
      <c r="L8076" s="21"/>
      <c r="M8076" s="15"/>
    </row>
    <row r="8077" spans="1:13" s="166" customFormat="1" ht="12.75" customHeight="1">
      <c r="A8077" s="12"/>
      <c r="B8077" s="14"/>
      <c r="C8077" s="24"/>
      <c r="D8077" s="35"/>
      <c r="E8077" s="31"/>
      <c r="F8077" s="32"/>
      <c r="G8077" s="15"/>
      <c r="H8077" s="21"/>
      <c r="I8077" s="15"/>
      <c r="J8077" s="15"/>
      <c r="K8077" s="15"/>
      <c r="L8077" s="21"/>
      <c r="M8077" s="15"/>
    </row>
    <row r="8078" spans="1:13" s="166" customFormat="1" ht="12.75" customHeight="1">
      <c r="A8078" s="13" t="s">
        <v>4401</v>
      </c>
      <c r="B8078" s="42"/>
      <c r="C8078" s="29"/>
      <c r="D8078" s="35"/>
      <c r="E8078" s="43" t="s">
        <v>151</v>
      </c>
      <c r="F8078" s="44" t="s">
        <v>213</v>
      </c>
      <c r="G8078" s="15"/>
      <c r="H8078" s="21"/>
      <c r="I8078" s="15"/>
      <c r="J8078" s="15"/>
      <c r="K8078" s="15"/>
      <c r="L8078" s="21"/>
      <c r="M8078" s="15"/>
    </row>
    <row r="8079" spans="1:13" s="166" customFormat="1" ht="12.75" customHeight="1">
      <c r="A8079" s="12" t="s">
        <v>1681</v>
      </c>
      <c r="B8079" s="30">
        <v>1.05</v>
      </c>
      <c r="C8079" s="24" t="s">
        <v>825</v>
      </c>
      <c r="D8079" s="35">
        <f t="shared" ref="D8079:D8084" si="659">D8063</f>
        <v>6850</v>
      </c>
      <c r="E8079" s="31">
        <f t="shared" ref="E8079:E8082" si="660">ROUND(B8079*D8079,2)</f>
        <v>7192.5</v>
      </c>
      <c r="F8079" s="32"/>
      <c r="G8079" s="15"/>
      <c r="H8079" s="21"/>
      <c r="I8079" s="15"/>
      <c r="J8079" s="15"/>
      <c r="K8079" s="15"/>
      <c r="L8079" s="21"/>
      <c r="M8079" s="15"/>
    </row>
    <row r="8080" spans="1:13" s="166" customFormat="1" ht="12.75" customHeight="1">
      <c r="A8080" s="12" t="s">
        <v>1683</v>
      </c>
      <c r="B8080" s="30">
        <v>1.02</v>
      </c>
      <c r="C8080" s="24" t="s">
        <v>4</v>
      </c>
      <c r="D8080" s="35">
        <f t="shared" si="659"/>
        <v>3200</v>
      </c>
      <c r="E8080" s="31">
        <f t="shared" si="660"/>
        <v>3264</v>
      </c>
      <c r="F8080" s="32"/>
      <c r="G8080" s="15"/>
      <c r="H8080" s="21"/>
      <c r="I8080" s="15"/>
      <c r="J8080" s="15"/>
      <c r="K8080" s="15"/>
      <c r="L8080" s="21"/>
      <c r="M8080" s="15"/>
    </row>
    <row r="8081" spans="1:13" s="166" customFormat="1" ht="12.75" customHeight="1">
      <c r="A8081" s="12" t="s">
        <v>1198</v>
      </c>
      <c r="B8081" s="30">
        <f>B8080*2</f>
        <v>2.04</v>
      </c>
      <c r="C8081" s="24" t="s">
        <v>1018</v>
      </c>
      <c r="D8081" s="35">
        <f t="shared" si="659"/>
        <v>60</v>
      </c>
      <c r="E8081" s="31">
        <f t="shared" si="660"/>
        <v>122.4</v>
      </c>
      <c r="F8081" s="32"/>
      <c r="G8081" s="15"/>
      <c r="H8081" s="21"/>
      <c r="I8081" s="15"/>
      <c r="J8081" s="15"/>
      <c r="K8081" s="15"/>
      <c r="L8081" s="21"/>
      <c r="M8081" s="15"/>
    </row>
    <row r="8082" spans="1:13" s="166" customFormat="1" ht="12.75" customHeight="1">
      <c r="A8082" s="12" t="s">
        <v>1037</v>
      </c>
      <c r="B8082" s="30">
        <f>B8080</f>
        <v>1.02</v>
      </c>
      <c r="C8082" s="24" t="s">
        <v>216</v>
      </c>
      <c r="D8082" s="35">
        <f t="shared" si="659"/>
        <v>486.5</v>
      </c>
      <c r="E8082" s="31">
        <f t="shared" si="660"/>
        <v>496.23</v>
      </c>
      <c r="F8082" s="32"/>
      <c r="G8082" s="15"/>
      <c r="H8082" s="21"/>
      <c r="I8082" s="15"/>
      <c r="J8082" s="15"/>
      <c r="K8082" s="15"/>
      <c r="L8082" s="21"/>
      <c r="M8082" s="15"/>
    </row>
    <row r="8083" spans="1:13" s="166" customFormat="1" ht="12.75" customHeight="1">
      <c r="A8083" s="12" t="s">
        <v>1682</v>
      </c>
      <c r="B8083" s="30">
        <v>1</v>
      </c>
      <c r="C8083" s="24" t="s">
        <v>825</v>
      </c>
      <c r="D8083" s="35">
        <f t="shared" si="659"/>
        <v>600.29999999999995</v>
      </c>
      <c r="E8083" s="31"/>
      <c r="F8083" s="32"/>
      <c r="G8083" s="15"/>
      <c r="H8083" s="21"/>
      <c r="I8083" s="15"/>
      <c r="J8083" s="15"/>
      <c r="K8083" s="15"/>
      <c r="L8083" s="21"/>
      <c r="M8083" s="15"/>
    </row>
    <row r="8084" spans="1:13" s="166" customFormat="1" ht="12.75" customHeight="1">
      <c r="A8084" s="12" t="s">
        <v>208</v>
      </c>
      <c r="B8084" s="14">
        <f>SUM(E8079:E8081)</f>
        <v>10578.9</v>
      </c>
      <c r="C8084" s="24" t="s">
        <v>209</v>
      </c>
      <c r="D8084" s="35">
        <f t="shared" si="659"/>
        <v>0.02</v>
      </c>
      <c r="E8084" s="31">
        <f t="shared" ref="E8084" si="661">ROUND(B8084*D8084,2)</f>
        <v>211.58</v>
      </c>
      <c r="F8084" s="32">
        <f>SUM(E8079:E8084)</f>
        <v>11286.71</v>
      </c>
      <c r="G8084" s="15"/>
      <c r="H8084" s="21"/>
      <c r="I8084" s="15"/>
      <c r="J8084" s="15"/>
      <c r="K8084" s="15"/>
      <c r="L8084" s="21"/>
      <c r="M8084" s="15"/>
    </row>
    <row r="8085" spans="1:13" s="166" customFormat="1" ht="12.75" customHeight="1">
      <c r="A8085" s="12"/>
      <c r="B8085" s="14"/>
      <c r="C8085" s="24"/>
      <c r="D8085" s="35"/>
      <c r="E8085" s="31"/>
      <c r="F8085" s="32"/>
      <c r="G8085" s="15"/>
      <c r="H8085" s="21"/>
      <c r="I8085" s="15"/>
      <c r="J8085" s="15"/>
      <c r="K8085" s="15"/>
      <c r="L8085" s="21"/>
      <c r="M8085" s="15"/>
    </row>
    <row r="8086" spans="1:13" s="166" customFormat="1" ht="12.75" customHeight="1">
      <c r="A8086" s="13" t="s">
        <v>4402</v>
      </c>
      <c r="B8086" s="42"/>
      <c r="C8086" s="29"/>
      <c r="D8086" s="35"/>
      <c r="E8086" s="43" t="s">
        <v>151</v>
      </c>
      <c r="F8086" s="44" t="s">
        <v>213</v>
      </c>
      <c r="G8086" s="15"/>
      <c r="H8086" s="21"/>
      <c r="I8086" s="15"/>
      <c r="J8086" s="15"/>
      <c r="K8086" s="15"/>
      <c r="L8086" s="21"/>
      <c r="M8086" s="15"/>
    </row>
    <row r="8087" spans="1:13" s="166" customFormat="1" ht="12.75" customHeight="1">
      <c r="A8087" s="12" t="s">
        <v>1681</v>
      </c>
      <c r="B8087" s="30">
        <v>1.05</v>
      </c>
      <c r="C8087" s="24" t="s">
        <v>825</v>
      </c>
      <c r="D8087" s="35">
        <f t="shared" ref="D8087:D8092" si="662">D8071</f>
        <v>6850</v>
      </c>
      <c r="E8087" s="31">
        <f t="shared" ref="E8087:E8090" si="663">ROUND(B8087*D8087,2)</f>
        <v>7192.5</v>
      </c>
      <c r="F8087" s="32"/>
      <c r="G8087" s="15"/>
      <c r="H8087" s="21"/>
      <c r="I8087" s="15"/>
      <c r="J8087" s="15"/>
      <c r="K8087" s="15"/>
      <c r="L8087" s="21"/>
      <c r="M8087" s="15"/>
    </row>
    <row r="8088" spans="1:13" s="166" customFormat="1" ht="12.75" customHeight="1">
      <c r="A8088" s="12" t="s">
        <v>1683</v>
      </c>
      <c r="B8088" s="30">
        <v>1.33</v>
      </c>
      <c r="C8088" s="24" t="s">
        <v>4</v>
      </c>
      <c r="D8088" s="35">
        <f t="shared" si="662"/>
        <v>3200</v>
      </c>
      <c r="E8088" s="31">
        <f t="shared" si="663"/>
        <v>4256</v>
      </c>
      <c r="F8088" s="32"/>
      <c r="G8088" s="15"/>
      <c r="H8088" s="21"/>
      <c r="I8088" s="15"/>
      <c r="J8088" s="15"/>
      <c r="K8088" s="15"/>
      <c r="L8088" s="21"/>
      <c r="M8088" s="15"/>
    </row>
    <row r="8089" spans="1:13" s="166" customFormat="1" ht="12.75" customHeight="1">
      <c r="A8089" s="12" t="s">
        <v>1198</v>
      </c>
      <c r="B8089" s="30">
        <f>B8088*2</f>
        <v>2.66</v>
      </c>
      <c r="C8089" s="24" t="s">
        <v>1018</v>
      </c>
      <c r="D8089" s="35">
        <f t="shared" si="662"/>
        <v>60</v>
      </c>
      <c r="E8089" s="31">
        <f t="shared" si="663"/>
        <v>159.6</v>
      </c>
      <c r="F8089" s="32"/>
      <c r="G8089" s="15"/>
      <c r="H8089" s="21"/>
      <c r="I8089" s="15"/>
      <c r="J8089" s="15"/>
      <c r="K8089" s="15"/>
      <c r="L8089" s="21"/>
      <c r="M8089" s="15"/>
    </row>
    <row r="8090" spans="1:13" s="166" customFormat="1" ht="12.75" customHeight="1">
      <c r="A8090" s="12" t="s">
        <v>1037</v>
      </c>
      <c r="B8090" s="30">
        <f>B8088</f>
        <v>1.33</v>
      </c>
      <c r="C8090" s="24" t="s">
        <v>216</v>
      </c>
      <c r="D8090" s="35">
        <f t="shared" si="662"/>
        <v>486.5</v>
      </c>
      <c r="E8090" s="31">
        <f t="shared" si="663"/>
        <v>647.04999999999995</v>
      </c>
      <c r="F8090" s="32"/>
      <c r="G8090" s="15"/>
      <c r="H8090" s="21"/>
      <c r="I8090" s="15"/>
      <c r="J8090" s="15"/>
      <c r="K8090" s="15"/>
      <c r="L8090" s="21"/>
      <c r="M8090" s="15"/>
    </row>
    <row r="8091" spans="1:13" s="166" customFormat="1" ht="12.75" customHeight="1">
      <c r="A8091" s="12" t="s">
        <v>1682</v>
      </c>
      <c r="B8091" s="30">
        <v>1</v>
      </c>
      <c r="C8091" s="24" t="s">
        <v>825</v>
      </c>
      <c r="D8091" s="35">
        <f t="shared" si="662"/>
        <v>600.29999999999995</v>
      </c>
      <c r="E8091" s="31"/>
      <c r="F8091" s="32"/>
      <c r="G8091" s="15"/>
      <c r="H8091" s="21"/>
      <c r="I8091" s="15"/>
      <c r="J8091" s="15"/>
      <c r="K8091" s="15"/>
      <c r="L8091" s="21"/>
      <c r="M8091" s="15"/>
    </row>
    <row r="8092" spans="1:13" s="166" customFormat="1" ht="12.75" customHeight="1">
      <c r="A8092" s="12" t="s">
        <v>208</v>
      </c>
      <c r="B8092" s="14">
        <f>SUM(E8087:E8089)</f>
        <v>11608.1</v>
      </c>
      <c r="C8092" s="24" t="s">
        <v>209</v>
      </c>
      <c r="D8092" s="35">
        <f t="shared" si="662"/>
        <v>0.02</v>
      </c>
      <c r="E8092" s="31">
        <f t="shared" ref="E8092" si="664">ROUND(B8092*D8092,2)</f>
        <v>232.16</v>
      </c>
      <c r="F8092" s="32">
        <f>SUM(E8087:E8092)</f>
        <v>12487.31</v>
      </c>
      <c r="G8092" s="15"/>
      <c r="H8092" s="21"/>
      <c r="I8092" s="15"/>
      <c r="J8092" s="15"/>
      <c r="K8092" s="15"/>
      <c r="L8092" s="21"/>
      <c r="M8092" s="15"/>
    </row>
    <row r="8093" spans="1:13" s="166" customFormat="1" ht="12.75" customHeight="1">
      <c r="A8093" s="12"/>
      <c r="B8093" s="14"/>
      <c r="C8093" s="24"/>
      <c r="D8093" s="35"/>
      <c r="E8093" s="31"/>
      <c r="F8093" s="32"/>
      <c r="G8093" s="15"/>
      <c r="H8093" s="21"/>
      <c r="I8093" s="15"/>
      <c r="J8093" s="15"/>
      <c r="K8093" s="15"/>
      <c r="L8093" s="21"/>
      <c r="M8093" s="15"/>
    </row>
    <row r="8094" spans="1:13" s="166" customFormat="1" ht="12.75" customHeight="1">
      <c r="A8094" s="698" t="s">
        <v>4077</v>
      </c>
      <c r="B8094" s="706"/>
      <c r="C8094" s="707"/>
      <c r="D8094" s="708"/>
      <c r="E8094" s="709" t="s">
        <v>151</v>
      </c>
      <c r="F8094" s="710" t="s">
        <v>213</v>
      </c>
      <c r="G8094" s="15"/>
      <c r="H8094" s="21"/>
      <c r="I8094" s="15"/>
      <c r="J8094" s="15"/>
      <c r="K8094" s="15"/>
      <c r="L8094" s="21"/>
      <c r="M8094" s="15"/>
    </row>
    <row r="8095" spans="1:13" s="166" customFormat="1" ht="12.75" customHeight="1">
      <c r="A8095" s="704" t="s">
        <v>1681</v>
      </c>
      <c r="B8095" s="705">
        <v>1.05</v>
      </c>
      <c r="C8095" s="700" t="s">
        <v>825</v>
      </c>
      <c r="D8095" s="708">
        <f t="shared" ref="D8095:D8100" si="665">D8047</f>
        <v>6850</v>
      </c>
      <c r="E8095" s="702">
        <f t="shared" ref="E8095:E8100" si="666">ROUND(B8095*D8095,2)</f>
        <v>7192.5</v>
      </c>
      <c r="F8095" s="703"/>
      <c r="G8095" s="15"/>
      <c r="H8095" s="21"/>
      <c r="I8095" s="15"/>
      <c r="J8095" s="15"/>
      <c r="K8095" s="15"/>
      <c r="L8095" s="21"/>
      <c r="M8095" s="15"/>
    </row>
    <row r="8096" spans="1:13" s="166" customFormat="1" ht="12.75" customHeight="1">
      <c r="A8096" s="704" t="s">
        <v>1683</v>
      </c>
      <c r="B8096" s="705">
        <v>0.77</v>
      </c>
      <c r="C8096" s="700" t="s">
        <v>4</v>
      </c>
      <c r="D8096" s="708">
        <f t="shared" si="665"/>
        <v>3200</v>
      </c>
      <c r="E8096" s="702">
        <f t="shared" si="666"/>
        <v>2464</v>
      </c>
      <c r="F8096" s="703"/>
      <c r="G8096" s="15"/>
      <c r="H8096" s="21"/>
      <c r="I8096" s="15"/>
      <c r="J8096" s="15"/>
      <c r="K8096" s="15"/>
      <c r="L8096" s="21"/>
      <c r="M8096" s="15"/>
    </row>
    <row r="8097" spans="1:13" s="166" customFormat="1" ht="12.75" customHeight="1">
      <c r="A8097" s="704" t="s">
        <v>1198</v>
      </c>
      <c r="B8097" s="705">
        <f>B8096*2</f>
        <v>1.54</v>
      </c>
      <c r="C8097" s="700" t="s">
        <v>1018</v>
      </c>
      <c r="D8097" s="708">
        <f t="shared" si="665"/>
        <v>60</v>
      </c>
      <c r="E8097" s="702">
        <f t="shared" si="666"/>
        <v>92.4</v>
      </c>
      <c r="F8097" s="703"/>
      <c r="G8097" s="15"/>
      <c r="H8097" s="21"/>
      <c r="I8097" s="15"/>
      <c r="J8097" s="15"/>
      <c r="K8097" s="15"/>
      <c r="L8097" s="21"/>
      <c r="M8097" s="15"/>
    </row>
    <row r="8098" spans="1:13" s="166" customFormat="1" ht="12.75" customHeight="1">
      <c r="A8098" s="704" t="s">
        <v>1037</v>
      </c>
      <c r="B8098" s="705">
        <f>B8096</f>
        <v>0.77</v>
      </c>
      <c r="C8098" s="700" t="s">
        <v>216</v>
      </c>
      <c r="D8098" s="708">
        <f t="shared" si="665"/>
        <v>486.5</v>
      </c>
      <c r="E8098" s="702">
        <f t="shared" si="666"/>
        <v>374.61</v>
      </c>
      <c r="F8098" s="703"/>
      <c r="G8098" s="15"/>
      <c r="H8098" s="21"/>
      <c r="I8098" s="15"/>
      <c r="J8098" s="15"/>
      <c r="K8098" s="15"/>
      <c r="L8098" s="21"/>
      <c r="M8098" s="15"/>
    </row>
    <row r="8099" spans="1:13" s="166" customFormat="1" ht="12.75" customHeight="1">
      <c r="A8099" s="704" t="s">
        <v>1682</v>
      </c>
      <c r="B8099" s="705">
        <v>1</v>
      </c>
      <c r="C8099" s="700" t="s">
        <v>825</v>
      </c>
      <c r="D8099" s="708">
        <f t="shared" si="665"/>
        <v>600.29999999999995</v>
      </c>
      <c r="E8099" s="702"/>
      <c r="F8099" s="703"/>
      <c r="G8099" s="15"/>
      <c r="H8099" s="21"/>
      <c r="I8099" s="15"/>
      <c r="J8099" s="15"/>
      <c r="K8099" s="15"/>
      <c r="L8099" s="21"/>
      <c r="M8099" s="15"/>
    </row>
    <row r="8100" spans="1:13" s="166" customFormat="1" ht="12.75" customHeight="1">
      <c r="A8100" s="704" t="s">
        <v>208</v>
      </c>
      <c r="B8100" s="711">
        <f>SUM(E8095:E8097)</f>
        <v>9748.9</v>
      </c>
      <c r="C8100" s="700" t="s">
        <v>209</v>
      </c>
      <c r="D8100" s="708">
        <f t="shared" si="665"/>
        <v>0.02</v>
      </c>
      <c r="E8100" s="702">
        <f t="shared" si="666"/>
        <v>194.98</v>
      </c>
      <c r="F8100" s="703">
        <f>SUM(E8095:E8100)</f>
        <v>10318.49</v>
      </c>
      <c r="G8100" s="15"/>
      <c r="H8100" s="21"/>
      <c r="I8100" s="15"/>
      <c r="J8100" s="15"/>
      <c r="K8100" s="15"/>
      <c r="L8100" s="21"/>
      <c r="M8100" s="15"/>
    </row>
    <row r="8101" spans="1:13" s="166" customFormat="1" ht="12.75" customHeight="1">
      <c r="A8101" s="12"/>
      <c r="B8101" s="14"/>
      <c r="C8101" s="24"/>
      <c r="D8101" s="35"/>
      <c r="E8101" s="31"/>
      <c r="F8101" s="32"/>
      <c r="G8101" s="15"/>
      <c r="H8101" s="21"/>
      <c r="I8101" s="15"/>
      <c r="J8101" s="15"/>
      <c r="K8101" s="15"/>
      <c r="L8101" s="21"/>
      <c r="M8101" s="15"/>
    </row>
    <row r="8102" spans="1:13" s="166" customFormat="1" ht="12.75" customHeight="1">
      <c r="A8102" s="698" t="s">
        <v>4385</v>
      </c>
      <c r="B8102" s="711"/>
      <c r="C8102" s="707" t="s">
        <v>1742</v>
      </c>
      <c r="D8102" s="708"/>
      <c r="E8102" s="709" t="s">
        <v>151</v>
      </c>
      <c r="F8102" s="710" t="s">
        <v>213</v>
      </c>
      <c r="G8102" s="15"/>
      <c r="H8102" s="21"/>
      <c r="I8102" s="15"/>
      <c r="J8102" s="15"/>
      <c r="K8102" s="15"/>
      <c r="L8102" s="21"/>
      <c r="M8102" s="15"/>
    </row>
    <row r="8103" spans="1:13" s="166" customFormat="1" ht="12.75" customHeight="1">
      <c r="A8103" s="704" t="s">
        <v>1736</v>
      </c>
      <c r="B8103" s="712">
        <v>1.04E-2</v>
      </c>
      <c r="C8103" s="700" t="s">
        <v>476</v>
      </c>
      <c r="D8103" s="708">
        <f>Prec.!C60</f>
        <v>8500</v>
      </c>
      <c r="E8103" s="702">
        <f t="shared" ref="E8103:E8107" si="667">ROUND(B8103*D8103,2)</f>
        <v>88.4</v>
      </c>
      <c r="F8103" s="703"/>
      <c r="G8103" s="15"/>
      <c r="H8103" s="21"/>
      <c r="I8103" s="15"/>
      <c r="J8103" s="15"/>
      <c r="K8103" s="15"/>
      <c r="L8103" s="21"/>
      <c r="M8103" s="15"/>
    </row>
    <row r="8104" spans="1:13" s="166" customFormat="1" ht="12.75" customHeight="1">
      <c r="A8104" s="704" t="s">
        <v>4386</v>
      </c>
      <c r="B8104" s="705">
        <v>8.4000000000000005E-2</v>
      </c>
      <c r="C8104" s="700" t="s">
        <v>825</v>
      </c>
      <c r="D8104" s="708">
        <f>Prec.!C35</f>
        <v>6667.86</v>
      </c>
      <c r="E8104" s="702">
        <f t="shared" si="667"/>
        <v>560.1</v>
      </c>
      <c r="F8104" s="703"/>
      <c r="H8104" s="21">
        <f>2.4*40</f>
        <v>96</v>
      </c>
      <c r="I8104" s="15" t="s">
        <v>213</v>
      </c>
      <c r="J8104" s="15" t="s">
        <v>4387</v>
      </c>
      <c r="K8104" s="15"/>
      <c r="L8104" s="21"/>
      <c r="M8104" s="15"/>
    </row>
    <row r="8105" spans="1:13" s="166" customFormat="1" ht="12.75" customHeight="1">
      <c r="A8105" s="704" t="s">
        <v>1740</v>
      </c>
      <c r="B8105" s="713">
        <v>8.7999999999999995E-2</v>
      </c>
      <c r="C8105" s="700" t="s">
        <v>1730</v>
      </c>
      <c r="D8105" s="708">
        <v>90</v>
      </c>
      <c r="E8105" s="702">
        <f>ROUND(B8105*D8105,2)</f>
        <v>7.92</v>
      </c>
      <c r="F8105" s="703"/>
      <c r="G8105" s="15"/>
      <c r="H8105" s="21">
        <v>1</v>
      </c>
      <c r="I8105" s="15" t="s">
        <v>213</v>
      </c>
      <c r="J8105" s="15">
        <f>1/H8104</f>
        <v>1.0416666666666666E-2</v>
      </c>
      <c r="K8105" s="15"/>
      <c r="L8105" s="21"/>
      <c r="M8105" s="15"/>
    </row>
    <row r="8106" spans="1:13" s="166" customFormat="1" ht="12.75" customHeight="1">
      <c r="A8106" s="704" t="s">
        <v>1737</v>
      </c>
      <c r="B8106" s="711">
        <v>0.11</v>
      </c>
      <c r="C8106" s="700" t="s">
        <v>4</v>
      </c>
      <c r="D8106" s="708">
        <f>Prec.!C342</f>
        <v>486.5</v>
      </c>
      <c r="E8106" s="702">
        <f t="shared" si="667"/>
        <v>53.52</v>
      </c>
      <c r="F8106" s="703"/>
      <c r="G8106" s="15"/>
      <c r="H8106" s="21"/>
      <c r="I8106" s="15"/>
      <c r="J8106" s="15"/>
      <c r="K8106" s="15"/>
      <c r="L8106" s="21"/>
      <c r="M8106" s="15"/>
    </row>
    <row r="8107" spans="1:13" s="166" customFormat="1" ht="12.75" customHeight="1">
      <c r="A8107" s="704" t="s">
        <v>208</v>
      </c>
      <c r="B8107" s="711">
        <f>SUM(E8103:E8105)</f>
        <v>656.42</v>
      </c>
      <c r="C8107" s="700" t="s">
        <v>209</v>
      </c>
      <c r="D8107" s="708">
        <v>0.02</v>
      </c>
      <c r="E8107" s="702">
        <f t="shared" si="667"/>
        <v>13.13</v>
      </c>
      <c r="F8107" s="703">
        <f>SUM(E8103:E8107)</f>
        <v>723.06999999999994</v>
      </c>
      <c r="G8107" s="15"/>
      <c r="H8107" s="21"/>
      <c r="I8107" s="15"/>
      <c r="J8107" s="15"/>
      <c r="K8107" s="15"/>
      <c r="L8107" s="21"/>
      <c r="M8107" s="15"/>
    </row>
    <row r="8108" spans="1:13" s="166" customFormat="1" ht="12.75" customHeight="1">
      <c r="A8108" s="12"/>
      <c r="B8108" s="14"/>
      <c r="C8108" s="24"/>
      <c r="D8108" s="35"/>
      <c r="E8108" s="31"/>
      <c r="F8108" s="32"/>
      <c r="G8108" s="15"/>
      <c r="H8108" s="21"/>
      <c r="I8108" s="15"/>
      <c r="J8108" s="15"/>
      <c r="K8108" s="15"/>
      <c r="L8108" s="21"/>
      <c r="M8108" s="15"/>
    </row>
    <row r="8109" spans="1:13" s="166" customFormat="1" ht="12.75" customHeight="1">
      <c r="A8109" s="529" t="s">
        <v>4181</v>
      </c>
      <c r="B8109" s="530"/>
      <c r="C8109" s="531"/>
      <c r="D8109" s="532"/>
      <c r="E8109" s="533" t="s">
        <v>151</v>
      </c>
      <c r="F8109" s="534" t="s">
        <v>213</v>
      </c>
      <c r="G8109" s="15"/>
      <c r="H8109" s="21"/>
      <c r="I8109" s="15"/>
      <c r="J8109" s="15"/>
      <c r="K8109" s="15"/>
      <c r="L8109" s="21"/>
      <c r="M8109" s="15"/>
    </row>
    <row r="8110" spans="1:13" s="166" customFormat="1" ht="12.75" customHeight="1">
      <c r="A8110" s="535" t="s">
        <v>1681</v>
      </c>
      <c r="B8110" s="536">
        <v>1.05</v>
      </c>
      <c r="C8110" s="537" t="s">
        <v>825</v>
      </c>
      <c r="D8110" s="532">
        <f>D8095</f>
        <v>6850</v>
      </c>
      <c r="E8110" s="538">
        <f t="shared" ref="E8110:E8115" si="668">ROUND(B8110*D8110,2)</f>
        <v>7192.5</v>
      </c>
      <c r="F8110" s="539"/>
      <c r="G8110" s="15"/>
      <c r="H8110" s="21"/>
      <c r="I8110" s="15"/>
      <c r="J8110" s="15"/>
      <c r="K8110" s="15"/>
      <c r="L8110" s="21"/>
      <c r="M8110" s="15"/>
    </row>
    <row r="8111" spans="1:13" s="166" customFormat="1" ht="12.75" customHeight="1">
      <c r="A8111" s="535" t="s">
        <v>1683</v>
      </c>
      <c r="B8111" s="536">
        <v>0.95</v>
      </c>
      <c r="C8111" s="537" t="s">
        <v>4</v>
      </c>
      <c r="D8111" s="532">
        <f>D8096</f>
        <v>3200</v>
      </c>
      <c r="E8111" s="538">
        <f t="shared" si="668"/>
        <v>3040</v>
      </c>
      <c r="F8111" s="539"/>
      <c r="G8111" s="15"/>
      <c r="H8111" s="21"/>
      <c r="I8111" s="15"/>
      <c r="J8111" s="15"/>
      <c r="K8111" s="15"/>
      <c r="L8111" s="21"/>
      <c r="M8111" s="15"/>
    </row>
    <row r="8112" spans="1:13" s="166" customFormat="1" ht="12.75" customHeight="1">
      <c r="A8112" s="535" t="s">
        <v>1198</v>
      </c>
      <c r="B8112" s="536">
        <f>B8111*2</f>
        <v>1.9</v>
      </c>
      <c r="C8112" s="537" t="s">
        <v>1018</v>
      </c>
      <c r="D8112" s="532">
        <f>D8097</f>
        <v>60</v>
      </c>
      <c r="E8112" s="538">
        <f t="shared" si="668"/>
        <v>114</v>
      </c>
      <c r="F8112" s="539"/>
      <c r="G8112" s="15"/>
      <c r="H8112" s="21"/>
      <c r="I8112" s="15"/>
      <c r="J8112" s="15"/>
      <c r="K8112" s="15"/>
      <c r="L8112" s="21"/>
      <c r="M8112" s="15"/>
    </row>
    <row r="8113" spans="1:13" s="166" customFormat="1" ht="12.75" customHeight="1">
      <c r="A8113" s="535" t="s">
        <v>1037</v>
      </c>
      <c r="B8113" s="536">
        <f>B8111</f>
        <v>0.95</v>
      </c>
      <c r="C8113" s="537" t="s">
        <v>216</v>
      </c>
      <c r="D8113" s="532">
        <f>D8098</f>
        <v>486.5</v>
      </c>
      <c r="E8113" s="538">
        <f t="shared" si="668"/>
        <v>462.18</v>
      </c>
      <c r="F8113" s="539"/>
      <c r="G8113" s="15"/>
      <c r="H8113" s="21"/>
      <c r="I8113" s="15"/>
      <c r="J8113" s="15"/>
      <c r="K8113" s="15"/>
      <c r="L8113" s="21"/>
      <c r="M8113" s="15"/>
    </row>
    <row r="8114" spans="1:13" s="166" customFormat="1" ht="12.75" customHeight="1">
      <c r="A8114" s="535" t="s">
        <v>1682</v>
      </c>
      <c r="B8114" s="536">
        <v>1</v>
      </c>
      <c r="C8114" s="537" t="s">
        <v>825</v>
      </c>
      <c r="D8114" s="532">
        <f>D8099</f>
        <v>600.29999999999995</v>
      </c>
      <c r="E8114" s="538">
        <f t="shared" si="668"/>
        <v>600.29999999999995</v>
      </c>
      <c r="F8114" s="539"/>
      <c r="G8114" s="15"/>
      <c r="H8114" s="21"/>
      <c r="I8114" s="15"/>
      <c r="J8114" s="15"/>
      <c r="K8114" s="15"/>
      <c r="L8114" s="21"/>
      <c r="M8114" s="15"/>
    </row>
    <row r="8115" spans="1:13" s="166" customFormat="1" ht="12.75" customHeight="1">
      <c r="A8115" s="535" t="s">
        <v>208</v>
      </c>
      <c r="B8115" s="540">
        <f>SUM(E8110:E8112)</f>
        <v>10346.5</v>
      </c>
      <c r="C8115" s="537" t="s">
        <v>209</v>
      </c>
      <c r="D8115" s="532">
        <v>0.02</v>
      </c>
      <c r="E8115" s="538">
        <f t="shared" si="668"/>
        <v>206.93</v>
      </c>
      <c r="F8115" s="539">
        <f>SUM(E8110:E8115)</f>
        <v>11615.91</v>
      </c>
      <c r="G8115" s="15"/>
      <c r="H8115" s="21"/>
      <c r="I8115" s="15"/>
      <c r="J8115" s="15"/>
      <c r="K8115" s="15"/>
      <c r="L8115" s="21"/>
      <c r="M8115" s="15"/>
    </row>
    <row r="8116" spans="1:13" s="166" customFormat="1" ht="12.75" customHeight="1">
      <c r="A8116" s="12"/>
      <c r="B8116" s="14"/>
      <c r="C8116" s="24"/>
      <c r="D8116" s="35"/>
      <c r="E8116" s="31"/>
      <c r="F8116" s="32"/>
      <c r="G8116" s="15"/>
      <c r="H8116" s="21"/>
      <c r="I8116" s="15"/>
      <c r="J8116" s="15"/>
      <c r="K8116" s="15"/>
      <c r="L8116" s="21"/>
      <c r="M8116" s="15"/>
    </row>
    <row r="8117" spans="1:13" s="166" customFormat="1" ht="12.75" customHeight="1">
      <c r="A8117" s="529" t="s">
        <v>4182</v>
      </c>
      <c r="B8117" s="530"/>
      <c r="C8117" s="531"/>
      <c r="D8117" s="532"/>
      <c r="E8117" s="533" t="s">
        <v>151</v>
      </c>
      <c r="F8117" s="534" t="s">
        <v>213</v>
      </c>
      <c r="G8117" s="15"/>
      <c r="H8117" s="21"/>
      <c r="I8117" s="15"/>
      <c r="J8117" s="15"/>
      <c r="K8117" s="15"/>
      <c r="L8117" s="21"/>
      <c r="M8117" s="15"/>
    </row>
    <row r="8118" spans="1:13" s="166" customFormat="1" ht="12.75" customHeight="1">
      <c r="A8118" s="535" t="s">
        <v>1681</v>
      </c>
      <c r="B8118" s="536">
        <v>1.05</v>
      </c>
      <c r="C8118" s="537" t="s">
        <v>825</v>
      </c>
      <c r="D8118" s="532">
        <f>D8110</f>
        <v>6850</v>
      </c>
      <c r="E8118" s="538">
        <f t="shared" ref="E8118:E8123" si="669">ROUND(B8118*D8118,2)</f>
        <v>7192.5</v>
      </c>
      <c r="F8118" s="539"/>
      <c r="G8118" s="15"/>
      <c r="H8118" s="21"/>
      <c r="I8118" s="15"/>
      <c r="J8118" s="15"/>
      <c r="K8118" s="15"/>
      <c r="L8118" s="21"/>
      <c r="M8118" s="15"/>
    </row>
    <row r="8119" spans="1:13" s="166" customFormat="1" ht="12.75" customHeight="1">
      <c r="A8119" s="535" t="s">
        <v>1683</v>
      </c>
      <c r="B8119" s="536">
        <v>1.04</v>
      </c>
      <c r="C8119" s="537" t="s">
        <v>4</v>
      </c>
      <c r="D8119" s="532">
        <f>D8111</f>
        <v>3200</v>
      </c>
      <c r="E8119" s="538">
        <f t="shared" si="669"/>
        <v>3328</v>
      </c>
      <c r="F8119" s="539"/>
      <c r="G8119" s="15"/>
      <c r="H8119" s="21"/>
      <c r="I8119" s="15"/>
      <c r="J8119" s="15"/>
      <c r="K8119" s="15"/>
      <c r="L8119" s="21"/>
      <c r="M8119" s="15"/>
    </row>
    <row r="8120" spans="1:13" s="166" customFormat="1" ht="12.75" customHeight="1">
      <c r="A8120" s="535" t="s">
        <v>1198</v>
      </c>
      <c r="B8120" s="536">
        <f>B8119*2</f>
        <v>2.08</v>
      </c>
      <c r="C8120" s="537" t="s">
        <v>1018</v>
      </c>
      <c r="D8120" s="532">
        <f>D8112</f>
        <v>60</v>
      </c>
      <c r="E8120" s="538">
        <f t="shared" si="669"/>
        <v>124.8</v>
      </c>
      <c r="F8120" s="539"/>
      <c r="G8120" s="15"/>
      <c r="H8120" s="21"/>
      <c r="I8120" s="15"/>
      <c r="J8120" s="15"/>
      <c r="K8120" s="15"/>
      <c r="L8120" s="21"/>
      <c r="M8120" s="15"/>
    </row>
    <row r="8121" spans="1:13" s="166" customFormat="1" ht="12.75" customHeight="1">
      <c r="A8121" s="535" t="s">
        <v>1037</v>
      </c>
      <c r="B8121" s="536">
        <f>B8119</f>
        <v>1.04</v>
      </c>
      <c r="C8121" s="537" t="s">
        <v>216</v>
      </c>
      <c r="D8121" s="532">
        <f>D8113</f>
        <v>486.5</v>
      </c>
      <c r="E8121" s="538">
        <f t="shared" si="669"/>
        <v>505.96</v>
      </c>
      <c r="F8121" s="539"/>
      <c r="G8121" s="15"/>
      <c r="H8121" s="21"/>
      <c r="I8121" s="15"/>
      <c r="J8121" s="15"/>
      <c r="K8121" s="15"/>
      <c r="L8121" s="21"/>
      <c r="M8121" s="15"/>
    </row>
    <row r="8122" spans="1:13" s="166" customFormat="1" ht="12.75" customHeight="1">
      <c r="A8122" s="535" t="s">
        <v>1682</v>
      </c>
      <c r="B8122" s="536">
        <v>1</v>
      </c>
      <c r="C8122" s="537" t="s">
        <v>825</v>
      </c>
      <c r="D8122" s="532">
        <f>D8114</f>
        <v>600.29999999999995</v>
      </c>
      <c r="E8122" s="538">
        <f t="shared" si="669"/>
        <v>600.29999999999995</v>
      </c>
      <c r="F8122" s="539"/>
      <c r="G8122" s="15"/>
      <c r="H8122" s="21"/>
      <c r="I8122" s="15"/>
      <c r="J8122" s="15"/>
      <c r="K8122" s="15"/>
      <c r="L8122" s="21"/>
      <c r="M8122" s="15"/>
    </row>
    <row r="8123" spans="1:13" s="166" customFormat="1" ht="12.75" customHeight="1">
      <c r="A8123" s="535" t="s">
        <v>208</v>
      </c>
      <c r="B8123" s="540">
        <f>SUM(E8118:E8120)</f>
        <v>10645.3</v>
      </c>
      <c r="C8123" s="537" t="s">
        <v>209</v>
      </c>
      <c r="D8123" s="532">
        <v>0.02</v>
      </c>
      <c r="E8123" s="538">
        <f t="shared" si="669"/>
        <v>212.91</v>
      </c>
      <c r="F8123" s="539">
        <f>SUM(E8118:E8123)</f>
        <v>11964.469999999998</v>
      </c>
      <c r="G8123" s="15"/>
      <c r="H8123" s="21"/>
      <c r="I8123" s="15"/>
      <c r="J8123" s="15"/>
      <c r="K8123" s="15"/>
      <c r="L8123" s="21"/>
      <c r="M8123" s="15"/>
    </row>
    <row r="8124" spans="1:13" s="166" customFormat="1" ht="12.75" customHeight="1">
      <c r="A8124" s="12"/>
      <c r="B8124" s="14"/>
      <c r="C8124" s="24"/>
      <c r="D8124" s="35"/>
      <c r="E8124" s="31"/>
      <c r="F8124" s="32"/>
      <c r="G8124" s="15"/>
      <c r="H8124" s="21"/>
      <c r="I8124" s="15"/>
      <c r="J8124" s="15"/>
      <c r="K8124" s="15"/>
      <c r="L8124" s="21"/>
      <c r="M8124" s="15"/>
    </row>
    <row r="8125" spans="1:13" s="166" customFormat="1" ht="12.75" customHeight="1">
      <c r="A8125" s="13" t="s">
        <v>1852</v>
      </c>
      <c r="B8125" s="42"/>
      <c r="C8125" s="29"/>
      <c r="D8125" s="35"/>
      <c r="E8125" s="43" t="s">
        <v>151</v>
      </c>
      <c r="F8125" s="44" t="s">
        <v>213</v>
      </c>
      <c r="G8125" s="15"/>
      <c r="H8125" s="21"/>
      <c r="I8125" s="15"/>
      <c r="J8125" s="15"/>
      <c r="K8125" s="15"/>
      <c r="L8125" s="21"/>
      <c r="M8125" s="15"/>
    </row>
    <row r="8126" spans="1:13" s="166" customFormat="1" ht="12.75" customHeight="1">
      <c r="A8126" s="12" t="s">
        <v>1681</v>
      </c>
      <c r="B8126" s="30">
        <v>1.05</v>
      </c>
      <c r="C8126" s="24" t="s">
        <v>825</v>
      </c>
      <c r="D8126" s="35">
        <f>D8118</f>
        <v>6850</v>
      </c>
      <c r="E8126" s="31">
        <f t="shared" ref="E8126:E8131" si="670">ROUND(B8126*D8126,2)</f>
        <v>7192.5</v>
      </c>
      <c r="F8126" s="32"/>
      <c r="G8126" s="15"/>
      <c r="H8126" s="21"/>
      <c r="I8126" s="15"/>
      <c r="J8126" s="15"/>
      <c r="K8126" s="15"/>
      <c r="L8126" s="21"/>
      <c r="M8126" s="15"/>
    </row>
    <row r="8127" spans="1:13" s="166" customFormat="1" ht="12.75" customHeight="1">
      <c r="A8127" s="12" t="s">
        <v>1683</v>
      </c>
      <c r="B8127" s="30">
        <v>1.1599999999999999</v>
      </c>
      <c r="C8127" s="24" t="s">
        <v>4</v>
      </c>
      <c r="D8127" s="35">
        <f t="shared" ref="D8127:D8131" si="671">D8119</f>
        <v>3200</v>
      </c>
      <c r="E8127" s="31">
        <f t="shared" si="670"/>
        <v>3712</v>
      </c>
      <c r="F8127" s="32"/>
      <c r="G8127" s="15"/>
      <c r="H8127" s="21"/>
      <c r="I8127" s="15"/>
      <c r="J8127" s="15"/>
      <c r="K8127" s="15"/>
      <c r="L8127" s="21"/>
      <c r="M8127" s="15"/>
    </row>
    <row r="8128" spans="1:13" s="166" customFormat="1" ht="12.75" customHeight="1">
      <c r="A8128" s="12" t="s">
        <v>1198</v>
      </c>
      <c r="B8128" s="30">
        <f>B8127*2</f>
        <v>2.3199999999999998</v>
      </c>
      <c r="C8128" s="24" t="s">
        <v>1018</v>
      </c>
      <c r="D8128" s="35">
        <f t="shared" si="671"/>
        <v>60</v>
      </c>
      <c r="E8128" s="31">
        <f t="shared" si="670"/>
        <v>139.19999999999999</v>
      </c>
      <c r="F8128" s="32"/>
      <c r="G8128" s="15"/>
      <c r="H8128" s="21"/>
      <c r="I8128" s="15"/>
      <c r="J8128" s="15"/>
      <c r="K8128" s="15"/>
      <c r="L8128" s="21"/>
      <c r="M8128" s="15"/>
    </row>
    <row r="8129" spans="1:13" s="166" customFormat="1" ht="12.75" customHeight="1">
      <c r="A8129" s="12" t="s">
        <v>1037</v>
      </c>
      <c r="B8129" s="30">
        <f>B8127</f>
        <v>1.1599999999999999</v>
      </c>
      <c r="C8129" s="24" t="s">
        <v>216</v>
      </c>
      <c r="D8129" s="35">
        <f t="shared" si="671"/>
        <v>486.5</v>
      </c>
      <c r="E8129" s="31">
        <f t="shared" si="670"/>
        <v>564.34</v>
      </c>
      <c r="F8129" s="32"/>
      <c r="G8129" s="15"/>
      <c r="H8129" s="21"/>
      <c r="I8129" s="15"/>
      <c r="J8129" s="15"/>
      <c r="K8129" s="15"/>
      <c r="L8129" s="21"/>
      <c r="M8129" s="15"/>
    </row>
    <row r="8130" spans="1:13" s="166" customFormat="1" ht="12.75" customHeight="1">
      <c r="A8130" s="12" t="s">
        <v>1682</v>
      </c>
      <c r="B8130" s="30">
        <v>1</v>
      </c>
      <c r="C8130" s="24" t="s">
        <v>825</v>
      </c>
      <c r="D8130" s="35">
        <f t="shared" si="671"/>
        <v>600.29999999999995</v>
      </c>
      <c r="E8130" s="31">
        <f t="shared" si="670"/>
        <v>600.29999999999995</v>
      </c>
      <c r="F8130" s="32"/>
      <c r="G8130" s="15"/>
      <c r="H8130" s="21"/>
      <c r="I8130" s="15"/>
      <c r="J8130" s="15"/>
      <c r="K8130" s="15"/>
      <c r="L8130" s="21"/>
      <c r="M8130" s="15"/>
    </row>
    <row r="8131" spans="1:13" s="166" customFormat="1" ht="12.75" customHeight="1">
      <c r="A8131" s="12" t="s">
        <v>208</v>
      </c>
      <c r="B8131" s="14">
        <f>SUM(E8126:E8128)</f>
        <v>11043.7</v>
      </c>
      <c r="C8131" s="24" t="s">
        <v>209</v>
      </c>
      <c r="D8131" s="35">
        <f t="shared" si="671"/>
        <v>0.02</v>
      </c>
      <c r="E8131" s="31">
        <f t="shared" si="670"/>
        <v>220.87</v>
      </c>
      <c r="F8131" s="32">
        <f>SUM(E8126:E8131)</f>
        <v>12429.210000000001</v>
      </c>
      <c r="G8131" s="15"/>
      <c r="H8131" s="21"/>
      <c r="I8131" s="15"/>
      <c r="J8131" s="15"/>
      <c r="K8131" s="15"/>
      <c r="L8131" s="21"/>
      <c r="M8131" s="15"/>
    </row>
    <row r="8132" spans="1:13" s="166" customFormat="1" ht="12.75" customHeight="1">
      <c r="A8132" s="12"/>
      <c r="B8132" s="14"/>
      <c r="C8132" s="24"/>
      <c r="D8132" s="35"/>
      <c r="E8132" s="31"/>
      <c r="F8132" s="32"/>
      <c r="G8132" s="15"/>
      <c r="H8132" s="21"/>
      <c r="I8132" s="15"/>
      <c r="J8132" s="15"/>
      <c r="K8132" s="15"/>
      <c r="L8132" s="21"/>
      <c r="M8132" s="15"/>
    </row>
    <row r="8133" spans="1:13" s="166" customFormat="1" ht="12.75" customHeight="1">
      <c r="A8133" s="13" t="s">
        <v>1853</v>
      </c>
      <c r="B8133" s="42"/>
      <c r="C8133" s="29"/>
      <c r="D8133" s="35"/>
      <c r="E8133" s="43" t="s">
        <v>151</v>
      </c>
      <c r="F8133" s="44" t="s">
        <v>213</v>
      </c>
      <c r="G8133" s="15"/>
      <c r="H8133" s="21"/>
      <c r="I8133" s="15"/>
      <c r="J8133" s="15"/>
      <c r="K8133" s="15"/>
      <c r="L8133" s="21"/>
      <c r="M8133" s="15"/>
    </row>
    <row r="8134" spans="1:13" s="166" customFormat="1" ht="12.75" customHeight="1">
      <c r="A8134" s="12" t="s">
        <v>1681</v>
      </c>
      <c r="B8134" s="30">
        <v>1.05</v>
      </c>
      <c r="C8134" s="24" t="s">
        <v>825</v>
      </c>
      <c r="D8134" s="35">
        <f>D8126</f>
        <v>6850</v>
      </c>
      <c r="E8134" s="31">
        <f t="shared" ref="E8134:E8139" si="672">ROUND(B8134*D8134,2)</f>
        <v>7192.5</v>
      </c>
      <c r="F8134" s="32"/>
      <c r="G8134" s="15"/>
      <c r="H8134" s="21"/>
      <c r="I8134" s="15"/>
      <c r="J8134" s="15"/>
      <c r="K8134" s="15"/>
      <c r="L8134" s="21"/>
      <c r="M8134" s="15"/>
    </row>
    <row r="8135" spans="1:13" s="166" customFormat="1" ht="12.75" customHeight="1">
      <c r="A8135" s="12" t="s">
        <v>1683</v>
      </c>
      <c r="B8135" s="30">
        <v>1.18</v>
      </c>
      <c r="C8135" s="24" t="s">
        <v>4</v>
      </c>
      <c r="D8135" s="35">
        <f t="shared" ref="D8135:D8139" si="673">D8127</f>
        <v>3200</v>
      </c>
      <c r="E8135" s="31">
        <f t="shared" si="672"/>
        <v>3776</v>
      </c>
      <c r="F8135" s="32"/>
      <c r="G8135" s="15"/>
      <c r="H8135" s="21"/>
      <c r="I8135" s="15"/>
      <c r="J8135" s="15"/>
      <c r="K8135" s="15"/>
      <c r="L8135" s="21"/>
      <c r="M8135" s="15"/>
    </row>
    <row r="8136" spans="1:13" s="166" customFormat="1" ht="12.75" customHeight="1">
      <c r="A8136" s="12" t="s">
        <v>1198</v>
      </c>
      <c r="B8136" s="30">
        <f>B8135*2</f>
        <v>2.36</v>
      </c>
      <c r="C8136" s="24" t="s">
        <v>1018</v>
      </c>
      <c r="D8136" s="35">
        <f t="shared" si="673"/>
        <v>60</v>
      </c>
      <c r="E8136" s="31">
        <f t="shared" si="672"/>
        <v>141.6</v>
      </c>
      <c r="F8136" s="32"/>
      <c r="G8136" s="15"/>
      <c r="H8136" s="21"/>
      <c r="I8136" s="15"/>
      <c r="J8136" s="15"/>
      <c r="K8136" s="15"/>
      <c r="L8136" s="21"/>
      <c r="M8136" s="15"/>
    </row>
    <row r="8137" spans="1:13" s="166" customFormat="1" ht="12.75" customHeight="1">
      <c r="A8137" s="12" t="s">
        <v>1037</v>
      </c>
      <c r="B8137" s="30">
        <f>B8135</f>
        <v>1.18</v>
      </c>
      <c r="C8137" s="24" t="s">
        <v>216</v>
      </c>
      <c r="D8137" s="35">
        <f t="shared" si="673"/>
        <v>486.5</v>
      </c>
      <c r="E8137" s="31">
        <f t="shared" si="672"/>
        <v>574.07000000000005</v>
      </c>
      <c r="F8137" s="32"/>
      <c r="G8137" s="15"/>
      <c r="H8137" s="21"/>
      <c r="I8137" s="15"/>
      <c r="J8137" s="15"/>
      <c r="K8137" s="15"/>
      <c r="L8137" s="21"/>
      <c r="M8137" s="15"/>
    </row>
    <row r="8138" spans="1:13" s="166" customFormat="1" ht="12.75" customHeight="1">
      <c r="A8138" s="12" t="s">
        <v>1682</v>
      </c>
      <c r="B8138" s="30">
        <v>1</v>
      </c>
      <c r="C8138" s="24" t="s">
        <v>825</v>
      </c>
      <c r="D8138" s="35">
        <f t="shared" si="673"/>
        <v>600.29999999999995</v>
      </c>
      <c r="E8138" s="31">
        <f t="shared" si="672"/>
        <v>600.29999999999995</v>
      </c>
      <c r="F8138" s="32"/>
      <c r="G8138" s="15"/>
      <c r="H8138" s="21"/>
      <c r="I8138" s="15"/>
      <c r="J8138" s="15"/>
      <c r="K8138" s="15"/>
      <c r="L8138" s="21"/>
      <c r="M8138" s="15"/>
    </row>
    <row r="8139" spans="1:13" s="166" customFormat="1" ht="12.75" customHeight="1">
      <c r="A8139" s="12" t="s">
        <v>208</v>
      </c>
      <c r="B8139" s="14">
        <f>SUM(E8134:E8136)</f>
        <v>11110.1</v>
      </c>
      <c r="C8139" s="24" t="s">
        <v>209</v>
      </c>
      <c r="D8139" s="35">
        <f t="shared" si="673"/>
        <v>0.02</v>
      </c>
      <c r="E8139" s="31">
        <f t="shared" si="672"/>
        <v>222.2</v>
      </c>
      <c r="F8139" s="32">
        <f>SUM(E8134:E8139)</f>
        <v>12506.67</v>
      </c>
      <c r="G8139" s="15"/>
      <c r="H8139" s="21"/>
      <c r="I8139" s="15"/>
      <c r="J8139" s="15"/>
      <c r="K8139" s="15"/>
      <c r="L8139" s="21"/>
      <c r="M8139" s="15"/>
    </row>
    <row r="8140" spans="1:13" s="166" customFormat="1" ht="12.75" customHeight="1">
      <c r="A8140" s="12"/>
      <c r="B8140" s="14"/>
      <c r="C8140" s="24"/>
      <c r="D8140" s="35"/>
      <c r="E8140" s="31"/>
      <c r="F8140" s="32"/>
      <c r="G8140" s="15"/>
      <c r="H8140" s="21"/>
      <c r="I8140" s="15"/>
      <c r="J8140" s="15"/>
      <c r="K8140" s="15"/>
      <c r="L8140" s="21"/>
      <c r="M8140" s="15"/>
    </row>
    <row r="8141" spans="1:13" s="166" customFormat="1" ht="12.75" customHeight="1">
      <c r="A8141" s="13" t="s">
        <v>1964</v>
      </c>
      <c r="B8141" s="42"/>
      <c r="C8141" s="29"/>
      <c r="D8141" s="35"/>
      <c r="E8141" s="43" t="s">
        <v>151</v>
      </c>
      <c r="F8141" s="44" t="s">
        <v>213</v>
      </c>
      <c r="G8141" s="15"/>
      <c r="H8141" s="21"/>
      <c r="I8141" s="15"/>
      <c r="J8141" s="15"/>
      <c r="K8141" s="15"/>
      <c r="L8141" s="21"/>
      <c r="M8141" s="15"/>
    </row>
    <row r="8142" spans="1:13" s="166" customFormat="1" ht="12.75" customHeight="1">
      <c r="A8142" s="12" t="s">
        <v>1681</v>
      </c>
      <c r="B8142" s="30">
        <v>1.05</v>
      </c>
      <c r="C8142" s="24" t="s">
        <v>825</v>
      </c>
      <c r="D8142" s="35">
        <f>D8134</f>
        <v>6850</v>
      </c>
      <c r="E8142" s="31">
        <f t="shared" ref="E8142:E8147" si="674">ROUND(B8142*D8142,2)</f>
        <v>7192.5</v>
      </c>
      <c r="F8142" s="32"/>
      <c r="G8142" s="15"/>
      <c r="H8142" s="21"/>
      <c r="I8142" s="15"/>
      <c r="J8142" s="15"/>
      <c r="K8142" s="15"/>
      <c r="L8142" s="21"/>
      <c r="M8142" s="15"/>
    </row>
    <row r="8143" spans="1:13" s="166" customFormat="1" ht="12.75" customHeight="1">
      <c r="A8143" s="12" t="s">
        <v>1683</v>
      </c>
      <c r="B8143" s="30">
        <v>3.66</v>
      </c>
      <c r="C8143" s="24" t="s">
        <v>4</v>
      </c>
      <c r="D8143" s="35">
        <f t="shared" ref="D8143:D8147" si="675">D8135</f>
        <v>3200</v>
      </c>
      <c r="E8143" s="31">
        <f t="shared" si="674"/>
        <v>11712</v>
      </c>
      <c r="F8143" s="32"/>
      <c r="G8143" s="15"/>
      <c r="H8143" s="21"/>
      <c r="I8143" s="15"/>
      <c r="J8143" s="15"/>
      <c r="K8143" s="15"/>
      <c r="L8143" s="21"/>
      <c r="M8143" s="15"/>
    </row>
    <row r="8144" spans="1:13" s="166" customFormat="1" ht="12.75" customHeight="1">
      <c r="A8144" s="12" t="s">
        <v>1198</v>
      </c>
      <c r="B8144" s="30">
        <f>B8143*2</f>
        <v>7.32</v>
      </c>
      <c r="C8144" s="24" t="s">
        <v>1018</v>
      </c>
      <c r="D8144" s="35">
        <f t="shared" si="675"/>
        <v>60</v>
      </c>
      <c r="E8144" s="31">
        <f t="shared" si="674"/>
        <v>439.2</v>
      </c>
      <c r="F8144" s="32"/>
      <c r="G8144" s="15"/>
      <c r="H8144" s="21"/>
      <c r="I8144" s="15"/>
      <c r="J8144" s="15"/>
      <c r="K8144" s="15"/>
      <c r="L8144" s="21"/>
      <c r="M8144" s="15"/>
    </row>
    <row r="8145" spans="1:13" s="166" customFormat="1" ht="12.75" customHeight="1">
      <c r="A8145" s="12" t="s">
        <v>1037</v>
      </c>
      <c r="B8145" s="30">
        <f>B8143</f>
        <v>3.66</v>
      </c>
      <c r="C8145" s="24" t="s">
        <v>216</v>
      </c>
      <c r="D8145" s="35">
        <f t="shared" si="675"/>
        <v>486.5</v>
      </c>
      <c r="E8145" s="31">
        <f t="shared" si="674"/>
        <v>1780.59</v>
      </c>
      <c r="F8145" s="32"/>
      <c r="G8145" s="15"/>
      <c r="H8145" s="21"/>
      <c r="I8145" s="15"/>
      <c r="J8145" s="15"/>
      <c r="K8145" s="15"/>
      <c r="L8145" s="21"/>
      <c r="M8145" s="15"/>
    </row>
    <row r="8146" spans="1:13" s="166" customFormat="1" ht="12.75" customHeight="1">
      <c r="A8146" s="12" t="s">
        <v>1965</v>
      </c>
      <c r="B8146" s="30">
        <v>1</v>
      </c>
      <c r="C8146" s="24" t="s">
        <v>825</v>
      </c>
      <c r="D8146" s="35">
        <f t="shared" si="675"/>
        <v>600.29999999999995</v>
      </c>
      <c r="E8146" s="31">
        <f t="shared" si="674"/>
        <v>600.29999999999995</v>
      </c>
      <c r="F8146" s="32"/>
      <c r="G8146" s="15"/>
      <c r="H8146" s="21"/>
      <c r="I8146" s="15"/>
      <c r="J8146" s="15"/>
      <c r="K8146" s="15"/>
      <c r="L8146" s="21"/>
      <c r="M8146" s="15"/>
    </row>
    <row r="8147" spans="1:13" s="166" customFormat="1" ht="12.75" customHeight="1">
      <c r="A8147" s="12" t="s">
        <v>208</v>
      </c>
      <c r="B8147" s="14">
        <f>SUM(E8142:E8144)</f>
        <v>19343.7</v>
      </c>
      <c r="C8147" s="24" t="s">
        <v>209</v>
      </c>
      <c r="D8147" s="35">
        <f t="shared" si="675"/>
        <v>0.02</v>
      </c>
      <c r="E8147" s="31">
        <f t="shared" si="674"/>
        <v>386.87</v>
      </c>
      <c r="F8147" s="32">
        <f>SUM(E8142:E8147)</f>
        <v>22111.46</v>
      </c>
      <c r="G8147" s="15"/>
      <c r="H8147" s="21"/>
      <c r="I8147" s="15"/>
      <c r="J8147" s="15"/>
      <c r="K8147" s="15"/>
      <c r="L8147" s="21"/>
      <c r="M8147" s="15"/>
    </row>
    <row r="8148" spans="1:13" s="166" customFormat="1" ht="12.75" customHeight="1">
      <c r="A8148" s="12"/>
      <c r="B8148" s="14"/>
      <c r="C8148" s="24"/>
      <c r="D8148" s="35"/>
      <c r="E8148" s="31"/>
      <c r="F8148" s="32"/>
      <c r="G8148" s="15"/>
      <c r="H8148" s="21"/>
      <c r="I8148" s="15"/>
      <c r="J8148" s="15"/>
      <c r="K8148" s="15"/>
      <c r="L8148" s="21"/>
      <c r="M8148" s="15"/>
    </row>
    <row r="8149" spans="1:13" s="166" customFormat="1" ht="12.75" customHeight="1">
      <c r="A8149" s="13" t="s">
        <v>1985</v>
      </c>
      <c r="B8149" s="42"/>
      <c r="C8149" s="29"/>
      <c r="D8149" s="35"/>
      <c r="E8149" s="43" t="s">
        <v>151</v>
      </c>
      <c r="F8149" s="44" t="s">
        <v>213</v>
      </c>
      <c r="G8149" s="15"/>
      <c r="H8149" s="21"/>
      <c r="I8149" s="15"/>
      <c r="J8149" s="15"/>
      <c r="K8149" s="15"/>
      <c r="L8149" s="21"/>
      <c r="M8149" s="15"/>
    </row>
    <row r="8150" spans="1:13" s="166" customFormat="1" ht="12.75" customHeight="1">
      <c r="A8150" s="12" t="s">
        <v>1681</v>
      </c>
      <c r="B8150" s="30">
        <v>1.05</v>
      </c>
      <c r="C8150" s="24" t="s">
        <v>825</v>
      </c>
      <c r="D8150" s="35">
        <f>D8142</f>
        <v>6850</v>
      </c>
      <c r="E8150" s="31">
        <f t="shared" ref="E8150:E8155" si="676">ROUND(B8150*D8150,2)</f>
        <v>7192.5</v>
      </c>
      <c r="F8150" s="32"/>
      <c r="G8150" s="15"/>
      <c r="H8150" s="21"/>
      <c r="I8150" s="15"/>
      <c r="J8150" s="15"/>
      <c r="K8150" s="15"/>
      <c r="L8150" s="21"/>
      <c r="M8150" s="15"/>
    </row>
    <row r="8151" spans="1:13" s="166" customFormat="1" ht="12.75" customHeight="1">
      <c r="A8151" s="12" t="s">
        <v>1683</v>
      </c>
      <c r="B8151" s="30">
        <v>1.57</v>
      </c>
      <c r="C8151" s="24" t="s">
        <v>4</v>
      </c>
      <c r="D8151" s="35">
        <f t="shared" ref="D8151:D8154" si="677">D8143</f>
        <v>3200</v>
      </c>
      <c r="E8151" s="31">
        <f t="shared" si="676"/>
        <v>5024</v>
      </c>
      <c r="F8151" s="32"/>
      <c r="G8151" s="15"/>
      <c r="H8151" s="21"/>
      <c r="I8151" s="15"/>
      <c r="J8151" s="15"/>
      <c r="K8151" s="15"/>
      <c r="L8151" s="21"/>
      <c r="M8151" s="15"/>
    </row>
    <row r="8152" spans="1:13" s="166" customFormat="1" ht="12.75" customHeight="1">
      <c r="A8152" s="12" t="s">
        <v>1198</v>
      </c>
      <c r="B8152" s="30">
        <f>B8151*2</f>
        <v>3.14</v>
      </c>
      <c r="C8152" s="24" t="s">
        <v>1018</v>
      </c>
      <c r="D8152" s="35">
        <f t="shared" si="677"/>
        <v>60</v>
      </c>
      <c r="E8152" s="31">
        <f t="shared" si="676"/>
        <v>188.4</v>
      </c>
      <c r="F8152" s="32"/>
      <c r="G8152" s="15"/>
      <c r="H8152" s="21"/>
      <c r="I8152" s="15"/>
      <c r="J8152" s="15"/>
      <c r="K8152" s="15"/>
      <c r="L8152" s="21"/>
      <c r="M8152" s="15"/>
    </row>
    <row r="8153" spans="1:13" s="166" customFormat="1" ht="12.75" customHeight="1">
      <c r="A8153" s="12" t="s">
        <v>1037</v>
      </c>
      <c r="B8153" s="30">
        <f>B8151</f>
        <v>1.57</v>
      </c>
      <c r="C8153" s="24" t="s">
        <v>216</v>
      </c>
      <c r="D8153" s="35">
        <f t="shared" si="677"/>
        <v>486.5</v>
      </c>
      <c r="E8153" s="31">
        <f t="shared" si="676"/>
        <v>763.81</v>
      </c>
      <c r="F8153" s="32"/>
      <c r="G8153" s="15"/>
      <c r="H8153" s="21"/>
      <c r="I8153" s="15"/>
      <c r="J8153" s="15"/>
      <c r="K8153" s="15"/>
      <c r="L8153" s="21"/>
      <c r="M8153" s="15"/>
    </row>
    <row r="8154" spans="1:13" s="166" customFormat="1" ht="12.75" customHeight="1">
      <c r="A8154" s="12" t="s">
        <v>1965</v>
      </c>
      <c r="B8154" s="30">
        <v>1</v>
      </c>
      <c r="C8154" s="24" t="s">
        <v>825</v>
      </c>
      <c r="D8154" s="35">
        <f t="shared" si="677"/>
        <v>600.29999999999995</v>
      </c>
      <c r="E8154" s="31">
        <f t="shared" si="676"/>
        <v>600.29999999999995</v>
      </c>
      <c r="F8154" s="32"/>
      <c r="G8154" s="15"/>
      <c r="H8154" s="21"/>
      <c r="I8154" s="15"/>
      <c r="J8154" s="15"/>
      <c r="K8154" s="15"/>
      <c r="L8154" s="21"/>
      <c r="M8154" s="15"/>
    </row>
    <row r="8155" spans="1:13" s="166" customFormat="1" ht="12.75" customHeight="1">
      <c r="A8155" s="12" t="s">
        <v>208</v>
      </c>
      <c r="B8155" s="14">
        <f>SUM(E8150:E8152)</f>
        <v>12404.9</v>
      </c>
      <c r="C8155" s="24" t="s">
        <v>209</v>
      </c>
      <c r="D8155" s="35">
        <f>D8147</f>
        <v>0.02</v>
      </c>
      <c r="E8155" s="31">
        <f t="shared" si="676"/>
        <v>248.1</v>
      </c>
      <c r="F8155" s="32">
        <f>SUM(E8150:E8155)</f>
        <v>14017.109999999999</v>
      </c>
      <c r="G8155" s="15"/>
      <c r="H8155" s="21"/>
      <c r="I8155" s="15"/>
      <c r="J8155" s="15"/>
      <c r="K8155" s="15"/>
      <c r="L8155" s="21"/>
      <c r="M8155" s="15"/>
    </row>
    <row r="8156" spans="1:13" s="166" customFormat="1" ht="12.75" customHeight="1">
      <c r="A8156" s="12"/>
      <c r="B8156" s="14"/>
      <c r="C8156" s="24"/>
      <c r="D8156" s="35"/>
      <c r="E8156" s="31"/>
      <c r="F8156" s="32"/>
      <c r="G8156" s="15"/>
      <c r="H8156" s="21"/>
      <c r="I8156" s="15"/>
      <c r="J8156" s="15"/>
      <c r="K8156" s="15"/>
      <c r="L8156" s="21"/>
      <c r="M8156" s="15"/>
    </row>
    <row r="8157" spans="1:13" s="166" customFormat="1" ht="12.75" customHeight="1">
      <c r="A8157" s="13" t="s">
        <v>1986</v>
      </c>
      <c r="B8157" s="42"/>
      <c r="C8157" s="29"/>
      <c r="D8157" s="35"/>
      <c r="E8157" s="43" t="s">
        <v>151</v>
      </c>
      <c r="F8157" s="44" t="s">
        <v>213</v>
      </c>
      <c r="G8157" s="15"/>
      <c r="H8157" s="21"/>
      <c r="I8157" s="15"/>
      <c r="J8157" s="15"/>
      <c r="K8157" s="15"/>
      <c r="L8157" s="21"/>
      <c r="M8157" s="15"/>
    </row>
    <row r="8158" spans="1:13" s="166" customFormat="1" ht="12.75" customHeight="1">
      <c r="A8158" s="12" t="s">
        <v>1681</v>
      </c>
      <c r="B8158" s="30">
        <v>1.05</v>
      </c>
      <c r="C8158" s="24" t="s">
        <v>825</v>
      </c>
      <c r="D8158" s="35">
        <f>D8150</f>
        <v>6850</v>
      </c>
      <c r="E8158" s="31">
        <f t="shared" ref="E8158:E8163" si="678">ROUND(B8158*D8158,2)</f>
        <v>7192.5</v>
      </c>
      <c r="F8158" s="32"/>
      <c r="G8158" s="15"/>
      <c r="H8158" s="21"/>
      <c r="I8158" s="15"/>
      <c r="J8158" s="15"/>
      <c r="K8158" s="15"/>
      <c r="L8158" s="21"/>
      <c r="M8158" s="15"/>
    </row>
    <row r="8159" spans="1:13" s="166" customFormat="1" ht="12.75" customHeight="1">
      <c r="A8159" s="12" t="s">
        <v>1683</v>
      </c>
      <c r="B8159" s="30">
        <v>1.1000000000000001</v>
      </c>
      <c r="C8159" s="24" t="s">
        <v>4</v>
      </c>
      <c r="D8159" s="35">
        <f t="shared" ref="D8159:D8162" si="679">D8151</f>
        <v>3200</v>
      </c>
      <c r="E8159" s="31">
        <f t="shared" si="678"/>
        <v>3520</v>
      </c>
      <c r="F8159" s="32"/>
      <c r="G8159" s="15"/>
      <c r="H8159" s="21"/>
      <c r="I8159" s="15"/>
      <c r="J8159" s="15"/>
      <c r="K8159" s="15"/>
      <c r="L8159" s="21"/>
      <c r="M8159" s="15"/>
    </row>
    <row r="8160" spans="1:13" s="166" customFormat="1" ht="12.75" customHeight="1">
      <c r="A8160" s="12" t="s">
        <v>1198</v>
      </c>
      <c r="B8160" s="30">
        <f>B8159*2</f>
        <v>2.2000000000000002</v>
      </c>
      <c r="C8160" s="24" t="s">
        <v>1018</v>
      </c>
      <c r="D8160" s="35">
        <f t="shared" si="679"/>
        <v>60</v>
      </c>
      <c r="E8160" s="31">
        <f t="shared" si="678"/>
        <v>132</v>
      </c>
      <c r="F8160" s="32"/>
      <c r="G8160" s="15"/>
      <c r="H8160" s="21"/>
      <c r="I8160" s="15"/>
      <c r="J8160" s="15"/>
      <c r="K8160" s="15"/>
      <c r="L8160" s="21"/>
      <c r="M8160" s="15"/>
    </row>
    <row r="8161" spans="1:13" s="166" customFormat="1" ht="12.75" customHeight="1">
      <c r="A8161" s="12" t="s">
        <v>1037</v>
      </c>
      <c r="B8161" s="30">
        <f>B8159</f>
        <v>1.1000000000000001</v>
      </c>
      <c r="C8161" s="24" t="s">
        <v>216</v>
      </c>
      <c r="D8161" s="35">
        <f t="shared" si="679"/>
        <v>486.5</v>
      </c>
      <c r="E8161" s="31">
        <f t="shared" si="678"/>
        <v>535.15</v>
      </c>
      <c r="F8161" s="32"/>
      <c r="G8161" s="15"/>
      <c r="H8161" s="21"/>
      <c r="I8161" s="15"/>
      <c r="J8161" s="15"/>
      <c r="K8161" s="15"/>
      <c r="L8161" s="21"/>
      <c r="M8161" s="15"/>
    </row>
    <row r="8162" spans="1:13" s="166" customFormat="1" ht="12.75" customHeight="1">
      <c r="A8162" s="12" t="s">
        <v>1965</v>
      </c>
      <c r="B8162" s="30">
        <v>1</v>
      </c>
      <c r="C8162" s="24" t="s">
        <v>825</v>
      </c>
      <c r="D8162" s="35">
        <f t="shared" si="679"/>
        <v>600.29999999999995</v>
      </c>
      <c r="E8162" s="31">
        <f t="shared" si="678"/>
        <v>600.29999999999995</v>
      </c>
      <c r="F8162" s="32"/>
      <c r="G8162" s="15"/>
      <c r="H8162" s="21"/>
      <c r="I8162" s="15"/>
      <c r="J8162" s="15"/>
      <c r="K8162" s="15"/>
      <c r="L8162" s="21"/>
      <c r="M8162" s="15"/>
    </row>
    <row r="8163" spans="1:13" s="166" customFormat="1" ht="12.75" customHeight="1">
      <c r="A8163" s="12" t="s">
        <v>208</v>
      </c>
      <c r="B8163" s="14">
        <f>SUM(E8158:E8160)</f>
        <v>10844.5</v>
      </c>
      <c r="C8163" s="24" t="s">
        <v>209</v>
      </c>
      <c r="D8163" s="35">
        <f>D8155</f>
        <v>0.02</v>
      </c>
      <c r="E8163" s="31">
        <f t="shared" si="678"/>
        <v>216.89</v>
      </c>
      <c r="F8163" s="32">
        <f>SUM(E8158:E8163)</f>
        <v>12196.839999999998</v>
      </c>
      <c r="G8163" s="15"/>
      <c r="H8163" s="21"/>
      <c r="I8163" s="15"/>
      <c r="J8163" s="15"/>
      <c r="K8163" s="15"/>
      <c r="L8163" s="21"/>
      <c r="M8163" s="15"/>
    </row>
    <row r="8164" spans="1:13" s="166" customFormat="1" ht="12.75" customHeight="1">
      <c r="A8164" s="12"/>
      <c r="B8164" s="14"/>
      <c r="C8164" s="24"/>
      <c r="D8164" s="35"/>
      <c r="E8164" s="31"/>
      <c r="F8164" s="32"/>
      <c r="G8164" s="15"/>
      <c r="H8164" s="21"/>
      <c r="I8164" s="15"/>
      <c r="J8164" s="15"/>
      <c r="K8164" s="15"/>
      <c r="L8164" s="21"/>
      <c r="M8164" s="15"/>
    </row>
    <row r="8165" spans="1:13" s="166" customFormat="1" ht="12.75" customHeight="1">
      <c r="A8165" s="13" t="s">
        <v>2025</v>
      </c>
      <c r="B8165" s="42"/>
      <c r="C8165" s="29"/>
      <c r="D8165" s="35"/>
      <c r="E8165" s="43" t="s">
        <v>151</v>
      </c>
      <c r="F8165" s="44" t="s">
        <v>213</v>
      </c>
      <c r="G8165" s="15"/>
      <c r="H8165" s="21"/>
      <c r="I8165" s="15"/>
      <c r="J8165" s="15"/>
      <c r="K8165" s="15"/>
      <c r="L8165" s="21"/>
      <c r="M8165" s="15"/>
    </row>
    <row r="8166" spans="1:13" s="166" customFormat="1" ht="12.75" customHeight="1">
      <c r="A8166" s="12" t="s">
        <v>1681</v>
      </c>
      <c r="B8166" s="30">
        <v>1.05</v>
      </c>
      <c r="C8166" s="24" t="s">
        <v>825</v>
      </c>
      <c r="D8166" s="35">
        <f>D8158</f>
        <v>6850</v>
      </c>
      <c r="E8166" s="31">
        <f t="shared" ref="E8166:E8171" si="680">ROUND(B8166*D8166,2)</f>
        <v>7192.5</v>
      </c>
      <c r="F8166" s="32"/>
      <c r="G8166" s="15"/>
      <c r="H8166" s="21"/>
      <c r="I8166" s="15"/>
      <c r="J8166" s="15"/>
      <c r="K8166" s="15"/>
      <c r="L8166" s="21"/>
      <c r="M8166" s="15"/>
    </row>
    <row r="8167" spans="1:13" s="166" customFormat="1" ht="12.75" customHeight="1">
      <c r="A8167" s="12" t="s">
        <v>1683</v>
      </c>
      <c r="B8167" s="30">
        <v>1.02</v>
      </c>
      <c r="C8167" s="24" t="s">
        <v>4</v>
      </c>
      <c r="D8167" s="35">
        <f t="shared" ref="D8167:D8170" si="681">D8159</f>
        <v>3200</v>
      </c>
      <c r="E8167" s="31">
        <f t="shared" si="680"/>
        <v>3264</v>
      </c>
      <c r="F8167" s="32"/>
      <c r="G8167" s="15"/>
      <c r="H8167" s="21"/>
      <c r="I8167" s="15"/>
      <c r="J8167" s="15"/>
      <c r="K8167" s="15"/>
      <c r="L8167" s="21"/>
      <c r="M8167" s="15"/>
    </row>
    <row r="8168" spans="1:13" s="166" customFormat="1" ht="12.75" customHeight="1">
      <c r="A8168" s="12" t="s">
        <v>1198</v>
      </c>
      <c r="B8168" s="30">
        <f>B8167*2</f>
        <v>2.04</v>
      </c>
      <c r="C8168" s="24" t="s">
        <v>1018</v>
      </c>
      <c r="D8168" s="35">
        <f t="shared" si="681"/>
        <v>60</v>
      </c>
      <c r="E8168" s="31">
        <f t="shared" si="680"/>
        <v>122.4</v>
      </c>
      <c r="F8168" s="32"/>
      <c r="G8168" s="15"/>
      <c r="H8168" s="21"/>
      <c r="I8168" s="15"/>
      <c r="J8168" s="15"/>
      <c r="K8168" s="15"/>
      <c r="L8168" s="21"/>
      <c r="M8168" s="15"/>
    </row>
    <row r="8169" spans="1:13" s="166" customFormat="1" ht="12.75" customHeight="1">
      <c r="A8169" s="12" t="s">
        <v>1037</v>
      </c>
      <c r="B8169" s="30">
        <f>B8167</f>
        <v>1.02</v>
      </c>
      <c r="C8169" s="24" t="s">
        <v>216</v>
      </c>
      <c r="D8169" s="35">
        <f t="shared" si="681"/>
        <v>486.5</v>
      </c>
      <c r="E8169" s="31">
        <f t="shared" si="680"/>
        <v>496.23</v>
      </c>
      <c r="F8169" s="32"/>
      <c r="G8169" s="15"/>
      <c r="H8169" s="21"/>
      <c r="I8169" s="15"/>
      <c r="J8169" s="15"/>
      <c r="K8169" s="15"/>
      <c r="L8169" s="21"/>
      <c r="M8169" s="15"/>
    </row>
    <row r="8170" spans="1:13" s="166" customFormat="1" ht="12.75" customHeight="1">
      <c r="A8170" s="12" t="s">
        <v>1965</v>
      </c>
      <c r="B8170" s="30">
        <v>1</v>
      </c>
      <c r="C8170" s="24" t="s">
        <v>825</v>
      </c>
      <c r="D8170" s="35">
        <f t="shared" si="681"/>
        <v>600.29999999999995</v>
      </c>
      <c r="E8170" s="31">
        <f t="shared" si="680"/>
        <v>600.29999999999995</v>
      </c>
      <c r="F8170" s="32"/>
      <c r="G8170" s="15"/>
      <c r="H8170" s="21"/>
      <c r="I8170" s="15"/>
      <c r="J8170" s="15"/>
      <c r="K8170" s="15"/>
      <c r="L8170" s="21"/>
      <c r="M8170" s="15"/>
    </row>
    <row r="8171" spans="1:13" s="166" customFormat="1" ht="12.75" customHeight="1">
      <c r="A8171" s="12" t="s">
        <v>208</v>
      </c>
      <c r="B8171" s="14">
        <f>SUM(E8166:E8168)</f>
        <v>10578.9</v>
      </c>
      <c r="C8171" s="24" t="s">
        <v>209</v>
      </c>
      <c r="D8171" s="35">
        <f>D8163</f>
        <v>0.02</v>
      </c>
      <c r="E8171" s="31">
        <f t="shared" si="680"/>
        <v>211.58</v>
      </c>
      <c r="F8171" s="32">
        <f>SUM(E8166:E8171)</f>
        <v>11887.009999999998</v>
      </c>
      <c r="G8171" s="15"/>
      <c r="H8171" s="21"/>
      <c r="I8171" s="15"/>
      <c r="J8171" s="15"/>
      <c r="K8171" s="15"/>
      <c r="L8171" s="21"/>
      <c r="M8171" s="15"/>
    </row>
    <row r="8172" spans="1:13" s="166" customFormat="1" ht="12.75" customHeight="1">
      <c r="A8172" s="12"/>
      <c r="B8172" s="14"/>
      <c r="C8172" s="24"/>
      <c r="D8172" s="35"/>
      <c r="E8172" s="31"/>
      <c r="F8172" s="32"/>
      <c r="G8172" s="15"/>
      <c r="H8172" s="21"/>
      <c r="I8172" s="15"/>
      <c r="J8172" s="15"/>
      <c r="K8172" s="15"/>
      <c r="L8172" s="21"/>
      <c r="M8172" s="15"/>
    </row>
    <row r="8173" spans="1:13" s="166" customFormat="1" ht="12.75" customHeight="1">
      <c r="A8173" s="13" t="s">
        <v>2001</v>
      </c>
      <c r="B8173" s="42"/>
      <c r="C8173" s="29"/>
      <c r="D8173" s="35"/>
      <c r="E8173" s="43" t="s">
        <v>151</v>
      </c>
      <c r="F8173" s="44" t="s">
        <v>213</v>
      </c>
      <c r="G8173" s="15"/>
      <c r="H8173" s="21"/>
      <c r="I8173" s="15"/>
      <c r="J8173" s="15"/>
      <c r="K8173" s="15"/>
      <c r="L8173" s="21"/>
      <c r="M8173" s="15"/>
    </row>
    <row r="8174" spans="1:13" s="166" customFormat="1" ht="12.75" customHeight="1">
      <c r="A8174" s="12" t="s">
        <v>1681</v>
      </c>
      <c r="B8174" s="30">
        <v>1.05</v>
      </c>
      <c r="C8174" s="24" t="s">
        <v>825</v>
      </c>
      <c r="D8174" s="35">
        <f>D8166</f>
        <v>6850</v>
      </c>
      <c r="E8174" s="31">
        <f t="shared" ref="E8174:E8179" si="682">ROUND(B8174*D8174,2)</f>
        <v>7192.5</v>
      </c>
      <c r="F8174" s="32"/>
      <c r="G8174" s="15"/>
      <c r="H8174" s="21"/>
      <c r="I8174" s="15"/>
      <c r="J8174" s="15"/>
      <c r="K8174" s="15"/>
      <c r="L8174" s="21"/>
      <c r="M8174" s="15"/>
    </row>
    <row r="8175" spans="1:13" s="166" customFormat="1" ht="12.75" customHeight="1">
      <c r="A8175" s="12" t="s">
        <v>1683</v>
      </c>
      <c r="B8175" s="30">
        <v>1.47</v>
      </c>
      <c r="C8175" s="24" t="s">
        <v>4</v>
      </c>
      <c r="D8175" s="35">
        <f t="shared" ref="D8175:D8178" si="683">D8167</f>
        <v>3200</v>
      </c>
      <c r="E8175" s="31">
        <f t="shared" si="682"/>
        <v>4704</v>
      </c>
      <c r="F8175" s="32"/>
      <c r="G8175" s="15"/>
      <c r="H8175" s="21"/>
      <c r="I8175" s="15"/>
      <c r="J8175" s="15"/>
      <c r="K8175" s="15"/>
      <c r="L8175" s="21"/>
      <c r="M8175" s="15"/>
    </row>
    <row r="8176" spans="1:13" s="166" customFormat="1" ht="12.75" customHeight="1">
      <c r="A8176" s="12" t="s">
        <v>1198</v>
      </c>
      <c r="B8176" s="30">
        <f>B8175*2</f>
        <v>2.94</v>
      </c>
      <c r="C8176" s="24" t="s">
        <v>1018</v>
      </c>
      <c r="D8176" s="35">
        <f t="shared" si="683"/>
        <v>60</v>
      </c>
      <c r="E8176" s="31">
        <f t="shared" si="682"/>
        <v>176.4</v>
      </c>
      <c r="F8176" s="32"/>
      <c r="G8176" s="15"/>
      <c r="H8176" s="21"/>
      <c r="I8176" s="15"/>
      <c r="J8176" s="15"/>
      <c r="K8176" s="15"/>
      <c r="L8176" s="21"/>
      <c r="M8176" s="15"/>
    </row>
    <row r="8177" spans="1:13" s="166" customFormat="1" ht="12.75" customHeight="1">
      <c r="A8177" s="12" t="s">
        <v>1037</v>
      </c>
      <c r="B8177" s="30">
        <f>B8175</f>
        <v>1.47</v>
      </c>
      <c r="C8177" s="24" t="s">
        <v>216</v>
      </c>
      <c r="D8177" s="35">
        <f t="shared" si="683"/>
        <v>486.5</v>
      </c>
      <c r="E8177" s="31">
        <f t="shared" si="682"/>
        <v>715.16</v>
      </c>
      <c r="F8177" s="32"/>
      <c r="G8177" s="15"/>
      <c r="H8177" s="21"/>
      <c r="I8177" s="15"/>
      <c r="J8177" s="15"/>
      <c r="K8177" s="15"/>
      <c r="L8177" s="21"/>
      <c r="M8177" s="15"/>
    </row>
    <row r="8178" spans="1:13" s="166" customFormat="1" ht="12.75" customHeight="1">
      <c r="A8178" s="12" t="s">
        <v>1965</v>
      </c>
      <c r="B8178" s="30">
        <v>1</v>
      </c>
      <c r="C8178" s="24" t="s">
        <v>825</v>
      </c>
      <c r="D8178" s="35">
        <f t="shared" si="683"/>
        <v>600.29999999999995</v>
      </c>
      <c r="E8178" s="31">
        <f t="shared" si="682"/>
        <v>600.29999999999995</v>
      </c>
      <c r="F8178" s="32"/>
      <c r="G8178" s="15"/>
      <c r="H8178" s="21"/>
      <c r="I8178" s="15"/>
      <c r="J8178" s="15"/>
      <c r="K8178" s="15"/>
      <c r="L8178" s="21"/>
      <c r="M8178" s="15"/>
    </row>
    <row r="8179" spans="1:13" s="166" customFormat="1" ht="12.75" customHeight="1">
      <c r="A8179" s="12" t="s">
        <v>208</v>
      </c>
      <c r="B8179" s="14">
        <f>SUM(E8174:E8176)</f>
        <v>12072.9</v>
      </c>
      <c r="C8179" s="24" t="s">
        <v>209</v>
      </c>
      <c r="D8179" s="35">
        <f>D8171</f>
        <v>0.02</v>
      </c>
      <c r="E8179" s="31">
        <f t="shared" si="682"/>
        <v>241.46</v>
      </c>
      <c r="F8179" s="32">
        <f>SUM(E8174:E8179)</f>
        <v>13629.819999999998</v>
      </c>
      <c r="G8179" s="15"/>
      <c r="H8179" s="21"/>
      <c r="I8179" s="15"/>
      <c r="J8179" s="15"/>
      <c r="K8179" s="15"/>
      <c r="L8179" s="21"/>
      <c r="M8179" s="15"/>
    </row>
    <row r="8180" spans="1:13" s="166" customFormat="1" ht="12.75" customHeight="1">
      <c r="A8180" s="12"/>
      <c r="B8180" s="14"/>
      <c r="C8180" s="24"/>
      <c r="D8180" s="35"/>
      <c r="E8180" s="31"/>
      <c r="F8180" s="32"/>
      <c r="G8180" s="15"/>
      <c r="H8180" s="21"/>
      <c r="I8180" s="15"/>
      <c r="J8180" s="15"/>
      <c r="K8180" s="15"/>
      <c r="L8180" s="21"/>
      <c r="M8180" s="15"/>
    </row>
    <row r="8181" spans="1:13" s="166" customFormat="1" ht="12.75" customHeight="1">
      <c r="A8181" s="13" t="s">
        <v>2002</v>
      </c>
      <c r="B8181" s="42"/>
      <c r="C8181" s="29"/>
      <c r="D8181" s="35"/>
      <c r="E8181" s="43" t="s">
        <v>151</v>
      </c>
      <c r="F8181" s="44" t="s">
        <v>213</v>
      </c>
      <c r="G8181" s="15"/>
      <c r="H8181" s="21"/>
      <c r="I8181" s="15"/>
      <c r="J8181" s="15"/>
      <c r="K8181" s="15"/>
      <c r="L8181" s="21"/>
      <c r="M8181" s="15"/>
    </row>
    <row r="8182" spans="1:13" s="166" customFormat="1" ht="12.75" customHeight="1">
      <c r="A8182" s="12" t="s">
        <v>1681</v>
      </c>
      <c r="B8182" s="30">
        <v>1.05</v>
      </c>
      <c r="C8182" s="24" t="s">
        <v>825</v>
      </c>
      <c r="D8182" s="35">
        <f>D8174</f>
        <v>6850</v>
      </c>
      <c r="E8182" s="31">
        <f t="shared" ref="E8182:E8187" si="684">ROUND(B8182*D8182,2)</f>
        <v>7192.5</v>
      </c>
      <c r="F8182" s="32"/>
      <c r="G8182" s="15"/>
      <c r="H8182" s="21"/>
      <c r="I8182" s="15"/>
      <c r="J8182" s="15"/>
      <c r="K8182" s="15"/>
      <c r="L8182" s="21"/>
      <c r="M8182" s="15"/>
    </row>
    <row r="8183" spans="1:13" s="166" customFormat="1" ht="12.75" customHeight="1">
      <c r="A8183" s="12" t="s">
        <v>1683</v>
      </c>
      <c r="B8183" s="30">
        <v>3.13</v>
      </c>
      <c r="C8183" s="24" t="s">
        <v>4</v>
      </c>
      <c r="D8183" s="35">
        <f t="shared" ref="D8183:D8186" si="685">D8175</f>
        <v>3200</v>
      </c>
      <c r="E8183" s="31">
        <f t="shared" si="684"/>
        <v>10016</v>
      </c>
      <c r="F8183" s="32"/>
      <c r="G8183" s="15"/>
      <c r="H8183" s="21"/>
      <c r="I8183" s="15"/>
      <c r="J8183" s="15"/>
      <c r="K8183" s="15"/>
      <c r="L8183" s="21"/>
      <c r="M8183" s="15"/>
    </row>
    <row r="8184" spans="1:13" s="166" customFormat="1" ht="12.75" customHeight="1">
      <c r="A8184" s="12" t="s">
        <v>1198</v>
      </c>
      <c r="B8184" s="30">
        <f>B8183*2</f>
        <v>6.26</v>
      </c>
      <c r="C8184" s="24" t="s">
        <v>1018</v>
      </c>
      <c r="D8184" s="35">
        <f t="shared" si="685"/>
        <v>60</v>
      </c>
      <c r="E8184" s="31">
        <f t="shared" si="684"/>
        <v>375.6</v>
      </c>
      <c r="F8184" s="32"/>
      <c r="G8184" s="15"/>
      <c r="H8184" s="21"/>
      <c r="I8184" s="15"/>
      <c r="J8184" s="15"/>
      <c r="K8184" s="15"/>
      <c r="L8184" s="21"/>
      <c r="M8184" s="15"/>
    </row>
    <row r="8185" spans="1:13" s="166" customFormat="1" ht="12.75" customHeight="1">
      <c r="A8185" s="12" t="s">
        <v>1037</v>
      </c>
      <c r="B8185" s="30">
        <f>B8183</f>
        <v>3.13</v>
      </c>
      <c r="C8185" s="24" t="s">
        <v>216</v>
      </c>
      <c r="D8185" s="35">
        <f t="shared" si="685"/>
        <v>486.5</v>
      </c>
      <c r="E8185" s="31">
        <f t="shared" si="684"/>
        <v>1522.75</v>
      </c>
      <c r="F8185" s="32"/>
      <c r="G8185" s="15"/>
      <c r="H8185" s="21"/>
      <c r="I8185" s="15"/>
      <c r="J8185" s="15"/>
      <c r="K8185" s="15"/>
      <c r="L8185" s="21"/>
      <c r="M8185" s="15"/>
    </row>
    <row r="8186" spans="1:13" s="166" customFormat="1" ht="12.75" customHeight="1">
      <c r="A8186" s="12" t="s">
        <v>1965</v>
      </c>
      <c r="B8186" s="30">
        <v>1</v>
      </c>
      <c r="C8186" s="24" t="s">
        <v>825</v>
      </c>
      <c r="D8186" s="35">
        <f t="shared" si="685"/>
        <v>600.29999999999995</v>
      </c>
      <c r="E8186" s="31">
        <f t="shared" si="684"/>
        <v>600.29999999999995</v>
      </c>
      <c r="F8186" s="32"/>
      <c r="G8186" s="15"/>
      <c r="H8186" s="21"/>
      <c r="I8186" s="15"/>
      <c r="J8186" s="15"/>
      <c r="K8186" s="15"/>
      <c r="L8186" s="21"/>
      <c r="M8186" s="15"/>
    </row>
    <row r="8187" spans="1:13" s="166" customFormat="1" ht="12.75" customHeight="1">
      <c r="A8187" s="12" t="s">
        <v>208</v>
      </c>
      <c r="B8187" s="14">
        <f>SUM(E8182:E8184)</f>
        <v>17584.099999999999</v>
      </c>
      <c r="C8187" s="24" t="s">
        <v>209</v>
      </c>
      <c r="D8187" s="35">
        <f>D8179</f>
        <v>0.02</v>
      </c>
      <c r="E8187" s="31">
        <f t="shared" si="684"/>
        <v>351.68</v>
      </c>
      <c r="F8187" s="32">
        <f>SUM(E8182:E8187)</f>
        <v>20058.829999999998</v>
      </c>
      <c r="G8187" s="15"/>
      <c r="H8187" s="21"/>
      <c r="I8187" s="15"/>
      <c r="J8187" s="15"/>
      <c r="K8187" s="15"/>
      <c r="L8187" s="21"/>
      <c r="M8187" s="15"/>
    </row>
    <row r="8188" spans="1:13" s="166" customFormat="1" ht="12.75" customHeight="1">
      <c r="A8188" s="12"/>
      <c r="B8188" s="14"/>
      <c r="C8188" s="24"/>
      <c r="D8188" s="35"/>
      <c r="E8188" s="31"/>
      <c r="F8188" s="32"/>
      <c r="G8188" s="15"/>
      <c r="H8188" s="21"/>
      <c r="I8188" s="15"/>
      <c r="J8188" s="15"/>
      <c r="K8188" s="15"/>
      <c r="L8188" s="21"/>
      <c r="M8188" s="15"/>
    </row>
    <row r="8189" spans="1:13" s="166" customFormat="1" ht="12.75" customHeight="1">
      <c r="A8189" s="12"/>
      <c r="B8189" s="14"/>
      <c r="C8189" s="24"/>
      <c r="D8189" s="35"/>
      <c r="E8189" s="31"/>
      <c r="F8189" s="32"/>
      <c r="G8189" s="15"/>
      <c r="H8189" s="21"/>
      <c r="I8189" s="15"/>
      <c r="J8189" s="15"/>
      <c r="K8189" s="15"/>
      <c r="L8189" s="21"/>
      <c r="M8189" s="15"/>
    </row>
    <row r="8190" spans="1:13" s="166" customFormat="1" ht="12.75" customHeight="1">
      <c r="A8190" s="12"/>
      <c r="B8190" s="14"/>
      <c r="C8190" s="24"/>
      <c r="D8190" s="35"/>
      <c r="E8190" s="31"/>
      <c r="F8190" s="32"/>
      <c r="G8190" s="15"/>
      <c r="H8190" s="21"/>
      <c r="I8190" s="15"/>
      <c r="J8190" s="15"/>
      <c r="K8190" s="15"/>
      <c r="L8190" s="21"/>
      <c r="M8190" s="15"/>
    </row>
    <row r="8191" spans="1:13" ht="12.75" customHeight="1">
      <c r="A8191" s="13" t="s">
        <v>577</v>
      </c>
      <c r="B8191" s="14"/>
      <c r="C8191" s="24"/>
      <c r="D8191" s="35"/>
      <c r="E8191" s="31"/>
      <c r="F8191" s="32"/>
    </row>
    <row r="8192" spans="1:13" ht="12.75" customHeight="1">
      <c r="A8192" s="12" t="s">
        <v>355</v>
      </c>
      <c r="B8192" s="434">
        <v>1.05</v>
      </c>
      <c r="C8192" s="24" t="s">
        <v>825</v>
      </c>
      <c r="D8192" s="35">
        <f t="shared" ref="D8192:D8197" si="686">D8023</f>
        <v>5459</v>
      </c>
      <c r="E8192" s="31">
        <f>B8192*D8192</f>
        <v>5731.95</v>
      </c>
      <c r="F8192" s="32"/>
    </row>
    <row r="8193" spans="1:13" ht="12.75" customHeight="1">
      <c r="A8193" s="12" t="s">
        <v>173</v>
      </c>
      <c r="B8193" s="434">
        <v>0.89</v>
      </c>
      <c r="C8193" s="24" t="s">
        <v>4</v>
      </c>
      <c r="D8193" s="35">
        <f t="shared" si="686"/>
        <v>3200</v>
      </c>
      <c r="E8193" s="31">
        <f t="shared" ref="E8193:E8390" si="687">B8193*D8193</f>
        <v>2848</v>
      </c>
      <c r="F8193" s="32"/>
    </row>
    <row r="8194" spans="1:13" ht="12.75" customHeight="1">
      <c r="A8194" s="12" t="s">
        <v>1198</v>
      </c>
      <c r="B8194" s="434">
        <v>1.78</v>
      </c>
      <c r="C8194" s="24" t="s">
        <v>1018</v>
      </c>
      <c r="D8194" s="35">
        <f t="shared" si="686"/>
        <v>60</v>
      </c>
      <c r="E8194" s="31">
        <f t="shared" si="687"/>
        <v>106.8</v>
      </c>
      <c r="F8194" s="32"/>
    </row>
    <row r="8195" spans="1:13" ht="12.75" customHeight="1">
      <c r="A8195" s="12" t="s">
        <v>1037</v>
      </c>
      <c r="B8195" s="434">
        <v>0.85</v>
      </c>
      <c r="C8195" s="24" t="s">
        <v>216</v>
      </c>
      <c r="D8195" s="35">
        <f t="shared" si="686"/>
        <v>0</v>
      </c>
      <c r="E8195" s="31">
        <f t="shared" si="687"/>
        <v>0</v>
      </c>
      <c r="F8195" s="32"/>
    </row>
    <row r="8196" spans="1:13" ht="12.75" customHeight="1">
      <c r="A8196" s="12" t="s">
        <v>519</v>
      </c>
      <c r="B8196" s="30">
        <v>1.05</v>
      </c>
      <c r="C8196" s="24" t="s">
        <v>825</v>
      </c>
      <c r="D8196" s="35">
        <f t="shared" si="686"/>
        <v>606.97</v>
      </c>
      <c r="E8196" s="31">
        <f t="shared" si="687"/>
        <v>637.31850000000009</v>
      </c>
      <c r="F8196" s="32"/>
    </row>
    <row r="8197" spans="1:13" ht="12.75" customHeight="1">
      <c r="A8197" s="12" t="s">
        <v>208</v>
      </c>
      <c r="B8197" s="434">
        <f>SUM(E8192:E8196)</f>
        <v>9324.0684999999994</v>
      </c>
      <c r="C8197" s="24" t="s">
        <v>209</v>
      </c>
      <c r="D8197" s="41">
        <f t="shared" si="686"/>
        <v>1.4999999999999999E-2</v>
      </c>
      <c r="E8197" s="31">
        <f t="shared" si="687"/>
        <v>139.86102749999998</v>
      </c>
      <c r="F8197" s="32">
        <f>SUM(E8192:E8197)</f>
        <v>9463.9295274999986</v>
      </c>
    </row>
    <row r="8198" spans="1:13" ht="12.75" customHeight="1">
      <c r="A8198" s="12"/>
      <c r="B8198" s="434"/>
      <c r="C8198" s="24"/>
      <c r="D8198" s="41"/>
      <c r="E8198" s="31"/>
      <c r="F8198" s="32"/>
    </row>
    <row r="8199" spans="1:13" ht="12.75" customHeight="1">
      <c r="A8199" s="13" t="s">
        <v>833</v>
      </c>
      <c r="B8199" s="434"/>
      <c r="C8199" s="24"/>
      <c r="D8199" s="41"/>
      <c r="E8199" s="31"/>
      <c r="F8199" s="32"/>
    </row>
    <row r="8200" spans="1:13" ht="12.75" customHeight="1">
      <c r="A8200" s="12" t="s">
        <v>355</v>
      </c>
      <c r="B8200" s="434">
        <v>1.05</v>
      </c>
      <c r="C8200" s="24" t="s">
        <v>825</v>
      </c>
      <c r="D8200" s="41">
        <f>horm.ymez.!C17</f>
        <v>5459</v>
      </c>
      <c r="E8200" s="31">
        <f t="shared" si="687"/>
        <v>5731.95</v>
      </c>
      <c r="F8200" s="32"/>
    </row>
    <row r="8201" spans="1:13" ht="12.75" customHeight="1">
      <c r="A8201" s="12" t="s">
        <v>173</v>
      </c>
      <c r="B8201" s="434">
        <v>1.155</v>
      </c>
      <c r="C8201" s="24" t="s">
        <v>4</v>
      </c>
      <c r="D8201" s="41">
        <f>D8193</f>
        <v>3200</v>
      </c>
      <c r="E8201" s="31">
        <f t="shared" si="687"/>
        <v>3696</v>
      </c>
      <c r="F8201" s="32"/>
    </row>
    <row r="8202" spans="1:13" ht="12.75" customHeight="1">
      <c r="A8202" s="12" t="s">
        <v>1198</v>
      </c>
      <c r="B8202" s="434">
        <f>B8203*2</f>
        <v>2.31</v>
      </c>
      <c r="C8202" s="24" t="s">
        <v>1018</v>
      </c>
      <c r="D8202" s="41">
        <f>D8194</f>
        <v>60</v>
      </c>
      <c r="E8202" s="31">
        <f t="shared" si="687"/>
        <v>138.6</v>
      </c>
      <c r="F8202" s="32"/>
    </row>
    <row r="8203" spans="1:13" ht="12.75" customHeight="1">
      <c r="A8203" s="12" t="s">
        <v>1037</v>
      </c>
      <c r="B8203" s="434">
        <v>1.155</v>
      </c>
      <c r="C8203" s="24" t="s">
        <v>216</v>
      </c>
      <c r="D8203" s="41">
        <f>D8195</f>
        <v>0</v>
      </c>
      <c r="E8203" s="31">
        <f t="shared" si="687"/>
        <v>0</v>
      </c>
      <c r="F8203" s="32"/>
    </row>
    <row r="8204" spans="1:13" ht="12.75" customHeight="1">
      <c r="A8204" s="12" t="s">
        <v>153</v>
      </c>
      <c r="B8204" s="434">
        <v>8.33</v>
      </c>
      <c r="C8204" s="24" t="s">
        <v>213</v>
      </c>
      <c r="D8204" s="41">
        <v>240</v>
      </c>
      <c r="E8204" s="31">
        <f t="shared" si="687"/>
        <v>1999.2</v>
      </c>
      <c r="F8204" s="32"/>
    </row>
    <row r="8205" spans="1:13" ht="12.75" customHeight="1">
      <c r="A8205" s="12" t="s">
        <v>519</v>
      </c>
      <c r="B8205" s="30">
        <v>1.05</v>
      </c>
      <c r="C8205" s="24" t="s">
        <v>825</v>
      </c>
      <c r="D8205" s="41">
        <f>D8196</f>
        <v>606.97</v>
      </c>
      <c r="E8205" s="31">
        <f t="shared" si="687"/>
        <v>637.31850000000009</v>
      </c>
      <c r="F8205" s="32"/>
    </row>
    <row r="8206" spans="1:13" ht="12.75" customHeight="1">
      <c r="A8206" s="12" t="s">
        <v>208</v>
      </c>
      <c r="B8206" s="434">
        <f>SUM(E8200:E8205)</f>
        <v>12203.068500000001</v>
      </c>
      <c r="C8206" s="24" t="s">
        <v>209</v>
      </c>
      <c r="D8206" s="41">
        <f>D8197</f>
        <v>1.4999999999999999E-2</v>
      </c>
      <c r="E8206" s="31">
        <f t="shared" si="687"/>
        <v>183.04602750000001</v>
      </c>
      <c r="F8206" s="32">
        <f>SUM(E8200:E8206)</f>
        <v>12386.114527500002</v>
      </c>
    </row>
    <row r="8207" spans="1:13" ht="12.75" customHeight="1">
      <c r="A8207" s="12"/>
      <c r="B8207" s="434"/>
      <c r="C8207" s="24"/>
      <c r="D8207" s="41"/>
      <c r="E8207" s="31"/>
      <c r="F8207" s="32"/>
    </row>
    <row r="8208" spans="1:13" s="166" customFormat="1" ht="12.75" customHeight="1">
      <c r="A8208" s="698" t="s">
        <v>4360</v>
      </c>
      <c r="B8208" s="699"/>
      <c r="C8208" s="700"/>
      <c r="D8208" s="701"/>
      <c r="E8208" s="702"/>
      <c r="F8208" s="703"/>
      <c r="G8208" s="15"/>
      <c r="H8208" s="21"/>
      <c r="I8208" s="15"/>
      <c r="J8208" s="15"/>
      <c r="K8208" s="15"/>
      <c r="L8208" s="21"/>
      <c r="M8208" s="15"/>
    </row>
    <row r="8209" spans="1:13" s="166" customFormat="1" ht="12.75" customHeight="1">
      <c r="A8209" s="704" t="s">
        <v>1161</v>
      </c>
      <c r="B8209" s="699">
        <v>1.05</v>
      </c>
      <c r="C8209" s="700" t="s">
        <v>825</v>
      </c>
      <c r="D8209" s="701">
        <f>Prec.!C37</f>
        <v>7077.29</v>
      </c>
      <c r="E8209" s="702">
        <f t="shared" ref="E8209:E8215" si="688">B8209*D8209</f>
        <v>7431.1545000000006</v>
      </c>
      <c r="F8209" s="703"/>
      <c r="G8209" s="15"/>
      <c r="H8209" s="21"/>
      <c r="I8209" s="15"/>
      <c r="J8209" s="15"/>
      <c r="K8209" s="15"/>
      <c r="L8209" s="21"/>
      <c r="M8209" s="15"/>
    </row>
    <row r="8210" spans="1:13" s="166" customFormat="1" ht="12.75" customHeight="1">
      <c r="A8210" s="704" t="s">
        <v>173</v>
      </c>
      <c r="B8210" s="699">
        <v>1.18</v>
      </c>
      <c r="C8210" s="700" t="s">
        <v>4</v>
      </c>
      <c r="D8210" s="701">
        <f>D8201</f>
        <v>3200</v>
      </c>
      <c r="E8210" s="702">
        <f t="shared" si="688"/>
        <v>3776</v>
      </c>
      <c r="F8210" s="703"/>
      <c r="G8210" s="15"/>
      <c r="H8210" s="21"/>
      <c r="I8210" s="15"/>
      <c r="J8210" s="15"/>
      <c r="K8210" s="15"/>
      <c r="L8210" s="21"/>
      <c r="M8210" s="15"/>
    </row>
    <row r="8211" spans="1:13" s="166" customFormat="1" ht="12.75" customHeight="1">
      <c r="A8211" s="704" t="s">
        <v>1198</v>
      </c>
      <c r="B8211" s="699">
        <f>B8212*2</f>
        <v>2.36</v>
      </c>
      <c r="C8211" s="700" t="s">
        <v>1018</v>
      </c>
      <c r="D8211" s="701">
        <f>D8202</f>
        <v>60</v>
      </c>
      <c r="E8211" s="702">
        <f t="shared" si="688"/>
        <v>141.6</v>
      </c>
      <c r="F8211" s="703"/>
      <c r="G8211" s="15"/>
      <c r="H8211" s="21"/>
      <c r="I8211" s="15"/>
      <c r="J8211" s="15"/>
      <c r="K8211" s="15"/>
      <c r="L8211" s="21"/>
      <c r="M8211" s="15"/>
    </row>
    <row r="8212" spans="1:13" s="166" customFormat="1" ht="12.75" customHeight="1">
      <c r="A8212" s="704" t="s">
        <v>1037</v>
      </c>
      <c r="B8212" s="699">
        <f>B8210</f>
        <v>1.18</v>
      </c>
      <c r="C8212" s="700" t="s">
        <v>216</v>
      </c>
      <c r="D8212" s="701">
        <f>Prec.!C350</f>
        <v>486.5</v>
      </c>
      <c r="E8212" s="702">
        <f t="shared" si="688"/>
        <v>574.06999999999994</v>
      </c>
      <c r="F8212" s="703"/>
      <c r="G8212" s="15"/>
      <c r="H8212" s="21"/>
      <c r="I8212" s="15"/>
      <c r="J8212" s="15"/>
      <c r="K8212" s="15"/>
      <c r="L8212" s="21"/>
      <c r="M8212" s="15"/>
    </row>
    <row r="8213" spans="1:13" s="166" customFormat="1" ht="12.75" customHeight="1">
      <c r="A8213" s="704" t="s">
        <v>4384</v>
      </c>
      <c r="B8213" s="699">
        <v>8.33</v>
      </c>
      <c r="C8213" s="700" t="s">
        <v>213</v>
      </c>
      <c r="D8213" s="701">
        <f>218.67+35.33</f>
        <v>254</v>
      </c>
      <c r="E8213" s="702">
        <f t="shared" si="688"/>
        <v>2115.8200000000002</v>
      </c>
      <c r="F8213" s="703"/>
      <c r="G8213" s="15"/>
      <c r="H8213" s="21"/>
      <c r="I8213" s="15"/>
      <c r="J8213" s="15"/>
      <c r="K8213" s="15"/>
      <c r="L8213" s="21"/>
      <c r="M8213" s="15"/>
    </row>
    <row r="8214" spans="1:13" s="166" customFormat="1" ht="12.75" customHeight="1">
      <c r="A8214" s="704" t="s">
        <v>1688</v>
      </c>
      <c r="B8214" s="705">
        <v>1</v>
      </c>
      <c r="C8214" s="700" t="s">
        <v>825</v>
      </c>
      <c r="D8214" s="701">
        <f>Prec.!C675</f>
        <v>600.29999999999995</v>
      </c>
      <c r="E8214" s="702"/>
      <c r="F8214" s="703"/>
      <c r="G8214" s="15"/>
      <c r="H8214" s="21"/>
      <c r="I8214" s="15"/>
      <c r="J8214" s="15"/>
      <c r="K8214" s="15"/>
      <c r="L8214" s="21"/>
      <c r="M8214" s="15"/>
    </row>
    <row r="8215" spans="1:13" s="166" customFormat="1" ht="12.75" customHeight="1">
      <c r="A8215" s="704" t="s">
        <v>208</v>
      </c>
      <c r="B8215" s="699">
        <f>SUM(E8209:E8211)</f>
        <v>11348.754500000001</v>
      </c>
      <c r="C8215" s="700" t="s">
        <v>209</v>
      </c>
      <c r="D8215" s="701">
        <v>0.02</v>
      </c>
      <c r="E8215" s="702">
        <f t="shared" si="688"/>
        <v>226.97509000000002</v>
      </c>
      <c r="F8215" s="703">
        <f>SUM(E8209:E8215)</f>
        <v>14265.61959</v>
      </c>
      <c r="G8215" s="15"/>
      <c r="H8215" s="21"/>
      <c r="I8215" s="15"/>
      <c r="J8215" s="15"/>
      <c r="K8215" s="15"/>
      <c r="L8215" s="21"/>
      <c r="M8215" s="15"/>
    </row>
    <row r="8216" spans="1:13" s="166" customFormat="1" ht="12.75" customHeight="1">
      <c r="A8216" s="12"/>
      <c r="B8216" s="434"/>
      <c r="C8216" s="24"/>
      <c r="D8216" s="41"/>
      <c r="E8216" s="31"/>
      <c r="F8216" s="32"/>
      <c r="G8216" s="15"/>
      <c r="H8216" s="21"/>
      <c r="I8216" s="15"/>
      <c r="J8216" s="15"/>
      <c r="K8216" s="15"/>
      <c r="L8216" s="21"/>
      <c r="M8216" s="15"/>
    </row>
    <row r="8217" spans="1:13" s="166" customFormat="1" ht="12.75" customHeight="1">
      <c r="A8217" s="13" t="s">
        <v>4409</v>
      </c>
      <c r="B8217" s="434"/>
      <c r="C8217" s="24"/>
      <c r="D8217" s="41"/>
      <c r="E8217" s="31"/>
      <c r="F8217" s="32"/>
      <c r="G8217" s="15"/>
      <c r="H8217" s="21"/>
      <c r="I8217" s="15"/>
      <c r="J8217" s="15"/>
      <c r="K8217" s="15"/>
      <c r="L8217" s="21"/>
      <c r="M8217" s="15"/>
    </row>
    <row r="8218" spans="1:13" s="166" customFormat="1" ht="12.75" customHeight="1">
      <c r="A8218" s="12" t="s">
        <v>1161</v>
      </c>
      <c r="B8218" s="434">
        <v>1.05</v>
      </c>
      <c r="C8218" s="24" t="s">
        <v>825</v>
      </c>
      <c r="D8218" s="41">
        <f>D8209</f>
        <v>7077.29</v>
      </c>
      <c r="E8218" s="31">
        <f t="shared" ref="E8218:E8224" si="689">B8218*D8218</f>
        <v>7431.1545000000006</v>
      </c>
      <c r="F8218" s="32"/>
      <c r="G8218" s="15"/>
      <c r="H8218" s="21"/>
      <c r="I8218" s="15"/>
      <c r="J8218" s="15"/>
      <c r="K8218" s="15"/>
      <c r="L8218" s="21"/>
      <c r="M8218" s="15"/>
    </row>
    <row r="8219" spans="1:13" s="166" customFormat="1" ht="12.75" customHeight="1">
      <c r="A8219" s="12" t="s">
        <v>173</v>
      </c>
      <c r="B8219" s="434">
        <v>1.08</v>
      </c>
      <c r="C8219" s="24" t="s">
        <v>4</v>
      </c>
      <c r="D8219" s="41">
        <f t="shared" ref="D8219:D8224" si="690">D8210</f>
        <v>3200</v>
      </c>
      <c r="E8219" s="31">
        <f t="shared" si="689"/>
        <v>3456</v>
      </c>
      <c r="F8219" s="32"/>
      <c r="G8219" s="15"/>
      <c r="H8219" s="21"/>
      <c r="I8219" s="15"/>
      <c r="J8219" s="15"/>
      <c r="K8219" s="15"/>
      <c r="L8219" s="21"/>
      <c r="M8219" s="15"/>
    </row>
    <row r="8220" spans="1:13" s="166" customFormat="1" ht="12.75" customHeight="1">
      <c r="A8220" s="12" t="s">
        <v>1198</v>
      </c>
      <c r="B8220" s="434">
        <f>B8221*2</f>
        <v>2.16</v>
      </c>
      <c r="C8220" s="24" t="s">
        <v>1018</v>
      </c>
      <c r="D8220" s="41">
        <f t="shared" si="690"/>
        <v>60</v>
      </c>
      <c r="E8220" s="31">
        <f t="shared" si="689"/>
        <v>129.60000000000002</v>
      </c>
      <c r="F8220" s="32"/>
      <c r="G8220" s="15"/>
      <c r="H8220" s="21"/>
      <c r="I8220" s="15"/>
      <c r="J8220" s="15"/>
      <c r="K8220" s="15"/>
      <c r="L8220" s="21"/>
      <c r="M8220" s="15"/>
    </row>
    <row r="8221" spans="1:13" s="166" customFormat="1" ht="12.75" customHeight="1">
      <c r="A8221" s="12" t="s">
        <v>1037</v>
      </c>
      <c r="B8221" s="434">
        <f>B8219</f>
        <v>1.08</v>
      </c>
      <c r="C8221" s="24" t="s">
        <v>216</v>
      </c>
      <c r="D8221" s="41">
        <f t="shared" si="690"/>
        <v>486.5</v>
      </c>
      <c r="E8221" s="31">
        <f t="shared" si="689"/>
        <v>525.42000000000007</v>
      </c>
      <c r="F8221" s="32"/>
      <c r="G8221" s="15"/>
      <c r="H8221" s="21"/>
      <c r="I8221" s="15"/>
      <c r="J8221" s="15"/>
      <c r="K8221" s="15"/>
      <c r="L8221" s="21"/>
      <c r="M8221" s="15"/>
    </row>
    <row r="8222" spans="1:13" s="166" customFormat="1" ht="12.75" customHeight="1">
      <c r="A8222" s="12" t="s">
        <v>4410</v>
      </c>
      <c r="B8222" s="434">
        <v>7.69</v>
      </c>
      <c r="C8222" s="24" t="s">
        <v>213</v>
      </c>
      <c r="D8222" s="41">
        <f t="shared" si="690"/>
        <v>254</v>
      </c>
      <c r="E8222" s="31">
        <f t="shared" si="689"/>
        <v>1953.26</v>
      </c>
      <c r="F8222" s="32"/>
      <c r="G8222" s="15"/>
      <c r="H8222" s="21"/>
      <c r="I8222" s="15"/>
      <c r="J8222" s="15"/>
      <c r="K8222" s="15"/>
      <c r="L8222" s="21"/>
      <c r="M8222" s="15"/>
    </row>
    <row r="8223" spans="1:13" s="166" customFormat="1" ht="12.75" customHeight="1">
      <c r="A8223" s="12" t="s">
        <v>1688</v>
      </c>
      <c r="B8223" s="30">
        <v>1</v>
      </c>
      <c r="C8223" s="24" t="s">
        <v>825</v>
      </c>
      <c r="D8223" s="41">
        <f t="shared" si="690"/>
        <v>600.29999999999995</v>
      </c>
      <c r="E8223" s="31">
        <f t="shared" si="689"/>
        <v>600.29999999999995</v>
      </c>
      <c r="F8223" s="32"/>
      <c r="G8223" s="15"/>
      <c r="H8223" s="21"/>
      <c r="I8223" s="15"/>
      <c r="J8223" s="15"/>
      <c r="K8223" s="15"/>
      <c r="L8223" s="21"/>
      <c r="M8223" s="15"/>
    </row>
    <row r="8224" spans="1:13" s="166" customFormat="1" ht="12.75" customHeight="1">
      <c r="A8224" s="12" t="s">
        <v>208</v>
      </c>
      <c r="B8224" s="434">
        <f>SUM(E8218:E8220)</f>
        <v>11016.754500000001</v>
      </c>
      <c r="C8224" s="24" t="s">
        <v>209</v>
      </c>
      <c r="D8224" s="41">
        <f t="shared" si="690"/>
        <v>0.02</v>
      </c>
      <c r="E8224" s="31">
        <f t="shared" si="689"/>
        <v>220.33509000000004</v>
      </c>
      <c r="F8224" s="32">
        <f>SUM(E8218:E8224)</f>
        <v>14316.069590000001</v>
      </c>
      <c r="G8224" s="15"/>
      <c r="H8224" s="21"/>
      <c r="I8224" s="15"/>
      <c r="J8224" s="15"/>
      <c r="K8224" s="15"/>
      <c r="L8224" s="21"/>
      <c r="M8224" s="15"/>
    </row>
    <row r="8225" spans="1:13" s="166" customFormat="1" ht="12.75" customHeight="1">
      <c r="A8225" s="12"/>
      <c r="B8225" s="434"/>
      <c r="C8225" s="24"/>
      <c r="D8225" s="41"/>
      <c r="E8225" s="31"/>
      <c r="F8225" s="32"/>
      <c r="G8225" s="15"/>
      <c r="H8225" s="21"/>
      <c r="I8225" s="15"/>
      <c r="J8225" s="15"/>
      <c r="K8225" s="15"/>
      <c r="L8225" s="21"/>
      <c r="M8225" s="15"/>
    </row>
    <row r="8226" spans="1:13" s="166" customFormat="1" ht="12.75" customHeight="1">
      <c r="A8226" s="698" t="s">
        <v>4411</v>
      </c>
      <c r="B8226" s="699"/>
      <c r="C8226" s="700"/>
      <c r="D8226" s="701"/>
      <c r="E8226" s="702"/>
      <c r="F8226" s="703"/>
      <c r="G8226" s="15"/>
      <c r="H8226" s="21"/>
      <c r="I8226" s="15"/>
      <c r="J8226" s="15"/>
      <c r="K8226" s="15"/>
      <c r="L8226" s="21"/>
      <c r="M8226" s="15"/>
    </row>
    <row r="8227" spans="1:13" s="166" customFormat="1" ht="12.75" customHeight="1">
      <c r="A8227" s="704" t="s">
        <v>1161</v>
      </c>
      <c r="B8227" s="699">
        <v>1.05</v>
      </c>
      <c r="C8227" s="700" t="s">
        <v>825</v>
      </c>
      <c r="D8227" s="701">
        <f>D8218</f>
        <v>7077.29</v>
      </c>
      <c r="E8227" s="702">
        <f t="shared" ref="E8227:E8233" si="691">B8227*D8227</f>
        <v>7431.1545000000006</v>
      </c>
      <c r="F8227" s="703"/>
      <c r="G8227" s="15"/>
      <c r="H8227" s="21"/>
      <c r="I8227" s="15"/>
      <c r="J8227" s="15"/>
      <c r="K8227" s="15"/>
      <c r="L8227" s="21"/>
      <c r="M8227" s="15"/>
    </row>
    <row r="8228" spans="1:13" s="166" customFormat="1" ht="12.75" customHeight="1">
      <c r="A8228" s="704" t="s">
        <v>173</v>
      </c>
      <c r="B8228" s="699">
        <v>2.0099999999999998</v>
      </c>
      <c r="C8228" s="700" t="s">
        <v>4</v>
      </c>
      <c r="D8228" s="701">
        <f t="shared" ref="D8228:D8233" si="692">D8219</f>
        <v>3200</v>
      </c>
      <c r="E8228" s="702">
        <f t="shared" si="691"/>
        <v>6431.9999999999991</v>
      </c>
      <c r="F8228" s="703"/>
      <c r="G8228" s="15"/>
      <c r="H8228" s="21"/>
      <c r="I8228" s="15"/>
      <c r="J8228" s="15"/>
      <c r="K8228" s="15"/>
      <c r="L8228" s="21"/>
      <c r="M8228" s="15"/>
    </row>
    <row r="8229" spans="1:13" s="166" customFormat="1" ht="12.75" customHeight="1">
      <c r="A8229" s="704" t="s">
        <v>1198</v>
      </c>
      <c r="B8229" s="699">
        <f>B8230*2</f>
        <v>4.0199999999999996</v>
      </c>
      <c r="C8229" s="700" t="s">
        <v>1018</v>
      </c>
      <c r="D8229" s="701">
        <f t="shared" si="692"/>
        <v>60</v>
      </c>
      <c r="E8229" s="702">
        <f t="shared" si="691"/>
        <v>241.2</v>
      </c>
      <c r="F8229" s="703"/>
      <c r="G8229" s="15"/>
      <c r="H8229" s="21"/>
      <c r="I8229" s="15"/>
      <c r="J8229" s="15"/>
      <c r="K8229" s="15"/>
      <c r="L8229" s="21"/>
      <c r="M8229" s="15"/>
    </row>
    <row r="8230" spans="1:13" s="166" customFormat="1" ht="12.75" customHeight="1">
      <c r="A8230" s="704" t="s">
        <v>1037</v>
      </c>
      <c r="B8230" s="699">
        <f>B8228</f>
        <v>2.0099999999999998</v>
      </c>
      <c r="C8230" s="700" t="s">
        <v>216</v>
      </c>
      <c r="D8230" s="701">
        <f t="shared" si="692"/>
        <v>486.5</v>
      </c>
      <c r="E8230" s="702">
        <f t="shared" si="691"/>
        <v>977.8649999999999</v>
      </c>
      <c r="F8230" s="703"/>
      <c r="G8230" s="15"/>
      <c r="H8230" s="21"/>
      <c r="I8230" s="15"/>
      <c r="J8230" s="15"/>
      <c r="K8230" s="15"/>
      <c r="L8230" s="21"/>
      <c r="M8230" s="15"/>
    </row>
    <row r="8231" spans="1:13" s="166" customFormat="1" ht="12.75" customHeight="1">
      <c r="A8231" s="704" t="s">
        <v>4423</v>
      </c>
      <c r="B8231" s="699">
        <v>7.14</v>
      </c>
      <c r="C8231" s="700" t="s">
        <v>213</v>
      </c>
      <c r="D8231" s="701">
        <f t="shared" si="692"/>
        <v>254</v>
      </c>
      <c r="E8231" s="702">
        <f t="shared" si="691"/>
        <v>1813.56</v>
      </c>
      <c r="F8231" s="703"/>
      <c r="G8231" s="15"/>
      <c r="H8231" s="21"/>
      <c r="I8231" s="15"/>
      <c r="J8231" s="15"/>
      <c r="K8231" s="15"/>
      <c r="L8231" s="21"/>
      <c r="M8231" s="15"/>
    </row>
    <row r="8232" spans="1:13" s="166" customFormat="1" ht="12.75" customHeight="1">
      <c r="A8232" s="704" t="s">
        <v>1688</v>
      </c>
      <c r="B8232" s="705">
        <v>1</v>
      </c>
      <c r="C8232" s="700" t="s">
        <v>825</v>
      </c>
      <c r="D8232" s="701">
        <f t="shared" si="692"/>
        <v>600.29999999999995</v>
      </c>
      <c r="E8232" s="702">
        <f t="shared" si="691"/>
        <v>600.29999999999995</v>
      </c>
      <c r="F8232" s="703"/>
      <c r="G8232" s="15"/>
      <c r="H8232" s="21"/>
      <c r="I8232" s="15"/>
      <c r="J8232" s="15"/>
      <c r="K8232" s="15"/>
      <c r="L8232" s="21"/>
      <c r="M8232" s="15"/>
    </row>
    <row r="8233" spans="1:13" s="166" customFormat="1" ht="12.75" customHeight="1">
      <c r="A8233" s="704" t="s">
        <v>208</v>
      </c>
      <c r="B8233" s="699">
        <f>SUM(E8227:E8229)</f>
        <v>14104.354500000001</v>
      </c>
      <c r="C8233" s="700" t="s">
        <v>209</v>
      </c>
      <c r="D8233" s="701">
        <f t="shared" si="692"/>
        <v>0.02</v>
      </c>
      <c r="E8233" s="702">
        <f t="shared" si="691"/>
        <v>282.08709000000005</v>
      </c>
      <c r="F8233" s="703">
        <f>SUM(E8227:E8233)</f>
        <v>17778.166590000001</v>
      </c>
      <c r="G8233" s="15"/>
      <c r="H8233" s="21"/>
      <c r="I8233" s="15"/>
      <c r="J8233" s="15"/>
      <c r="K8233" s="15"/>
      <c r="L8233" s="21"/>
      <c r="M8233" s="15"/>
    </row>
    <row r="8234" spans="1:13" s="166" customFormat="1" ht="12.75" customHeight="1">
      <c r="A8234" s="12"/>
      <c r="B8234" s="434"/>
      <c r="C8234" s="24"/>
      <c r="D8234" s="41"/>
      <c r="E8234" s="31"/>
      <c r="F8234" s="32"/>
      <c r="G8234" s="15"/>
      <c r="H8234" s="21"/>
      <c r="I8234" s="15"/>
      <c r="J8234" s="15"/>
      <c r="K8234" s="15"/>
      <c r="L8234" s="21"/>
      <c r="M8234" s="15"/>
    </row>
    <row r="8235" spans="1:13" s="166" customFormat="1" ht="12.75" customHeight="1">
      <c r="A8235" s="13" t="s">
        <v>4412</v>
      </c>
      <c r="B8235" s="434"/>
      <c r="C8235" s="24"/>
      <c r="D8235" s="41"/>
      <c r="E8235" s="31"/>
      <c r="F8235" s="32"/>
      <c r="G8235" s="15"/>
      <c r="H8235" s="21"/>
      <c r="I8235" s="15"/>
      <c r="J8235" s="15"/>
      <c r="K8235" s="15"/>
      <c r="L8235" s="21"/>
      <c r="M8235" s="15"/>
    </row>
    <row r="8236" spans="1:13" s="166" customFormat="1" ht="12.75" customHeight="1">
      <c r="A8236" s="12" t="s">
        <v>1161</v>
      </c>
      <c r="B8236" s="434">
        <v>1.05</v>
      </c>
      <c r="C8236" s="24" t="s">
        <v>825</v>
      </c>
      <c r="D8236" s="41">
        <f>D8227</f>
        <v>7077.29</v>
      </c>
      <c r="E8236" s="31">
        <f t="shared" ref="E8236:E8242" si="693">B8236*D8236</f>
        <v>7431.1545000000006</v>
      </c>
      <c r="F8236" s="32"/>
      <c r="G8236" s="15"/>
      <c r="H8236" s="21"/>
      <c r="I8236" s="15"/>
      <c r="J8236" s="15"/>
      <c r="K8236" s="15"/>
      <c r="L8236" s="21"/>
      <c r="M8236" s="15"/>
    </row>
    <row r="8237" spans="1:13" s="166" customFormat="1" ht="12.75" customHeight="1">
      <c r="A8237" s="12" t="s">
        <v>173</v>
      </c>
      <c r="B8237" s="434">
        <v>1.28</v>
      </c>
      <c r="C8237" s="24" t="s">
        <v>4</v>
      </c>
      <c r="D8237" s="41">
        <f t="shared" ref="D8237:D8242" si="694">D8228</f>
        <v>3200</v>
      </c>
      <c r="E8237" s="31">
        <f t="shared" si="693"/>
        <v>4096</v>
      </c>
      <c r="F8237" s="32"/>
      <c r="G8237" s="15"/>
      <c r="H8237" s="21"/>
      <c r="I8237" s="15"/>
      <c r="J8237" s="15"/>
      <c r="K8237" s="15"/>
      <c r="L8237" s="21"/>
      <c r="M8237" s="15"/>
    </row>
    <row r="8238" spans="1:13" s="166" customFormat="1" ht="12.75" customHeight="1">
      <c r="A8238" s="12" t="s">
        <v>1198</v>
      </c>
      <c r="B8238" s="434">
        <f>B8239*2</f>
        <v>2.56</v>
      </c>
      <c r="C8238" s="24" t="s">
        <v>1018</v>
      </c>
      <c r="D8238" s="41">
        <f t="shared" si="694"/>
        <v>60</v>
      </c>
      <c r="E8238" s="31">
        <f t="shared" si="693"/>
        <v>153.6</v>
      </c>
      <c r="F8238" s="32"/>
      <c r="G8238" s="15"/>
      <c r="H8238" s="21"/>
      <c r="I8238" s="15"/>
      <c r="J8238" s="15"/>
      <c r="K8238" s="15"/>
      <c r="L8238" s="21"/>
      <c r="M8238" s="15"/>
    </row>
    <row r="8239" spans="1:13" s="166" customFormat="1" ht="12.75" customHeight="1">
      <c r="A8239" s="12" t="s">
        <v>1037</v>
      </c>
      <c r="B8239" s="434">
        <f>B8237</f>
        <v>1.28</v>
      </c>
      <c r="C8239" s="24" t="s">
        <v>216</v>
      </c>
      <c r="D8239" s="41">
        <f t="shared" si="694"/>
        <v>486.5</v>
      </c>
      <c r="E8239" s="31">
        <f t="shared" si="693"/>
        <v>622.72</v>
      </c>
      <c r="F8239" s="32"/>
      <c r="G8239" s="15"/>
      <c r="H8239" s="21"/>
      <c r="I8239" s="15"/>
      <c r="J8239" s="15"/>
      <c r="K8239" s="15"/>
      <c r="L8239" s="21"/>
      <c r="M8239" s="15"/>
    </row>
    <row r="8240" spans="1:13" s="166" customFormat="1" ht="12.75" customHeight="1">
      <c r="A8240" s="12" t="s">
        <v>4410</v>
      </c>
      <c r="B8240" s="434">
        <v>6.67</v>
      </c>
      <c r="C8240" s="24" t="s">
        <v>213</v>
      </c>
      <c r="D8240" s="41">
        <f t="shared" si="694"/>
        <v>254</v>
      </c>
      <c r="E8240" s="31">
        <f t="shared" si="693"/>
        <v>1694.18</v>
      </c>
      <c r="F8240" s="32"/>
      <c r="G8240" s="15"/>
      <c r="H8240" s="21"/>
      <c r="I8240" s="15"/>
      <c r="J8240" s="15"/>
      <c r="K8240" s="15"/>
      <c r="L8240" s="21"/>
      <c r="M8240" s="15"/>
    </row>
    <row r="8241" spans="1:13" s="166" customFormat="1" ht="12.75" customHeight="1">
      <c r="A8241" s="12" t="s">
        <v>1688</v>
      </c>
      <c r="B8241" s="30">
        <v>1</v>
      </c>
      <c r="C8241" s="24" t="s">
        <v>825</v>
      </c>
      <c r="D8241" s="41">
        <f t="shared" si="694"/>
        <v>600.29999999999995</v>
      </c>
      <c r="E8241" s="31">
        <f t="shared" si="693"/>
        <v>600.29999999999995</v>
      </c>
      <c r="F8241" s="32"/>
      <c r="G8241" s="15"/>
      <c r="H8241" s="21"/>
      <c r="I8241" s="15"/>
      <c r="J8241" s="15"/>
      <c r="K8241" s="15"/>
      <c r="L8241" s="21"/>
      <c r="M8241" s="15"/>
    </row>
    <row r="8242" spans="1:13" s="166" customFormat="1" ht="12.75" customHeight="1">
      <c r="A8242" s="12" t="s">
        <v>208</v>
      </c>
      <c r="B8242" s="434">
        <f>SUM(E8236:E8238)</f>
        <v>11680.754500000001</v>
      </c>
      <c r="C8242" s="24" t="s">
        <v>209</v>
      </c>
      <c r="D8242" s="41">
        <f t="shared" si="694"/>
        <v>0.02</v>
      </c>
      <c r="E8242" s="31">
        <f t="shared" si="693"/>
        <v>233.61509000000001</v>
      </c>
      <c r="F8242" s="32">
        <f>SUM(E8236:E8242)</f>
        <v>14831.569589999999</v>
      </c>
      <c r="G8242" s="15"/>
      <c r="H8242" s="21"/>
      <c r="I8242" s="15"/>
      <c r="J8242" s="15"/>
      <c r="K8242" s="15"/>
      <c r="L8242" s="21"/>
      <c r="M8242" s="15"/>
    </row>
    <row r="8243" spans="1:13" s="166" customFormat="1" ht="12.75" customHeight="1">
      <c r="A8243" s="12"/>
      <c r="B8243" s="434"/>
      <c r="C8243" s="24"/>
      <c r="D8243" s="41"/>
      <c r="E8243" s="31"/>
      <c r="F8243" s="32"/>
      <c r="G8243" s="15"/>
      <c r="H8243" s="21"/>
      <c r="I8243" s="15"/>
      <c r="J8243" s="15"/>
      <c r="K8243" s="15"/>
      <c r="L8243" s="21"/>
      <c r="M8243" s="15"/>
    </row>
    <row r="8244" spans="1:13" s="166" customFormat="1" ht="12.75" customHeight="1">
      <c r="A8244" s="12"/>
      <c r="B8244" s="434"/>
      <c r="C8244" s="24"/>
      <c r="D8244" s="41"/>
      <c r="E8244" s="31"/>
      <c r="F8244" s="32"/>
      <c r="G8244" s="15"/>
      <c r="H8244" s="21"/>
      <c r="I8244" s="15"/>
      <c r="J8244" s="15"/>
      <c r="K8244" s="15"/>
      <c r="L8244" s="21"/>
      <c r="M8244" s="15"/>
    </row>
    <row r="8245" spans="1:13" s="166" customFormat="1" ht="12.75" customHeight="1">
      <c r="A8245" s="698" t="s">
        <v>4428</v>
      </c>
      <c r="B8245" s="727" t="s">
        <v>1171</v>
      </c>
      <c r="C8245" s="700"/>
      <c r="D8245" s="701"/>
      <c r="E8245" s="702"/>
      <c r="F8245" s="703"/>
      <c r="G8245" s="15"/>
      <c r="H8245" s="21"/>
      <c r="I8245" s="15"/>
      <c r="J8245" s="15"/>
      <c r="K8245" s="15"/>
      <c r="L8245" s="21"/>
      <c r="M8245" s="15"/>
    </row>
    <row r="8246" spans="1:13" s="166" customFormat="1" ht="12.75" customHeight="1">
      <c r="A8246" s="704" t="s">
        <v>4427</v>
      </c>
      <c r="B8246" s="699">
        <f>0.1*0.4*1.05</f>
        <v>4.200000000000001E-2</v>
      </c>
      <c r="C8246" s="700" t="s">
        <v>825</v>
      </c>
      <c r="D8246" s="701">
        <f>Prec.!C36</f>
        <v>6850</v>
      </c>
      <c r="E8246" s="702">
        <f t="shared" ref="E8246:E8253" si="695">+B8246*D8246</f>
        <v>287.70000000000005</v>
      </c>
      <c r="F8246" s="703"/>
      <c r="G8246" s="15"/>
      <c r="H8246" s="21"/>
      <c r="I8246" s="15"/>
      <c r="J8246" s="15"/>
      <c r="K8246" s="15"/>
      <c r="L8246" s="21"/>
      <c r="M8246" s="15"/>
    </row>
    <row r="8247" spans="1:13" s="166" customFormat="1" ht="12.75" customHeight="1">
      <c r="A8247" s="704" t="s">
        <v>1683</v>
      </c>
      <c r="B8247" s="699">
        <f>+B8246*1.15</f>
        <v>4.830000000000001E-2</v>
      </c>
      <c r="C8247" s="700" t="s">
        <v>216</v>
      </c>
      <c r="D8247" s="701">
        <f>D8237</f>
        <v>3200</v>
      </c>
      <c r="E8247" s="702">
        <f t="shared" si="695"/>
        <v>154.56000000000003</v>
      </c>
      <c r="F8247" s="703"/>
      <c r="G8247" s="15"/>
      <c r="H8247" s="21"/>
      <c r="I8247" s="15"/>
      <c r="J8247" s="15"/>
      <c r="K8247" s="15"/>
      <c r="L8247" s="21"/>
      <c r="M8247" s="15"/>
    </row>
    <row r="8248" spans="1:13" s="166" customFormat="1" ht="12.75" customHeight="1">
      <c r="A8248" s="704" t="s">
        <v>217</v>
      </c>
      <c r="B8248" s="699">
        <f>SUM(B8247)*2</f>
        <v>9.6600000000000019E-2</v>
      </c>
      <c r="C8248" s="700" t="s">
        <v>218</v>
      </c>
      <c r="D8248" s="701">
        <f>D8229</f>
        <v>60</v>
      </c>
      <c r="E8248" s="702">
        <f t="shared" si="695"/>
        <v>5.7960000000000012</v>
      </c>
      <c r="F8248" s="703"/>
      <c r="G8248" s="15"/>
      <c r="H8248" s="21"/>
      <c r="I8248" s="15"/>
      <c r="J8248" s="15"/>
      <c r="K8248" s="15"/>
      <c r="L8248" s="21"/>
      <c r="M8248" s="15"/>
    </row>
    <row r="8249" spans="1:13" s="166" customFormat="1" ht="12.75" customHeight="1">
      <c r="A8249" s="704" t="s">
        <v>4304</v>
      </c>
      <c r="B8249" s="699">
        <f>+B8251*0.5</f>
        <v>0.5</v>
      </c>
      <c r="C8249" s="700" t="s">
        <v>218</v>
      </c>
      <c r="D8249" s="701">
        <f>+'[14]LISTADO DE MATERIALES'!$G$13</f>
        <v>33.6</v>
      </c>
      <c r="E8249" s="702">
        <f t="shared" si="695"/>
        <v>16.8</v>
      </c>
      <c r="F8249" s="703"/>
      <c r="G8249" s="15"/>
      <c r="H8249" s="21"/>
      <c r="I8249" s="15"/>
      <c r="J8249" s="15"/>
      <c r="K8249" s="15"/>
      <c r="L8249" s="21"/>
      <c r="M8249" s="15"/>
    </row>
    <row r="8250" spans="1:13" s="166" customFormat="1" ht="12.75" customHeight="1">
      <c r="A8250" s="704" t="s">
        <v>4305</v>
      </c>
      <c r="B8250" s="705">
        <f>+B8249/2</f>
        <v>0.25</v>
      </c>
      <c r="C8250" s="700" t="s">
        <v>218</v>
      </c>
      <c r="D8250" s="701">
        <f>+'[14]LISTADO DE MATERIALES'!$G$12</f>
        <v>54.6</v>
      </c>
      <c r="E8250" s="702">
        <f t="shared" si="695"/>
        <v>13.65</v>
      </c>
      <c r="F8250" s="703"/>
      <c r="G8250" s="15"/>
      <c r="H8250" s="21"/>
      <c r="I8250" s="15"/>
      <c r="J8250" s="15"/>
      <c r="K8250" s="15"/>
      <c r="L8250" s="21"/>
      <c r="M8250" s="15"/>
    </row>
    <row r="8251" spans="1:13" s="166" customFormat="1" ht="12.75" customHeight="1">
      <c r="A8251" s="704" t="s">
        <v>4306</v>
      </c>
      <c r="B8251" s="699">
        <v>1</v>
      </c>
      <c r="C8251" s="700" t="s">
        <v>1171</v>
      </c>
      <c r="D8251" s="701">
        <f>(57.43*4)+(0.5*35.33)</f>
        <v>247.38499999999999</v>
      </c>
      <c r="E8251" s="702">
        <f t="shared" si="695"/>
        <v>247.38499999999999</v>
      </c>
      <c r="F8251" s="703"/>
      <c r="G8251" s="15"/>
      <c r="H8251" s="21"/>
      <c r="I8251" s="15"/>
      <c r="J8251" s="15"/>
      <c r="K8251" s="15"/>
      <c r="L8251" s="21"/>
      <c r="M8251" s="15"/>
    </row>
    <row r="8252" spans="1:13" s="166" customFormat="1" ht="12.75" customHeight="1">
      <c r="A8252" s="704" t="s">
        <v>4299</v>
      </c>
      <c r="B8252" s="699">
        <f>+B8247</f>
        <v>4.830000000000001E-2</v>
      </c>
      <c r="C8252" s="700" t="s">
        <v>216</v>
      </c>
      <c r="D8252" s="701">
        <f>D8230</f>
        <v>486.5</v>
      </c>
      <c r="E8252" s="702">
        <f t="shared" si="695"/>
        <v>23.497950000000003</v>
      </c>
      <c r="F8252" s="703"/>
      <c r="G8252" s="15"/>
      <c r="H8252" s="21"/>
      <c r="I8252" s="15"/>
      <c r="J8252" s="15"/>
      <c r="K8252" s="15"/>
      <c r="L8252" s="21"/>
      <c r="M8252" s="15"/>
    </row>
    <row r="8253" spans="1:13" s="166" customFormat="1" ht="12.75" customHeight="1">
      <c r="A8253" s="704" t="s">
        <v>1000</v>
      </c>
      <c r="B8253" s="699">
        <f>+B8252</f>
        <v>4.830000000000001E-2</v>
      </c>
      <c r="C8253" s="700" t="s">
        <v>216</v>
      </c>
      <c r="D8253" s="701">
        <v>10</v>
      </c>
      <c r="E8253" s="702">
        <f t="shared" si="695"/>
        <v>0.4830000000000001</v>
      </c>
      <c r="F8253" s="703">
        <f>SUM(E8246:E8253)</f>
        <v>749.87194999999997</v>
      </c>
      <c r="G8253" s="15"/>
      <c r="H8253" s="21"/>
      <c r="I8253" s="15"/>
      <c r="J8253" s="15"/>
      <c r="K8253" s="15"/>
      <c r="L8253" s="21"/>
      <c r="M8253" s="15"/>
    </row>
    <row r="8254" spans="1:13" s="166" customFormat="1" ht="12.75" customHeight="1">
      <c r="A8254" s="12"/>
      <c r="B8254" s="434"/>
      <c r="C8254" s="24"/>
      <c r="D8254" s="41"/>
      <c r="E8254" s="31"/>
      <c r="G8254" s="15"/>
      <c r="H8254" s="21"/>
      <c r="I8254" s="15"/>
      <c r="J8254" s="15"/>
      <c r="K8254" s="15"/>
      <c r="L8254" s="21"/>
      <c r="M8254" s="15"/>
    </row>
    <row r="8255" spans="1:13" s="166" customFormat="1" ht="12.75" customHeight="1">
      <c r="A8255" s="698" t="s">
        <v>4429</v>
      </c>
      <c r="B8255" s="727" t="s">
        <v>1171</v>
      </c>
      <c r="C8255" s="700"/>
      <c r="D8255" s="701"/>
      <c r="E8255" s="702"/>
      <c r="F8255" s="703"/>
      <c r="G8255" s="15"/>
      <c r="H8255" s="21"/>
      <c r="I8255" s="15"/>
      <c r="J8255" s="15"/>
      <c r="K8255" s="15"/>
      <c r="L8255" s="21"/>
      <c r="M8255" s="15"/>
    </row>
    <row r="8256" spans="1:13" s="166" customFormat="1" ht="12.75" customHeight="1">
      <c r="A8256" s="704" t="s">
        <v>4427</v>
      </c>
      <c r="B8256" s="699">
        <f>0.1*0.8*1.05</f>
        <v>8.4000000000000019E-2</v>
      </c>
      <c r="C8256" s="700" t="s">
        <v>825</v>
      </c>
      <c r="D8256" s="701">
        <f>D8246</f>
        <v>6850</v>
      </c>
      <c r="E8256" s="702">
        <f t="shared" ref="E8256:E8263" si="696">+B8256*D8256</f>
        <v>575.40000000000009</v>
      </c>
      <c r="F8256" s="703"/>
      <c r="G8256" s="15"/>
      <c r="H8256" s="21"/>
      <c r="I8256" s="15"/>
      <c r="J8256" s="15"/>
      <c r="K8256" s="15"/>
      <c r="L8256" s="21"/>
      <c r="M8256" s="15"/>
    </row>
    <row r="8257" spans="1:13" s="166" customFormat="1" ht="12.75" customHeight="1">
      <c r="A8257" s="704" t="s">
        <v>1683</v>
      </c>
      <c r="B8257" s="699">
        <f>+B8256*1.15</f>
        <v>9.6600000000000019E-2</v>
      </c>
      <c r="C8257" s="700" t="s">
        <v>216</v>
      </c>
      <c r="D8257" s="701">
        <f t="shared" ref="D8257:D8263" si="697">D8247</f>
        <v>3200</v>
      </c>
      <c r="E8257" s="702">
        <f t="shared" si="696"/>
        <v>309.12000000000006</v>
      </c>
      <c r="F8257" s="703"/>
      <c r="G8257" s="15"/>
      <c r="H8257" s="21"/>
      <c r="I8257" s="15"/>
      <c r="J8257" s="15"/>
      <c r="K8257" s="15"/>
      <c r="L8257" s="21"/>
      <c r="M8257" s="15"/>
    </row>
    <row r="8258" spans="1:13" s="166" customFormat="1" ht="12.75" customHeight="1">
      <c r="A8258" s="704" t="s">
        <v>217</v>
      </c>
      <c r="B8258" s="699">
        <f>SUM(B8257)*2</f>
        <v>0.19320000000000004</v>
      </c>
      <c r="C8258" s="700" t="s">
        <v>218</v>
      </c>
      <c r="D8258" s="701">
        <f t="shared" si="697"/>
        <v>60</v>
      </c>
      <c r="E8258" s="702">
        <f t="shared" si="696"/>
        <v>11.592000000000002</v>
      </c>
      <c r="F8258" s="703"/>
      <c r="G8258" s="15"/>
      <c r="H8258" s="21"/>
      <c r="I8258" s="15"/>
      <c r="J8258" s="15"/>
      <c r="K8258" s="15"/>
      <c r="L8258" s="21"/>
      <c r="M8258" s="15"/>
    </row>
    <row r="8259" spans="1:13" s="166" customFormat="1" ht="12.75" customHeight="1">
      <c r="A8259" s="704" t="s">
        <v>4304</v>
      </c>
      <c r="B8259" s="699">
        <f>+B8261*0.5</f>
        <v>0.5</v>
      </c>
      <c r="C8259" s="700" t="s">
        <v>218</v>
      </c>
      <c r="D8259" s="701">
        <f t="shared" si="697"/>
        <v>33.6</v>
      </c>
      <c r="E8259" s="702">
        <f t="shared" si="696"/>
        <v>16.8</v>
      </c>
      <c r="F8259" s="703"/>
      <c r="G8259" s="15"/>
      <c r="H8259" s="21"/>
      <c r="I8259" s="15"/>
      <c r="J8259" s="15"/>
      <c r="K8259" s="15"/>
      <c r="L8259" s="21"/>
      <c r="M8259" s="15"/>
    </row>
    <row r="8260" spans="1:13" s="166" customFormat="1" ht="12.75" customHeight="1">
      <c r="A8260" s="704" t="s">
        <v>4305</v>
      </c>
      <c r="B8260" s="705">
        <f>+B8259/2</f>
        <v>0.25</v>
      </c>
      <c r="C8260" s="700" t="s">
        <v>218</v>
      </c>
      <c r="D8260" s="701">
        <f t="shared" si="697"/>
        <v>54.6</v>
      </c>
      <c r="E8260" s="702">
        <f t="shared" si="696"/>
        <v>13.65</v>
      </c>
      <c r="F8260" s="703"/>
      <c r="G8260" s="15"/>
      <c r="H8260" s="21"/>
      <c r="I8260" s="15"/>
      <c r="J8260" s="15"/>
      <c r="K8260" s="15"/>
      <c r="L8260" s="21"/>
      <c r="M8260" s="15"/>
    </row>
    <row r="8261" spans="1:13" s="166" customFormat="1" ht="12.75" customHeight="1">
      <c r="A8261" s="704" t="s">
        <v>4306</v>
      </c>
      <c r="B8261" s="699">
        <v>1</v>
      </c>
      <c r="C8261" s="700" t="s">
        <v>1171</v>
      </c>
      <c r="D8261" s="701">
        <f>(57.43*8)+(0.9*35.33)</f>
        <v>491.23700000000002</v>
      </c>
      <c r="E8261" s="702">
        <f t="shared" si="696"/>
        <v>491.23700000000002</v>
      </c>
      <c r="F8261" s="703"/>
      <c r="G8261" s="15"/>
      <c r="H8261" s="21"/>
      <c r="I8261" s="15"/>
      <c r="J8261" s="15"/>
      <c r="K8261" s="15"/>
      <c r="L8261" s="21"/>
      <c r="M8261" s="15"/>
    </row>
    <row r="8262" spans="1:13" s="166" customFormat="1" ht="12.75" customHeight="1">
      <c r="A8262" s="704" t="s">
        <v>4299</v>
      </c>
      <c r="B8262" s="699">
        <f>+B8257</f>
        <v>9.6600000000000019E-2</v>
      </c>
      <c r="C8262" s="700" t="s">
        <v>216</v>
      </c>
      <c r="D8262" s="701">
        <f t="shared" si="697"/>
        <v>486.5</v>
      </c>
      <c r="E8262" s="702">
        <f t="shared" si="696"/>
        <v>46.995900000000006</v>
      </c>
      <c r="F8262" s="703"/>
      <c r="G8262" s="15"/>
      <c r="H8262" s="21"/>
      <c r="I8262" s="15"/>
      <c r="J8262" s="15"/>
      <c r="K8262" s="15"/>
      <c r="L8262" s="21"/>
      <c r="M8262" s="15"/>
    </row>
    <row r="8263" spans="1:13" s="166" customFormat="1" ht="12.75" customHeight="1">
      <c r="A8263" s="704" t="s">
        <v>1000</v>
      </c>
      <c r="B8263" s="699">
        <f>+B8262</f>
        <v>9.6600000000000019E-2</v>
      </c>
      <c r="C8263" s="700" t="s">
        <v>216</v>
      </c>
      <c r="D8263" s="701">
        <f t="shared" si="697"/>
        <v>10</v>
      </c>
      <c r="E8263" s="702">
        <f t="shared" si="696"/>
        <v>0.96600000000000019</v>
      </c>
      <c r="F8263" s="703">
        <f>SUM(E8256:E8263)</f>
        <v>1465.7609000000002</v>
      </c>
      <c r="G8263" s="15"/>
      <c r="H8263" s="21"/>
      <c r="I8263" s="15"/>
      <c r="J8263" s="15"/>
      <c r="K8263" s="15"/>
      <c r="L8263" s="21"/>
      <c r="M8263" s="15"/>
    </row>
    <row r="8264" spans="1:13" s="166" customFormat="1" ht="12.75" customHeight="1">
      <c r="A8264" s="12"/>
      <c r="B8264" s="434"/>
      <c r="C8264" s="24"/>
      <c r="D8264" s="41"/>
      <c r="E8264" s="31"/>
      <c r="F8264" s="32"/>
      <c r="G8264" s="15"/>
      <c r="H8264" s="21"/>
      <c r="I8264" s="15"/>
      <c r="J8264" s="15"/>
      <c r="K8264" s="15"/>
      <c r="L8264" s="21"/>
      <c r="M8264" s="15"/>
    </row>
    <row r="8265" spans="1:13" s="166" customFormat="1" ht="12.75" customHeight="1">
      <c r="A8265" s="698" t="s">
        <v>4430</v>
      </c>
      <c r="B8265" s="727" t="s">
        <v>1171</v>
      </c>
      <c r="C8265" s="700"/>
      <c r="D8265" s="701"/>
      <c r="E8265" s="702"/>
      <c r="F8265" s="703"/>
      <c r="G8265" s="15"/>
      <c r="H8265" s="21"/>
      <c r="I8265" s="15"/>
      <c r="J8265" s="15"/>
      <c r="K8265" s="15"/>
      <c r="L8265" s="21"/>
      <c r="M8265" s="15"/>
    </row>
    <row r="8266" spans="1:13" s="166" customFormat="1" ht="12.75" customHeight="1">
      <c r="A8266" s="704" t="s">
        <v>4427</v>
      </c>
      <c r="B8266" s="699">
        <f>0.1*1.5*1.05</f>
        <v>0.15750000000000003</v>
      </c>
      <c r="C8266" s="700" t="s">
        <v>825</v>
      </c>
      <c r="D8266" s="701">
        <f>D8256</f>
        <v>6850</v>
      </c>
      <c r="E8266" s="702">
        <f t="shared" ref="E8266:E8273" si="698">+B8266*D8266</f>
        <v>1078.8750000000002</v>
      </c>
      <c r="F8266" s="703"/>
      <c r="G8266" s="15"/>
      <c r="H8266" s="21"/>
      <c r="I8266" s="15"/>
      <c r="J8266" s="15"/>
      <c r="K8266" s="15"/>
      <c r="L8266" s="21"/>
      <c r="M8266" s="15"/>
    </row>
    <row r="8267" spans="1:13" s="166" customFormat="1" ht="12.75" customHeight="1">
      <c r="A8267" s="704" t="s">
        <v>1683</v>
      </c>
      <c r="B8267" s="699">
        <f>+B8266*1.15</f>
        <v>0.18112500000000001</v>
      </c>
      <c r="C8267" s="700" t="s">
        <v>216</v>
      </c>
      <c r="D8267" s="701">
        <f t="shared" ref="D8267:D8273" si="699">D8257</f>
        <v>3200</v>
      </c>
      <c r="E8267" s="702">
        <f t="shared" si="698"/>
        <v>579.6</v>
      </c>
      <c r="F8267" s="703"/>
      <c r="G8267" s="15"/>
      <c r="H8267" s="21"/>
      <c r="I8267" s="15"/>
      <c r="J8267" s="15"/>
      <c r="K8267" s="15"/>
      <c r="L8267" s="21"/>
      <c r="M8267" s="15"/>
    </row>
    <row r="8268" spans="1:13" s="166" customFormat="1" ht="12.75" customHeight="1">
      <c r="A8268" s="704" t="s">
        <v>217</v>
      </c>
      <c r="B8268" s="699">
        <f>SUM(B8267)*2</f>
        <v>0.36225000000000002</v>
      </c>
      <c r="C8268" s="700" t="s">
        <v>218</v>
      </c>
      <c r="D8268" s="701">
        <f t="shared" si="699"/>
        <v>60</v>
      </c>
      <c r="E8268" s="702">
        <f t="shared" si="698"/>
        <v>21.734999999999999</v>
      </c>
      <c r="F8268" s="703"/>
      <c r="G8268" s="15"/>
      <c r="H8268" s="21"/>
      <c r="I8268" s="15"/>
      <c r="J8268" s="15"/>
      <c r="K8268" s="15"/>
      <c r="L8268" s="21"/>
      <c r="M8268" s="15"/>
    </row>
    <row r="8269" spans="1:13" s="166" customFormat="1" ht="12.75" customHeight="1">
      <c r="A8269" s="704" t="s">
        <v>4304</v>
      </c>
      <c r="B8269" s="699">
        <f>+B8271*0.5</f>
        <v>0.5</v>
      </c>
      <c r="C8269" s="700" t="s">
        <v>218</v>
      </c>
      <c r="D8269" s="701">
        <f t="shared" si="699"/>
        <v>33.6</v>
      </c>
      <c r="E8269" s="702">
        <f t="shared" si="698"/>
        <v>16.8</v>
      </c>
      <c r="F8269" s="703"/>
      <c r="G8269" s="15"/>
      <c r="H8269" s="21"/>
      <c r="I8269" s="15"/>
      <c r="J8269" s="15"/>
      <c r="K8269" s="15"/>
      <c r="L8269" s="21"/>
      <c r="M8269" s="15"/>
    </row>
    <row r="8270" spans="1:13" s="166" customFormat="1" ht="12.75" customHeight="1">
      <c r="A8270" s="704" t="s">
        <v>4305</v>
      </c>
      <c r="B8270" s="705">
        <f>+B8269/2</f>
        <v>0.25</v>
      </c>
      <c r="C8270" s="700" t="s">
        <v>218</v>
      </c>
      <c r="D8270" s="701">
        <f t="shared" si="699"/>
        <v>54.6</v>
      </c>
      <c r="E8270" s="702">
        <f t="shared" si="698"/>
        <v>13.65</v>
      </c>
      <c r="F8270" s="703"/>
      <c r="G8270" s="15"/>
      <c r="H8270" s="21"/>
      <c r="I8270" s="15"/>
      <c r="J8270" s="15"/>
      <c r="K8270" s="15"/>
      <c r="L8270" s="21"/>
      <c r="M8270" s="15"/>
    </row>
    <row r="8271" spans="1:13" s="166" customFormat="1" ht="12.75" customHeight="1">
      <c r="A8271" s="704" t="s">
        <v>4306</v>
      </c>
      <c r="B8271" s="699">
        <v>1</v>
      </c>
      <c r="C8271" s="700" t="s">
        <v>1171</v>
      </c>
      <c r="D8271" s="701">
        <f>(57.43*15)+(1.6*35.33)</f>
        <v>917.97800000000007</v>
      </c>
      <c r="E8271" s="702">
        <f t="shared" si="698"/>
        <v>917.97800000000007</v>
      </c>
      <c r="F8271" s="703"/>
      <c r="G8271" s="15"/>
      <c r="H8271" s="21"/>
      <c r="I8271" s="15"/>
      <c r="J8271" s="15"/>
      <c r="K8271" s="15"/>
      <c r="L8271" s="21"/>
      <c r="M8271" s="15"/>
    </row>
    <row r="8272" spans="1:13" s="166" customFormat="1" ht="12.75" customHeight="1">
      <c r="A8272" s="704" t="s">
        <v>4299</v>
      </c>
      <c r="B8272" s="699">
        <f>+B8267</f>
        <v>0.18112500000000001</v>
      </c>
      <c r="C8272" s="700" t="s">
        <v>216</v>
      </c>
      <c r="D8272" s="701">
        <f t="shared" si="699"/>
        <v>486.5</v>
      </c>
      <c r="E8272" s="702">
        <f t="shared" si="698"/>
        <v>88.117312499999997</v>
      </c>
      <c r="F8272" s="703"/>
      <c r="G8272" s="15"/>
      <c r="H8272" s="21"/>
      <c r="I8272" s="15"/>
      <c r="J8272" s="15"/>
      <c r="K8272" s="15"/>
      <c r="L8272" s="21"/>
      <c r="M8272" s="15"/>
    </row>
    <row r="8273" spans="1:13" s="166" customFormat="1" ht="12.75" customHeight="1">
      <c r="A8273" s="704" t="s">
        <v>1000</v>
      </c>
      <c r="B8273" s="699">
        <f>+B8272</f>
        <v>0.18112500000000001</v>
      </c>
      <c r="C8273" s="700" t="s">
        <v>216</v>
      </c>
      <c r="D8273" s="701">
        <f t="shared" si="699"/>
        <v>10</v>
      </c>
      <c r="E8273" s="702">
        <f t="shared" si="698"/>
        <v>1.81125</v>
      </c>
      <c r="F8273" s="703">
        <f>SUM(E8266:E8273)</f>
        <v>2718.5665625000006</v>
      </c>
      <c r="G8273" s="15"/>
      <c r="H8273" s="21"/>
      <c r="I8273" s="15"/>
      <c r="J8273" s="15"/>
      <c r="K8273" s="15"/>
      <c r="L8273" s="21"/>
      <c r="M8273" s="15"/>
    </row>
    <row r="8274" spans="1:13" s="166" customFormat="1" ht="12.75" customHeight="1">
      <c r="A8274" s="12"/>
      <c r="B8274" s="434"/>
      <c r="C8274" s="24"/>
      <c r="D8274" s="41"/>
      <c r="E8274" s="31"/>
      <c r="F8274" s="32"/>
      <c r="G8274" s="15"/>
      <c r="H8274" s="21"/>
      <c r="I8274" s="15"/>
      <c r="J8274" s="15"/>
      <c r="K8274" s="15"/>
      <c r="L8274" s="21"/>
      <c r="M8274" s="15"/>
    </row>
    <row r="8275" spans="1:13" s="166" customFormat="1" ht="12.75" customHeight="1">
      <c r="A8275" s="12"/>
      <c r="B8275" s="434"/>
      <c r="C8275" s="24"/>
      <c r="D8275" s="41"/>
      <c r="E8275" s="31"/>
      <c r="F8275" s="32"/>
      <c r="G8275" s="15"/>
      <c r="H8275" s="21"/>
      <c r="I8275" s="15"/>
      <c r="J8275" s="15"/>
      <c r="K8275" s="15"/>
      <c r="L8275" s="21"/>
      <c r="M8275" s="15"/>
    </row>
    <row r="8276" spans="1:13" s="166" customFormat="1" ht="12.75" customHeight="1">
      <c r="A8276" s="13" t="s">
        <v>1968</v>
      </c>
      <c r="B8276" s="434"/>
      <c r="C8276" s="24"/>
      <c r="D8276" s="41"/>
      <c r="E8276" s="31"/>
      <c r="F8276" s="32"/>
      <c r="G8276" s="15"/>
      <c r="H8276" s="21"/>
      <c r="I8276" s="15"/>
      <c r="J8276" s="15"/>
      <c r="K8276" s="15"/>
      <c r="L8276" s="21"/>
      <c r="M8276" s="15"/>
    </row>
    <row r="8277" spans="1:13" s="166" customFormat="1" ht="12.75" customHeight="1">
      <c r="A8277" s="12" t="s">
        <v>425</v>
      </c>
      <c r="B8277" s="434">
        <v>1.05</v>
      </c>
      <c r="C8277" s="24" t="s">
        <v>825</v>
      </c>
      <c r="D8277" s="41">
        <f>D8218</f>
        <v>7077.29</v>
      </c>
      <c r="E8277" s="31">
        <f t="shared" ref="E8277:E8283" si="700">B8277*D8277</f>
        <v>7431.1545000000006</v>
      </c>
      <c r="F8277" s="32"/>
      <c r="G8277" s="15"/>
      <c r="H8277" s="21"/>
      <c r="I8277" s="15"/>
      <c r="J8277" s="15"/>
      <c r="K8277" s="15"/>
      <c r="L8277" s="21"/>
      <c r="M8277" s="15"/>
    </row>
    <row r="8278" spans="1:13" s="166" customFormat="1" ht="12.75" customHeight="1">
      <c r="A8278" s="12" t="s">
        <v>173</v>
      </c>
      <c r="B8278" s="434">
        <v>1.27</v>
      </c>
      <c r="C8278" s="24" t="s">
        <v>4</v>
      </c>
      <c r="D8278" s="41">
        <f>D8219</f>
        <v>3200</v>
      </c>
      <c r="E8278" s="31">
        <f t="shared" si="700"/>
        <v>4064</v>
      </c>
      <c r="F8278" s="32"/>
      <c r="G8278" s="15"/>
      <c r="H8278" s="21"/>
      <c r="I8278" s="15"/>
      <c r="J8278" s="15"/>
      <c r="K8278" s="15"/>
      <c r="L8278" s="21"/>
      <c r="M8278" s="15"/>
    </row>
    <row r="8279" spans="1:13" s="166" customFormat="1" ht="12.75" customHeight="1">
      <c r="A8279" s="12" t="s">
        <v>1198</v>
      </c>
      <c r="B8279" s="434">
        <f>B8280*2</f>
        <v>2.54</v>
      </c>
      <c r="C8279" s="24" t="s">
        <v>1018</v>
      </c>
      <c r="D8279" s="41">
        <f>D8220</f>
        <v>60</v>
      </c>
      <c r="E8279" s="31">
        <f t="shared" si="700"/>
        <v>152.4</v>
      </c>
      <c r="F8279" s="32"/>
      <c r="G8279" s="15"/>
      <c r="H8279" s="21"/>
      <c r="I8279" s="15"/>
      <c r="J8279" s="15"/>
      <c r="K8279" s="15"/>
      <c r="L8279" s="21"/>
      <c r="M8279" s="15"/>
    </row>
    <row r="8280" spans="1:13" s="166" customFormat="1" ht="12.75" customHeight="1">
      <c r="A8280" s="12" t="s">
        <v>1037</v>
      </c>
      <c r="B8280" s="434">
        <f>B8278</f>
        <v>1.27</v>
      </c>
      <c r="C8280" s="24" t="s">
        <v>216</v>
      </c>
      <c r="D8280" s="41">
        <f>Prec.!C354</f>
        <v>608.125</v>
      </c>
      <c r="E8280" s="31">
        <f t="shared" si="700"/>
        <v>772.31875000000002</v>
      </c>
      <c r="F8280" s="32"/>
      <c r="G8280" s="15"/>
      <c r="H8280" s="21"/>
      <c r="I8280" s="15"/>
      <c r="J8280" s="15"/>
      <c r="K8280" s="15"/>
      <c r="L8280" s="21"/>
      <c r="M8280" s="15"/>
    </row>
    <row r="8281" spans="1:13" s="166" customFormat="1" ht="12.75" customHeight="1">
      <c r="A8281" s="12" t="s">
        <v>153</v>
      </c>
      <c r="B8281" s="434">
        <v>8.33</v>
      </c>
      <c r="C8281" s="24" t="s">
        <v>213</v>
      </c>
      <c r="D8281" s="41">
        <f>D8222*1.2</f>
        <v>304.8</v>
      </c>
      <c r="E8281" s="31">
        <f t="shared" si="700"/>
        <v>2538.9839999999999</v>
      </c>
      <c r="F8281" s="32"/>
      <c r="G8281" s="15"/>
      <c r="H8281" s="21"/>
      <c r="I8281" s="15"/>
      <c r="J8281" s="15"/>
      <c r="K8281" s="15"/>
      <c r="L8281" s="21"/>
      <c r="M8281" s="15"/>
    </row>
    <row r="8282" spans="1:13" s="166" customFormat="1" ht="12.75" customHeight="1">
      <c r="A8282" s="12" t="s">
        <v>1688</v>
      </c>
      <c r="B8282" s="30">
        <v>1</v>
      </c>
      <c r="C8282" s="24" t="s">
        <v>825</v>
      </c>
      <c r="D8282" s="41">
        <f>D8223</f>
        <v>600.29999999999995</v>
      </c>
      <c r="E8282" s="31">
        <f t="shared" si="700"/>
        <v>600.29999999999995</v>
      </c>
      <c r="F8282" s="32"/>
      <c r="G8282" s="15"/>
      <c r="H8282" s="21"/>
      <c r="I8282" s="15"/>
      <c r="J8282" s="15"/>
      <c r="K8282" s="15"/>
      <c r="L8282" s="21"/>
      <c r="M8282" s="15"/>
    </row>
    <row r="8283" spans="1:13" s="166" customFormat="1" ht="12.75" customHeight="1">
      <c r="A8283" s="12" t="s">
        <v>208</v>
      </c>
      <c r="B8283" s="434">
        <f>SUM(E8277:E8282)</f>
        <v>15559.15725</v>
      </c>
      <c r="C8283" s="24" t="s">
        <v>209</v>
      </c>
      <c r="D8283" s="41">
        <f>D8224</f>
        <v>0.02</v>
      </c>
      <c r="E8283" s="31">
        <f t="shared" si="700"/>
        <v>311.18314500000002</v>
      </c>
      <c r="F8283" s="32">
        <f>SUM(E8277:E8283)</f>
        <v>15870.340395000001</v>
      </c>
      <c r="G8283" s="15"/>
      <c r="H8283" s="21"/>
      <c r="I8283" s="15"/>
      <c r="J8283" s="15"/>
      <c r="K8283" s="15"/>
      <c r="L8283" s="21"/>
      <c r="M8283" s="15"/>
    </row>
    <row r="8284" spans="1:13" s="166" customFormat="1" ht="12.75" customHeight="1">
      <c r="A8284" s="12"/>
      <c r="B8284" s="434"/>
      <c r="C8284" s="24"/>
      <c r="D8284" s="41"/>
      <c r="E8284" s="31"/>
      <c r="F8284" s="32"/>
      <c r="G8284" s="15"/>
      <c r="H8284" s="21"/>
      <c r="I8284" s="15"/>
      <c r="J8284" s="15"/>
      <c r="K8284" s="15"/>
      <c r="L8284" s="21"/>
      <c r="M8284" s="15"/>
    </row>
    <row r="8285" spans="1:13" s="166" customFormat="1" ht="12.75" customHeight="1">
      <c r="A8285" s="529" t="s">
        <v>4183</v>
      </c>
      <c r="B8285" s="541"/>
      <c r="C8285" s="537"/>
      <c r="D8285" s="542"/>
      <c r="E8285" s="538"/>
      <c r="F8285" s="539"/>
      <c r="G8285" s="15"/>
      <c r="H8285" s="21"/>
      <c r="I8285" s="15"/>
      <c r="J8285" s="15"/>
      <c r="K8285" s="15"/>
      <c r="L8285" s="21"/>
      <c r="M8285" s="15"/>
    </row>
    <row r="8286" spans="1:13" s="166" customFormat="1" ht="12.75" customHeight="1">
      <c r="A8286" s="535" t="s">
        <v>425</v>
      </c>
      <c r="B8286" s="541">
        <v>1.05</v>
      </c>
      <c r="C8286" s="537" t="s">
        <v>825</v>
      </c>
      <c r="D8286" s="542">
        <f>D8218</f>
        <v>7077.29</v>
      </c>
      <c r="E8286" s="538">
        <f t="shared" ref="E8286:E8292" si="701">B8286*D8286</f>
        <v>7431.1545000000006</v>
      </c>
      <c r="F8286" s="539"/>
      <c r="G8286" s="15"/>
      <c r="H8286" s="21"/>
      <c r="I8286" s="15"/>
      <c r="J8286" s="15"/>
      <c r="K8286" s="15"/>
      <c r="L8286" s="21"/>
      <c r="M8286" s="15"/>
    </row>
    <row r="8287" spans="1:13" s="166" customFormat="1" ht="12.75" customHeight="1">
      <c r="A8287" s="535" t="s">
        <v>1686</v>
      </c>
      <c r="B8287" s="541">
        <v>1.63</v>
      </c>
      <c r="C8287" s="537" t="s">
        <v>4</v>
      </c>
      <c r="D8287" s="542">
        <f>D8219</f>
        <v>3200</v>
      </c>
      <c r="E8287" s="538">
        <f t="shared" si="701"/>
        <v>5216</v>
      </c>
      <c r="F8287" s="539"/>
      <c r="G8287" s="15"/>
      <c r="H8287" s="21"/>
      <c r="I8287" s="15"/>
      <c r="J8287" s="15"/>
      <c r="K8287" s="15"/>
      <c r="L8287" s="21"/>
      <c r="M8287" s="15"/>
    </row>
    <row r="8288" spans="1:13" s="166" customFormat="1" ht="12.75" customHeight="1">
      <c r="A8288" s="535" t="s">
        <v>1198</v>
      </c>
      <c r="B8288" s="541">
        <f>B8289*2</f>
        <v>3.26</v>
      </c>
      <c r="C8288" s="537" t="s">
        <v>1018</v>
      </c>
      <c r="D8288" s="542">
        <f>D8220</f>
        <v>60</v>
      </c>
      <c r="E8288" s="538">
        <f t="shared" si="701"/>
        <v>195.6</v>
      </c>
      <c r="F8288" s="539"/>
      <c r="G8288" s="15"/>
      <c r="H8288" s="21"/>
      <c r="I8288" s="15"/>
      <c r="J8288" s="15"/>
      <c r="K8288" s="15"/>
      <c r="L8288" s="21"/>
      <c r="M8288" s="15"/>
    </row>
    <row r="8289" spans="1:13" s="166" customFormat="1" ht="12.75" customHeight="1">
      <c r="A8289" s="535" t="s">
        <v>1037</v>
      </c>
      <c r="B8289" s="541">
        <f>B8287</f>
        <v>1.63</v>
      </c>
      <c r="C8289" s="537" t="s">
        <v>216</v>
      </c>
      <c r="D8289" s="542">
        <f>Prec.!C351</f>
        <v>535.15000000000009</v>
      </c>
      <c r="E8289" s="538">
        <f t="shared" si="701"/>
        <v>872.29450000000008</v>
      </c>
      <c r="F8289" s="539"/>
      <c r="G8289" s="15"/>
      <c r="H8289" s="21"/>
      <c r="I8289" s="15"/>
      <c r="J8289" s="15"/>
      <c r="K8289" s="15"/>
      <c r="L8289" s="21"/>
      <c r="M8289" s="15"/>
    </row>
    <row r="8290" spans="1:13" s="166" customFormat="1" ht="12.75" customHeight="1">
      <c r="A8290" s="535" t="s">
        <v>153</v>
      </c>
      <c r="B8290" s="541">
        <v>8.33</v>
      </c>
      <c r="C8290" s="537" t="s">
        <v>213</v>
      </c>
      <c r="D8290" s="542">
        <f>D8222*1.05</f>
        <v>266.7</v>
      </c>
      <c r="E8290" s="538">
        <f t="shared" si="701"/>
        <v>2221.6109999999999</v>
      </c>
      <c r="F8290" s="539"/>
      <c r="G8290" s="15"/>
      <c r="H8290" s="21"/>
      <c r="I8290" s="15"/>
      <c r="J8290" s="15"/>
      <c r="K8290" s="15"/>
      <c r="L8290" s="21"/>
      <c r="M8290" s="15"/>
    </row>
    <row r="8291" spans="1:13" s="166" customFormat="1" ht="12.75" customHeight="1">
      <c r="A8291" s="535" t="s">
        <v>1688</v>
      </c>
      <c r="B8291" s="536">
        <v>1</v>
      </c>
      <c r="C8291" s="537" t="s">
        <v>825</v>
      </c>
      <c r="D8291" s="542">
        <f>D8223</f>
        <v>600.29999999999995</v>
      </c>
      <c r="E8291" s="538">
        <f t="shared" si="701"/>
        <v>600.29999999999995</v>
      </c>
      <c r="F8291" s="539"/>
      <c r="G8291" s="15"/>
      <c r="H8291" s="21"/>
      <c r="I8291" s="15"/>
      <c r="J8291" s="15"/>
      <c r="K8291" s="15"/>
      <c r="L8291" s="21"/>
      <c r="M8291" s="15"/>
    </row>
    <row r="8292" spans="1:13" s="166" customFormat="1" ht="12.75" customHeight="1">
      <c r="A8292" s="535" t="s">
        <v>208</v>
      </c>
      <c r="B8292" s="541">
        <f>SUM(E8286:E8288)</f>
        <v>12842.754500000001</v>
      </c>
      <c r="C8292" s="537" t="s">
        <v>209</v>
      </c>
      <c r="D8292" s="542">
        <f>D8224</f>
        <v>0.02</v>
      </c>
      <c r="E8292" s="538">
        <f t="shared" si="701"/>
        <v>256.85509000000002</v>
      </c>
      <c r="F8292" s="539">
        <f>SUM(E8286:E8292)</f>
        <v>16793.81509</v>
      </c>
      <c r="G8292" s="15"/>
      <c r="H8292" s="21"/>
      <c r="I8292" s="15"/>
      <c r="J8292" s="15"/>
      <c r="K8292" s="15"/>
      <c r="L8292" s="21"/>
      <c r="M8292" s="15"/>
    </row>
    <row r="8293" spans="1:13" s="166" customFormat="1" ht="12.75" customHeight="1">
      <c r="A8293" s="12"/>
      <c r="B8293" s="434"/>
      <c r="C8293" s="24"/>
      <c r="D8293" s="41"/>
      <c r="E8293" s="31"/>
      <c r="F8293" s="32"/>
      <c r="G8293" s="15"/>
      <c r="H8293" s="21"/>
      <c r="I8293" s="15"/>
      <c r="J8293" s="15"/>
      <c r="K8293" s="15"/>
      <c r="L8293" s="21"/>
      <c r="M8293" s="15"/>
    </row>
    <row r="8294" spans="1:13" s="166" customFormat="1" ht="12.75" customHeight="1">
      <c r="A8294" s="529" t="s">
        <v>4184</v>
      </c>
      <c r="B8294" s="541"/>
      <c r="C8294" s="537"/>
      <c r="D8294" s="542"/>
      <c r="E8294" s="538"/>
      <c r="F8294" s="539"/>
      <c r="G8294" s="15"/>
      <c r="H8294" s="21"/>
      <c r="I8294" s="15"/>
      <c r="J8294" s="15"/>
      <c r="K8294" s="15"/>
      <c r="L8294" s="21"/>
      <c r="M8294" s="15"/>
    </row>
    <row r="8295" spans="1:13" s="166" customFormat="1" ht="12.75" customHeight="1">
      <c r="A8295" s="535" t="s">
        <v>425</v>
      </c>
      <c r="B8295" s="541">
        <v>1.05</v>
      </c>
      <c r="C8295" s="537" t="s">
        <v>825</v>
      </c>
      <c r="D8295" s="542">
        <f>D8277</f>
        <v>7077.29</v>
      </c>
      <c r="E8295" s="538">
        <f t="shared" ref="E8295:E8301" si="702">B8295*D8295</f>
        <v>7431.1545000000006</v>
      </c>
      <c r="F8295" s="539"/>
      <c r="G8295" s="15"/>
      <c r="H8295" s="21"/>
      <c r="I8295" s="15"/>
      <c r="J8295" s="15"/>
      <c r="K8295" s="15"/>
      <c r="L8295" s="21"/>
      <c r="M8295" s="15"/>
    </row>
    <row r="8296" spans="1:13" s="166" customFormat="1" ht="12.75" customHeight="1">
      <c r="A8296" s="535" t="s">
        <v>1686</v>
      </c>
      <c r="B8296" s="541">
        <v>1.06</v>
      </c>
      <c r="C8296" s="537" t="s">
        <v>4</v>
      </c>
      <c r="D8296" s="542">
        <f t="shared" ref="D8296:D8301" si="703">D8278</f>
        <v>3200</v>
      </c>
      <c r="E8296" s="538">
        <f t="shared" si="702"/>
        <v>3392</v>
      </c>
      <c r="F8296" s="539"/>
      <c r="G8296" s="15"/>
      <c r="H8296" s="21"/>
      <c r="I8296" s="15"/>
      <c r="J8296" s="15"/>
      <c r="K8296" s="15"/>
      <c r="L8296" s="21"/>
      <c r="M8296" s="15"/>
    </row>
    <row r="8297" spans="1:13" s="166" customFormat="1" ht="12.75" customHeight="1">
      <c r="A8297" s="535" t="s">
        <v>1198</v>
      </c>
      <c r="B8297" s="541">
        <f>B8298*2</f>
        <v>2.12</v>
      </c>
      <c r="C8297" s="537" t="s">
        <v>1018</v>
      </c>
      <c r="D8297" s="542">
        <f>D8279</f>
        <v>60</v>
      </c>
      <c r="E8297" s="538">
        <f t="shared" si="702"/>
        <v>127.2</v>
      </c>
      <c r="F8297" s="539"/>
      <c r="G8297" s="15"/>
      <c r="H8297" s="21"/>
      <c r="I8297" s="15"/>
      <c r="J8297" s="15"/>
      <c r="K8297" s="15"/>
      <c r="L8297" s="21"/>
      <c r="M8297" s="15"/>
    </row>
    <row r="8298" spans="1:13" s="166" customFormat="1" ht="12.75" customHeight="1">
      <c r="A8298" s="535" t="s">
        <v>1037</v>
      </c>
      <c r="B8298" s="541">
        <f>B8296</f>
        <v>1.06</v>
      </c>
      <c r="C8298" s="537" t="s">
        <v>216</v>
      </c>
      <c r="D8298" s="542">
        <f>D8289</f>
        <v>535.15000000000009</v>
      </c>
      <c r="E8298" s="538">
        <f t="shared" si="702"/>
        <v>567.25900000000013</v>
      </c>
      <c r="F8298" s="539"/>
      <c r="G8298" s="15"/>
      <c r="H8298" s="21"/>
      <c r="I8298" s="15"/>
      <c r="J8298" s="15"/>
      <c r="K8298" s="15"/>
      <c r="L8298" s="21"/>
      <c r="M8298" s="15"/>
    </row>
    <row r="8299" spans="1:13" s="166" customFormat="1" ht="12.75" customHeight="1">
      <c r="A8299" s="535" t="s">
        <v>153</v>
      </c>
      <c r="B8299" s="541">
        <v>7.69</v>
      </c>
      <c r="C8299" s="537" t="s">
        <v>213</v>
      </c>
      <c r="D8299" s="542">
        <f>D8290</f>
        <v>266.7</v>
      </c>
      <c r="E8299" s="538">
        <f t="shared" si="702"/>
        <v>2050.9230000000002</v>
      </c>
      <c r="F8299" s="539"/>
      <c r="G8299" s="15"/>
      <c r="H8299" s="21"/>
      <c r="I8299" s="15"/>
      <c r="J8299" s="15"/>
      <c r="K8299" s="15"/>
      <c r="L8299" s="21"/>
      <c r="M8299" s="15"/>
    </row>
    <row r="8300" spans="1:13" s="166" customFormat="1" ht="12.75" customHeight="1">
      <c r="A8300" s="535" t="s">
        <v>1688</v>
      </c>
      <c r="B8300" s="536">
        <v>1</v>
      </c>
      <c r="C8300" s="537" t="s">
        <v>825</v>
      </c>
      <c r="D8300" s="542">
        <f t="shared" si="703"/>
        <v>600.29999999999995</v>
      </c>
      <c r="E8300" s="538">
        <f t="shared" si="702"/>
        <v>600.29999999999995</v>
      </c>
      <c r="F8300" s="539"/>
      <c r="G8300" s="15"/>
      <c r="H8300" s="21"/>
      <c r="I8300" s="15"/>
      <c r="J8300" s="15"/>
      <c r="K8300" s="15"/>
      <c r="L8300" s="21"/>
      <c r="M8300" s="15"/>
    </row>
    <row r="8301" spans="1:13" s="166" customFormat="1" ht="12.75" customHeight="1">
      <c r="A8301" s="535" t="s">
        <v>208</v>
      </c>
      <c r="B8301" s="541">
        <f>SUM(E8295:E8297)</f>
        <v>10950.354500000001</v>
      </c>
      <c r="C8301" s="537" t="s">
        <v>209</v>
      </c>
      <c r="D8301" s="542">
        <f t="shared" si="703"/>
        <v>0.02</v>
      </c>
      <c r="E8301" s="538">
        <f t="shared" si="702"/>
        <v>219.00709000000003</v>
      </c>
      <c r="F8301" s="539">
        <f>SUM(E8295:E8301)</f>
        <v>14387.84359</v>
      </c>
      <c r="G8301" s="15"/>
      <c r="H8301" s="21"/>
      <c r="I8301" s="15"/>
      <c r="J8301" s="15"/>
      <c r="K8301" s="15"/>
      <c r="L8301" s="21"/>
      <c r="M8301" s="15"/>
    </row>
    <row r="8302" spans="1:13" s="166" customFormat="1" ht="12.75" customHeight="1">
      <c r="A8302" s="12"/>
      <c r="B8302" s="434"/>
      <c r="C8302" s="24"/>
      <c r="D8302" s="41"/>
      <c r="E8302" s="31"/>
      <c r="F8302" s="32"/>
      <c r="G8302" s="15"/>
      <c r="H8302" s="21"/>
      <c r="I8302" s="15"/>
      <c r="J8302" s="15"/>
      <c r="K8302" s="15"/>
      <c r="L8302" s="21"/>
      <c r="M8302" s="15"/>
    </row>
    <row r="8303" spans="1:13" s="166" customFormat="1" ht="12.75" customHeight="1">
      <c r="A8303" s="529" t="s">
        <v>4185</v>
      </c>
      <c r="B8303" s="541"/>
      <c r="C8303" s="537"/>
      <c r="D8303" s="542"/>
      <c r="E8303" s="538"/>
      <c r="F8303" s="539"/>
      <c r="G8303" s="15"/>
      <c r="H8303" s="21"/>
      <c r="I8303" s="15"/>
      <c r="J8303" s="15"/>
      <c r="K8303" s="15"/>
      <c r="L8303" s="21"/>
      <c r="M8303" s="15"/>
    </row>
    <row r="8304" spans="1:13" s="166" customFormat="1" ht="12.75" customHeight="1">
      <c r="A8304" s="535" t="s">
        <v>425</v>
      </c>
      <c r="B8304" s="541">
        <v>1.05</v>
      </c>
      <c r="C8304" s="537" t="s">
        <v>825</v>
      </c>
      <c r="D8304" s="542">
        <f>D8295</f>
        <v>7077.29</v>
      </c>
      <c r="E8304" s="538">
        <f t="shared" ref="E8304:E8310" si="704">B8304*D8304</f>
        <v>7431.1545000000006</v>
      </c>
      <c r="F8304" s="539"/>
      <c r="G8304" s="15"/>
      <c r="H8304" s="21"/>
      <c r="I8304" s="15"/>
      <c r="J8304" s="15"/>
      <c r="K8304" s="15"/>
      <c r="L8304" s="21"/>
      <c r="M8304" s="15"/>
    </row>
    <row r="8305" spans="1:13" s="166" customFormat="1" ht="12.75" customHeight="1">
      <c r="A8305" s="535" t="s">
        <v>1686</v>
      </c>
      <c r="B8305" s="541">
        <v>1.82</v>
      </c>
      <c r="C8305" s="537" t="s">
        <v>4</v>
      </c>
      <c r="D8305" s="542">
        <f t="shared" ref="D8305:D8310" si="705">D8296</f>
        <v>3200</v>
      </c>
      <c r="E8305" s="538">
        <f t="shared" si="704"/>
        <v>5824</v>
      </c>
      <c r="F8305" s="539"/>
      <c r="G8305" s="15"/>
      <c r="H8305" s="21"/>
      <c r="I8305" s="15"/>
      <c r="J8305" s="15"/>
      <c r="K8305" s="15"/>
      <c r="L8305" s="21"/>
      <c r="M8305" s="15"/>
    </row>
    <row r="8306" spans="1:13" s="166" customFormat="1" ht="12.75" customHeight="1">
      <c r="A8306" s="535" t="s">
        <v>1198</v>
      </c>
      <c r="B8306" s="541">
        <f>B8307*2</f>
        <v>3.64</v>
      </c>
      <c r="C8306" s="537" t="s">
        <v>1018</v>
      </c>
      <c r="D8306" s="542">
        <f t="shared" si="705"/>
        <v>60</v>
      </c>
      <c r="E8306" s="538">
        <f t="shared" si="704"/>
        <v>218.4</v>
      </c>
      <c r="F8306" s="539"/>
      <c r="G8306" s="15"/>
      <c r="H8306" s="21"/>
      <c r="I8306" s="15"/>
      <c r="J8306" s="15"/>
      <c r="K8306" s="15"/>
      <c r="L8306" s="21"/>
      <c r="M8306" s="15"/>
    </row>
    <row r="8307" spans="1:13" s="166" customFormat="1" ht="12.75" customHeight="1">
      <c r="A8307" s="535" t="s">
        <v>1037</v>
      </c>
      <c r="B8307" s="541">
        <f>B8305</f>
        <v>1.82</v>
      </c>
      <c r="C8307" s="537" t="s">
        <v>216</v>
      </c>
      <c r="D8307" s="542">
        <f t="shared" si="705"/>
        <v>535.15000000000009</v>
      </c>
      <c r="E8307" s="538">
        <f t="shared" si="704"/>
        <v>973.97300000000018</v>
      </c>
      <c r="F8307" s="539"/>
      <c r="G8307" s="15"/>
      <c r="H8307" s="21"/>
      <c r="I8307" s="15"/>
      <c r="J8307" s="15"/>
      <c r="K8307" s="15"/>
      <c r="L8307" s="21"/>
      <c r="M8307" s="15"/>
    </row>
    <row r="8308" spans="1:13" s="166" customFormat="1" ht="12.75" customHeight="1">
      <c r="A8308" s="535" t="s">
        <v>153</v>
      </c>
      <c r="B8308" s="541">
        <v>6.67</v>
      </c>
      <c r="C8308" s="537" t="s">
        <v>213</v>
      </c>
      <c r="D8308" s="542">
        <f t="shared" si="705"/>
        <v>266.7</v>
      </c>
      <c r="E8308" s="538">
        <f t="shared" si="704"/>
        <v>1778.8889999999999</v>
      </c>
      <c r="F8308" s="539"/>
      <c r="G8308" s="15"/>
      <c r="H8308" s="21"/>
      <c r="I8308" s="15"/>
      <c r="J8308" s="15"/>
      <c r="K8308" s="15"/>
      <c r="L8308" s="21"/>
      <c r="M8308" s="15"/>
    </row>
    <row r="8309" spans="1:13" s="166" customFormat="1" ht="12.75" customHeight="1">
      <c r="A8309" s="535" t="s">
        <v>1688</v>
      </c>
      <c r="B8309" s="536">
        <v>1</v>
      </c>
      <c r="C8309" s="537" t="s">
        <v>825</v>
      </c>
      <c r="D8309" s="542">
        <f t="shared" si="705"/>
        <v>600.29999999999995</v>
      </c>
      <c r="E8309" s="538">
        <f t="shared" si="704"/>
        <v>600.29999999999995</v>
      </c>
      <c r="F8309" s="539"/>
      <c r="G8309" s="15"/>
      <c r="H8309" s="21"/>
      <c r="I8309" s="15"/>
      <c r="J8309" s="15"/>
      <c r="K8309" s="15"/>
      <c r="L8309" s="21"/>
      <c r="M8309" s="15"/>
    </row>
    <row r="8310" spans="1:13" s="166" customFormat="1" ht="12.75" customHeight="1">
      <c r="A8310" s="535" t="s">
        <v>208</v>
      </c>
      <c r="B8310" s="541">
        <f>SUM(E8304:E8306)</f>
        <v>13473.5545</v>
      </c>
      <c r="C8310" s="537" t="s">
        <v>209</v>
      </c>
      <c r="D8310" s="542">
        <f t="shared" si="705"/>
        <v>0.02</v>
      </c>
      <c r="E8310" s="538">
        <f t="shared" si="704"/>
        <v>269.47109</v>
      </c>
      <c r="F8310" s="539">
        <f>SUM(E8304:E8310)</f>
        <v>17096.187589999998</v>
      </c>
      <c r="G8310" s="15"/>
      <c r="H8310" s="21"/>
      <c r="I8310" s="15"/>
      <c r="J8310" s="15"/>
      <c r="K8310" s="15"/>
      <c r="L8310" s="21"/>
      <c r="M8310" s="15"/>
    </row>
    <row r="8311" spans="1:13" s="166" customFormat="1" ht="12.75" customHeight="1">
      <c r="A8311" s="12"/>
      <c r="B8311" s="434"/>
      <c r="C8311" s="24"/>
      <c r="D8311" s="41"/>
      <c r="E8311" s="31"/>
      <c r="F8311" s="32"/>
      <c r="G8311" s="15"/>
      <c r="H8311" s="21"/>
      <c r="I8311" s="15"/>
      <c r="J8311" s="15"/>
      <c r="K8311" s="15"/>
      <c r="L8311" s="21"/>
      <c r="M8311" s="15"/>
    </row>
    <row r="8312" spans="1:13" s="166" customFormat="1" ht="12.75" customHeight="1">
      <c r="A8312" s="529" t="s">
        <v>4186</v>
      </c>
      <c r="B8312" s="541"/>
      <c r="C8312" s="537"/>
      <c r="D8312" s="542"/>
      <c r="E8312" s="538"/>
      <c r="F8312" s="539"/>
      <c r="G8312" s="15"/>
      <c r="H8312" s="21"/>
      <c r="I8312" s="15"/>
      <c r="J8312" s="15"/>
      <c r="K8312" s="15"/>
      <c r="L8312" s="21"/>
      <c r="M8312" s="15"/>
    </row>
    <row r="8313" spans="1:13" s="166" customFormat="1" ht="12.75" customHeight="1">
      <c r="A8313" s="535" t="s">
        <v>425</v>
      </c>
      <c r="B8313" s="541">
        <v>1.05</v>
      </c>
      <c r="C8313" s="537" t="s">
        <v>825</v>
      </c>
      <c r="D8313" s="542">
        <f>D8304</f>
        <v>7077.29</v>
      </c>
      <c r="E8313" s="538">
        <f t="shared" ref="E8313:E8319" si="706">B8313*D8313</f>
        <v>7431.1545000000006</v>
      </c>
      <c r="F8313" s="539"/>
      <c r="G8313" s="15"/>
      <c r="H8313" s="21"/>
      <c r="I8313" s="15"/>
      <c r="J8313" s="15"/>
      <c r="K8313" s="15"/>
      <c r="L8313" s="21"/>
      <c r="M8313" s="15"/>
    </row>
    <row r="8314" spans="1:13" s="166" customFormat="1" ht="12.75" customHeight="1">
      <c r="A8314" s="535" t="s">
        <v>1686</v>
      </c>
      <c r="B8314" s="541">
        <v>1.1299999999999999</v>
      </c>
      <c r="C8314" s="537" t="s">
        <v>4</v>
      </c>
      <c r="D8314" s="542">
        <f t="shared" ref="D8314:D8319" si="707">D8305</f>
        <v>3200</v>
      </c>
      <c r="E8314" s="538">
        <f t="shared" si="706"/>
        <v>3615.9999999999995</v>
      </c>
      <c r="F8314" s="539"/>
      <c r="G8314" s="15"/>
      <c r="H8314" s="21"/>
      <c r="I8314" s="15"/>
      <c r="J8314" s="15"/>
      <c r="K8314" s="15"/>
      <c r="L8314" s="21"/>
      <c r="M8314" s="15"/>
    </row>
    <row r="8315" spans="1:13" s="166" customFormat="1" ht="12.75" customHeight="1">
      <c r="A8315" s="535" t="s">
        <v>1198</v>
      </c>
      <c r="B8315" s="541">
        <f>B8316*2</f>
        <v>2.2599999999999998</v>
      </c>
      <c r="C8315" s="537" t="s">
        <v>1018</v>
      </c>
      <c r="D8315" s="542">
        <f t="shared" si="707"/>
        <v>60</v>
      </c>
      <c r="E8315" s="538">
        <f t="shared" si="706"/>
        <v>135.6</v>
      </c>
      <c r="F8315" s="539"/>
      <c r="G8315" s="15"/>
      <c r="H8315" s="21"/>
      <c r="I8315" s="15"/>
      <c r="J8315" s="15"/>
      <c r="K8315" s="15"/>
      <c r="L8315" s="21"/>
      <c r="M8315" s="15"/>
    </row>
    <row r="8316" spans="1:13" s="166" customFormat="1" ht="12.75" customHeight="1">
      <c r="A8316" s="535" t="s">
        <v>1037</v>
      </c>
      <c r="B8316" s="541">
        <f>B8314</f>
        <v>1.1299999999999999</v>
      </c>
      <c r="C8316" s="537" t="s">
        <v>216</v>
      </c>
      <c r="D8316" s="542">
        <f t="shared" si="707"/>
        <v>535.15000000000009</v>
      </c>
      <c r="E8316" s="538">
        <f t="shared" si="706"/>
        <v>604.71950000000004</v>
      </c>
      <c r="F8316" s="539"/>
      <c r="G8316" s="15"/>
      <c r="H8316" s="21"/>
      <c r="I8316" s="15"/>
      <c r="J8316" s="15"/>
      <c r="K8316" s="15"/>
      <c r="L8316" s="21"/>
      <c r="M8316" s="15"/>
    </row>
    <row r="8317" spans="1:13" s="166" customFormat="1" ht="12.75" customHeight="1">
      <c r="A8317" s="535" t="s">
        <v>153</v>
      </c>
      <c r="B8317" s="541">
        <v>6.25</v>
      </c>
      <c r="C8317" s="537" t="s">
        <v>213</v>
      </c>
      <c r="D8317" s="542">
        <f t="shared" si="707"/>
        <v>266.7</v>
      </c>
      <c r="E8317" s="538">
        <f t="shared" si="706"/>
        <v>1666.875</v>
      </c>
      <c r="F8317" s="539"/>
      <c r="G8317" s="15"/>
      <c r="H8317" s="21"/>
      <c r="I8317" s="15"/>
      <c r="J8317" s="15"/>
      <c r="K8317" s="15"/>
      <c r="L8317" s="21"/>
      <c r="M8317" s="15"/>
    </row>
    <row r="8318" spans="1:13" s="166" customFormat="1" ht="12.75" customHeight="1">
      <c r="A8318" s="535" t="s">
        <v>1688</v>
      </c>
      <c r="B8318" s="536">
        <v>1</v>
      </c>
      <c r="C8318" s="537" t="s">
        <v>825</v>
      </c>
      <c r="D8318" s="542">
        <f t="shared" si="707"/>
        <v>600.29999999999995</v>
      </c>
      <c r="E8318" s="538">
        <f t="shared" si="706"/>
        <v>600.29999999999995</v>
      </c>
      <c r="F8318" s="539"/>
      <c r="G8318" s="15"/>
      <c r="H8318" s="21"/>
      <c r="I8318" s="15"/>
      <c r="J8318" s="15"/>
      <c r="K8318" s="15"/>
      <c r="L8318" s="21"/>
      <c r="M8318" s="15"/>
    </row>
    <row r="8319" spans="1:13" s="166" customFormat="1" ht="12.75" customHeight="1">
      <c r="A8319" s="535" t="s">
        <v>208</v>
      </c>
      <c r="B8319" s="541">
        <f>SUM(E8313:E8315)</f>
        <v>11182.754500000001</v>
      </c>
      <c r="C8319" s="537" t="s">
        <v>209</v>
      </c>
      <c r="D8319" s="542">
        <f t="shared" si="707"/>
        <v>0.02</v>
      </c>
      <c r="E8319" s="538">
        <f t="shared" si="706"/>
        <v>223.65509000000003</v>
      </c>
      <c r="F8319" s="539">
        <f>SUM(E8313:E8319)</f>
        <v>14278.30409</v>
      </c>
      <c r="G8319" s="15"/>
      <c r="H8319" s="21"/>
      <c r="I8319" s="15"/>
      <c r="J8319" s="15"/>
      <c r="K8319" s="15"/>
      <c r="L8319" s="21"/>
      <c r="M8319" s="15"/>
    </row>
    <row r="8320" spans="1:13" s="166" customFormat="1" ht="12.75" customHeight="1">
      <c r="A8320" s="12"/>
      <c r="B8320" s="434"/>
      <c r="C8320" s="24"/>
      <c r="D8320" s="41"/>
      <c r="E8320" s="31"/>
      <c r="F8320" s="32"/>
      <c r="G8320" s="15"/>
      <c r="H8320" s="21"/>
      <c r="I8320" s="15"/>
      <c r="J8320" s="15"/>
      <c r="K8320" s="15"/>
      <c r="L8320" s="21"/>
      <c r="M8320" s="15"/>
    </row>
    <row r="8321" spans="1:13" s="166" customFormat="1" ht="12.75" customHeight="1">
      <c r="A8321" s="12"/>
      <c r="B8321" s="434"/>
      <c r="C8321" s="24"/>
      <c r="D8321" s="41"/>
      <c r="E8321" s="31"/>
      <c r="F8321" s="32"/>
      <c r="G8321" s="15"/>
      <c r="H8321" s="21"/>
      <c r="I8321" s="15"/>
      <c r="J8321" s="15"/>
      <c r="K8321" s="15"/>
      <c r="L8321" s="21"/>
      <c r="M8321" s="15"/>
    </row>
    <row r="8322" spans="1:13" s="166" customFormat="1" ht="12.75" customHeight="1">
      <c r="A8322" s="12"/>
      <c r="B8322" s="434"/>
      <c r="C8322" s="24"/>
      <c r="D8322" s="41"/>
      <c r="E8322" s="31"/>
      <c r="F8322" s="32"/>
      <c r="G8322" s="15"/>
      <c r="H8322" s="21"/>
      <c r="I8322" s="15"/>
      <c r="J8322" s="15"/>
      <c r="K8322" s="15"/>
      <c r="L8322" s="21"/>
      <c r="M8322" s="15"/>
    </row>
    <row r="8323" spans="1:13" s="166" customFormat="1" ht="12.75" customHeight="1">
      <c r="A8323" s="12"/>
      <c r="B8323" s="434"/>
      <c r="C8323" s="24"/>
      <c r="D8323" s="41"/>
      <c r="E8323" s="31"/>
      <c r="F8323" s="32"/>
      <c r="G8323" s="15"/>
      <c r="H8323" s="21"/>
      <c r="I8323" s="15"/>
      <c r="J8323" s="15"/>
      <c r="K8323" s="15"/>
      <c r="L8323" s="21"/>
      <c r="M8323" s="15"/>
    </row>
    <row r="8324" spans="1:13" s="166" customFormat="1" ht="12.75" customHeight="1">
      <c r="A8324" s="698" t="s">
        <v>4201</v>
      </c>
      <c r="B8324" s="699"/>
      <c r="C8324" s="700"/>
      <c r="D8324" s="701"/>
      <c r="E8324" s="702"/>
      <c r="F8324" s="703"/>
      <c r="G8324" s="15"/>
      <c r="H8324" s="21"/>
      <c r="I8324" s="15"/>
      <c r="J8324" s="15"/>
      <c r="K8324" s="15"/>
      <c r="L8324" s="21"/>
      <c r="M8324" s="15"/>
    </row>
    <row r="8325" spans="1:13" s="166" customFormat="1" ht="12.75" customHeight="1">
      <c r="A8325" s="704" t="s">
        <v>4197</v>
      </c>
      <c r="B8325" s="699">
        <f>3.14*1.05</f>
        <v>3.2970000000000002</v>
      </c>
      <c r="C8325" s="700" t="s">
        <v>1806</v>
      </c>
      <c r="D8325" s="701"/>
      <c r="E8325" s="702"/>
      <c r="F8325" s="703"/>
      <c r="G8325" s="15"/>
      <c r="H8325" s="21"/>
      <c r="I8325" s="15"/>
      <c r="J8325" s="15"/>
      <c r="K8325" s="15"/>
      <c r="L8325" s="21"/>
      <c r="M8325" s="15"/>
    </row>
    <row r="8326" spans="1:13" s="166" customFormat="1" ht="12.75" customHeight="1">
      <c r="A8326" s="704" t="s">
        <v>4425</v>
      </c>
      <c r="B8326" s="699">
        <v>3.14</v>
      </c>
      <c r="C8326" s="700" t="s">
        <v>1806</v>
      </c>
      <c r="D8326" s="701">
        <f>Prec.!C37</f>
        <v>7077.29</v>
      </c>
      <c r="E8326" s="702">
        <f t="shared" ref="E8326:E8331" si="708">B8326*D8326</f>
        <v>22222.690600000002</v>
      </c>
      <c r="F8326" s="703"/>
      <c r="G8326" s="15"/>
      <c r="H8326" s="21"/>
      <c r="I8326" s="15"/>
      <c r="J8326" s="15"/>
      <c r="K8326" s="15"/>
      <c r="L8326" s="21"/>
      <c r="M8326" s="15"/>
    </row>
    <row r="8327" spans="1:13" s="166" customFormat="1" ht="12.75" customHeight="1">
      <c r="A8327" s="704" t="s">
        <v>4198</v>
      </c>
      <c r="B8327" s="699">
        <v>5.71</v>
      </c>
      <c r="C8327" s="700" t="s">
        <v>1887</v>
      </c>
      <c r="D8327" s="701">
        <f>D8314</f>
        <v>3200</v>
      </c>
      <c r="E8327" s="702">
        <f t="shared" si="708"/>
        <v>18272</v>
      </c>
      <c r="F8327" s="703"/>
      <c r="G8327" s="15"/>
      <c r="H8327" s="21"/>
      <c r="I8327" s="15"/>
      <c r="J8327" s="15"/>
      <c r="K8327" s="15"/>
      <c r="L8327" s="21"/>
      <c r="M8327" s="15"/>
    </row>
    <row r="8328" spans="1:13" s="166" customFormat="1" ht="12.75" customHeight="1">
      <c r="A8328" s="704" t="s">
        <v>1198</v>
      </c>
      <c r="B8328" s="699">
        <f>B8327*2</f>
        <v>11.42</v>
      </c>
      <c r="C8328" s="700" t="s">
        <v>1018</v>
      </c>
      <c r="D8328" s="701">
        <f>D8315</f>
        <v>60</v>
      </c>
      <c r="E8328" s="702">
        <f t="shared" si="708"/>
        <v>685.2</v>
      </c>
      <c r="F8328" s="703"/>
      <c r="G8328" s="15"/>
      <c r="H8328" s="21"/>
      <c r="I8328" s="15"/>
      <c r="J8328" s="15"/>
      <c r="K8328" s="15"/>
      <c r="L8328" s="21"/>
      <c r="M8328" s="15"/>
    </row>
    <row r="8329" spans="1:13" s="166" customFormat="1" ht="12.75" customHeight="1">
      <c r="A8329" s="704" t="s">
        <v>4199</v>
      </c>
      <c r="B8329" s="699">
        <f>B8325</f>
        <v>3.2970000000000002</v>
      </c>
      <c r="C8329" s="700" t="s">
        <v>1806</v>
      </c>
      <c r="D8329" s="701">
        <f>D8318</f>
        <v>600.29999999999995</v>
      </c>
      <c r="E8329" s="702"/>
      <c r="F8329" s="703"/>
      <c r="G8329" s="15"/>
      <c r="H8329" s="21"/>
      <c r="I8329" s="15"/>
      <c r="J8329" s="15"/>
      <c r="K8329" s="15"/>
      <c r="L8329" s="21"/>
      <c r="M8329" s="15"/>
    </row>
    <row r="8330" spans="1:13" s="166" customFormat="1" ht="12.75" customHeight="1">
      <c r="A8330" s="704" t="s">
        <v>4426</v>
      </c>
      <c r="B8330" s="699">
        <v>2</v>
      </c>
      <c r="C8330" s="700" t="s">
        <v>324</v>
      </c>
      <c r="D8330" s="701">
        <v>6000</v>
      </c>
      <c r="E8330" s="702">
        <f t="shared" si="708"/>
        <v>12000</v>
      </c>
      <c r="F8330" s="703"/>
      <c r="G8330" s="15"/>
      <c r="H8330" s="21"/>
      <c r="I8330" s="15"/>
      <c r="J8330" s="15"/>
      <c r="K8330" s="15"/>
      <c r="L8330" s="21"/>
      <c r="M8330" s="15"/>
    </row>
    <row r="8331" spans="1:13" s="166" customFormat="1" ht="12.75" customHeight="1">
      <c r="A8331" s="704" t="s">
        <v>4200</v>
      </c>
      <c r="B8331" s="699">
        <f>SUM(E8325:E8327)</f>
        <v>40494.690600000002</v>
      </c>
      <c r="C8331" s="700" t="s">
        <v>48</v>
      </c>
      <c r="D8331" s="701">
        <v>0.02</v>
      </c>
      <c r="E8331" s="702">
        <f t="shared" si="708"/>
        <v>809.89381200000003</v>
      </c>
      <c r="F8331" s="703">
        <f>SUM(E8324:E8331)</f>
        <v>53989.784412000001</v>
      </c>
      <c r="G8331" s="15"/>
      <c r="H8331" s="21"/>
      <c r="I8331" s="15"/>
      <c r="J8331" s="15"/>
      <c r="K8331" s="15"/>
      <c r="L8331" s="21"/>
      <c r="M8331" s="15"/>
    </row>
    <row r="8332" spans="1:13" s="166" customFormat="1" ht="12.75" customHeight="1">
      <c r="A8332" s="12"/>
      <c r="B8332" s="434"/>
      <c r="C8332" s="24"/>
      <c r="D8332" s="41"/>
      <c r="E8332" s="726" t="s">
        <v>4202</v>
      </c>
      <c r="F8332" s="703">
        <f>F8331/B8325</f>
        <v>16375.427483166515</v>
      </c>
      <c r="G8332" s="15"/>
      <c r="H8332" s="21"/>
      <c r="I8332" s="15"/>
      <c r="J8332" s="15"/>
      <c r="K8332" s="15"/>
      <c r="L8332" s="21"/>
      <c r="M8332" s="15"/>
    </row>
    <row r="8333" spans="1:13" s="166" customFormat="1" ht="12.75" customHeight="1">
      <c r="A8333" s="12"/>
      <c r="B8333" s="434"/>
      <c r="C8333" s="24"/>
      <c r="D8333" s="41"/>
      <c r="E8333" s="31"/>
      <c r="F8333" s="32"/>
      <c r="G8333" s="15"/>
      <c r="H8333" s="21"/>
      <c r="I8333" s="15"/>
      <c r="J8333" s="15"/>
      <c r="K8333" s="15"/>
      <c r="L8333" s="21"/>
      <c r="M8333" s="15"/>
    </row>
    <row r="8334" spans="1:13" s="166" customFormat="1" ht="12.75" customHeight="1">
      <c r="A8334" s="12"/>
      <c r="B8334" s="434"/>
      <c r="C8334" s="24"/>
      <c r="D8334" s="41"/>
      <c r="E8334" s="31"/>
      <c r="F8334" s="32"/>
      <c r="G8334" s="15"/>
      <c r="H8334" s="21"/>
      <c r="I8334" s="15"/>
      <c r="J8334" s="15"/>
      <c r="K8334" s="15"/>
      <c r="L8334" s="21"/>
      <c r="M8334" s="15"/>
    </row>
    <row r="8335" spans="1:13" s="166" customFormat="1" ht="12.75" customHeight="1">
      <c r="A8335" s="12"/>
      <c r="B8335" s="434"/>
      <c r="C8335" s="24"/>
      <c r="D8335" s="41"/>
      <c r="E8335" s="31"/>
      <c r="F8335" s="32"/>
      <c r="G8335" s="15"/>
      <c r="H8335" s="21"/>
      <c r="I8335" s="15"/>
      <c r="J8335" s="15"/>
      <c r="K8335" s="15"/>
      <c r="L8335" s="21"/>
      <c r="M8335" s="15"/>
    </row>
    <row r="8336" spans="1:13" s="166" customFormat="1" ht="12.75" customHeight="1">
      <c r="A8336" s="12"/>
      <c r="B8336" s="434"/>
      <c r="C8336" s="24"/>
      <c r="D8336" s="41"/>
      <c r="E8336" s="31"/>
      <c r="F8336" s="32"/>
      <c r="G8336" s="15"/>
      <c r="H8336" s="21"/>
      <c r="I8336" s="15"/>
      <c r="J8336" s="15"/>
      <c r="K8336" s="15"/>
      <c r="L8336" s="21"/>
      <c r="M8336" s="15"/>
    </row>
    <row r="8337" spans="1:13" s="166" customFormat="1" ht="12.75" customHeight="1">
      <c r="A8337" s="13" t="s">
        <v>1995</v>
      </c>
      <c r="B8337" s="14"/>
      <c r="C8337" s="24"/>
      <c r="D8337" s="35"/>
      <c r="E8337" s="31"/>
      <c r="F8337" s="32"/>
      <c r="G8337" s="15"/>
      <c r="H8337" s="21"/>
      <c r="I8337" s="15"/>
      <c r="J8337" s="15"/>
      <c r="K8337" s="15"/>
      <c r="L8337" s="21"/>
      <c r="M8337" s="15"/>
    </row>
    <row r="8338" spans="1:13" s="166" customFormat="1" ht="12.75" customHeight="1">
      <c r="A8338" s="12" t="s">
        <v>355</v>
      </c>
      <c r="B8338" s="434">
        <v>1.05</v>
      </c>
      <c r="C8338" s="24" t="s">
        <v>825</v>
      </c>
      <c r="D8338" s="35">
        <f>F119</f>
        <v>5459</v>
      </c>
      <c r="E8338" s="31">
        <f>B8338*D8338</f>
        <v>5731.95</v>
      </c>
      <c r="F8338" s="32"/>
      <c r="G8338" s="15"/>
      <c r="H8338" s="21"/>
      <c r="I8338" s="15"/>
      <c r="J8338" s="15"/>
      <c r="K8338" s="15"/>
      <c r="L8338" s="21"/>
      <c r="M8338" s="15"/>
    </row>
    <row r="8339" spans="1:13" s="166" customFormat="1" ht="12.75" customHeight="1">
      <c r="A8339" s="12" t="s">
        <v>173</v>
      </c>
      <c r="B8339" s="434">
        <v>0.2</v>
      </c>
      <c r="C8339" s="24" t="s">
        <v>4</v>
      </c>
      <c r="D8339" s="35">
        <f>D8296</f>
        <v>3200</v>
      </c>
      <c r="E8339" s="31">
        <f t="shared" ref="E8339:E8343" si="709">B8339*D8339</f>
        <v>640</v>
      </c>
      <c r="F8339" s="32"/>
      <c r="G8339" s="15"/>
      <c r="H8339" s="21"/>
      <c r="I8339" s="15"/>
      <c r="J8339" s="15"/>
      <c r="K8339" s="15"/>
      <c r="L8339" s="21"/>
      <c r="M8339" s="15"/>
    </row>
    <row r="8340" spans="1:13" s="166" customFormat="1" ht="12.75" customHeight="1">
      <c r="A8340" s="12" t="s">
        <v>1198</v>
      </c>
      <c r="B8340" s="434">
        <f>B8339*2</f>
        <v>0.4</v>
      </c>
      <c r="C8340" s="24" t="s">
        <v>1018</v>
      </c>
      <c r="D8340" s="35">
        <f>D8297</f>
        <v>60</v>
      </c>
      <c r="E8340" s="31">
        <f t="shared" si="709"/>
        <v>24</v>
      </c>
      <c r="F8340" s="32"/>
      <c r="G8340" s="15"/>
      <c r="H8340" s="21"/>
      <c r="I8340" s="15"/>
      <c r="J8340" s="15"/>
      <c r="K8340" s="15"/>
      <c r="L8340" s="21"/>
      <c r="M8340" s="15"/>
    </row>
    <row r="8341" spans="1:13" s="166" customFormat="1" ht="12.75" customHeight="1">
      <c r="A8341" s="12" t="s">
        <v>1037</v>
      </c>
      <c r="B8341" s="434">
        <f>B8339</f>
        <v>0.2</v>
      </c>
      <c r="C8341" s="24" t="s">
        <v>216</v>
      </c>
      <c r="D8341" s="35">
        <f>D8298</f>
        <v>535.15000000000009</v>
      </c>
      <c r="E8341" s="31">
        <f t="shared" si="709"/>
        <v>107.03000000000003</v>
      </c>
      <c r="F8341" s="32"/>
      <c r="G8341" s="15"/>
      <c r="H8341" s="21"/>
      <c r="I8341" s="15"/>
      <c r="J8341" s="15"/>
      <c r="K8341" s="15"/>
      <c r="L8341" s="21"/>
      <c r="M8341" s="15"/>
    </row>
    <row r="8342" spans="1:13" s="166" customFormat="1" ht="12.75" customHeight="1">
      <c r="A8342" s="12" t="s">
        <v>519</v>
      </c>
      <c r="B8342" s="30">
        <v>1</v>
      </c>
      <c r="C8342" s="24" t="s">
        <v>825</v>
      </c>
      <c r="D8342" s="35">
        <f>Prec.!C676</f>
        <v>698.01549999999997</v>
      </c>
      <c r="E8342" s="31">
        <f t="shared" si="709"/>
        <v>698.01549999999997</v>
      </c>
      <c r="F8342" s="32"/>
      <c r="G8342" s="15"/>
      <c r="H8342" s="21"/>
      <c r="I8342" s="15"/>
      <c r="J8342" s="15"/>
      <c r="K8342" s="15"/>
      <c r="L8342" s="21"/>
      <c r="M8342" s="15"/>
    </row>
    <row r="8343" spans="1:13" s="166" customFormat="1" ht="12.75" customHeight="1">
      <c r="A8343" s="12" t="s">
        <v>208</v>
      </c>
      <c r="B8343" s="434">
        <f>SUM(E8338:E8340)</f>
        <v>6395.95</v>
      </c>
      <c r="C8343" s="24" t="s">
        <v>209</v>
      </c>
      <c r="D8343" s="41">
        <v>0.02</v>
      </c>
      <c r="E8343" s="31">
        <f t="shared" si="709"/>
        <v>127.919</v>
      </c>
      <c r="F8343" s="32">
        <f>SUM(E8338:E8343)</f>
        <v>7328.914499999999</v>
      </c>
      <c r="G8343" s="15"/>
      <c r="H8343" s="21"/>
      <c r="I8343" s="15"/>
      <c r="J8343" s="15"/>
      <c r="K8343" s="15"/>
      <c r="L8343" s="21"/>
      <c r="M8343" s="15"/>
    </row>
    <row r="8344" spans="1:13" s="166" customFormat="1" ht="12.75" customHeight="1">
      <c r="A8344" s="12"/>
      <c r="B8344" s="434"/>
      <c r="C8344" s="24"/>
      <c r="D8344" s="41"/>
      <c r="E8344" s="31"/>
      <c r="F8344" s="32"/>
      <c r="G8344" s="15"/>
      <c r="H8344" s="21"/>
      <c r="I8344" s="15"/>
      <c r="J8344" s="15"/>
      <c r="K8344" s="15"/>
      <c r="L8344" s="21"/>
      <c r="M8344" s="15"/>
    </row>
    <row r="8345" spans="1:13" s="166" customFormat="1" ht="12.75" customHeight="1">
      <c r="A8345" s="12"/>
      <c r="B8345" s="434"/>
      <c r="C8345" s="24"/>
      <c r="D8345" s="41"/>
      <c r="E8345" s="31"/>
      <c r="F8345" s="32"/>
      <c r="G8345" s="15"/>
      <c r="H8345" s="21"/>
      <c r="I8345" s="15"/>
      <c r="J8345" s="15"/>
      <c r="K8345" s="15"/>
      <c r="L8345" s="21"/>
      <c r="M8345" s="15"/>
    </row>
    <row r="8346" spans="1:13" s="166" customFormat="1" ht="12.75" customHeight="1">
      <c r="A8346" s="13" t="s">
        <v>1998</v>
      </c>
      <c r="B8346" s="434"/>
      <c r="C8346" s="24"/>
      <c r="D8346" s="41"/>
      <c r="E8346" s="31"/>
      <c r="F8346" s="32"/>
      <c r="G8346" s="15"/>
      <c r="H8346" s="21"/>
      <c r="I8346" s="15"/>
      <c r="J8346" s="15"/>
      <c r="K8346" s="15"/>
      <c r="L8346" s="21"/>
      <c r="M8346" s="15"/>
    </row>
    <row r="8347" spans="1:13" s="166" customFormat="1" ht="12.75" customHeight="1">
      <c r="A8347" s="12" t="s">
        <v>867</v>
      </c>
      <c r="B8347" s="434">
        <v>2.16</v>
      </c>
      <c r="C8347" s="24" t="s">
        <v>825</v>
      </c>
      <c r="D8347" s="41">
        <f>Prec.!C318</f>
        <v>362.44549999999998</v>
      </c>
      <c r="E8347" s="31">
        <f t="shared" ref="E8347:E8355" si="710">B8347*D8347</f>
        <v>782.88228000000004</v>
      </c>
      <c r="F8347" s="32"/>
      <c r="G8347" s="15"/>
      <c r="H8347" s="21"/>
      <c r="I8347" s="15"/>
      <c r="J8347" s="15"/>
      <c r="K8347" s="15"/>
      <c r="L8347" s="21"/>
      <c r="M8347" s="15"/>
    </row>
    <row r="8348" spans="1:13" s="166" customFormat="1" ht="12.75" customHeight="1">
      <c r="A8348" s="12" t="s">
        <v>1989</v>
      </c>
      <c r="B8348" s="434">
        <v>2.8</v>
      </c>
      <c r="C8348" s="24" t="s">
        <v>825</v>
      </c>
      <c r="D8348" s="41">
        <f>Prec.!C324</f>
        <v>396.74999999999994</v>
      </c>
      <c r="E8348" s="31">
        <f t="shared" si="710"/>
        <v>1110.8999999999999</v>
      </c>
      <c r="F8348" s="32"/>
      <c r="G8348" s="15"/>
      <c r="H8348" s="21"/>
      <c r="I8348" s="15"/>
      <c r="J8348" s="15"/>
      <c r="K8348" s="15"/>
      <c r="L8348" s="21"/>
      <c r="M8348" s="15"/>
    </row>
    <row r="8349" spans="1:13" s="166" customFormat="1" ht="12.75" customHeight="1">
      <c r="A8349" s="12" t="s">
        <v>1990</v>
      </c>
      <c r="B8349" s="434">
        <v>0.19599999999999998</v>
      </c>
      <c r="C8349" s="24" t="s">
        <v>825</v>
      </c>
      <c r="D8349" s="41">
        <f>F8343</f>
        <v>7328.914499999999</v>
      </c>
      <c r="E8349" s="31">
        <f t="shared" si="710"/>
        <v>1436.4672419999997</v>
      </c>
      <c r="F8349" s="32"/>
      <c r="G8349" s="15"/>
      <c r="H8349" s="21"/>
      <c r="I8349" s="15"/>
      <c r="J8349" s="15"/>
      <c r="K8349" s="15"/>
      <c r="L8349" s="21"/>
      <c r="M8349" s="15"/>
    </row>
    <row r="8350" spans="1:13" s="166" customFormat="1" ht="12.75" customHeight="1">
      <c r="A8350" s="12" t="s">
        <v>1996</v>
      </c>
      <c r="B8350" s="434">
        <v>4</v>
      </c>
      <c r="C8350" s="24" t="s">
        <v>213</v>
      </c>
      <c r="D8350" s="41">
        <f>F1249</f>
        <v>1049.9899999999998</v>
      </c>
      <c r="E8350" s="31">
        <f t="shared" si="710"/>
        <v>4199.9599999999991</v>
      </c>
      <c r="F8350" s="32"/>
      <c r="G8350" s="15"/>
      <c r="H8350" s="21"/>
      <c r="I8350" s="15"/>
      <c r="J8350" s="15"/>
      <c r="K8350" s="15"/>
      <c r="L8350" s="21"/>
      <c r="M8350" s="15"/>
    </row>
    <row r="8351" spans="1:13" s="166" customFormat="1" ht="12.75" customHeight="1">
      <c r="A8351" s="12" t="s">
        <v>1991</v>
      </c>
      <c r="B8351" s="434">
        <v>4</v>
      </c>
      <c r="C8351" s="24" t="s">
        <v>213</v>
      </c>
      <c r="D8351" s="41">
        <f>F2826</f>
        <v>64.569999999999993</v>
      </c>
      <c r="E8351" s="31">
        <f t="shared" si="710"/>
        <v>258.27999999999997</v>
      </c>
      <c r="F8351" s="32"/>
      <c r="G8351" s="15"/>
      <c r="H8351" s="21"/>
      <c r="I8351" s="15"/>
      <c r="J8351" s="15"/>
      <c r="K8351" s="15"/>
      <c r="L8351" s="21"/>
      <c r="M8351" s="15"/>
    </row>
    <row r="8352" spans="1:13" s="166" customFormat="1" ht="12.75" customHeight="1">
      <c r="A8352" s="12" t="s">
        <v>1997</v>
      </c>
      <c r="B8352" s="30">
        <v>4</v>
      </c>
      <c r="C8352" s="24" t="s">
        <v>213</v>
      </c>
      <c r="D8352" s="41">
        <f>F2786</f>
        <v>362.95</v>
      </c>
      <c r="E8352" s="31">
        <f t="shared" si="710"/>
        <v>1451.8</v>
      </c>
      <c r="F8352" s="32"/>
      <c r="G8352" s="15"/>
      <c r="H8352" s="21"/>
      <c r="I8352" s="15"/>
      <c r="J8352" s="15"/>
      <c r="K8352" s="15"/>
      <c r="L8352" s="21"/>
      <c r="M8352" s="15"/>
    </row>
    <row r="8353" spans="1:13" s="166" customFormat="1" ht="12.75" customHeight="1">
      <c r="A8353" s="12" t="s">
        <v>1992</v>
      </c>
      <c r="B8353" s="30">
        <v>4</v>
      </c>
      <c r="C8353" s="24" t="s">
        <v>1171</v>
      </c>
      <c r="D8353" s="41">
        <f>F3839</f>
        <v>102.78999999999999</v>
      </c>
      <c r="E8353" s="31">
        <f t="shared" si="710"/>
        <v>411.15999999999997</v>
      </c>
      <c r="F8353" s="32"/>
      <c r="G8353" s="15"/>
      <c r="H8353" s="21"/>
      <c r="I8353" s="15"/>
      <c r="J8353" s="15"/>
      <c r="K8353" s="15"/>
      <c r="L8353" s="21"/>
      <c r="M8353" s="15"/>
    </row>
    <row r="8354" spans="1:13" s="166" customFormat="1" ht="12.75" customHeight="1">
      <c r="A8354" s="12" t="s">
        <v>1994</v>
      </c>
      <c r="B8354" s="30">
        <v>1</v>
      </c>
      <c r="C8354" s="24" t="s">
        <v>1017</v>
      </c>
      <c r="D8354" s="41">
        <v>800</v>
      </c>
      <c r="E8354" s="31">
        <f t="shared" si="710"/>
        <v>800</v>
      </c>
      <c r="F8354" s="32"/>
      <c r="G8354" s="15"/>
      <c r="H8354" s="21"/>
      <c r="I8354" s="15"/>
      <c r="J8354" s="15"/>
      <c r="K8354" s="15"/>
      <c r="L8354" s="21"/>
      <c r="M8354" s="15"/>
    </row>
    <row r="8355" spans="1:13" s="166" customFormat="1" ht="12.75" customHeight="1">
      <c r="A8355" s="12" t="s">
        <v>1993</v>
      </c>
      <c r="B8355" s="30">
        <f>1.4*1.4</f>
        <v>1.9599999999999997</v>
      </c>
      <c r="C8355" s="24" t="s">
        <v>213</v>
      </c>
      <c r="D8355" s="41">
        <f>F5879</f>
        <v>206.24</v>
      </c>
      <c r="E8355" s="31">
        <f t="shared" si="710"/>
        <v>404.23039999999997</v>
      </c>
      <c r="F8355" s="32">
        <f>SUM(E8347:E8355)</f>
        <v>10855.679921999999</v>
      </c>
      <c r="G8355" s="15"/>
      <c r="H8355" s="21"/>
      <c r="I8355" s="15"/>
      <c r="J8355" s="15"/>
      <c r="K8355" s="15"/>
      <c r="L8355" s="21"/>
      <c r="M8355" s="15"/>
    </row>
    <row r="8356" spans="1:13" s="166" customFormat="1" ht="12.75" customHeight="1">
      <c r="A8356" s="12"/>
      <c r="B8356" s="434"/>
      <c r="C8356" s="24"/>
      <c r="D8356" s="41"/>
      <c r="E8356" s="31"/>
      <c r="F8356" s="32"/>
      <c r="G8356" s="15"/>
      <c r="H8356" s="21"/>
      <c r="I8356" s="15"/>
      <c r="J8356" s="15"/>
      <c r="K8356" s="15"/>
      <c r="L8356" s="21"/>
      <c r="M8356" s="15"/>
    </row>
    <row r="8357" spans="1:13" s="166" customFormat="1" ht="12.75" customHeight="1">
      <c r="A8357" s="13" t="s">
        <v>1999</v>
      </c>
      <c r="B8357" s="434"/>
      <c r="C8357" s="24"/>
      <c r="D8357" s="41"/>
      <c r="E8357" s="31"/>
      <c r="F8357" s="32"/>
      <c r="G8357" s="15"/>
      <c r="H8357" s="21"/>
      <c r="I8357" s="15"/>
      <c r="J8357" s="15"/>
      <c r="K8357" s="15"/>
      <c r="L8357" s="21"/>
      <c r="M8357" s="15"/>
    </row>
    <row r="8358" spans="1:13" s="166" customFormat="1" ht="12.75" customHeight="1">
      <c r="A8358" s="12" t="s">
        <v>867</v>
      </c>
      <c r="B8358" s="434">
        <f>1.6*1.6*1.25</f>
        <v>3.2000000000000006</v>
      </c>
      <c r="C8358" s="24" t="s">
        <v>825</v>
      </c>
      <c r="D8358" s="41">
        <f>D8347</f>
        <v>362.44549999999998</v>
      </c>
      <c r="E8358" s="31">
        <f t="shared" ref="E8358:E8366" si="711">B8358*D8358</f>
        <v>1159.8256000000001</v>
      </c>
      <c r="F8358" s="32"/>
      <c r="G8358" s="15"/>
      <c r="H8358" s="21"/>
      <c r="I8358" s="15"/>
      <c r="J8358" s="15"/>
      <c r="K8358" s="15"/>
      <c r="L8358" s="21"/>
      <c r="M8358" s="15"/>
    </row>
    <row r="8359" spans="1:13" s="166" customFormat="1" ht="12.75" customHeight="1">
      <c r="A8359" s="12" t="s">
        <v>1989</v>
      </c>
      <c r="B8359" s="434">
        <f>B8358*1.3</f>
        <v>4.160000000000001</v>
      </c>
      <c r="C8359" s="24" t="s">
        <v>825</v>
      </c>
      <c r="D8359" s="41">
        <f t="shared" ref="D8359:D8366" si="712">D8348</f>
        <v>396.74999999999994</v>
      </c>
      <c r="E8359" s="31">
        <f t="shared" si="711"/>
        <v>1650.4800000000002</v>
      </c>
      <c r="F8359" s="32"/>
      <c r="G8359" s="15"/>
      <c r="H8359" s="21"/>
      <c r="I8359" s="15"/>
      <c r="J8359" s="15"/>
      <c r="K8359" s="15"/>
      <c r="L8359" s="21"/>
      <c r="M8359" s="15"/>
    </row>
    <row r="8360" spans="1:13" s="166" customFormat="1" ht="12.75" customHeight="1">
      <c r="A8360" s="12" t="s">
        <v>1990</v>
      </c>
      <c r="B8360" s="434">
        <f>1.6*1.6*0.1</f>
        <v>0.25600000000000006</v>
      </c>
      <c r="C8360" s="24" t="s">
        <v>825</v>
      </c>
      <c r="D8360" s="41">
        <f t="shared" si="712"/>
        <v>7328.914499999999</v>
      </c>
      <c r="E8360" s="31">
        <f t="shared" si="711"/>
        <v>1876.2021120000002</v>
      </c>
      <c r="F8360" s="32"/>
      <c r="G8360" s="15"/>
      <c r="H8360" s="21"/>
      <c r="I8360" s="15"/>
      <c r="J8360" s="15"/>
      <c r="K8360" s="15"/>
      <c r="L8360" s="21"/>
      <c r="M8360" s="15"/>
    </row>
    <row r="8361" spans="1:13" s="166" customFormat="1" ht="12.75" customHeight="1">
      <c r="A8361" s="12" t="s">
        <v>1996</v>
      </c>
      <c r="B8361" s="434">
        <f>1.2*4*1.15</f>
        <v>5.52</v>
      </c>
      <c r="C8361" s="24" t="s">
        <v>213</v>
      </c>
      <c r="D8361" s="41">
        <f t="shared" si="712"/>
        <v>1049.9899999999998</v>
      </c>
      <c r="E8361" s="31">
        <f t="shared" si="711"/>
        <v>5795.9447999999984</v>
      </c>
      <c r="F8361" s="32"/>
      <c r="G8361" s="15"/>
      <c r="H8361" s="21"/>
      <c r="I8361" s="15"/>
      <c r="J8361" s="15"/>
      <c r="K8361" s="15"/>
      <c r="L8361" s="21"/>
      <c r="M8361" s="15"/>
    </row>
    <row r="8362" spans="1:13" s="166" customFormat="1" ht="12.75" customHeight="1">
      <c r="A8362" s="12" t="s">
        <v>1991</v>
      </c>
      <c r="B8362" s="434">
        <f>1.2*4*1.15</f>
        <v>5.52</v>
      </c>
      <c r="C8362" s="24" t="s">
        <v>213</v>
      </c>
      <c r="D8362" s="41">
        <f t="shared" si="712"/>
        <v>64.569999999999993</v>
      </c>
      <c r="E8362" s="31">
        <f t="shared" si="711"/>
        <v>356.42639999999994</v>
      </c>
      <c r="F8362" s="32"/>
      <c r="G8362" s="15"/>
      <c r="H8362" s="21"/>
      <c r="I8362" s="15"/>
      <c r="J8362" s="15"/>
      <c r="K8362" s="15"/>
      <c r="L8362" s="21"/>
      <c r="M8362" s="15"/>
    </row>
    <row r="8363" spans="1:13" s="166" customFormat="1" ht="12.75" customHeight="1">
      <c r="A8363" s="12" t="s">
        <v>1997</v>
      </c>
      <c r="B8363" s="30">
        <f>B8362</f>
        <v>5.52</v>
      </c>
      <c r="C8363" s="24" t="s">
        <v>213</v>
      </c>
      <c r="D8363" s="41">
        <f t="shared" si="712"/>
        <v>362.95</v>
      </c>
      <c r="E8363" s="31">
        <f t="shared" si="711"/>
        <v>2003.4839999999997</v>
      </c>
      <c r="F8363" s="32"/>
      <c r="G8363" s="15"/>
      <c r="H8363" s="21"/>
      <c r="I8363" s="15"/>
      <c r="J8363" s="15"/>
      <c r="K8363" s="15"/>
      <c r="L8363" s="21"/>
      <c r="M8363" s="15"/>
    </row>
    <row r="8364" spans="1:13" s="166" customFormat="1" ht="12.75" customHeight="1">
      <c r="A8364" s="12" t="s">
        <v>1992</v>
      </c>
      <c r="B8364" s="30">
        <f>1.2*4</f>
        <v>4.8</v>
      </c>
      <c r="C8364" s="24" t="s">
        <v>1171</v>
      </c>
      <c r="D8364" s="41">
        <f t="shared" si="712"/>
        <v>102.78999999999999</v>
      </c>
      <c r="E8364" s="31">
        <f t="shared" si="711"/>
        <v>493.39199999999994</v>
      </c>
      <c r="F8364" s="32"/>
      <c r="G8364" s="15"/>
      <c r="H8364" s="21"/>
      <c r="I8364" s="15"/>
      <c r="J8364" s="15"/>
      <c r="K8364" s="15"/>
      <c r="L8364" s="21"/>
      <c r="M8364" s="15"/>
    </row>
    <row r="8365" spans="1:13" s="166" customFormat="1" ht="12.75" customHeight="1">
      <c r="A8365" s="12" t="s">
        <v>1994</v>
      </c>
      <c r="B8365" s="30">
        <v>1</v>
      </c>
      <c r="C8365" s="24" t="s">
        <v>1017</v>
      </c>
      <c r="D8365" s="41">
        <f t="shared" si="712"/>
        <v>800</v>
      </c>
      <c r="E8365" s="31">
        <f t="shared" si="711"/>
        <v>800</v>
      </c>
      <c r="F8365" s="32"/>
      <c r="G8365" s="15"/>
      <c r="H8365" s="21"/>
      <c r="I8365" s="15"/>
      <c r="J8365" s="15"/>
      <c r="K8365" s="15"/>
      <c r="L8365" s="21"/>
      <c r="M8365" s="15"/>
    </row>
    <row r="8366" spans="1:13" s="166" customFormat="1" ht="12.75" customHeight="1">
      <c r="A8366" s="12" t="s">
        <v>1993</v>
      </c>
      <c r="B8366" s="30">
        <f>1.6*1.6</f>
        <v>2.5600000000000005</v>
      </c>
      <c r="C8366" s="24" t="s">
        <v>213</v>
      </c>
      <c r="D8366" s="41">
        <f t="shared" si="712"/>
        <v>206.24</v>
      </c>
      <c r="E8366" s="31">
        <f t="shared" si="711"/>
        <v>527.97440000000017</v>
      </c>
      <c r="F8366" s="32">
        <f>SUM(E8358:E8366)</f>
        <v>14663.729312000001</v>
      </c>
      <c r="G8366" s="15"/>
      <c r="H8366" s="21"/>
      <c r="I8366" s="15"/>
      <c r="J8366" s="15"/>
      <c r="K8366" s="15"/>
      <c r="L8366" s="21"/>
      <c r="M8366" s="15"/>
    </row>
    <row r="8367" spans="1:13" s="166" customFormat="1" ht="12.75" customHeight="1">
      <c r="A8367" s="12"/>
      <c r="B8367" s="434"/>
      <c r="C8367" s="24"/>
      <c r="D8367" s="41"/>
      <c r="E8367" s="31"/>
      <c r="F8367" s="32"/>
      <c r="G8367" s="15"/>
      <c r="H8367" s="21"/>
      <c r="I8367" s="15"/>
      <c r="J8367" s="15"/>
      <c r="K8367" s="15"/>
      <c r="L8367" s="21"/>
      <c r="M8367" s="15"/>
    </row>
    <row r="8368" spans="1:13" s="166" customFormat="1" ht="12.75" customHeight="1">
      <c r="A8368" s="13" t="s">
        <v>2000</v>
      </c>
      <c r="B8368" s="434"/>
      <c r="C8368" s="24"/>
      <c r="D8368" s="41"/>
      <c r="E8368" s="31"/>
      <c r="F8368" s="32"/>
      <c r="G8368" s="15"/>
      <c r="H8368" s="21"/>
      <c r="I8368" s="15"/>
      <c r="J8368" s="15"/>
      <c r="K8368" s="15"/>
      <c r="L8368" s="21"/>
      <c r="M8368" s="15"/>
    </row>
    <row r="8369" spans="1:13" s="166" customFormat="1" ht="12.75" customHeight="1">
      <c r="A8369" s="12" t="s">
        <v>867</v>
      </c>
      <c r="B8369" s="434">
        <f>1.8*1.8*1.35</f>
        <v>4.3740000000000006</v>
      </c>
      <c r="C8369" s="24" t="s">
        <v>825</v>
      </c>
      <c r="D8369" s="41">
        <f>D8358</f>
        <v>362.44549999999998</v>
      </c>
      <c r="E8369" s="31">
        <f t="shared" ref="E8369:E8377" si="713">B8369*D8369</f>
        <v>1585.3366170000002</v>
      </c>
      <c r="F8369" s="32"/>
      <c r="G8369" s="15"/>
      <c r="H8369" s="21"/>
      <c r="I8369" s="15"/>
      <c r="J8369" s="15"/>
      <c r="K8369" s="15"/>
      <c r="L8369" s="21"/>
      <c r="M8369" s="15"/>
    </row>
    <row r="8370" spans="1:13" s="166" customFormat="1" ht="12.75" customHeight="1">
      <c r="A8370" s="12" t="s">
        <v>1989</v>
      </c>
      <c r="B8370" s="434">
        <f>B8369*1.3</f>
        <v>5.6862000000000013</v>
      </c>
      <c r="C8370" s="24" t="s">
        <v>825</v>
      </c>
      <c r="D8370" s="41">
        <f t="shared" ref="D8370:D8377" si="714">D8359</f>
        <v>396.74999999999994</v>
      </c>
      <c r="E8370" s="31">
        <f t="shared" si="713"/>
        <v>2255.9998500000002</v>
      </c>
      <c r="F8370" s="32"/>
      <c r="G8370" s="15"/>
      <c r="H8370" s="21"/>
      <c r="I8370" s="15"/>
      <c r="J8370" s="15"/>
      <c r="K8370" s="15"/>
      <c r="L8370" s="21"/>
      <c r="M8370" s="15"/>
    </row>
    <row r="8371" spans="1:13" s="166" customFormat="1" ht="12.75" customHeight="1">
      <c r="A8371" s="12" t="s">
        <v>1990</v>
      </c>
      <c r="B8371" s="434">
        <f>1.8*1.8*0.1</f>
        <v>0.32400000000000007</v>
      </c>
      <c r="C8371" s="24" t="s">
        <v>825</v>
      </c>
      <c r="D8371" s="41">
        <f t="shared" si="714"/>
        <v>7328.914499999999</v>
      </c>
      <c r="E8371" s="31">
        <f t="shared" si="713"/>
        <v>2374.5682980000001</v>
      </c>
      <c r="F8371" s="32"/>
      <c r="G8371" s="15"/>
      <c r="H8371" s="21"/>
      <c r="I8371" s="15"/>
      <c r="J8371" s="15"/>
      <c r="K8371" s="15"/>
      <c r="L8371" s="21"/>
      <c r="M8371" s="15"/>
    </row>
    <row r="8372" spans="1:13" s="166" customFormat="1" ht="12.75" customHeight="1">
      <c r="A8372" s="12" t="s">
        <v>1996</v>
      </c>
      <c r="B8372" s="434">
        <f>1.4*4*1.75</f>
        <v>9.7999999999999989</v>
      </c>
      <c r="C8372" s="24" t="s">
        <v>213</v>
      </c>
      <c r="D8372" s="41">
        <f t="shared" si="714"/>
        <v>1049.9899999999998</v>
      </c>
      <c r="E8372" s="31">
        <f t="shared" si="713"/>
        <v>10289.901999999996</v>
      </c>
      <c r="F8372" s="32"/>
      <c r="G8372" s="15"/>
      <c r="H8372" s="21"/>
      <c r="I8372" s="15"/>
      <c r="J8372" s="15"/>
      <c r="K8372" s="15"/>
      <c r="L8372" s="21"/>
      <c r="M8372" s="15"/>
    </row>
    <row r="8373" spans="1:13" s="166" customFormat="1" ht="12.75" customHeight="1">
      <c r="A8373" s="12" t="s">
        <v>1991</v>
      </c>
      <c r="B8373" s="434">
        <f>1.4*4*1.75</f>
        <v>9.7999999999999989</v>
      </c>
      <c r="C8373" s="24" t="s">
        <v>213</v>
      </c>
      <c r="D8373" s="41">
        <f t="shared" si="714"/>
        <v>64.569999999999993</v>
      </c>
      <c r="E8373" s="31">
        <f t="shared" si="713"/>
        <v>632.78599999999983</v>
      </c>
      <c r="F8373" s="32"/>
      <c r="G8373" s="15"/>
      <c r="H8373" s="21"/>
      <c r="I8373" s="15"/>
      <c r="J8373" s="15"/>
      <c r="K8373" s="15"/>
      <c r="L8373" s="21"/>
      <c r="M8373" s="15"/>
    </row>
    <row r="8374" spans="1:13" s="166" customFormat="1" ht="12.75" customHeight="1">
      <c r="A8374" s="12" t="s">
        <v>1997</v>
      </c>
      <c r="B8374" s="30">
        <f>B8373</f>
        <v>9.7999999999999989</v>
      </c>
      <c r="C8374" s="24" t="s">
        <v>213</v>
      </c>
      <c r="D8374" s="41">
        <f t="shared" si="714"/>
        <v>362.95</v>
      </c>
      <c r="E8374" s="31">
        <f t="shared" si="713"/>
        <v>3556.9099999999994</v>
      </c>
      <c r="F8374" s="32"/>
      <c r="G8374" s="15"/>
      <c r="H8374" s="21"/>
      <c r="I8374" s="15"/>
      <c r="J8374" s="15"/>
      <c r="K8374" s="15"/>
      <c r="L8374" s="21"/>
      <c r="M8374" s="15"/>
    </row>
    <row r="8375" spans="1:13" s="166" customFormat="1" ht="12.75" customHeight="1">
      <c r="A8375" s="12" t="s">
        <v>1992</v>
      </c>
      <c r="B8375" s="30">
        <f>1.4*4</f>
        <v>5.6</v>
      </c>
      <c r="C8375" s="24" t="s">
        <v>1171</v>
      </c>
      <c r="D8375" s="41">
        <f t="shared" si="714"/>
        <v>102.78999999999999</v>
      </c>
      <c r="E8375" s="31">
        <f t="shared" si="713"/>
        <v>575.62399999999991</v>
      </c>
      <c r="F8375" s="32"/>
      <c r="G8375" s="15"/>
      <c r="H8375" s="21"/>
      <c r="I8375" s="15"/>
      <c r="J8375" s="15"/>
      <c r="K8375" s="15"/>
      <c r="L8375" s="21"/>
      <c r="M8375" s="15"/>
    </row>
    <row r="8376" spans="1:13" s="166" customFormat="1" ht="12.75" customHeight="1">
      <c r="A8376" s="12" t="s">
        <v>1994</v>
      </c>
      <c r="B8376" s="30">
        <v>1</v>
      </c>
      <c r="C8376" s="24" t="s">
        <v>1017</v>
      </c>
      <c r="D8376" s="41">
        <v>800</v>
      </c>
      <c r="E8376" s="31">
        <f t="shared" si="713"/>
        <v>800</v>
      </c>
      <c r="F8376" s="32"/>
      <c r="G8376" s="15"/>
      <c r="H8376" s="21"/>
      <c r="I8376" s="15"/>
      <c r="J8376" s="15"/>
      <c r="K8376" s="15"/>
      <c r="L8376" s="21"/>
      <c r="M8376" s="15"/>
    </row>
    <row r="8377" spans="1:13" s="166" customFormat="1" ht="12.75" customHeight="1">
      <c r="A8377" s="12" t="s">
        <v>1993</v>
      </c>
      <c r="B8377" s="30">
        <f>1.8*1.8</f>
        <v>3.24</v>
      </c>
      <c r="C8377" s="24" t="s">
        <v>213</v>
      </c>
      <c r="D8377" s="41">
        <f t="shared" si="714"/>
        <v>206.24</v>
      </c>
      <c r="E8377" s="31">
        <f t="shared" si="713"/>
        <v>668.21760000000006</v>
      </c>
      <c r="F8377" s="32">
        <f>SUM(E8369:E8377)</f>
        <v>22739.344364999997</v>
      </c>
      <c r="G8377" s="15"/>
      <c r="H8377" s="21"/>
      <c r="I8377" s="15"/>
      <c r="J8377" s="15"/>
      <c r="K8377" s="15"/>
      <c r="L8377" s="21"/>
      <c r="M8377" s="15"/>
    </row>
    <row r="8378" spans="1:13" s="166" customFormat="1" ht="12.75" customHeight="1">
      <c r="A8378" s="12"/>
      <c r="B8378" s="434"/>
      <c r="C8378" s="24"/>
      <c r="D8378" s="41"/>
      <c r="E8378" s="31"/>
      <c r="F8378" s="32"/>
      <c r="G8378" s="15"/>
      <c r="H8378" s="21"/>
      <c r="I8378" s="15"/>
      <c r="J8378" s="15"/>
      <c r="K8378" s="15"/>
      <c r="L8378" s="21"/>
      <c r="M8378" s="15"/>
    </row>
    <row r="8379" spans="1:13" s="166" customFormat="1" ht="12.75" customHeight="1">
      <c r="A8379" s="12"/>
      <c r="B8379" s="434"/>
      <c r="C8379" s="24"/>
      <c r="D8379" s="41"/>
      <c r="E8379" s="31"/>
      <c r="F8379" s="32"/>
      <c r="G8379" s="15"/>
      <c r="H8379" s="21"/>
      <c r="I8379" s="15"/>
      <c r="J8379" s="15"/>
      <c r="K8379" s="15"/>
      <c r="L8379" s="21"/>
      <c r="M8379" s="15"/>
    </row>
    <row r="8380" spans="1:13" s="166" customFormat="1" ht="12.75" customHeight="1">
      <c r="A8380" s="12"/>
      <c r="B8380" s="434"/>
      <c r="C8380" s="24"/>
      <c r="D8380" s="41"/>
      <c r="E8380" s="31"/>
      <c r="F8380" s="32"/>
      <c r="G8380" s="15"/>
      <c r="H8380" s="21"/>
      <c r="I8380" s="15"/>
      <c r="J8380" s="15"/>
      <c r="K8380" s="15"/>
      <c r="L8380" s="21"/>
      <c r="M8380" s="15"/>
    </row>
    <row r="8381" spans="1:13" s="166" customFormat="1" ht="12.75" customHeight="1">
      <c r="A8381" s="12"/>
      <c r="B8381" s="434"/>
      <c r="C8381" s="24"/>
      <c r="D8381" s="41"/>
      <c r="E8381" s="31"/>
      <c r="F8381" s="32"/>
      <c r="G8381" s="15"/>
      <c r="H8381" s="21"/>
      <c r="I8381" s="15"/>
      <c r="J8381" s="15"/>
      <c r="K8381" s="15"/>
      <c r="L8381" s="21"/>
      <c r="M8381" s="15"/>
    </row>
    <row r="8382" spans="1:13" ht="12.75" customHeight="1">
      <c r="A8382" s="13" t="s">
        <v>356</v>
      </c>
      <c r="B8382" s="434"/>
      <c r="C8382" s="24"/>
      <c r="D8382" s="41"/>
      <c r="E8382" s="31"/>
      <c r="F8382" s="32"/>
    </row>
    <row r="8383" spans="1:13" ht="12.75" customHeight="1">
      <c r="A8383" s="12" t="s">
        <v>355</v>
      </c>
      <c r="B8383" s="434">
        <v>1.05</v>
      </c>
      <c r="C8383" s="24" t="s">
        <v>825</v>
      </c>
      <c r="D8383" s="41">
        <f>D8200</f>
        <v>5459</v>
      </c>
      <c r="E8383" s="31">
        <f t="shared" si="687"/>
        <v>5731.95</v>
      </c>
      <c r="F8383" s="32"/>
    </row>
    <row r="8384" spans="1:13" ht="12.75" customHeight="1">
      <c r="A8384" s="12" t="s">
        <v>173</v>
      </c>
      <c r="B8384" s="434">
        <v>1.091</v>
      </c>
      <c r="C8384" s="24" t="s">
        <v>4</v>
      </c>
      <c r="D8384" s="41">
        <f>D8201</f>
        <v>3200</v>
      </c>
      <c r="E8384" s="31">
        <f t="shared" si="687"/>
        <v>3491.2</v>
      </c>
      <c r="F8384" s="32"/>
    </row>
    <row r="8385" spans="1:13" ht="12.75" customHeight="1">
      <c r="A8385" s="12" t="s">
        <v>578</v>
      </c>
      <c r="B8385" s="434">
        <v>1.62</v>
      </c>
      <c r="C8385" s="24" t="s">
        <v>4</v>
      </c>
      <c r="D8385" s="41">
        <f>D8384</f>
        <v>3200</v>
      </c>
      <c r="E8385" s="31">
        <f t="shared" si="687"/>
        <v>5184</v>
      </c>
      <c r="F8385" s="32"/>
    </row>
    <row r="8386" spans="1:13" ht="12.75" customHeight="1">
      <c r="A8386" s="12" t="s">
        <v>1198</v>
      </c>
      <c r="B8386" s="434">
        <f>B8387*2</f>
        <v>5.4220000000000006</v>
      </c>
      <c r="C8386" s="24" t="s">
        <v>1018</v>
      </c>
      <c r="D8386" s="41">
        <f>D8202</f>
        <v>60</v>
      </c>
      <c r="E8386" s="31">
        <f t="shared" si="687"/>
        <v>325.32000000000005</v>
      </c>
      <c r="F8386" s="32"/>
    </row>
    <row r="8387" spans="1:13" ht="12.75" customHeight="1">
      <c r="A8387" s="12" t="s">
        <v>1037</v>
      </c>
      <c r="B8387" s="434">
        <f>SUM(B8384:B8385)</f>
        <v>2.7110000000000003</v>
      </c>
      <c r="C8387" s="24" t="s">
        <v>216</v>
      </c>
      <c r="D8387" s="41">
        <f>D8203</f>
        <v>0</v>
      </c>
      <c r="E8387" s="31">
        <f t="shared" si="687"/>
        <v>0</v>
      </c>
      <c r="F8387" s="32"/>
    </row>
    <row r="8388" spans="1:13" ht="12.75" customHeight="1">
      <c r="A8388" s="12" t="s">
        <v>154</v>
      </c>
      <c r="B8388" s="434">
        <v>16.667000000000002</v>
      </c>
      <c r="C8388" s="24" t="s">
        <v>1171</v>
      </c>
      <c r="D8388" s="41">
        <v>315</v>
      </c>
      <c r="E8388" s="31">
        <f t="shared" si="687"/>
        <v>5250.1050000000005</v>
      </c>
      <c r="F8388" s="32"/>
    </row>
    <row r="8389" spans="1:13" ht="12.75" customHeight="1">
      <c r="A8389" s="12" t="s">
        <v>519</v>
      </c>
      <c r="B8389" s="434">
        <v>1.05</v>
      </c>
      <c r="C8389" s="24" t="s">
        <v>825</v>
      </c>
      <c r="D8389" s="41">
        <f>D8205</f>
        <v>606.97</v>
      </c>
      <c r="E8389" s="31">
        <f t="shared" si="687"/>
        <v>637.31850000000009</v>
      </c>
      <c r="F8389" s="32"/>
    </row>
    <row r="8390" spans="1:13" ht="12.75" customHeight="1">
      <c r="A8390" s="12" t="s">
        <v>208</v>
      </c>
      <c r="B8390" s="434">
        <f>SUM(E8383:E8389)</f>
        <v>20619.893500000002</v>
      </c>
      <c r="C8390" s="24" t="s">
        <v>209</v>
      </c>
      <c r="D8390" s="41">
        <f>D8206</f>
        <v>1.4999999999999999E-2</v>
      </c>
      <c r="E8390" s="31">
        <f t="shared" si="687"/>
        <v>309.29840250000001</v>
      </c>
      <c r="F8390" s="32">
        <f>SUM(E8383:E8390)</f>
        <v>20929.191902500002</v>
      </c>
    </row>
    <row r="8391" spans="1:13" ht="12.75" customHeight="1">
      <c r="A8391" s="12"/>
      <c r="B8391" s="434"/>
      <c r="C8391" s="24"/>
      <c r="D8391" s="41"/>
      <c r="E8391" s="31"/>
      <c r="F8391" s="32"/>
    </row>
    <row r="8392" spans="1:13" s="166" customFormat="1" ht="12.75" customHeight="1">
      <c r="A8392" s="698" t="s">
        <v>4196</v>
      </c>
      <c r="B8392" s="699"/>
      <c r="C8392" s="700"/>
      <c r="D8392" s="701"/>
      <c r="E8392" s="702"/>
      <c r="F8392" s="703"/>
      <c r="G8392" s="15"/>
      <c r="H8392" s="21"/>
      <c r="I8392" s="15"/>
      <c r="J8392" s="15"/>
      <c r="K8392" s="15"/>
      <c r="L8392" s="21"/>
      <c r="M8392" s="15"/>
    </row>
    <row r="8393" spans="1:13" s="166" customFormat="1" ht="12.75" customHeight="1">
      <c r="A8393" s="704" t="s">
        <v>1681</v>
      </c>
      <c r="B8393" s="699">
        <v>1.05</v>
      </c>
      <c r="C8393" s="700" t="s">
        <v>825</v>
      </c>
      <c r="D8393" s="701">
        <f>Prec.!C36</f>
        <v>6850</v>
      </c>
      <c r="E8393" s="702">
        <f t="shared" ref="E8393:E8400" si="715">B8393*D8393</f>
        <v>7192.5</v>
      </c>
      <c r="F8393" s="703"/>
      <c r="G8393" s="15"/>
      <c r="H8393" s="21"/>
      <c r="I8393" s="15"/>
      <c r="J8393" s="15"/>
      <c r="K8393" s="15"/>
      <c r="L8393" s="21"/>
      <c r="M8393" s="15"/>
    </row>
    <row r="8394" spans="1:13" s="166" customFormat="1" ht="12.75" customHeight="1">
      <c r="A8394" s="704" t="s">
        <v>1686</v>
      </c>
      <c r="B8394" s="699">
        <v>5.13</v>
      </c>
      <c r="C8394" s="700" t="s">
        <v>4</v>
      </c>
      <c r="D8394" s="701">
        <f>D8384</f>
        <v>3200</v>
      </c>
      <c r="E8394" s="702">
        <f t="shared" si="715"/>
        <v>16416</v>
      </c>
      <c r="F8394" s="703"/>
      <c r="G8394" s="15"/>
      <c r="H8394" s="21"/>
      <c r="I8394" s="15"/>
      <c r="J8394" s="15"/>
      <c r="K8394" s="15"/>
      <c r="L8394" s="21"/>
      <c r="M8394" s="15"/>
    </row>
    <row r="8395" spans="1:13" s="166" customFormat="1" ht="12.75" customHeight="1">
      <c r="A8395" s="704" t="s">
        <v>1198</v>
      </c>
      <c r="B8395" s="699">
        <f>B8396*2</f>
        <v>10.26</v>
      </c>
      <c r="C8395" s="700" t="s">
        <v>1018</v>
      </c>
      <c r="D8395" s="701">
        <f>D8386</f>
        <v>60</v>
      </c>
      <c r="E8395" s="702">
        <f t="shared" si="715"/>
        <v>615.6</v>
      </c>
      <c r="F8395" s="703"/>
      <c r="G8395" s="15"/>
      <c r="H8395" s="21"/>
      <c r="I8395" s="15"/>
      <c r="J8395" s="15"/>
      <c r="K8395" s="15"/>
      <c r="L8395" s="21"/>
      <c r="M8395" s="15"/>
    </row>
    <row r="8396" spans="1:13" s="166" customFormat="1" ht="12.75" customHeight="1">
      <c r="A8396" s="704" t="s">
        <v>1037</v>
      </c>
      <c r="B8396" s="699">
        <f>SUM(B8394:B8394)</f>
        <v>5.13</v>
      </c>
      <c r="C8396" s="700" t="s">
        <v>216</v>
      </c>
      <c r="D8396" s="701">
        <f>Prec.!C350</f>
        <v>486.5</v>
      </c>
      <c r="E8396" s="702">
        <f t="shared" si="715"/>
        <v>2495.7449999999999</v>
      </c>
      <c r="F8396" s="703"/>
      <c r="G8396" s="15"/>
      <c r="H8396" s="21"/>
      <c r="I8396" s="15"/>
      <c r="J8396" s="15"/>
      <c r="K8396" s="15"/>
      <c r="L8396" s="21"/>
      <c r="M8396" s="15"/>
    </row>
    <row r="8397" spans="1:13" s="166" customFormat="1" ht="12.75" customHeight="1">
      <c r="A8397" s="704" t="s">
        <v>4422</v>
      </c>
      <c r="B8397" s="699">
        <v>13.89</v>
      </c>
      <c r="C8397" s="700" t="s">
        <v>1171</v>
      </c>
      <c r="D8397" s="701">
        <v>309.22000000000003</v>
      </c>
      <c r="E8397" s="702">
        <f t="shared" si="715"/>
        <v>4295.0658000000003</v>
      </c>
      <c r="F8397" s="703"/>
      <c r="G8397" s="15"/>
      <c r="H8397" s="21"/>
      <c r="I8397" s="15"/>
      <c r="J8397" s="15"/>
      <c r="K8397" s="15"/>
      <c r="L8397" s="21"/>
      <c r="M8397" s="15"/>
    </row>
    <row r="8398" spans="1:13" s="166" customFormat="1" ht="12.75" customHeight="1">
      <c r="A8398" s="704" t="s">
        <v>4383</v>
      </c>
      <c r="B8398" s="699">
        <f>(0.2+0.36+0.36)*B8397</f>
        <v>12.7788</v>
      </c>
      <c r="C8398" s="700" t="s">
        <v>1333</v>
      </c>
      <c r="D8398" s="701">
        <v>33.14</v>
      </c>
      <c r="E8398" s="702">
        <f t="shared" si="715"/>
        <v>423.48943200000002</v>
      </c>
      <c r="F8398" s="703"/>
      <c r="G8398" s="15"/>
      <c r="H8398" s="21"/>
      <c r="I8398" s="15"/>
      <c r="J8398" s="15"/>
      <c r="K8398" s="15"/>
      <c r="L8398" s="21"/>
      <c r="M8398" s="15"/>
    </row>
    <row r="8399" spans="1:13" s="166" customFormat="1" ht="12.75" customHeight="1">
      <c r="A8399" s="704" t="s">
        <v>1688</v>
      </c>
      <c r="B8399" s="699">
        <v>1</v>
      </c>
      <c r="C8399" s="700" t="s">
        <v>825</v>
      </c>
      <c r="D8399" s="701">
        <f>Prec.!C675</f>
        <v>600.29999999999995</v>
      </c>
      <c r="E8399" s="702"/>
      <c r="F8399" s="703"/>
      <c r="G8399" s="15"/>
      <c r="H8399" s="21"/>
      <c r="I8399" s="15"/>
      <c r="J8399" s="15"/>
      <c r="K8399" s="15"/>
      <c r="L8399" s="21"/>
      <c r="M8399" s="15"/>
    </row>
    <row r="8400" spans="1:13" s="166" customFormat="1" ht="12.75" customHeight="1">
      <c r="A8400" s="704" t="s">
        <v>208</v>
      </c>
      <c r="B8400" s="699">
        <f>SUM(E8393:E8395)</f>
        <v>24224.1</v>
      </c>
      <c r="C8400" s="700" t="s">
        <v>209</v>
      </c>
      <c r="D8400" s="701">
        <v>0.02</v>
      </c>
      <c r="E8400" s="702">
        <f t="shared" si="715"/>
        <v>484.48199999999997</v>
      </c>
      <c r="F8400" s="703">
        <f>SUM(E8393:E8400)</f>
        <v>31922.882231999996</v>
      </c>
      <c r="G8400" s="15"/>
      <c r="H8400" s="21"/>
      <c r="I8400" s="15"/>
      <c r="J8400" s="15"/>
      <c r="K8400" s="15"/>
      <c r="L8400" s="21"/>
      <c r="M8400" s="15"/>
    </row>
    <row r="8401" spans="1:13" s="166" customFormat="1" ht="12.75" customHeight="1">
      <c r="A8401" s="12"/>
      <c r="B8401" s="434"/>
      <c r="C8401" s="24"/>
      <c r="D8401" s="41"/>
      <c r="E8401" s="31"/>
      <c r="F8401" s="32"/>
      <c r="G8401" s="15"/>
      <c r="H8401" s="21"/>
      <c r="I8401" s="15"/>
      <c r="J8401" s="15"/>
      <c r="K8401" s="15"/>
      <c r="L8401" s="21"/>
      <c r="M8401" s="15"/>
    </row>
    <row r="8402" spans="1:13" s="166" customFormat="1" ht="12.75" customHeight="1">
      <c r="A8402" s="698" t="s">
        <v>4361</v>
      </c>
      <c r="B8402" s="699"/>
      <c r="C8402" s="700"/>
      <c r="D8402" s="701"/>
      <c r="E8402" s="702"/>
      <c r="F8402" s="703"/>
      <c r="G8402" s="15"/>
      <c r="H8402" s="21"/>
      <c r="I8402" s="15"/>
      <c r="J8402" s="15"/>
      <c r="K8402" s="15"/>
      <c r="L8402" s="21"/>
      <c r="M8402" s="15"/>
    </row>
    <row r="8403" spans="1:13" s="166" customFormat="1" ht="12.75" customHeight="1">
      <c r="A8403" s="704" t="s">
        <v>4379</v>
      </c>
      <c r="B8403" s="699">
        <v>1.05</v>
      </c>
      <c r="C8403" s="700" t="s">
        <v>825</v>
      </c>
      <c r="D8403" s="701">
        <f>D8393</f>
        <v>6850</v>
      </c>
      <c r="E8403" s="702">
        <f t="shared" ref="E8403:E8410" si="716">B8403*D8403</f>
        <v>7192.5</v>
      </c>
      <c r="F8403" s="703"/>
      <c r="G8403" s="15"/>
      <c r="H8403" s="21"/>
      <c r="I8403" s="15"/>
      <c r="J8403" s="15"/>
      <c r="K8403" s="15"/>
      <c r="L8403" s="21"/>
      <c r="M8403" s="15"/>
    </row>
    <row r="8404" spans="1:13" s="166" customFormat="1" ht="12.75" customHeight="1">
      <c r="A8404" s="704" t="s">
        <v>1686</v>
      </c>
      <c r="B8404" s="699">
        <v>4.99</v>
      </c>
      <c r="C8404" s="700" t="s">
        <v>4</v>
      </c>
      <c r="D8404" s="701">
        <f>D8394</f>
        <v>3200</v>
      </c>
      <c r="E8404" s="702">
        <f t="shared" si="716"/>
        <v>15968</v>
      </c>
      <c r="F8404" s="703"/>
      <c r="G8404" s="15"/>
      <c r="H8404" s="21"/>
      <c r="I8404" s="15"/>
      <c r="J8404" s="15"/>
      <c r="K8404" s="15"/>
      <c r="L8404" s="21"/>
      <c r="M8404" s="15"/>
    </row>
    <row r="8405" spans="1:13" s="166" customFormat="1" ht="12.75" customHeight="1">
      <c r="A8405" s="704" t="s">
        <v>1198</v>
      </c>
      <c r="B8405" s="699">
        <f>B8406*2</f>
        <v>9.98</v>
      </c>
      <c r="C8405" s="700" t="s">
        <v>1018</v>
      </c>
      <c r="D8405" s="701">
        <f>D8395</f>
        <v>60</v>
      </c>
      <c r="E8405" s="702">
        <f t="shared" si="716"/>
        <v>598.80000000000007</v>
      </c>
      <c r="F8405" s="703"/>
      <c r="G8405" s="15"/>
      <c r="H8405" s="21"/>
      <c r="I8405" s="15"/>
      <c r="J8405" s="15"/>
      <c r="K8405" s="15"/>
      <c r="L8405" s="21"/>
      <c r="M8405" s="15"/>
    </row>
    <row r="8406" spans="1:13" s="166" customFormat="1" ht="12.75" customHeight="1">
      <c r="A8406" s="704" t="s">
        <v>1037</v>
      </c>
      <c r="B8406" s="699">
        <f>SUM(B8404:B8404)</f>
        <v>4.99</v>
      </c>
      <c r="C8406" s="700" t="s">
        <v>216</v>
      </c>
      <c r="D8406" s="701">
        <f>D8396</f>
        <v>486.5</v>
      </c>
      <c r="E8406" s="702">
        <f t="shared" si="716"/>
        <v>2427.6350000000002</v>
      </c>
      <c r="F8406" s="703"/>
      <c r="G8406" s="15"/>
      <c r="H8406" s="21"/>
      <c r="I8406" s="15"/>
      <c r="J8406" s="15"/>
      <c r="K8406" s="15"/>
      <c r="L8406" s="21"/>
      <c r="M8406" s="15"/>
    </row>
    <row r="8407" spans="1:13" s="166" customFormat="1" ht="12.75" customHeight="1">
      <c r="A8407" s="704" t="s">
        <v>4422</v>
      </c>
      <c r="B8407" s="699">
        <v>13.89</v>
      </c>
      <c r="C8407" s="700" t="s">
        <v>1171</v>
      </c>
      <c r="D8407" s="701">
        <v>309.22000000000003</v>
      </c>
      <c r="E8407" s="702">
        <f t="shared" si="716"/>
        <v>4295.0658000000003</v>
      </c>
      <c r="F8407" s="703"/>
      <c r="G8407" s="15"/>
      <c r="H8407" s="21"/>
      <c r="I8407" s="15"/>
      <c r="J8407" s="15"/>
      <c r="K8407" s="15"/>
      <c r="L8407" s="21"/>
      <c r="M8407" s="15"/>
    </row>
    <row r="8408" spans="1:13" s="166" customFormat="1" ht="12.75" customHeight="1">
      <c r="A8408" s="704" t="s">
        <v>4383</v>
      </c>
      <c r="B8408" s="699">
        <f>(0.2+0.36+0.36)*B8407</f>
        <v>12.7788</v>
      </c>
      <c r="C8408" s="700" t="s">
        <v>1333</v>
      </c>
      <c r="D8408" s="701">
        <v>33.14</v>
      </c>
      <c r="E8408" s="702">
        <f t="shared" si="716"/>
        <v>423.48943200000002</v>
      </c>
      <c r="F8408" s="703"/>
      <c r="G8408" s="15"/>
      <c r="H8408" s="21"/>
      <c r="I8408" s="15"/>
      <c r="J8408" s="15"/>
      <c r="K8408" s="15"/>
      <c r="L8408" s="21"/>
      <c r="M8408" s="15"/>
    </row>
    <row r="8409" spans="1:13" s="166" customFormat="1" ht="12.75" customHeight="1">
      <c r="A8409" s="704" t="s">
        <v>1688</v>
      </c>
      <c r="B8409" s="699">
        <v>1</v>
      </c>
      <c r="C8409" s="700" t="s">
        <v>825</v>
      </c>
      <c r="D8409" s="701">
        <f>D8399</f>
        <v>600.29999999999995</v>
      </c>
      <c r="E8409" s="702"/>
      <c r="F8409" s="703"/>
      <c r="G8409" s="15"/>
      <c r="H8409" s="21"/>
      <c r="I8409" s="15"/>
      <c r="J8409" s="15"/>
      <c r="K8409" s="15"/>
      <c r="L8409" s="21"/>
      <c r="M8409" s="15"/>
    </row>
    <row r="8410" spans="1:13" s="166" customFormat="1" ht="12.75" customHeight="1">
      <c r="A8410" s="704" t="s">
        <v>208</v>
      </c>
      <c r="B8410" s="699">
        <f>SUM(E8403:E8405)</f>
        <v>23759.3</v>
      </c>
      <c r="C8410" s="700" t="s">
        <v>209</v>
      </c>
      <c r="D8410" s="701">
        <f>D8400</f>
        <v>0.02</v>
      </c>
      <c r="E8410" s="702">
        <f t="shared" si="716"/>
        <v>475.18599999999998</v>
      </c>
      <c r="F8410" s="703">
        <f>SUM(E8403:E8410)</f>
        <v>31380.676231999998</v>
      </c>
      <c r="G8410" s="15"/>
      <c r="H8410" s="21"/>
      <c r="I8410" s="15"/>
      <c r="J8410" s="15"/>
      <c r="K8410" s="15"/>
      <c r="L8410" s="21"/>
      <c r="M8410" s="15"/>
    </row>
    <row r="8411" spans="1:13" s="166" customFormat="1" ht="12.75" customHeight="1">
      <c r="A8411" s="12"/>
      <c r="B8411" s="434"/>
      <c r="C8411" s="24"/>
      <c r="D8411" s="41"/>
      <c r="E8411" s="31"/>
      <c r="F8411" s="32"/>
      <c r="G8411" s="15"/>
      <c r="H8411" s="21"/>
      <c r="I8411" s="15"/>
      <c r="J8411" s="15"/>
      <c r="K8411" s="15"/>
      <c r="L8411" s="21"/>
      <c r="M8411" s="15"/>
    </row>
    <row r="8412" spans="1:13" s="166" customFormat="1" ht="12.75" customHeight="1">
      <c r="A8412" s="13" t="s">
        <v>4362</v>
      </c>
      <c r="B8412" s="434"/>
      <c r="C8412" s="24"/>
      <c r="D8412" s="41"/>
      <c r="E8412" s="31"/>
      <c r="F8412" s="32"/>
      <c r="G8412" s="15"/>
      <c r="H8412" s="21"/>
      <c r="I8412" s="15"/>
      <c r="J8412" s="15"/>
      <c r="K8412" s="15"/>
      <c r="L8412" s="21"/>
      <c r="M8412" s="15"/>
    </row>
    <row r="8413" spans="1:13" s="166" customFormat="1" ht="12.75" customHeight="1">
      <c r="A8413" s="12" t="s">
        <v>4379</v>
      </c>
      <c r="B8413" s="434">
        <v>1.05</v>
      </c>
      <c r="C8413" s="24" t="s">
        <v>825</v>
      </c>
      <c r="D8413" s="41">
        <f>D8403</f>
        <v>6850</v>
      </c>
      <c r="E8413" s="31">
        <f t="shared" ref="E8413:E8420" si="717">B8413*D8413</f>
        <v>7192.5</v>
      </c>
      <c r="F8413" s="32"/>
      <c r="G8413" s="15"/>
      <c r="H8413" s="21"/>
      <c r="I8413" s="15"/>
      <c r="J8413" s="15"/>
      <c r="K8413" s="15"/>
      <c r="L8413" s="21"/>
      <c r="M8413" s="15"/>
    </row>
    <row r="8414" spans="1:13" s="166" customFormat="1" ht="12.75" customHeight="1">
      <c r="A8414" s="12" t="s">
        <v>1686</v>
      </c>
      <c r="B8414" s="434">
        <v>4.3899999999999997</v>
      </c>
      <c r="C8414" s="24" t="s">
        <v>4</v>
      </c>
      <c r="D8414" s="41">
        <f>D8404</f>
        <v>3200</v>
      </c>
      <c r="E8414" s="31">
        <f t="shared" si="717"/>
        <v>14047.999999999998</v>
      </c>
      <c r="F8414" s="32"/>
      <c r="G8414" s="15"/>
      <c r="H8414" s="21"/>
      <c r="I8414" s="15"/>
      <c r="J8414" s="15"/>
      <c r="K8414" s="15"/>
      <c r="L8414" s="21"/>
      <c r="M8414" s="15"/>
    </row>
    <row r="8415" spans="1:13" s="166" customFormat="1" ht="12.75" customHeight="1">
      <c r="A8415" s="12" t="s">
        <v>1198</v>
      </c>
      <c r="B8415" s="434">
        <f>B8416*2</f>
        <v>8.7799999999999994</v>
      </c>
      <c r="C8415" s="24" t="s">
        <v>1018</v>
      </c>
      <c r="D8415" s="41">
        <f>D8405</f>
        <v>60</v>
      </c>
      <c r="E8415" s="31">
        <f t="shared" si="717"/>
        <v>526.79999999999995</v>
      </c>
      <c r="F8415" s="32"/>
      <c r="G8415" s="15"/>
      <c r="H8415" s="21"/>
      <c r="I8415" s="15"/>
      <c r="J8415" s="15"/>
      <c r="K8415" s="15"/>
      <c r="L8415" s="21"/>
      <c r="M8415" s="15"/>
    </row>
    <row r="8416" spans="1:13" s="166" customFormat="1" ht="12.75" customHeight="1">
      <c r="A8416" s="12" t="s">
        <v>1037</v>
      </c>
      <c r="B8416" s="434">
        <f>SUM(B8414:B8414)</f>
        <v>4.3899999999999997</v>
      </c>
      <c r="C8416" s="24" t="s">
        <v>216</v>
      </c>
      <c r="D8416" s="41">
        <f>D8406</f>
        <v>486.5</v>
      </c>
      <c r="E8416" s="31">
        <f t="shared" si="717"/>
        <v>2135.7349999999997</v>
      </c>
      <c r="F8416" s="32"/>
      <c r="G8416" s="15"/>
      <c r="H8416" s="21"/>
      <c r="I8416" s="15"/>
      <c r="J8416" s="15"/>
      <c r="K8416" s="15"/>
      <c r="L8416" s="21"/>
      <c r="M8416" s="15"/>
    </row>
    <row r="8417" spans="1:13" s="166" customFormat="1" ht="12.75" customHeight="1">
      <c r="A8417" s="12" t="s">
        <v>4406</v>
      </c>
      <c r="B8417" s="434">
        <v>6.94</v>
      </c>
      <c r="C8417" s="24" t="s">
        <v>1171</v>
      </c>
      <c r="D8417" s="41">
        <v>406.4</v>
      </c>
      <c r="E8417" s="31">
        <f t="shared" si="717"/>
        <v>2820.4160000000002</v>
      </c>
      <c r="F8417" s="32"/>
      <c r="G8417" s="15"/>
      <c r="H8417" s="21"/>
      <c r="I8417" s="15"/>
      <c r="J8417" s="15"/>
      <c r="K8417" s="15"/>
      <c r="L8417" s="21"/>
      <c r="M8417" s="15"/>
    </row>
    <row r="8418" spans="1:13" s="166" customFormat="1" ht="12.75" customHeight="1">
      <c r="A8418" s="12" t="s">
        <v>4383</v>
      </c>
      <c r="B8418" s="434">
        <f>(0.3+0.48+0.48)*B8417</f>
        <v>8.7444000000000006</v>
      </c>
      <c r="C8418" s="24" t="s">
        <v>1333</v>
      </c>
      <c r="D8418" s="41">
        <v>33.14</v>
      </c>
      <c r="E8418" s="31">
        <f t="shared" si="717"/>
        <v>289.78941600000002</v>
      </c>
      <c r="F8418" s="32"/>
      <c r="G8418" s="15"/>
      <c r="H8418" s="21"/>
      <c r="I8418" s="15"/>
      <c r="J8418" s="15"/>
      <c r="K8418" s="15"/>
      <c r="L8418" s="21"/>
      <c r="M8418" s="15"/>
    </row>
    <row r="8419" spans="1:13" s="166" customFormat="1" ht="12.75" customHeight="1">
      <c r="A8419" s="12" t="s">
        <v>1688</v>
      </c>
      <c r="B8419" s="434">
        <v>1</v>
      </c>
      <c r="C8419" s="24" t="s">
        <v>825</v>
      </c>
      <c r="D8419" s="41">
        <f>D8409</f>
        <v>600.29999999999995</v>
      </c>
      <c r="E8419" s="31"/>
      <c r="F8419" s="32"/>
      <c r="G8419" s="15"/>
      <c r="H8419" s="21"/>
      <c r="I8419" s="15"/>
      <c r="J8419" s="15"/>
      <c r="K8419" s="15"/>
      <c r="L8419" s="21"/>
      <c r="M8419" s="15"/>
    </row>
    <row r="8420" spans="1:13" s="166" customFormat="1" ht="12.75" customHeight="1">
      <c r="A8420" s="12" t="s">
        <v>208</v>
      </c>
      <c r="B8420" s="434">
        <f>SUM(E8413:E8415)</f>
        <v>21767.3</v>
      </c>
      <c r="C8420" s="24" t="s">
        <v>209</v>
      </c>
      <c r="D8420" s="41">
        <f>D8410</f>
        <v>0.02</v>
      </c>
      <c r="E8420" s="31">
        <f t="shared" si="717"/>
        <v>435.346</v>
      </c>
      <c r="F8420" s="32">
        <f>SUM(E8413:E8420)</f>
        <v>27448.586416000002</v>
      </c>
      <c r="G8420" s="15"/>
      <c r="H8420" s="21"/>
      <c r="I8420" s="15"/>
      <c r="J8420" s="15"/>
      <c r="K8420" s="15"/>
      <c r="L8420" s="21"/>
      <c r="M8420" s="15"/>
    </row>
    <row r="8421" spans="1:13" s="166" customFormat="1" ht="12.75" customHeight="1">
      <c r="A8421" s="12"/>
      <c r="B8421" s="434"/>
      <c r="C8421" s="24"/>
      <c r="D8421" s="41"/>
      <c r="E8421" s="31"/>
      <c r="F8421" s="32"/>
      <c r="G8421" s="15"/>
      <c r="H8421" s="21"/>
      <c r="I8421" s="15"/>
      <c r="J8421" s="15"/>
      <c r="K8421" s="15"/>
      <c r="L8421" s="21"/>
      <c r="M8421" s="15"/>
    </row>
    <row r="8422" spans="1:13" s="166" customFormat="1" ht="12.75" customHeight="1">
      <c r="A8422" s="13" t="s">
        <v>4363</v>
      </c>
      <c r="B8422" s="434"/>
      <c r="C8422" s="24"/>
      <c r="D8422" s="41"/>
      <c r="E8422" s="31"/>
      <c r="F8422" s="32"/>
      <c r="G8422" s="15"/>
      <c r="H8422" s="21"/>
      <c r="I8422" s="15"/>
      <c r="J8422" s="15"/>
      <c r="K8422" s="15"/>
      <c r="L8422" s="21"/>
      <c r="M8422" s="15"/>
    </row>
    <row r="8423" spans="1:13" s="166" customFormat="1" ht="12.75" customHeight="1">
      <c r="A8423" s="12" t="s">
        <v>4379</v>
      </c>
      <c r="B8423" s="434">
        <v>1.05</v>
      </c>
      <c r="C8423" s="24" t="s">
        <v>825</v>
      </c>
      <c r="D8423" s="41">
        <f>D8413</f>
        <v>6850</v>
      </c>
      <c r="E8423" s="31">
        <f t="shared" ref="E8423:E8430" si="718">B8423*D8423</f>
        <v>7192.5</v>
      </c>
      <c r="F8423" s="32"/>
      <c r="G8423" s="15"/>
      <c r="H8423" s="21"/>
      <c r="I8423" s="15"/>
      <c r="J8423" s="15"/>
      <c r="K8423" s="15"/>
      <c r="L8423" s="21"/>
      <c r="M8423" s="15"/>
    </row>
    <row r="8424" spans="1:13" s="166" customFormat="1" ht="12.75" customHeight="1">
      <c r="A8424" s="12" t="s">
        <v>1686</v>
      </c>
      <c r="B8424" s="434">
        <v>4.7699999999999996</v>
      </c>
      <c r="C8424" s="24" t="s">
        <v>4</v>
      </c>
      <c r="D8424" s="41">
        <f>D8414</f>
        <v>3200</v>
      </c>
      <c r="E8424" s="31">
        <f t="shared" si="718"/>
        <v>15263.999999999998</v>
      </c>
      <c r="F8424" s="32"/>
      <c r="G8424" s="15"/>
      <c r="H8424" s="21"/>
      <c r="I8424" s="15"/>
      <c r="J8424" s="15"/>
      <c r="K8424" s="15"/>
      <c r="L8424" s="21"/>
      <c r="M8424" s="15"/>
    </row>
    <row r="8425" spans="1:13" s="166" customFormat="1" ht="12.75" customHeight="1">
      <c r="A8425" s="12" t="s">
        <v>1198</v>
      </c>
      <c r="B8425" s="434">
        <f>B8426*2</f>
        <v>9.5399999999999991</v>
      </c>
      <c r="C8425" s="24" t="s">
        <v>1018</v>
      </c>
      <c r="D8425" s="41">
        <f>D8415</f>
        <v>60</v>
      </c>
      <c r="E8425" s="31">
        <f t="shared" si="718"/>
        <v>572.4</v>
      </c>
      <c r="F8425" s="32"/>
      <c r="G8425" s="15"/>
      <c r="H8425" s="21"/>
      <c r="I8425" s="15"/>
      <c r="J8425" s="15"/>
      <c r="K8425" s="15"/>
      <c r="L8425" s="21"/>
      <c r="M8425" s="15"/>
    </row>
    <row r="8426" spans="1:13" s="166" customFormat="1" ht="12.75" customHeight="1">
      <c r="A8426" s="12" t="s">
        <v>1037</v>
      </c>
      <c r="B8426" s="434">
        <f>SUM(B8424:B8424)</f>
        <v>4.7699999999999996</v>
      </c>
      <c r="C8426" s="24" t="s">
        <v>216</v>
      </c>
      <c r="D8426" s="41">
        <f>D8416</f>
        <v>486.5</v>
      </c>
      <c r="E8426" s="31">
        <f t="shared" si="718"/>
        <v>2320.605</v>
      </c>
      <c r="F8426" s="32"/>
      <c r="G8426" s="15"/>
      <c r="H8426" s="21"/>
      <c r="I8426" s="15"/>
      <c r="J8426" s="15"/>
      <c r="K8426" s="15"/>
      <c r="L8426" s="21"/>
      <c r="M8426" s="15"/>
    </row>
    <row r="8427" spans="1:13" s="166" customFormat="1" ht="12.75" customHeight="1">
      <c r="A8427" s="12" t="s">
        <v>4406</v>
      </c>
      <c r="B8427" s="434">
        <v>6.94</v>
      </c>
      <c r="C8427" s="24" t="s">
        <v>1171</v>
      </c>
      <c r="D8427" s="41">
        <v>406.4</v>
      </c>
      <c r="E8427" s="31">
        <f t="shared" si="718"/>
        <v>2820.4160000000002</v>
      </c>
      <c r="F8427" s="32"/>
      <c r="G8427" s="15"/>
      <c r="H8427" s="21"/>
      <c r="I8427" s="15"/>
      <c r="J8427" s="15"/>
      <c r="K8427" s="15"/>
      <c r="L8427" s="21"/>
      <c r="M8427" s="15"/>
    </row>
    <row r="8428" spans="1:13" s="166" customFormat="1" ht="12.75" customHeight="1">
      <c r="A8428" s="12" t="s">
        <v>4383</v>
      </c>
      <c r="B8428" s="434">
        <f>(0.3+0.48+0.48)*B8427</f>
        <v>8.7444000000000006</v>
      </c>
      <c r="C8428" s="24" t="s">
        <v>1333</v>
      </c>
      <c r="D8428" s="41">
        <v>33.14</v>
      </c>
      <c r="E8428" s="31">
        <f t="shared" si="718"/>
        <v>289.78941600000002</v>
      </c>
      <c r="F8428" s="32"/>
      <c r="G8428" s="15"/>
      <c r="H8428" s="21"/>
      <c r="I8428" s="15"/>
      <c r="J8428" s="15"/>
      <c r="K8428" s="15"/>
      <c r="L8428" s="21"/>
      <c r="M8428" s="15"/>
    </row>
    <row r="8429" spans="1:13" s="166" customFormat="1" ht="12.75" customHeight="1">
      <c r="A8429" s="12" t="s">
        <v>1688</v>
      </c>
      <c r="B8429" s="434">
        <v>1</v>
      </c>
      <c r="C8429" s="24" t="s">
        <v>825</v>
      </c>
      <c r="D8429" s="41">
        <f>D8419</f>
        <v>600.29999999999995</v>
      </c>
      <c r="E8429" s="31"/>
      <c r="F8429" s="32"/>
      <c r="G8429" s="15"/>
      <c r="H8429" s="21"/>
      <c r="I8429" s="15"/>
      <c r="J8429" s="15"/>
      <c r="K8429" s="15"/>
      <c r="L8429" s="21"/>
      <c r="M8429" s="15"/>
    </row>
    <row r="8430" spans="1:13" s="166" customFormat="1" ht="12.75" customHeight="1">
      <c r="A8430" s="12" t="s">
        <v>208</v>
      </c>
      <c r="B8430" s="434">
        <f>SUM(E8423:E8425)</f>
        <v>23028.9</v>
      </c>
      <c r="C8430" s="24" t="s">
        <v>209</v>
      </c>
      <c r="D8430" s="41">
        <f>D8420</f>
        <v>0.02</v>
      </c>
      <c r="E8430" s="31">
        <f t="shared" si="718"/>
        <v>460.57800000000003</v>
      </c>
      <c r="F8430" s="32">
        <f>SUM(E8423:E8430)</f>
        <v>28920.288416000003</v>
      </c>
      <c r="G8430" s="15"/>
      <c r="H8430" s="21"/>
      <c r="I8430" s="15"/>
      <c r="J8430" s="15"/>
      <c r="K8430" s="15"/>
      <c r="L8430" s="21"/>
      <c r="M8430" s="15"/>
    </row>
    <row r="8431" spans="1:13" s="166" customFormat="1" ht="12.75" customHeight="1">
      <c r="A8431" s="12"/>
      <c r="B8431" s="434"/>
      <c r="C8431" s="24"/>
      <c r="D8431" s="41"/>
      <c r="E8431" s="31"/>
      <c r="F8431" s="32"/>
      <c r="G8431" s="15"/>
      <c r="H8431" s="21"/>
      <c r="I8431" s="15"/>
      <c r="J8431" s="15"/>
      <c r="K8431" s="15"/>
      <c r="L8431" s="21"/>
      <c r="M8431" s="15"/>
    </row>
    <row r="8432" spans="1:13" s="166" customFormat="1" ht="12.75" customHeight="1">
      <c r="A8432" s="13" t="s">
        <v>4364</v>
      </c>
      <c r="B8432" s="434"/>
      <c r="C8432" s="24"/>
      <c r="D8432" s="41"/>
      <c r="E8432" s="31"/>
      <c r="F8432" s="32"/>
      <c r="G8432" s="15"/>
      <c r="H8432" s="21"/>
      <c r="I8432" s="15"/>
      <c r="J8432" s="15"/>
      <c r="K8432" s="15"/>
      <c r="L8432" s="21"/>
      <c r="M8432" s="15"/>
    </row>
    <row r="8433" spans="1:13" s="166" customFormat="1" ht="12.75" customHeight="1">
      <c r="A8433" s="12" t="s">
        <v>4379</v>
      </c>
      <c r="B8433" s="434">
        <v>1.05</v>
      </c>
      <c r="C8433" s="24" t="s">
        <v>825</v>
      </c>
      <c r="D8433" s="41">
        <f>D8423</f>
        <v>6850</v>
      </c>
      <c r="E8433" s="31">
        <f t="shared" ref="E8433:E8440" si="719">B8433*D8433</f>
        <v>7192.5</v>
      </c>
      <c r="F8433" s="32"/>
      <c r="G8433" s="15"/>
      <c r="H8433" s="21"/>
      <c r="I8433" s="15"/>
      <c r="J8433" s="15"/>
      <c r="K8433" s="15"/>
      <c r="L8433" s="21"/>
      <c r="M8433" s="15"/>
    </row>
    <row r="8434" spans="1:13" s="166" customFormat="1" ht="12.75" customHeight="1">
      <c r="A8434" s="12" t="s">
        <v>1686</v>
      </c>
      <c r="B8434" s="434">
        <v>4.9000000000000004</v>
      </c>
      <c r="C8434" s="24" t="s">
        <v>4</v>
      </c>
      <c r="D8434" s="41">
        <f>D8424</f>
        <v>3200</v>
      </c>
      <c r="E8434" s="31">
        <f t="shared" si="719"/>
        <v>15680.000000000002</v>
      </c>
      <c r="F8434" s="32"/>
      <c r="G8434" s="15"/>
      <c r="H8434" s="21"/>
      <c r="I8434" s="15"/>
      <c r="J8434" s="15"/>
      <c r="K8434" s="15"/>
      <c r="L8434" s="21"/>
      <c r="M8434" s="15"/>
    </row>
    <row r="8435" spans="1:13" s="166" customFormat="1" ht="12.75" customHeight="1">
      <c r="A8435" s="12" t="s">
        <v>1198</v>
      </c>
      <c r="B8435" s="434">
        <f>B8436*2</f>
        <v>9.8000000000000007</v>
      </c>
      <c r="C8435" s="24" t="s">
        <v>1018</v>
      </c>
      <c r="D8435" s="41">
        <f>D8425</f>
        <v>60</v>
      </c>
      <c r="E8435" s="31">
        <f t="shared" si="719"/>
        <v>588</v>
      </c>
      <c r="F8435" s="32"/>
      <c r="G8435" s="15"/>
      <c r="H8435" s="21"/>
      <c r="I8435" s="15"/>
      <c r="J8435" s="15"/>
      <c r="K8435" s="15"/>
      <c r="L8435" s="21"/>
      <c r="M8435" s="15"/>
    </row>
    <row r="8436" spans="1:13" s="166" customFormat="1" ht="12.75" customHeight="1">
      <c r="A8436" s="12" t="s">
        <v>1037</v>
      </c>
      <c r="B8436" s="434">
        <f>SUM(B8434:B8434)</f>
        <v>4.9000000000000004</v>
      </c>
      <c r="C8436" s="24" t="s">
        <v>216</v>
      </c>
      <c r="D8436" s="41">
        <f>D8426</f>
        <v>486.5</v>
      </c>
      <c r="E8436" s="31">
        <f t="shared" si="719"/>
        <v>2383.8500000000004</v>
      </c>
      <c r="F8436" s="32"/>
      <c r="G8436" s="15"/>
      <c r="H8436" s="21"/>
      <c r="I8436" s="15"/>
      <c r="J8436" s="15"/>
      <c r="K8436" s="15"/>
      <c r="L8436" s="21"/>
      <c r="M8436" s="15"/>
    </row>
    <row r="8437" spans="1:13" s="166" customFormat="1" ht="12.75" customHeight="1">
      <c r="A8437" s="12" t="s">
        <v>4406</v>
      </c>
      <c r="B8437" s="434">
        <v>6.94</v>
      </c>
      <c r="C8437" s="24" t="s">
        <v>1171</v>
      </c>
      <c r="D8437" s="41">
        <v>406.4</v>
      </c>
      <c r="E8437" s="31">
        <f t="shared" si="719"/>
        <v>2820.4160000000002</v>
      </c>
      <c r="F8437" s="32"/>
      <c r="G8437" s="15"/>
      <c r="H8437" s="21"/>
      <c r="I8437" s="15"/>
      <c r="J8437" s="15"/>
      <c r="K8437" s="15"/>
      <c r="L8437" s="21"/>
      <c r="M8437" s="15"/>
    </row>
    <row r="8438" spans="1:13" s="166" customFormat="1" ht="12.75" customHeight="1">
      <c r="A8438" s="12" t="s">
        <v>4383</v>
      </c>
      <c r="B8438" s="434">
        <f>(0.3+0.48+0.48)*B8437</f>
        <v>8.7444000000000006</v>
      </c>
      <c r="C8438" s="24" t="s">
        <v>1333</v>
      </c>
      <c r="D8438" s="41">
        <v>33.14</v>
      </c>
      <c r="E8438" s="31">
        <f t="shared" si="719"/>
        <v>289.78941600000002</v>
      </c>
      <c r="F8438" s="32"/>
      <c r="G8438" s="15"/>
      <c r="H8438" s="21"/>
      <c r="I8438" s="15"/>
      <c r="J8438" s="15"/>
      <c r="K8438" s="15"/>
      <c r="L8438" s="21"/>
      <c r="M8438" s="15"/>
    </row>
    <row r="8439" spans="1:13" s="166" customFormat="1" ht="12.75" customHeight="1">
      <c r="A8439" s="12" t="s">
        <v>1688</v>
      </c>
      <c r="B8439" s="434">
        <v>1</v>
      </c>
      <c r="C8439" s="24" t="s">
        <v>825</v>
      </c>
      <c r="D8439" s="41">
        <f>D8429</f>
        <v>600.29999999999995</v>
      </c>
      <c r="E8439" s="31"/>
      <c r="F8439" s="32"/>
      <c r="G8439" s="15"/>
      <c r="H8439" s="21"/>
      <c r="I8439" s="15"/>
      <c r="J8439" s="15"/>
      <c r="K8439" s="15"/>
      <c r="L8439" s="21"/>
      <c r="M8439" s="15"/>
    </row>
    <row r="8440" spans="1:13" s="166" customFormat="1" ht="12.75" customHeight="1">
      <c r="A8440" s="12" t="s">
        <v>208</v>
      </c>
      <c r="B8440" s="434">
        <f>SUM(E8433:E8435)</f>
        <v>23460.5</v>
      </c>
      <c r="C8440" s="24" t="s">
        <v>209</v>
      </c>
      <c r="D8440" s="41">
        <f>D8430</f>
        <v>0.02</v>
      </c>
      <c r="E8440" s="31">
        <f t="shared" si="719"/>
        <v>469.21000000000004</v>
      </c>
      <c r="F8440" s="32">
        <f>SUM(E8433:E8440)</f>
        <v>29423.765415999998</v>
      </c>
      <c r="G8440" s="15"/>
      <c r="H8440" s="21"/>
      <c r="I8440" s="15"/>
      <c r="J8440" s="15"/>
      <c r="K8440" s="15"/>
      <c r="L8440" s="21"/>
      <c r="M8440" s="15"/>
    </row>
    <row r="8441" spans="1:13" s="166" customFormat="1" ht="12.75" customHeight="1">
      <c r="A8441" s="12"/>
      <c r="B8441" s="434"/>
      <c r="C8441" s="24"/>
      <c r="D8441" s="41"/>
      <c r="E8441" s="31"/>
      <c r="F8441" s="32"/>
      <c r="G8441" s="15"/>
      <c r="H8441" s="21"/>
      <c r="I8441" s="15"/>
      <c r="J8441" s="15"/>
      <c r="K8441" s="15"/>
      <c r="L8441" s="21"/>
      <c r="M8441" s="15"/>
    </row>
    <row r="8442" spans="1:13" s="166" customFormat="1" ht="12.75" customHeight="1">
      <c r="A8442" s="13" t="s">
        <v>4365</v>
      </c>
      <c r="B8442" s="434"/>
      <c r="C8442" s="24"/>
      <c r="D8442" s="41"/>
      <c r="E8442" s="31"/>
      <c r="F8442" s="32"/>
      <c r="G8442" s="15"/>
      <c r="H8442" s="21"/>
      <c r="I8442" s="15"/>
      <c r="J8442" s="15"/>
      <c r="K8442" s="15"/>
      <c r="L8442" s="21"/>
      <c r="M8442" s="15"/>
    </row>
    <row r="8443" spans="1:13" s="166" customFormat="1" ht="12.75" customHeight="1">
      <c r="A8443" s="12" t="s">
        <v>4379</v>
      </c>
      <c r="B8443" s="434">
        <v>1.05</v>
      </c>
      <c r="C8443" s="24" t="s">
        <v>825</v>
      </c>
      <c r="D8443" s="41">
        <f>D8433</f>
        <v>6850</v>
      </c>
      <c r="E8443" s="31">
        <f t="shared" ref="E8443:E8450" si="720">B8443*D8443</f>
        <v>7192.5</v>
      </c>
      <c r="F8443" s="32"/>
      <c r="G8443" s="15"/>
      <c r="H8443" s="21"/>
      <c r="I8443" s="15"/>
      <c r="J8443" s="15"/>
      <c r="K8443" s="15"/>
      <c r="L8443" s="21"/>
      <c r="M8443" s="15"/>
    </row>
    <row r="8444" spans="1:13" s="166" customFormat="1" ht="12.75" customHeight="1">
      <c r="A8444" s="12" t="s">
        <v>1686</v>
      </c>
      <c r="B8444" s="434">
        <v>4.9000000000000004</v>
      </c>
      <c r="C8444" s="24" t="s">
        <v>4</v>
      </c>
      <c r="D8444" s="41">
        <f>D8434</f>
        <v>3200</v>
      </c>
      <c r="E8444" s="31">
        <f t="shared" si="720"/>
        <v>15680.000000000002</v>
      </c>
      <c r="F8444" s="32"/>
      <c r="G8444" s="15"/>
      <c r="H8444" s="21"/>
      <c r="I8444" s="15"/>
      <c r="J8444" s="15"/>
      <c r="K8444" s="15"/>
      <c r="L8444" s="21"/>
      <c r="M8444" s="15"/>
    </row>
    <row r="8445" spans="1:13" s="166" customFormat="1" ht="12.75" customHeight="1">
      <c r="A8445" s="12" t="s">
        <v>1198</v>
      </c>
      <c r="B8445" s="434">
        <f>B8446*2</f>
        <v>9.8000000000000007</v>
      </c>
      <c r="C8445" s="24" t="s">
        <v>1018</v>
      </c>
      <c r="D8445" s="41">
        <f>D8435</f>
        <v>60</v>
      </c>
      <c r="E8445" s="31">
        <f t="shared" si="720"/>
        <v>588</v>
      </c>
      <c r="F8445" s="32"/>
      <c r="G8445" s="15"/>
      <c r="H8445" s="21"/>
      <c r="I8445" s="15"/>
      <c r="J8445" s="15"/>
      <c r="K8445" s="15"/>
      <c r="L8445" s="21"/>
      <c r="M8445" s="15"/>
    </row>
    <row r="8446" spans="1:13" s="166" customFormat="1" ht="12.75" customHeight="1">
      <c r="A8446" s="12" t="s">
        <v>1037</v>
      </c>
      <c r="B8446" s="434">
        <f>SUM(B8444:B8444)</f>
        <v>4.9000000000000004</v>
      </c>
      <c r="C8446" s="24" t="s">
        <v>216</v>
      </c>
      <c r="D8446" s="41">
        <f>D8436</f>
        <v>486.5</v>
      </c>
      <c r="E8446" s="31">
        <f t="shared" si="720"/>
        <v>2383.8500000000004</v>
      </c>
      <c r="F8446" s="32"/>
      <c r="G8446" s="15"/>
      <c r="H8446" s="21"/>
      <c r="I8446" s="15"/>
      <c r="J8446" s="15"/>
      <c r="K8446" s="15"/>
      <c r="L8446" s="21"/>
      <c r="M8446" s="15"/>
    </row>
    <row r="8447" spans="1:13" s="166" customFormat="1" ht="12.75" customHeight="1">
      <c r="A8447" s="12" t="s">
        <v>4406</v>
      </c>
      <c r="B8447" s="434">
        <v>6.94</v>
      </c>
      <c r="C8447" s="24" t="s">
        <v>1171</v>
      </c>
      <c r="D8447" s="41">
        <v>406.4</v>
      </c>
      <c r="E8447" s="31">
        <f t="shared" si="720"/>
        <v>2820.4160000000002</v>
      </c>
      <c r="F8447" s="32"/>
      <c r="G8447" s="15"/>
      <c r="H8447" s="21"/>
      <c r="I8447" s="15"/>
      <c r="J8447" s="15"/>
      <c r="K8447" s="15"/>
      <c r="L8447" s="21"/>
      <c r="M8447" s="15"/>
    </row>
    <row r="8448" spans="1:13" s="166" customFormat="1" ht="12.75" customHeight="1">
      <c r="A8448" s="12" t="s">
        <v>4383</v>
      </c>
      <c r="B8448" s="434">
        <f>(0.3+0.48+0.48)*B8447</f>
        <v>8.7444000000000006</v>
      </c>
      <c r="C8448" s="24" t="s">
        <v>1333</v>
      </c>
      <c r="D8448" s="41">
        <v>33.14</v>
      </c>
      <c r="E8448" s="31">
        <f t="shared" si="720"/>
        <v>289.78941600000002</v>
      </c>
      <c r="F8448" s="32"/>
      <c r="G8448" s="15"/>
      <c r="H8448" s="21"/>
      <c r="I8448" s="15"/>
      <c r="J8448" s="15"/>
      <c r="K8448" s="15"/>
      <c r="L8448" s="21"/>
      <c r="M8448" s="15"/>
    </row>
    <row r="8449" spans="1:13" s="166" customFormat="1" ht="12.75" customHeight="1">
      <c r="A8449" s="12" t="s">
        <v>1688</v>
      </c>
      <c r="B8449" s="434">
        <v>1</v>
      </c>
      <c r="C8449" s="24" t="s">
        <v>825</v>
      </c>
      <c r="D8449" s="41">
        <f>D8439</f>
        <v>600.29999999999995</v>
      </c>
      <c r="E8449" s="31"/>
      <c r="F8449" s="32"/>
      <c r="G8449" s="15"/>
      <c r="H8449" s="21"/>
      <c r="I8449" s="15"/>
      <c r="J8449" s="15"/>
      <c r="K8449" s="15"/>
      <c r="L8449" s="21"/>
      <c r="M8449" s="15"/>
    </row>
    <row r="8450" spans="1:13" s="166" customFormat="1" ht="12.75" customHeight="1">
      <c r="A8450" s="12" t="s">
        <v>208</v>
      </c>
      <c r="B8450" s="434">
        <f>SUM(E8443:E8445)</f>
        <v>23460.5</v>
      </c>
      <c r="C8450" s="24" t="s">
        <v>209</v>
      </c>
      <c r="D8450" s="41">
        <f>D8440</f>
        <v>0.02</v>
      </c>
      <c r="E8450" s="31">
        <f t="shared" si="720"/>
        <v>469.21000000000004</v>
      </c>
      <c r="F8450" s="32">
        <f>SUM(E8443:E8450)</f>
        <v>29423.765415999998</v>
      </c>
      <c r="G8450" s="15"/>
      <c r="H8450" s="21"/>
      <c r="I8450" s="15"/>
      <c r="J8450" s="15"/>
      <c r="K8450" s="15"/>
      <c r="L8450" s="21"/>
      <c r="M8450" s="15"/>
    </row>
    <row r="8451" spans="1:13" s="166" customFormat="1" ht="12.75" customHeight="1">
      <c r="A8451" s="12"/>
      <c r="B8451" s="434"/>
      <c r="C8451" s="24"/>
      <c r="D8451" s="41"/>
      <c r="E8451" s="31"/>
      <c r="F8451" s="32"/>
      <c r="G8451" s="15"/>
      <c r="H8451" s="21"/>
      <c r="I8451" s="15"/>
      <c r="J8451" s="15"/>
      <c r="K8451" s="15"/>
      <c r="L8451" s="21"/>
      <c r="M8451" s="15"/>
    </row>
    <row r="8452" spans="1:13" s="166" customFormat="1" ht="12.75" customHeight="1">
      <c r="A8452" s="13" t="s">
        <v>4366</v>
      </c>
      <c r="B8452" s="434"/>
      <c r="C8452" s="24"/>
      <c r="D8452" s="41"/>
      <c r="E8452" s="31"/>
      <c r="F8452" s="32"/>
      <c r="G8452" s="15"/>
      <c r="H8452" s="21"/>
      <c r="I8452" s="15"/>
      <c r="J8452" s="15"/>
      <c r="K8452" s="15"/>
      <c r="L8452" s="21"/>
      <c r="M8452" s="15"/>
    </row>
    <row r="8453" spans="1:13" s="166" customFormat="1" ht="12.75" customHeight="1">
      <c r="A8453" s="12" t="s">
        <v>4379</v>
      </c>
      <c r="B8453" s="434">
        <v>1.05</v>
      </c>
      <c r="C8453" s="24" t="s">
        <v>825</v>
      </c>
      <c r="D8453" s="41">
        <f>D8443</f>
        <v>6850</v>
      </c>
      <c r="E8453" s="31">
        <f t="shared" ref="E8453:E8460" si="721">B8453*D8453</f>
        <v>7192.5</v>
      </c>
      <c r="F8453" s="32"/>
      <c r="G8453" s="15"/>
      <c r="H8453" s="21"/>
      <c r="I8453" s="15"/>
      <c r="J8453" s="15"/>
      <c r="K8453" s="15"/>
      <c r="L8453" s="21"/>
      <c r="M8453" s="15"/>
    </row>
    <row r="8454" spans="1:13" s="166" customFormat="1" ht="12.75" customHeight="1">
      <c r="A8454" s="12" t="s">
        <v>1686</v>
      </c>
      <c r="B8454" s="434">
        <v>5.07</v>
      </c>
      <c r="C8454" s="24" t="s">
        <v>4</v>
      </c>
      <c r="D8454" s="41">
        <f>D8444</f>
        <v>3200</v>
      </c>
      <c r="E8454" s="31">
        <f t="shared" si="721"/>
        <v>16224</v>
      </c>
      <c r="F8454" s="32"/>
      <c r="G8454" s="15"/>
      <c r="H8454" s="21"/>
      <c r="I8454" s="15"/>
      <c r="J8454" s="15"/>
      <c r="K8454" s="15"/>
      <c r="L8454" s="21"/>
      <c r="M8454" s="15"/>
    </row>
    <row r="8455" spans="1:13" s="166" customFormat="1" ht="12.75" customHeight="1">
      <c r="A8455" s="12" t="s">
        <v>1198</v>
      </c>
      <c r="B8455" s="434">
        <f>B8456*2</f>
        <v>10.14</v>
      </c>
      <c r="C8455" s="24" t="s">
        <v>1018</v>
      </c>
      <c r="D8455" s="41">
        <f>D8445</f>
        <v>60</v>
      </c>
      <c r="E8455" s="31">
        <f t="shared" si="721"/>
        <v>608.40000000000009</v>
      </c>
      <c r="F8455" s="32"/>
      <c r="G8455" s="15"/>
      <c r="H8455" s="21"/>
      <c r="I8455" s="15"/>
      <c r="J8455" s="15"/>
      <c r="K8455" s="15"/>
      <c r="L8455" s="21"/>
      <c r="M8455" s="15"/>
    </row>
    <row r="8456" spans="1:13" s="166" customFormat="1" ht="12.75" customHeight="1">
      <c r="A8456" s="12" t="s">
        <v>1037</v>
      </c>
      <c r="B8456" s="434">
        <f>SUM(B8454:B8454)</f>
        <v>5.07</v>
      </c>
      <c r="C8456" s="24" t="s">
        <v>216</v>
      </c>
      <c r="D8456" s="41">
        <f>D8446</f>
        <v>486.5</v>
      </c>
      <c r="E8456" s="31">
        <f t="shared" si="721"/>
        <v>2466.5550000000003</v>
      </c>
      <c r="F8456" s="32"/>
      <c r="G8456" s="15"/>
      <c r="H8456" s="21"/>
      <c r="I8456" s="15"/>
      <c r="J8456" s="15"/>
      <c r="K8456" s="15"/>
      <c r="L8456" s="21"/>
      <c r="M8456" s="15"/>
    </row>
    <row r="8457" spans="1:13" s="166" customFormat="1" ht="12.75" customHeight="1">
      <c r="A8457" s="12" t="s">
        <v>4406</v>
      </c>
      <c r="B8457" s="434">
        <v>6.94</v>
      </c>
      <c r="C8457" s="24" t="s">
        <v>1171</v>
      </c>
      <c r="D8457" s="41">
        <v>406.4</v>
      </c>
      <c r="E8457" s="31">
        <f t="shared" si="721"/>
        <v>2820.4160000000002</v>
      </c>
      <c r="F8457" s="32"/>
      <c r="G8457" s="15"/>
      <c r="H8457" s="21"/>
      <c r="I8457" s="15"/>
      <c r="J8457" s="15"/>
      <c r="K8457" s="15"/>
      <c r="L8457" s="21"/>
      <c r="M8457" s="15"/>
    </row>
    <row r="8458" spans="1:13" s="166" customFormat="1" ht="12.75" customHeight="1">
      <c r="A8458" s="12" t="s">
        <v>4383</v>
      </c>
      <c r="B8458" s="434">
        <f>(0.3+0.48+0.48)*B8457</f>
        <v>8.7444000000000006</v>
      </c>
      <c r="C8458" s="24" t="s">
        <v>1333</v>
      </c>
      <c r="D8458" s="41">
        <v>33.14</v>
      </c>
      <c r="E8458" s="31">
        <f t="shared" si="721"/>
        <v>289.78941600000002</v>
      </c>
      <c r="F8458" s="32"/>
      <c r="G8458" s="15"/>
      <c r="H8458" s="21"/>
      <c r="I8458" s="15"/>
      <c r="J8458" s="15"/>
      <c r="K8458" s="15"/>
      <c r="L8458" s="21"/>
      <c r="M8458" s="15"/>
    </row>
    <row r="8459" spans="1:13" s="166" customFormat="1" ht="12.75" customHeight="1">
      <c r="A8459" s="12" t="s">
        <v>1688</v>
      </c>
      <c r="B8459" s="434">
        <v>1</v>
      </c>
      <c r="C8459" s="24" t="s">
        <v>825</v>
      </c>
      <c r="D8459" s="41">
        <f>D8449</f>
        <v>600.29999999999995</v>
      </c>
      <c r="E8459" s="31"/>
      <c r="F8459" s="32"/>
      <c r="G8459" s="15"/>
      <c r="H8459" s="21"/>
      <c r="I8459" s="15"/>
      <c r="J8459" s="15"/>
      <c r="K8459" s="15"/>
      <c r="L8459" s="21"/>
      <c r="M8459" s="15"/>
    </row>
    <row r="8460" spans="1:13" s="166" customFormat="1" ht="12.75" customHeight="1">
      <c r="A8460" s="12" t="s">
        <v>208</v>
      </c>
      <c r="B8460" s="434">
        <f>SUM(E8453:E8455)</f>
        <v>24024.9</v>
      </c>
      <c r="C8460" s="24" t="s">
        <v>209</v>
      </c>
      <c r="D8460" s="41">
        <f>D8450</f>
        <v>0.02</v>
      </c>
      <c r="E8460" s="31">
        <f t="shared" si="721"/>
        <v>480.49800000000005</v>
      </c>
      <c r="F8460" s="32">
        <f>SUM(E8453:E8460)</f>
        <v>30082.158416000002</v>
      </c>
      <c r="G8460" s="15"/>
      <c r="H8460" s="21"/>
      <c r="I8460" s="15"/>
      <c r="J8460" s="15"/>
      <c r="K8460" s="15"/>
      <c r="L8460" s="21"/>
      <c r="M8460" s="15"/>
    </row>
    <row r="8461" spans="1:13" s="166" customFormat="1" ht="12.75" customHeight="1">
      <c r="A8461" s="12"/>
      <c r="B8461" s="434"/>
      <c r="C8461" s="24"/>
      <c r="D8461" s="41"/>
      <c r="E8461" s="31"/>
      <c r="F8461" s="32"/>
      <c r="G8461" s="15"/>
      <c r="H8461" s="21"/>
      <c r="I8461" s="15"/>
      <c r="J8461" s="15"/>
      <c r="K8461" s="15"/>
      <c r="L8461" s="21"/>
      <c r="M8461" s="15"/>
    </row>
    <row r="8462" spans="1:13" s="166" customFormat="1" ht="12.75" customHeight="1">
      <c r="A8462" s="13" t="s">
        <v>4367</v>
      </c>
      <c r="B8462" s="434"/>
      <c r="C8462" s="24"/>
      <c r="D8462" s="41"/>
      <c r="E8462" s="31"/>
      <c r="F8462" s="32"/>
      <c r="G8462" s="15"/>
      <c r="H8462" s="21"/>
      <c r="I8462" s="15"/>
      <c r="J8462" s="15"/>
      <c r="K8462" s="15"/>
      <c r="L8462" s="21"/>
      <c r="M8462" s="15"/>
    </row>
    <row r="8463" spans="1:13" s="166" customFormat="1" ht="12.75" customHeight="1">
      <c r="A8463" s="12" t="s">
        <v>4379</v>
      </c>
      <c r="B8463" s="434">
        <v>1.05</v>
      </c>
      <c r="C8463" s="24" t="s">
        <v>825</v>
      </c>
      <c r="D8463" s="41">
        <f>D8453</f>
        <v>6850</v>
      </c>
      <c r="E8463" s="31">
        <f t="shared" ref="E8463:E8470" si="722">B8463*D8463</f>
        <v>7192.5</v>
      </c>
      <c r="F8463" s="32"/>
      <c r="G8463" s="15"/>
      <c r="H8463" s="21"/>
      <c r="I8463" s="15"/>
      <c r="J8463" s="15"/>
      <c r="K8463" s="15"/>
      <c r="L8463" s="21"/>
      <c r="M8463" s="15"/>
    </row>
    <row r="8464" spans="1:13" s="166" customFormat="1" ht="12.75" customHeight="1">
      <c r="A8464" s="12" t="s">
        <v>1686</v>
      </c>
      <c r="B8464" s="434">
        <v>5.31</v>
      </c>
      <c r="C8464" s="24" t="s">
        <v>4</v>
      </c>
      <c r="D8464" s="41">
        <f>D8454</f>
        <v>3200</v>
      </c>
      <c r="E8464" s="31">
        <f t="shared" si="722"/>
        <v>16992</v>
      </c>
      <c r="F8464" s="32"/>
      <c r="G8464" s="15"/>
      <c r="H8464" s="21"/>
      <c r="I8464" s="15"/>
      <c r="J8464" s="15"/>
      <c r="K8464" s="15"/>
      <c r="L8464" s="21"/>
      <c r="M8464" s="15"/>
    </row>
    <row r="8465" spans="1:13" s="166" customFormat="1" ht="12.75" customHeight="1">
      <c r="A8465" s="12" t="s">
        <v>1198</v>
      </c>
      <c r="B8465" s="434">
        <f>B8466*2</f>
        <v>10.62</v>
      </c>
      <c r="C8465" s="24" t="s">
        <v>1018</v>
      </c>
      <c r="D8465" s="41">
        <f>D8455</f>
        <v>60</v>
      </c>
      <c r="E8465" s="31">
        <f t="shared" si="722"/>
        <v>637.19999999999993</v>
      </c>
      <c r="F8465" s="32"/>
      <c r="G8465" s="15"/>
      <c r="H8465" s="21"/>
      <c r="I8465" s="15"/>
      <c r="J8465" s="15"/>
      <c r="K8465" s="15"/>
      <c r="L8465" s="21"/>
      <c r="M8465" s="15"/>
    </row>
    <row r="8466" spans="1:13" s="166" customFormat="1" ht="12.75" customHeight="1">
      <c r="A8466" s="12" t="s">
        <v>1037</v>
      </c>
      <c r="B8466" s="434">
        <f>SUM(B8464:B8464)</f>
        <v>5.31</v>
      </c>
      <c r="C8466" s="24" t="s">
        <v>216</v>
      </c>
      <c r="D8466" s="41">
        <f>D8456</f>
        <v>486.5</v>
      </c>
      <c r="E8466" s="31">
        <f t="shared" si="722"/>
        <v>2583.3149999999996</v>
      </c>
      <c r="F8466" s="32"/>
      <c r="G8466" s="15"/>
      <c r="H8466" s="21"/>
      <c r="I8466" s="15"/>
      <c r="J8466" s="15"/>
      <c r="K8466" s="15"/>
      <c r="L8466" s="21"/>
      <c r="M8466" s="15"/>
    </row>
    <row r="8467" spans="1:13" s="166" customFormat="1" ht="12.75" customHeight="1">
      <c r="A8467" s="12" t="s">
        <v>4406</v>
      </c>
      <c r="B8467" s="434">
        <v>6.94</v>
      </c>
      <c r="C8467" s="24" t="s">
        <v>1171</v>
      </c>
      <c r="D8467" s="41">
        <v>406.4</v>
      </c>
      <c r="E8467" s="31">
        <f t="shared" si="722"/>
        <v>2820.4160000000002</v>
      </c>
      <c r="F8467" s="32"/>
      <c r="G8467" s="15"/>
      <c r="H8467" s="21"/>
      <c r="I8467" s="15"/>
      <c r="J8467" s="15"/>
      <c r="K8467" s="15"/>
      <c r="L8467" s="21"/>
      <c r="M8467" s="15"/>
    </row>
    <row r="8468" spans="1:13" s="166" customFormat="1" ht="12.75" customHeight="1">
      <c r="A8468" s="12" t="s">
        <v>4383</v>
      </c>
      <c r="B8468" s="434">
        <f>(0.3+0.48+0.48)*B8467</f>
        <v>8.7444000000000006</v>
      </c>
      <c r="C8468" s="24" t="s">
        <v>1333</v>
      </c>
      <c r="D8468" s="41">
        <v>33.14</v>
      </c>
      <c r="E8468" s="31">
        <f t="shared" si="722"/>
        <v>289.78941600000002</v>
      </c>
      <c r="F8468" s="32"/>
      <c r="G8468" s="15"/>
      <c r="H8468" s="21"/>
      <c r="I8468" s="15"/>
      <c r="J8468" s="15"/>
      <c r="K8468" s="15"/>
      <c r="L8468" s="21"/>
      <c r="M8468" s="15"/>
    </row>
    <row r="8469" spans="1:13" s="166" customFormat="1" ht="12.75" customHeight="1">
      <c r="A8469" s="12" t="s">
        <v>1688</v>
      </c>
      <c r="B8469" s="434">
        <v>1</v>
      </c>
      <c r="C8469" s="24" t="s">
        <v>825</v>
      </c>
      <c r="D8469" s="41">
        <f>D8459</f>
        <v>600.29999999999995</v>
      </c>
      <c r="E8469" s="31"/>
      <c r="F8469" s="32"/>
      <c r="G8469" s="15"/>
      <c r="H8469" s="21"/>
      <c r="I8469" s="15"/>
      <c r="J8469" s="15"/>
      <c r="K8469" s="15"/>
      <c r="L8469" s="21"/>
      <c r="M8469" s="15"/>
    </row>
    <row r="8470" spans="1:13" s="166" customFormat="1" ht="12.75" customHeight="1">
      <c r="A8470" s="12" t="s">
        <v>208</v>
      </c>
      <c r="B8470" s="434">
        <f>SUM(E8463:E8465)</f>
        <v>24821.7</v>
      </c>
      <c r="C8470" s="24" t="s">
        <v>209</v>
      </c>
      <c r="D8470" s="41">
        <f>D8460</f>
        <v>0.02</v>
      </c>
      <c r="E8470" s="31">
        <f t="shared" si="722"/>
        <v>496.43400000000003</v>
      </c>
      <c r="F8470" s="32">
        <f>SUM(E8463:E8470)</f>
        <v>31011.654416000001</v>
      </c>
      <c r="G8470" s="15"/>
      <c r="H8470" s="21"/>
      <c r="I8470" s="15"/>
      <c r="J8470" s="15"/>
      <c r="K8470" s="15"/>
      <c r="L8470" s="21"/>
      <c r="M8470" s="15"/>
    </row>
    <row r="8471" spans="1:13" s="166" customFormat="1" ht="12.75" customHeight="1">
      <c r="A8471" s="12"/>
      <c r="B8471" s="434"/>
      <c r="C8471" s="24"/>
      <c r="D8471" s="41"/>
      <c r="E8471" s="31"/>
      <c r="F8471" s="32"/>
      <c r="G8471" s="15"/>
      <c r="H8471" s="21"/>
      <c r="I8471" s="15"/>
      <c r="J8471" s="15"/>
      <c r="K8471" s="15"/>
      <c r="L8471" s="21"/>
      <c r="M8471" s="15"/>
    </row>
    <row r="8472" spans="1:13" s="166" customFormat="1" ht="12.75" customHeight="1">
      <c r="A8472" s="13" t="s">
        <v>4368</v>
      </c>
      <c r="B8472" s="434"/>
      <c r="C8472" s="24"/>
      <c r="D8472" s="41"/>
      <c r="E8472" s="31"/>
      <c r="F8472" s="32"/>
      <c r="G8472" s="15"/>
      <c r="H8472" s="21"/>
      <c r="I8472" s="15"/>
      <c r="J8472" s="15"/>
      <c r="K8472" s="15"/>
      <c r="L8472" s="21"/>
      <c r="M8472" s="15"/>
    </row>
    <row r="8473" spans="1:13" s="166" customFormat="1" ht="12.75" customHeight="1">
      <c r="A8473" s="12" t="s">
        <v>4379</v>
      </c>
      <c r="B8473" s="434">
        <v>1.05</v>
      </c>
      <c r="C8473" s="24" t="s">
        <v>825</v>
      </c>
      <c r="D8473" s="41">
        <f>D8463</f>
        <v>6850</v>
      </c>
      <c r="E8473" s="31">
        <f t="shared" ref="E8473:E8480" si="723">B8473*D8473</f>
        <v>7192.5</v>
      </c>
      <c r="F8473" s="32"/>
      <c r="G8473" s="15"/>
      <c r="H8473" s="21"/>
      <c r="I8473" s="15"/>
      <c r="J8473" s="15"/>
      <c r="K8473" s="15"/>
      <c r="L8473" s="21"/>
      <c r="M8473" s="15"/>
    </row>
    <row r="8474" spans="1:13" s="166" customFormat="1" ht="12.75" customHeight="1">
      <c r="A8474" s="12" t="s">
        <v>1686</v>
      </c>
      <c r="B8474" s="434">
        <v>5.63</v>
      </c>
      <c r="C8474" s="24" t="s">
        <v>4</v>
      </c>
      <c r="D8474" s="41">
        <f>D8464</f>
        <v>3200</v>
      </c>
      <c r="E8474" s="31">
        <f t="shared" si="723"/>
        <v>18016</v>
      </c>
      <c r="F8474" s="32"/>
      <c r="G8474" s="15"/>
      <c r="H8474" s="21"/>
      <c r="I8474" s="15"/>
      <c r="J8474" s="15"/>
      <c r="K8474" s="15"/>
      <c r="L8474" s="21"/>
      <c r="M8474" s="15"/>
    </row>
    <row r="8475" spans="1:13" s="166" customFormat="1" ht="12.75" customHeight="1">
      <c r="A8475" s="12" t="s">
        <v>1198</v>
      </c>
      <c r="B8475" s="434">
        <f>B8476*2</f>
        <v>11.26</v>
      </c>
      <c r="C8475" s="24" t="s">
        <v>1018</v>
      </c>
      <c r="D8475" s="41">
        <f>D8465</f>
        <v>60</v>
      </c>
      <c r="E8475" s="31">
        <f t="shared" si="723"/>
        <v>675.6</v>
      </c>
      <c r="F8475" s="32"/>
      <c r="G8475" s="15"/>
      <c r="H8475" s="21"/>
      <c r="I8475" s="15"/>
      <c r="J8475" s="15"/>
      <c r="K8475" s="15"/>
      <c r="L8475" s="21"/>
      <c r="M8475" s="15"/>
    </row>
    <row r="8476" spans="1:13" s="166" customFormat="1" ht="12.75" customHeight="1">
      <c r="A8476" s="12" t="s">
        <v>1037</v>
      </c>
      <c r="B8476" s="434">
        <f>SUM(B8474:B8474)</f>
        <v>5.63</v>
      </c>
      <c r="C8476" s="24" t="s">
        <v>216</v>
      </c>
      <c r="D8476" s="41">
        <f>D8466</f>
        <v>486.5</v>
      </c>
      <c r="E8476" s="31">
        <f t="shared" si="723"/>
        <v>2738.9949999999999</v>
      </c>
      <c r="F8476" s="32"/>
      <c r="G8476" s="15"/>
      <c r="H8476" s="21"/>
      <c r="I8476" s="15"/>
      <c r="J8476" s="15"/>
      <c r="K8476" s="15"/>
      <c r="L8476" s="21"/>
      <c r="M8476" s="15"/>
    </row>
    <row r="8477" spans="1:13" s="166" customFormat="1" ht="12.75" customHeight="1">
      <c r="A8477" s="12" t="s">
        <v>4406</v>
      </c>
      <c r="B8477" s="434">
        <v>6.94</v>
      </c>
      <c r="C8477" s="24" t="s">
        <v>1171</v>
      </c>
      <c r="D8477" s="41">
        <v>406.4</v>
      </c>
      <c r="E8477" s="31">
        <f t="shared" si="723"/>
        <v>2820.4160000000002</v>
      </c>
      <c r="F8477" s="32"/>
      <c r="G8477" s="15"/>
      <c r="H8477" s="21"/>
      <c r="I8477" s="15"/>
      <c r="J8477" s="15"/>
      <c r="K8477" s="15"/>
      <c r="L8477" s="21"/>
      <c r="M8477" s="15"/>
    </row>
    <row r="8478" spans="1:13" s="166" customFormat="1" ht="12.75" customHeight="1">
      <c r="A8478" s="12" t="s">
        <v>4383</v>
      </c>
      <c r="B8478" s="434">
        <f>(0.3+0.48+0.48)*B8477</f>
        <v>8.7444000000000006</v>
      </c>
      <c r="C8478" s="24" t="s">
        <v>1333</v>
      </c>
      <c r="D8478" s="41">
        <v>33.14</v>
      </c>
      <c r="E8478" s="31">
        <f t="shared" si="723"/>
        <v>289.78941600000002</v>
      </c>
      <c r="F8478" s="32"/>
      <c r="G8478" s="15"/>
      <c r="H8478" s="21"/>
      <c r="I8478" s="15"/>
      <c r="J8478" s="15"/>
      <c r="K8478" s="15"/>
      <c r="L8478" s="21"/>
      <c r="M8478" s="15"/>
    </row>
    <row r="8479" spans="1:13" s="166" customFormat="1" ht="12.75" customHeight="1">
      <c r="A8479" s="12" t="s">
        <v>1688</v>
      </c>
      <c r="B8479" s="434">
        <v>1</v>
      </c>
      <c r="C8479" s="24" t="s">
        <v>825</v>
      </c>
      <c r="D8479" s="41">
        <f>D8469</f>
        <v>600.29999999999995</v>
      </c>
      <c r="E8479" s="31"/>
      <c r="F8479" s="32"/>
      <c r="G8479" s="15"/>
      <c r="H8479" s="21"/>
      <c r="I8479" s="15"/>
      <c r="J8479" s="15"/>
      <c r="K8479" s="15"/>
      <c r="L8479" s="21"/>
      <c r="M8479" s="15"/>
    </row>
    <row r="8480" spans="1:13" s="166" customFormat="1" ht="12.75" customHeight="1">
      <c r="A8480" s="12" t="s">
        <v>208</v>
      </c>
      <c r="B8480" s="434">
        <f>SUM(E8473:E8475)</f>
        <v>25884.1</v>
      </c>
      <c r="C8480" s="24" t="s">
        <v>209</v>
      </c>
      <c r="D8480" s="41">
        <f>D8470</f>
        <v>0.02</v>
      </c>
      <c r="E8480" s="31">
        <f t="shared" si="723"/>
        <v>517.68200000000002</v>
      </c>
      <c r="F8480" s="32">
        <f>SUM(E8473:E8480)</f>
        <v>32250.982415999999</v>
      </c>
      <c r="G8480" s="15"/>
      <c r="H8480" s="21"/>
      <c r="I8480" s="15"/>
      <c r="J8480" s="15"/>
      <c r="K8480" s="15"/>
      <c r="L8480" s="21"/>
      <c r="M8480" s="15"/>
    </row>
    <row r="8481" spans="1:13" s="166" customFormat="1" ht="12.75" customHeight="1">
      <c r="A8481" s="12"/>
      <c r="B8481" s="434"/>
      <c r="C8481" s="24"/>
      <c r="D8481" s="41"/>
      <c r="E8481" s="31"/>
      <c r="F8481" s="32"/>
      <c r="G8481" s="15"/>
      <c r="H8481" s="21"/>
      <c r="I8481" s="15"/>
      <c r="J8481" s="15"/>
      <c r="K8481" s="15"/>
      <c r="L8481" s="21"/>
      <c r="M8481" s="15"/>
    </row>
    <row r="8482" spans="1:13" s="166" customFormat="1" ht="12.75" customHeight="1">
      <c r="A8482" s="13" t="s">
        <v>4369</v>
      </c>
      <c r="B8482" s="434"/>
      <c r="C8482" s="24"/>
      <c r="D8482" s="41"/>
      <c r="E8482" s="31"/>
      <c r="F8482" s="32"/>
      <c r="G8482" s="15"/>
      <c r="H8482" s="21"/>
      <c r="I8482" s="15"/>
      <c r="J8482" s="15"/>
      <c r="K8482" s="15"/>
      <c r="L8482" s="21"/>
      <c r="M8482" s="15"/>
    </row>
    <row r="8483" spans="1:13" s="166" customFormat="1" ht="12.75" customHeight="1">
      <c r="A8483" s="12" t="s">
        <v>4379</v>
      </c>
      <c r="B8483" s="434">
        <v>1.05</v>
      </c>
      <c r="C8483" s="24" t="s">
        <v>825</v>
      </c>
      <c r="D8483" s="41">
        <f>D8473</f>
        <v>6850</v>
      </c>
      <c r="E8483" s="31">
        <f t="shared" ref="E8483:E8490" si="724">B8483*D8483</f>
        <v>7192.5</v>
      </c>
      <c r="F8483" s="32"/>
      <c r="G8483" s="15"/>
      <c r="H8483" s="21"/>
      <c r="I8483" s="15"/>
      <c r="J8483" s="15"/>
      <c r="K8483" s="15"/>
      <c r="L8483" s="21"/>
      <c r="M8483" s="15"/>
    </row>
    <row r="8484" spans="1:13" s="166" customFormat="1" ht="12.75" customHeight="1">
      <c r="A8484" s="12" t="s">
        <v>1686</v>
      </c>
      <c r="B8484" s="434">
        <v>5.73</v>
      </c>
      <c r="C8484" s="24" t="s">
        <v>4</v>
      </c>
      <c r="D8484" s="41">
        <f>D8474</f>
        <v>3200</v>
      </c>
      <c r="E8484" s="31">
        <f t="shared" si="724"/>
        <v>18336</v>
      </c>
      <c r="F8484" s="32"/>
      <c r="G8484" s="15"/>
      <c r="H8484" s="21"/>
      <c r="I8484" s="15"/>
      <c r="J8484" s="15"/>
      <c r="K8484" s="15"/>
      <c r="L8484" s="21"/>
      <c r="M8484" s="15"/>
    </row>
    <row r="8485" spans="1:13" s="166" customFormat="1" ht="12.75" customHeight="1">
      <c r="A8485" s="12" t="s">
        <v>1198</v>
      </c>
      <c r="B8485" s="434">
        <f>B8486*2</f>
        <v>11.46</v>
      </c>
      <c r="C8485" s="24" t="s">
        <v>1018</v>
      </c>
      <c r="D8485" s="41">
        <f>D8475</f>
        <v>60</v>
      </c>
      <c r="E8485" s="31">
        <f t="shared" si="724"/>
        <v>687.6</v>
      </c>
      <c r="F8485" s="32"/>
      <c r="G8485" s="15"/>
      <c r="H8485" s="21"/>
      <c r="I8485" s="15"/>
      <c r="J8485" s="15"/>
      <c r="K8485" s="15"/>
      <c r="L8485" s="21"/>
      <c r="M8485" s="15"/>
    </row>
    <row r="8486" spans="1:13" s="166" customFormat="1" ht="12.75" customHeight="1">
      <c r="A8486" s="12" t="s">
        <v>1037</v>
      </c>
      <c r="B8486" s="434">
        <f>SUM(B8484:B8484)</f>
        <v>5.73</v>
      </c>
      <c r="C8486" s="24" t="s">
        <v>216</v>
      </c>
      <c r="D8486" s="41">
        <f>D8476</f>
        <v>486.5</v>
      </c>
      <c r="E8486" s="31">
        <f t="shared" si="724"/>
        <v>2787.645</v>
      </c>
      <c r="F8486" s="32"/>
      <c r="G8486" s="15"/>
      <c r="H8486" s="21"/>
      <c r="I8486" s="15"/>
      <c r="J8486" s="15"/>
      <c r="K8486" s="15"/>
      <c r="L8486" s="21"/>
      <c r="M8486" s="15"/>
    </row>
    <row r="8487" spans="1:13" s="166" customFormat="1" ht="12.75" customHeight="1">
      <c r="A8487" s="12" t="s">
        <v>4406</v>
      </c>
      <c r="B8487" s="434">
        <v>6.94</v>
      </c>
      <c r="C8487" s="24" t="s">
        <v>1171</v>
      </c>
      <c r="D8487" s="41">
        <v>406.4</v>
      </c>
      <c r="E8487" s="31">
        <f t="shared" si="724"/>
        <v>2820.4160000000002</v>
      </c>
      <c r="F8487" s="32"/>
      <c r="G8487" s="15"/>
      <c r="H8487" s="21"/>
      <c r="I8487" s="15"/>
      <c r="J8487" s="15"/>
      <c r="K8487" s="15"/>
      <c r="L8487" s="21"/>
      <c r="M8487" s="15"/>
    </row>
    <row r="8488" spans="1:13" s="166" customFormat="1" ht="12.75" customHeight="1">
      <c r="A8488" s="12" t="s">
        <v>4383</v>
      </c>
      <c r="B8488" s="434">
        <f>(0.3+0.48+0.48)*B8487</f>
        <v>8.7444000000000006</v>
      </c>
      <c r="C8488" s="24" t="s">
        <v>1333</v>
      </c>
      <c r="D8488" s="41">
        <v>33.14</v>
      </c>
      <c r="E8488" s="31">
        <f t="shared" si="724"/>
        <v>289.78941600000002</v>
      </c>
      <c r="F8488" s="32"/>
      <c r="G8488" s="15"/>
      <c r="H8488" s="21"/>
      <c r="I8488" s="15"/>
      <c r="J8488" s="15"/>
      <c r="K8488" s="15"/>
      <c r="L8488" s="21"/>
      <c r="M8488" s="15"/>
    </row>
    <row r="8489" spans="1:13" s="166" customFormat="1" ht="12.75" customHeight="1">
      <c r="A8489" s="12" t="s">
        <v>1688</v>
      </c>
      <c r="B8489" s="434">
        <v>1</v>
      </c>
      <c r="C8489" s="24" t="s">
        <v>825</v>
      </c>
      <c r="D8489" s="41">
        <f>D8479</f>
        <v>600.29999999999995</v>
      </c>
      <c r="E8489" s="31"/>
      <c r="F8489" s="32"/>
      <c r="G8489" s="15"/>
      <c r="H8489" s="21"/>
      <c r="I8489" s="15"/>
      <c r="J8489" s="15"/>
      <c r="K8489" s="15"/>
      <c r="L8489" s="21"/>
      <c r="M8489" s="15"/>
    </row>
    <row r="8490" spans="1:13" s="166" customFormat="1" ht="12.75" customHeight="1">
      <c r="A8490" s="12" t="s">
        <v>208</v>
      </c>
      <c r="B8490" s="434">
        <f>SUM(E8483:E8485)</f>
        <v>26216.1</v>
      </c>
      <c r="C8490" s="24" t="s">
        <v>209</v>
      </c>
      <c r="D8490" s="41">
        <f>D8480</f>
        <v>0.02</v>
      </c>
      <c r="E8490" s="31">
        <f t="shared" si="724"/>
        <v>524.322</v>
      </c>
      <c r="F8490" s="32">
        <f>SUM(E8483:E8490)</f>
        <v>32638.272416</v>
      </c>
      <c r="G8490" s="15"/>
      <c r="H8490" s="21"/>
      <c r="I8490" s="15"/>
      <c r="J8490" s="15"/>
      <c r="K8490" s="15"/>
      <c r="L8490" s="21"/>
      <c r="M8490" s="15"/>
    </row>
    <row r="8491" spans="1:13" s="166" customFormat="1" ht="12.75" customHeight="1">
      <c r="A8491" s="12"/>
      <c r="B8491" s="434"/>
      <c r="C8491" s="24"/>
      <c r="D8491" s="41"/>
      <c r="E8491" s="31"/>
      <c r="F8491" s="32"/>
      <c r="G8491" s="15"/>
      <c r="H8491" s="21"/>
      <c r="I8491" s="15"/>
      <c r="J8491" s="15"/>
      <c r="K8491" s="15"/>
      <c r="L8491" s="21"/>
      <c r="M8491" s="15"/>
    </row>
    <row r="8492" spans="1:13" s="166" customFormat="1" ht="12.75" customHeight="1">
      <c r="A8492" s="13" t="s">
        <v>4370</v>
      </c>
      <c r="B8492" s="434"/>
      <c r="C8492" s="24"/>
      <c r="D8492" s="41"/>
      <c r="E8492" s="31"/>
      <c r="F8492" s="32"/>
      <c r="G8492" s="15"/>
      <c r="H8492" s="21"/>
      <c r="I8492" s="15"/>
      <c r="J8492" s="15"/>
      <c r="K8492" s="15"/>
      <c r="L8492" s="21"/>
      <c r="M8492" s="15"/>
    </row>
    <row r="8493" spans="1:13" s="166" customFormat="1" ht="12.75" customHeight="1">
      <c r="A8493" s="12" t="s">
        <v>4379</v>
      </c>
      <c r="B8493" s="434">
        <v>1.05</v>
      </c>
      <c r="C8493" s="24" t="s">
        <v>825</v>
      </c>
      <c r="D8493" s="41">
        <f>D8483</f>
        <v>6850</v>
      </c>
      <c r="E8493" s="31">
        <f t="shared" ref="E8493:E8500" si="725">B8493*D8493</f>
        <v>7192.5</v>
      </c>
      <c r="F8493" s="32"/>
      <c r="G8493" s="15"/>
      <c r="H8493" s="21"/>
      <c r="I8493" s="15"/>
      <c r="J8493" s="15"/>
      <c r="K8493" s="15"/>
      <c r="L8493" s="21"/>
      <c r="M8493" s="15"/>
    </row>
    <row r="8494" spans="1:13" s="166" customFormat="1" ht="12.75" customHeight="1">
      <c r="A8494" s="12" t="s">
        <v>1686</v>
      </c>
      <c r="B8494" s="434">
        <v>5.3</v>
      </c>
      <c r="C8494" s="24" t="s">
        <v>4</v>
      </c>
      <c r="D8494" s="41">
        <f>D8484</f>
        <v>3200</v>
      </c>
      <c r="E8494" s="31">
        <f t="shared" si="725"/>
        <v>16960</v>
      </c>
      <c r="F8494" s="32"/>
      <c r="G8494" s="15"/>
      <c r="H8494" s="21"/>
      <c r="I8494" s="15"/>
      <c r="J8494" s="15"/>
      <c r="K8494" s="15"/>
      <c r="L8494" s="21"/>
      <c r="M8494" s="15"/>
    </row>
    <row r="8495" spans="1:13" s="166" customFormat="1" ht="12.75" customHeight="1">
      <c r="A8495" s="12" t="s">
        <v>1198</v>
      </c>
      <c r="B8495" s="434">
        <f>B8496*2</f>
        <v>10.6</v>
      </c>
      <c r="C8495" s="24" t="s">
        <v>1018</v>
      </c>
      <c r="D8495" s="41">
        <f>D8485</f>
        <v>60</v>
      </c>
      <c r="E8495" s="31">
        <f t="shared" si="725"/>
        <v>636</v>
      </c>
      <c r="F8495" s="32"/>
      <c r="G8495" s="15"/>
      <c r="H8495" s="21"/>
      <c r="I8495" s="15"/>
      <c r="J8495" s="15"/>
      <c r="K8495" s="15"/>
      <c r="L8495" s="21"/>
      <c r="M8495" s="15"/>
    </row>
    <row r="8496" spans="1:13" s="166" customFormat="1" ht="12.75" customHeight="1">
      <c r="A8496" s="12" t="s">
        <v>1037</v>
      </c>
      <c r="B8496" s="434">
        <f>SUM(B8494:B8494)</f>
        <v>5.3</v>
      </c>
      <c r="C8496" s="24" t="s">
        <v>216</v>
      </c>
      <c r="D8496" s="41">
        <f>D8486</f>
        <v>486.5</v>
      </c>
      <c r="E8496" s="31">
        <f t="shared" si="725"/>
        <v>2578.4499999999998</v>
      </c>
      <c r="F8496" s="32"/>
      <c r="G8496" s="15"/>
      <c r="H8496" s="21"/>
      <c r="I8496" s="15"/>
      <c r="J8496" s="15"/>
      <c r="K8496" s="15"/>
      <c r="L8496" s="21"/>
      <c r="M8496" s="15"/>
    </row>
    <row r="8497" spans="1:13" s="166" customFormat="1" ht="12.75" customHeight="1">
      <c r="A8497" s="12" t="s">
        <v>4406</v>
      </c>
      <c r="B8497" s="434">
        <v>6.94</v>
      </c>
      <c r="C8497" s="24" t="s">
        <v>1171</v>
      </c>
      <c r="D8497" s="41">
        <v>406.4</v>
      </c>
      <c r="E8497" s="31">
        <f t="shared" si="725"/>
        <v>2820.4160000000002</v>
      </c>
      <c r="F8497" s="32"/>
      <c r="G8497" s="15"/>
      <c r="H8497" s="21"/>
      <c r="I8497" s="15"/>
      <c r="J8497" s="15"/>
      <c r="K8497" s="15"/>
      <c r="L8497" s="21"/>
      <c r="M8497" s="15"/>
    </row>
    <row r="8498" spans="1:13" s="166" customFormat="1" ht="12.75" customHeight="1">
      <c r="A8498" s="12" t="s">
        <v>4383</v>
      </c>
      <c r="B8498" s="434">
        <f>(0.3+0.48+0.48)*B8497</f>
        <v>8.7444000000000006</v>
      </c>
      <c r="C8498" s="24" t="s">
        <v>1333</v>
      </c>
      <c r="D8498" s="41">
        <v>33.14</v>
      </c>
      <c r="E8498" s="31">
        <f t="shared" si="725"/>
        <v>289.78941600000002</v>
      </c>
      <c r="F8498" s="32"/>
      <c r="G8498" s="15"/>
      <c r="H8498" s="21"/>
      <c r="I8498" s="15"/>
      <c r="J8498" s="15"/>
      <c r="K8498" s="15"/>
      <c r="L8498" s="21"/>
      <c r="M8498" s="15"/>
    </row>
    <row r="8499" spans="1:13" s="166" customFormat="1" ht="12.75" customHeight="1">
      <c r="A8499" s="12" t="s">
        <v>1688</v>
      </c>
      <c r="B8499" s="434">
        <v>1</v>
      </c>
      <c r="C8499" s="24" t="s">
        <v>825</v>
      </c>
      <c r="D8499" s="41">
        <f>D8489</f>
        <v>600.29999999999995</v>
      </c>
      <c r="E8499" s="31"/>
      <c r="F8499" s="32"/>
      <c r="G8499" s="15"/>
      <c r="H8499" s="21"/>
      <c r="I8499" s="15"/>
      <c r="J8499" s="15"/>
      <c r="K8499" s="15"/>
      <c r="L8499" s="21"/>
      <c r="M8499" s="15"/>
    </row>
    <row r="8500" spans="1:13" s="166" customFormat="1" ht="12.75" customHeight="1">
      <c r="A8500" s="12" t="s">
        <v>208</v>
      </c>
      <c r="B8500" s="434">
        <f>SUM(E8493:E8495)</f>
        <v>24788.5</v>
      </c>
      <c r="C8500" s="24" t="s">
        <v>209</v>
      </c>
      <c r="D8500" s="41">
        <f>D8490</f>
        <v>0.02</v>
      </c>
      <c r="E8500" s="31">
        <f t="shared" si="725"/>
        <v>495.77000000000004</v>
      </c>
      <c r="F8500" s="32">
        <f>SUM(E8493:E8500)</f>
        <v>30972.925416000002</v>
      </c>
      <c r="G8500" s="15"/>
      <c r="H8500" s="21"/>
      <c r="I8500" s="15"/>
      <c r="J8500" s="15"/>
      <c r="K8500" s="15"/>
      <c r="L8500" s="21"/>
      <c r="M8500" s="15"/>
    </row>
    <row r="8501" spans="1:13" s="166" customFormat="1" ht="12.75" customHeight="1">
      <c r="A8501" s="12"/>
      <c r="B8501" s="434"/>
      <c r="C8501" s="24"/>
      <c r="D8501" s="41"/>
      <c r="E8501" s="31"/>
      <c r="F8501" s="32"/>
      <c r="G8501" s="15"/>
      <c r="H8501" s="21"/>
      <c r="I8501" s="15"/>
      <c r="J8501" s="15"/>
      <c r="K8501" s="15"/>
      <c r="L8501" s="21"/>
      <c r="M8501" s="15"/>
    </row>
    <row r="8502" spans="1:13" s="166" customFormat="1" ht="12.75" customHeight="1">
      <c r="A8502" s="13" t="s">
        <v>4371</v>
      </c>
      <c r="B8502" s="434"/>
      <c r="C8502" s="24"/>
      <c r="D8502" s="41"/>
      <c r="E8502" s="31"/>
      <c r="F8502" s="32"/>
      <c r="G8502" s="15"/>
      <c r="H8502" s="21"/>
      <c r="I8502" s="15"/>
      <c r="J8502" s="15"/>
      <c r="K8502" s="15"/>
      <c r="L8502" s="21"/>
      <c r="M8502" s="15"/>
    </row>
    <row r="8503" spans="1:13" s="166" customFormat="1" ht="12.75" customHeight="1">
      <c r="A8503" s="12" t="s">
        <v>4379</v>
      </c>
      <c r="B8503" s="434">
        <v>1.05</v>
      </c>
      <c r="C8503" s="24" t="s">
        <v>825</v>
      </c>
      <c r="D8503" s="41">
        <f t="shared" ref="D8503:D8510" si="726">D8493</f>
        <v>6850</v>
      </c>
      <c r="E8503" s="31">
        <f t="shared" ref="E8503:E8510" si="727">B8503*D8503</f>
        <v>7192.5</v>
      </c>
      <c r="F8503" s="32"/>
      <c r="G8503" s="15"/>
      <c r="H8503" s="21"/>
      <c r="I8503" s="15"/>
      <c r="J8503" s="15"/>
      <c r="K8503" s="15"/>
      <c r="L8503" s="21"/>
      <c r="M8503" s="15"/>
    </row>
    <row r="8504" spans="1:13" s="166" customFormat="1" ht="12.75" customHeight="1">
      <c r="A8504" s="12" t="s">
        <v>1686</v>
      </c>
      <c r="B8504" s="434">
        <v>4.87</v>
      </c>
      <c r="C8504" s="24" t="s">
        <v>4</v>
      </c>
      <c r="D8504" s="41">
        <f t="shared" si="726"/>
        <v>3200</v>
      </c>
      <c r="E8504" s="31">
        <f t="shared" si="727"/>
        <v>15584</v>
      </c>
      <c r="F8504" s="32"/>
      <c r="G8504" s="15"/>
      <c r="H8504" s="21"/>
      <c r="I8504" s="15"/>
      <c r="J8504" s="15"/>
      <c r="K8504" s="15"/>
      <c r="L8504" s="21"/>
      <c r="M8504" s="15"/>
    </row>
    <row r="8505" spans="1:13" s="166" customFormat="1" ht="12.75" customHeight="1">
      <c r="A8505" s="12" t="s">
        <v>1198</v>
      </c>
      <c r="B8505" s="434">
        <f>B8506*2</f>
        <v>9.74</v>
      </c>
      <c r="C8505" s="24" t="s">
        <v>1018</v>
      </c>
      <c r="D8505" s="41">
        <f t="shared" si="726"/>
        <v>60</v>
      </c>
      <c r="E8505" s="31">
        <f t="shared" si="727"/>
        <v>584.4</v>
      </c>
      <c r="F8505" s="32"/>
      <c r="G8505" s="15"/>
      <c r="H8505" s="21"/>
      <c r="I8505" s="15"/>
      <c r="J8505" s="15"/>
      <c r="K8505" s="15"/>
      <c r="L8505" s="21"/>
      <c r="M8505" s="15"/>
    </row>
    <row r="8506" spans="1:13" s="166" customFormat="1" ht="12.75" customHeight="1">
      <c r="A8506" s="12" t="s">
        <v>1037</v>
      </c>
      <c r="B8506" s="434">
        <f>SUM(B8504:B8504)</f>
        <v>4.87</v>
      </c>
      <c r="C8506" s="24" t="s">
        <v>216</v>
      </c>
      <c r="D8506" s="41">
        <f t="shared" si="726"/>
        <v>486.5</v>
      </c>
      <c r="E8506" s="31">
        <f t="shared" si="727"/>
        <v>2369.2550000000001</v>
      </c>
      <c r="F8506" s="32"/>
      <c r="G8506" s="15"/>
      <c r="H8506" s="21"/>
      <c r="I8506" s="15"/>
      <c r="J8506" s="15"/>
      <c r="K8506" s="15"/>
      <c r="L8506" s="21"/>
      <c r="M8506" s="15"/>
    </row>
    <row r="8507" spans="1:13" s="166" customFormat="1" ht="12.75" customHeight="1">
      <c r="A8507" s="12" t="s">
        <v>4406</v>
      </c>
      <c r="B8507" s="434">
        <v>6.94</v>
      </c>
      <c r="C8507" s="24" t="s">
        <v>1171</v>
      </c>
      <c r="D8507" s="41">
        <v>406.4</v>
      </c>
      <c r="E8507" s="31">
        <f t="shared" si="727"/>
        <v>2820.4160000000002</v>
      </c>
      <c r="F8507" s="32"/>
      <c r="G8507" s="15"/>
      <c r="H8507" s="21"/>
      <c r="I8507" s="15"/>
      <c r="J8507" s="15"/>
      <c r="K8507" s="15"/>
      <c r="L8507" s="21"/>
      <c r="M8507" s="15"/>
    </row>
    <row r="8508" spans="1:13" s="166" customFormat="1" ht="12.75" customHeight="1">
      <c r="A8508" s="12" t="s">
        <v>4383</v>
      </c>
      <c r="B8508" s="434">
        <f>(0.3+0.48+0.48)*B8507</f>
        <v>8.7444000000000006</v>
      </c>
      <c r="C8508" s="24" t="s">
        <v>1333</v>
      </c>
      <c r="D8508" s="41">
        <v>33.14</v>
      </c>
      <c r="E8508" s="31">
        <f t="shared" si="727"/>
        <v>289.78941600000002</v>
      </c>
      <c r="F8508" s="32"/>
      <c r="G8508" s="15"/>
      <c r="H8508" s="21"/>
      <c r="I8508" s="15"/>
      <c r="J8508" s="15"/>
      <c r="K8508" s="15"/>
      <c r="L8508" s="21"/>
      <c r="M8508" s="15"/>
    </row>
    <row r="8509" spans="1:13" s="166" customFormat="1" ht="12.75" customHeight="1">
      <c r="A8509" s="12" t="s">
        <v>1688</v>
      </c>
      <c r="B8509" s="434">
        <v>1</v>
      </c>
      <c r="C8509" s="24" t="s">
        <v>825</v>
      </c>
      <c r="D8509" s="41">
        <f t="shared" si="726"/>
        <v>600.29999999999995</v>
      </c>
      <c r="E8509" s="31"/>
      <c r="F8509" s="32"/>
      <c r="G8509" s="15"/>
      <c r="H8509" s="21"/>
      <c r="I8509" s="15"/>
      <c r="J8509" s="15"/>
      <c r="K8509" s="15"/>
      <c r="L8509" s="21"/>
      <c r="M8509" s="15"/>
    </row>
    <row r="8510" spans="1:13" s="166" customFormat="1" ht="12.75" customHeight="1">
      <c r="A8510" s="12" t="s">
        <v>208</v>
      </c>
      <c r="B8510" s="434">
        <f>SUM(E8503:E8505)</f>
        <v>23360.9</v>
      </c>
      <c r="C8510" s="24" t="s">
        <v>209</v>
      </c>
      <c r="D8510" s="41">
        <f t="shared" si="726"/>
        <v>0.02</v>
      </c>
      <c r="E8510" s="31">
        <f t="shared" si="727"/>
        <v>467.21800000000002</v>
      </c>
      <c r="F8510" s="32">
        <f>SUM(E8503:E8510)</f>
        <v>29307.578416000004</v>
      </c>
      <c r="G8510" s="15"/>
      <c r="H8510" s="21"/>
      <c r="I8510" s="15"/>
      <c r="J8510" s="15"/>
      <c r="K8510" s="15"/>
      <c r="L8510" s="21"/>
      <c r="M8510" s="15"/>
    </row>
    <row r="8511" spans="1:13" s="166" customFormat="1" ht="12.75" customHeight="1">
      <c r="A8511" s="12"/>
      <c r="B8511" s="434"/>
      <c r="C8511" s="24"/>
      <c r="D8511" s="41"/>
      <c r="E8511" s="31"/>
      <c r="F8511" s="32"/>
      <c r="G8511" s="15"/>
      <c r="H8511" s="21"/>
      <c r="I8511" s="15"/>
      <c r="J8511" s="15"/>
      <c r="K8511" s="15"/>
      <c r="L8511" s="21"/>
      <c r="M8511" s="15"/>
    </row>
    <row r="8512" spans="1:13" s="166" customFormat="1" ht="12.75" customHeight="1">
      <c r="A8512" s="13" t="s">
        <v>4415</v>
      </c>
      <c r="B8512" s="434"/>
      <c r="C8512" s="24"/>
      <c r="D8512" s="41"/>
      <c r="E8512" s="31"/>
      <c r="F8512" s="32"/>
      <c r="G8512" s="15"/>
      <c r="H8512" s="21"/>
      <c r="I8512" s="15"/>
      <c r="J8512" s="15"/>
      <c r="K8512" s="15"/>
      <c r="L8512" s="21"/>
      <c r="M8512" s="15"/>
    </row>
    <row r="8513" spans="1:13" s="166" customFormat="1" ht="12.75" customHeight="1">
      <c r="A8513" s="12" t="s">
        <v>4379</v>
      </c>
      <c r="B8513" s="434">
        <v>1.05</v>
      </c>
      <c r="C8513" s="24" t="s">
        <v>825</v>
      </c>
      <c r="D8513" s="41">
        <f t="shared" ref="D8513:D8520" si="728">D8503</f>
        <v>6850</v>
      </c>
      <c r="E8513" s="31">
        <f t="shared" ref="E8513:E8518" si="729">B8513*D8513</f>
        <v>7192.5</v>
      </c>
      <c r="F8513" s="32"/>
      <c r="G8513" s="15"/>
      <c r="H8513" s="21"/>
      <c r="I8513" s="15"/>
      <c r="J8513" s="15"/>
      <c r="K8513" s="15"/>
      <c r="L8513" s="21"/>
      <c r="M8513" s="15"/>
    </row>
    <row r="8514" spans="1:13" s="166" customFormat="1" ht="12.75" customHeight="1">
      <c r="A8514" s="12" t="s">
        <v>1686</v>
      </c>
      <c r="B8514" s="434">
        <v>5.1100000000000003</v>
      </c>
      <c r="C8514" s="24" t="s">
        <v>4</v>
      </c>
      <c r="D8514" s="41">
        <f t="shared" si="728"/>
        <v>3200</v>
      </c>
      <c r="E8514" s="31">
        <f t="shared" si="729"/>
        <v>16352.000000000002</v>
      </c>
      <c r="F8514" s="32"/>
      <c r="G8514" s="15"/>
      <c r="H8514" s="21"/>
      <c r="I8514" s="15"/>
      <c r="J8514" s="15"/>
      <c r="K8514" s="15"/>
      <c r="L8514" s="21"/>
      <c r="M8514" s="15"/>
    </row>
    <row r="8515" spans="1:13" s="166" customFormat="1" ht="12.75" customHeight="1">
      <c r="A8515" s="12" t="s">
        <v>1198</v>
      </c>
      <c r="B8515" s="434">
        <f>B8516*2</f>
        <v>10.220000000000001</v>
      </c>
      <c r="C8515" s="24" t="s">
        <v>1018</v>
      </c>
      <c r="D8515" s="41">
        <f t="shared" si="728"/>
        <v>60</v>
      </c>
      <c r="E8515" s="31">
        <f t="shared" si="729"/>
        <v>613.20000000000005</v>
      </c>
      <c r="F8515" s="32"/>
      <c r="G8515" s="15"/>
      <c r="H8515" s="21"/>
      <c r="I8515" s="15"/>
      <c r="J8515" s="15"/>
      <c r="K8515" s="15"/>
      <c r="L8515" s="21"/>
      <c r="M8515" s="15"/>
    </row>
    <row r="8516" spans="1:13" s="166" customFormat="1" ht="12.75" customHeight="1">
      <c r="A8516" s="12" t="s">
        <v>1037</v>
      </c>
      <c r="B8516" s="434">
        <f>SUM(B8514:B8514)</f>
        <v>5.1100000000000003</v>
      </c>
      <c r="C8516" s="24" t="s">
        <v>216</v>
      </c>
      <c r="D8516" s="41">
        <f t="shared" si="728"/>
        <v>486.5</v>
      </c>
      <c r="E8516" s="31">
        <f t="shared" si="729"/>
        <v>2486.0150000000003</v>
      </c>
      <c r="F8516" s="32"/>
      <c r="G8516" s="15"/>
      <c r="H8516" s="21"/>
      <c r="I8516" s="15"/>
      <c r="J8516" s="15"/>
      <c r="K8516" s="15"/>
      <c r="L8516" s="21"/>
      <c r="M8516" s="15"/>
    </row>
    <row r="8517" spans="1:13" s="166" customFormat="1" ht="12.75" customHeight="1">
      <c r="A8517" s="12" t="s">
        <v>4406</v>
      </c>
      <c r="B8517" s="434">
        <v>6.94</v>
      </c>
      <c r="C8517" s="24" t="s">
        <v>1171</v>
      </c>
      <c r="D8517" s="41">
        <v>406.4</v>
      </c>
      <c r="E8517" s="31">
        <f t="shared" si="729"/>
        <v>2820.4160000000002</v>
      </c>
      <c r="F8517" s="32"/>
      <c r="G8517" s="15"/>
      <c r="H8517" s="21"/>
      <c r="I8517" s="15"/>
      <c r="J8517" s="15"/>
      <c r="K8517" s="15"/>
      <c r="L8517" s="21"/>
      <c r="M8517" s="15"/>
    </row>
    <row r="8518" spans="1:13" s="166" customFormat="1" ht="12.75" customHeight="1">
      <c r="A8518" s="12" t="s">
        <v>4383</v>
      </c>
      <c r="B8518" s="434">
        <f>(0.3+0.48+0.48)*B8517</f>
        <v>8.7444000000000006</v>
      </c>
      <c r="C8518" s="24" t="s">
        <v>1333</v>
      </c>
      <c r="D8518" s="41">
        <v>33.14</v>
      </c>
      <c r="E8518" s="31">
        <f t="shared" si="729"/>
        <v>289.78941600000002</v>
      </c>
      <c r="F8518" s="32"/>
      <c r="G8518" s="15"/>
      <c r="H8518" s="21"/>
      <c r="I8518" s="15"/>
      <c r="J8518" s="15"/>
      <c r="K8518" s="15"/>
      <c r="L8518" s="21"/>
      <c r="M8518" s="15"/>
    </row>
    <row r="8519" spans="1:13" s="166" customFormat="1" ht="12.75" customHeight="1">
      <c r="A8519" s="12" t="s">
        <v>1688</v>
      </c>
      <c r="B8519" s="434">
        <v>1</v>
      </c>
      <c r="C8519" s="24" t="s">
        <v>825</v>
      </c>
      <c r="D8519" s="41">
        <f t="shared" si="728"/>
        <v>600.29999999999995</v>
      </c>
      <c r="E8519" s="31"/>
      <c r="F8519" s="32"/>
      <c r="G8519" s="15"/>
      <c r="H8519" s="21"/>
      <c r="I8519" s="15"/>
      <c r="J8519" s="15"/>
      <c r="K8519" s="15"/>
      <c r="L8519" s="21"/>
      <c r="M8519" s="15"/>
    </row>
    <row r="8520" spans="1:13" s="166" customFormat="1" ht="12.75" customHeight="1">
      <c r="A8520" s="12" t="s">
        <v>208</v>
      </c>
      <c r="B8520" s="434">
        <f>SUM(E8513:E8515)</f>
        <v>24157.7</v>
      </c>
      <c r="C8520" s="24" t="s">
        <v>209</v>
      </c>
      <c r="D8520" s="41">
        <f t="shared" si="728"/>
        <v>0.02</v>
      </c>
      <c r="E8520" s="31">
        <f t="shared" ref="E8520" si="730">B8520*D8520</f>
        <v>483.154</v>
      </c>
      <c r="F8520" s="32">
        <f>SUM(E8513:E8520)</f>
        <v>30237.074415999999</v>
      </c>
      <c r="G8520" s="15"/>
      <c r="H8520" s="21"/>
      <c r="I8520" s="15"/>
      <c r="J8520" s="15"/>
      <c r="K8520" s="15"/>
      <c r="L8520" s="21"/>
      <c r="M8520" s="15"/>
    </row>
    <row r="8521" spans="1:13" s="166" customFormat="1" ht="12.75" customHeight="1">
      <c r="A8521" s="12"/>
      <c r="B8521" s="434"/>
      <c r="C8521" s="24"/>
      <c r="D8521" s="41"/>
      <c r="E8521" s="31"/>
      <c r="F8521" s="32"/>
      <c r="G8521" s="15"/>
      <c r="H8521" s="21"/>
      <c r="I8521" s="15"/>
      <c r="J8521" s="15"/>
      <c r="K8521" s="15"/>
      <c r="L8521" s="21"/>
      <c r="M8521" s="15"/>
    </row>
    <row r="8522" spans="1:13" s="166" customFormat="1" ht="12.75" customHeight="1">
      <c r="A8522" s="698" t="s">
        <v>4407</v>
      </c>
      <c r="B8522" s="699"/>
      <c r="C8522" s="700"/>
      <c r="D8522" s="701"/>
      <c r="E8522" s="702"/>
      <c r="F8522" s="703"/>
      <c r="G8522" s="15"/>
      <c r="H8522" s="21"/>
      <c r="I8522" s="15"/>
      <c r="J8522" s="15"/>
      <c r="K8522" s="15"/>
      <c r="L8522" s="21"/>
      <c r="M8522" s="15"/>
    </row>
    <row r="8523" spans="1:13" s="166" customFormat="1" ht="12.75" customHeight="1">
      <c r="A8523" s="704" t="s">
        <v>4379</v>
      </c>
      <c r="B8523" s="699">
        <v>1.05</v>
      </c>
      <c r="C8523" s="700" t="s">
        <v>825</v>
      </c>
      <c r="D8523" s="701">
        <f>D8503</f>
        <v>6850</v>
      </c>
      <c r="E8523" s="702">
        <f t="shared" ref="E8523:E8530" si="731">B8523*D8523</f>
        <v>7192.5</v>
      </c>
      <c r="F8523" s="703"/>
      <c r="G8523" s="15"/>
      <c r="H8523" s="21"/>
      <c r="I8523" s="15"/>
      <c r="J8523" s="15"/>
      <c r="K8523" s="15"/>
      <c r="L8523" s="21"/>
      <c r="M8523" s="15"/>
    </row>
    <row r="8524" spans="1:13" s="166" customFormat="1" ht="12.75" customHeight="1">
      <c r="A8524" s="704" t="s">
        <v>1686</v>
      </c>
      <c r="B8524" s="699">
        <v>3.23</v>
      </c>
      <c r="C8524" s="700" t="s">
        <v>4</v>
      </c>
      <c r="D8524" s="701">
        <f>D8504</f>
        <v>3200</v>
      </c>
      <c r="E8524" s="702">
        <f t="shared" si="731"/>
        <v>10336</v>
      </c>
      <c r="F8524" s="703"/>
      <c r="G8524" s="15"/>
      <c r="H8524" s="21"/>
      <c r="I8524" s="15"/>
      <c r="J8524" s="15"/>
      <c r="K8524" s="15"/>
      <c r="L8524" s="21"/>
      <c r="M8524" s="15"/>
    </row>
    <row r="8525" spans="1:13" s="166" customFormat="1" ht="12.75" customHeight="1">
      <c r="A8525" s="704" t="s">
        <v>1198</v>
      </c>
      <c r="B8525" s="699">
        <f>B8526*2</f>
        <v>6.46</v>
      </c>
      <c r="C8525" s="700" t="s">
        <v>1018</v>
      </c>
      <c r="D8525" s="701">
        <f>D8505</f>
        <v>60</v>
      </c>
      <c r="E8525" s="702">
        <f t="shared" si="731"/>
        <v>387.6</v>
      </c>
      <c r="F8525" s="703"/>
      <c r="G8525" s="15"/>
      <c r="H8525" s="21"/>
      <c r="I8525" s="15"/>
      <c r="J8525" s="15"/>
      <c r="K8525" s="15"/>
      <c r="L8525" s="21"/>
      <c r="M8525" s="15"/>
    </row>
    <row r="8526" spans="1:13" s="166" customFormat="1" ht="12.75" customHeight="1">
      <c r="A8526" s="704" t="s">
        <v>1037</v>
      </c>
      <c r="B8526" s="699">
        <f>SUM(B8524:B8524)</f>
        <v>3.23</v>
      </c>
      <c r="C8526" s="700" t="s">
        <v>216</v>
      </c>
      <c r="D8526" s="701">
        <f>D8506</f>
        <v>486.5</v>
      </c>
      <c r="E8526" s="702">
        <f t="shared" si="731"/>
        <v>1571.395</v>
      </c>
      <c r="F8526" s="703"/>
      <c r="G8526" s="15"/>
      <c r="H8526" s="21"/>
      <c r="I8526" s="15"/>
      <c r="J8526" s="15"/>
      <c r="K8526" s="15"/>
      <c r="L8526" s="21"/>
      <c r="M8526" s="15"/>
    </row>
    <row r="8527" spans="1:13" s="166" customFormat="1" ht="12.75" customHeight="1">
      <c r="A8527" s="704" t="s">
        <v>4408</v>
      </c>
      <c r="B8527" s="699">
        <v>19.05</v>
      </c>
      <c r="C8527" s="700" t="s">
        <v>1171</v>
      </c>
      <c r="D8527" s="701">
        <v>189.54</v>
      </c>
      <c r="E8527" s="702">
        <f t="shared" si="731"/>
        <v>3610.7370000000001</v>
      </c>
      <c r="F8527" s="703"/>
      <c r="G8527" s="15"/>
      <c r="H8527" s="21"/>
      <c r="I8527" s="15"/>
      <c r="J8527" s="15"/>
      <c r="K8527" s="15"/>
      <c r="L8527" s="21"/>
      <c r="M8527" s="15"/>
    </row>
    <row r="8528" spans="1:13" s="166" customFormat="1" ht="12.75" customHeight="1">
      <c r="A8528" s="704" t="s">
        <v>4383</v>
      </c>
      <c r="B8528" s="699">
        <f>(0.35+0.35)*B8527</f>
        <v>13.334999999999999</v>
      </c>
      <c r="C8528" s="700" t="s">
        <v>1333</v>
      </c>
      <c r="D8528" s="701">
        <f>D8508</f>
        <v>33.14</v>
      </c>
      <c r="E8528" s="702">
        <f t="shared" si="731"/>
        <v>441.92189999999999</v>
      </c>
      <c r="F8528" s="703"/>
      <c r="G8528" s="15"/>
      <c r="H8528" s="21"/>
      <c r="I8528" s="15"/>
      <c r="J8528" s="15"/>
      <c r="K8528" s="15"/>
      <c r="L8528" s="21"/>
      <c r="M8528" s="15"/>
    </row>
    <row r="8529" spans="1:13" s="166" customFormat="1" ht="12.75" customHeight="1">
      <c r="A8529" s="704" t="s">
        <v>1688</v>
      </c>
      <c r="B8529" s="699">
        <v>1</v>
      </c>
      <c r="C8529" s="700" t="s">
        <v>825</v>
      </c>
      <c r="D8529" s="701">
        <f>D8509</f>
        <v>600.29999999999995</v>
      </c>
      <c r="E8529" s="702"/>
      <c r="F8529" s="703"/>
      <c r="G8529" s="15"/>
      <c r="H8529" s="21"/>
      <c r="I8529" s="15"/>
      <c r="J8529" s="15"/>
      <c r="K8529" s="15"/>
      <c r="L8529" s="21"/>
      <c r="M8529" s="15"/>
    </row>
    <row r="8530" spans="1:13" s="166" customFormat="1" ht="12.75" customHeight="1">
      <c r="A8530" s="704" t="s">
        <v>208</v>
      </c>
      <c r="B8530" s="699">
        <f>SUM(E8523:E8525)</f>
        <v>17916.099999999999</v>
      </c>
      <c r="C8530" s="700" t="s">
        <v>209</v>
      </c>
      <c r="D8530" s="701">
        <f>D8510</f>
        <v>0.02</v>
      </c>
      <c r="E8530" s="702">
        <f t="shared" si="731"/>
        <v>358.322</v>
      </c>
      <c r="F8530" s="703">
        <f>SUM(E8523:E8530)</f>
        <v>23898.475900000001</v>
      </c>
      <c r="G8530" s="15"/>
      <c r="H8530" s="21"/>
      <c r="I8530" s="15"/>
      <c r="J8530" s="15"/>
      <c r="K8530" s="15"/>
      <c r="L8530" s="21"/>
      <c r="M8530" s="15"/>
    </row>
    <row r="8531" spans="1:13" s="166" customFormat="1" ht="12.75" customHeight="1">
      <c r="A8531" s="12"/>
      <c r="B8531" s="434"/>
      <c r="C8531" s="24"/>
      <c r="D8531" s="41"/>
      <c r="E8531" s="31"/>
      <c r="F8531" s="32"/>
      <c r="G8531" s="15"/>
      <c r="H8531" s="21"/>
      <c r="I8531" s="15"/>
      <c r="J8531" s="15"/>
      <c r="K8531" s="15"/>
      <c r="L8531" s="21"/>
      <c r="M8531" s="15"/>
    </row>
    <row r="8532" spans="1:13" s="166" customFormat="1" ht="12.75" customHeight="1">
      <c r="A8532" s="13" t="s">
        <v>4372</v>
      </c>
      <c r="B8532" s="434"/>
      <c r="C8532" s="24"/>
      <c r="D8532" s="41"/>
      <c r="E8532" s="31"/>
      <c r="F8532" s="32"/>
      <c r="G8532" s="15"/>
      <c r="H8532" s="21"/>
      <c r="I8532" s="15"/>
      <c r="J8532" s="15"/>
      <c r="K8532" s="15"/>
      <c r="L8532" s="21"/>
      <c r="M8532" s="15"/>
    </row>
    <row r="8533" spans="1:13" s="166" customFormat="1" ht="12.75" customHeight="1">
      <c r="A8533" s="12" t="s">
        <v>4379</v>
      </c>
      <c r="B8533" s="434">
        <v>1.05</v>
      </c>
      <c r="C8533" s="24" t="s">
        <v>825</v>
      </c>
      <c r="D8533" s="41">
        <f t="shared" ref="D8533:D8540" si="732">D8523</f>
        <v>6850</v>
      </c>
      <c r="E8533" s="31">
        <f t="shared" ref="E8533:E8540" si="733">B8533*D8533</f>
        <v>7192.5</v>
      </c>
      <c r="F8533" s="32"/>
      <c r="G8533" s="15"/>
      <c r="H8533" s="21"/>
      <c r="I8533" s="15"/>
      <c r="J8533" s="15"/>
      <c r="K8533" s="15"/>
      <c r="L8533" s="21"/>
      <c r="M8533" s="15"/>
    </row>
    <row r="8534" spans="1:13" s="166" customFormat="1" ht="12.75" customHeight="1">
      <c r="A8534" s="12" t="s">
        <v>1686</v>
      </c>
      <c r="B8534" s="434">
        <v>4.3499999999999996</v>
      </c>
      <c r="C8534" s="24" t="s">
        <v>4</v>
      </c>
      <c r="D8534" s="41">
        <f t="shared" si="732"/>
        <v>3200</v>
      </c>
      <c r="E8534" s="31">
        <f t="shared" si="733"/>
        <v>13919.999999999998</v>
      </c>
      <c r="F8534" s="32"/>
      <c r="G8534" s="15"/>
      <c r="H8534" s="21"/>
      <c r="I8534" s="15"/>
      <c r="J8534" s="15"/>
      <c r="K8534" s="15"/>
      <c r="L8534" s="21"/>
      <c r="M8534" s="15"/>
    </row>
    <row r="8535" spans="1:13" s="166" customFormat="1" ht="12.75" customHeight="1">
      <c r="A8535" s="12" t="s">
        <v>1198</v>
      </c>
      <c r="B8535" s="434">
        <f>B8536*2</f>
        <v>8.6999999999999993</v>
      </c>
      <c r="C8535" s="24" t="s">
        <v>1018</v>
      </c>
      <c r="D8535" s="41">
        <f t="shared" si="732"/>
        <v>60</v>
      </c>
      <c r="E8535" s="31">
        <f t="shared" si="733"/>
        <v>522</v>
      </c>
      <c r="F8535" s="32"/>
      <c r="G8535" s="15"/>
      <c r="H8535" s="21"/>
      <c r="I8535" s="15"/>
      <c r="J8535" s="15"/>
      <c r="K8535" s="15"/>
      <c r="L8535" s="21"/>
      <c r="M8535" s="15"/>
    </row>
    <row r="8536" spans="1:13" s="166" customFormat="1" ht="12.75" customHeight="1">
      <c r="A8536" s="12" t="s">
        <v>1037</v>
      </c>
      <c r="B8536" s="434">
        <f>SUM(B8534:B8534)</f>
        <v>4.3499999999999996</v>
      </c>
      <c r="C8536" s="24" t="s">
        <v>216</v>
      </c>
      <c r="D8536" s="41">
        <f t="shared" si="732"/>
        <v>486.5</v>
      </c>
      <c r="E8536" s="31">
        <f t="shared" si="733"/>
        <v>2116.2749999999996</v>
      </c>
      <c r="F8536" s="32"/>
      <c r="G8536" s="15"/>
      <c r="H8536" s="21"/>
      <c r="I8536" s="15"/>
      <c r="J8536" s="15"/>
      <c r="K8536" s="15"/>
      <c r="L8536" s="21"/>
      <c r="M8536" s="15"/>
    </row>
    <row r="8537" spans="1:13" s="166" customFormat="1" ht="12.75" customHeight="1">
      <c r="A8537" s="12" t="s">
        <v>4380</v>
      </c>
      <c r="B8537" s="434">
        <v>8.77</v>
      </c>
      <c r="C8537" s="24" t="s">
        <v>1171</v>
      </c>
      <c r="D8537" s="41">
        <f t="shared" si="732"/>
        <v>189.54</v>
      </c>
      <c r="E8537" s="31">
        <f t="shared" si="733"/>
        <v>1662.2657999999999</v>
      </c>
      <c r="F8537" s="32"/>
      <c r="G8537" s="15"/>
      <c r="H8537" s="21"/>
      <c r="I8537" s="15"/>
      <c r="J8537" s="15"/>
      <c r="K8537" s="15"/>
      <c r="L8537" s="21"/>
      <c r="M8537" s="15"/>
    </row>
    <row r="8538" spans="1:13" s="166" customFormat="1" ht="12.75" customHeight="1">
      <c r="A8538" s="12" t="s">
        <v>4383</v>
      </c>
      <c r="B8538" s="434">
        <f>(0.3+0.38+0.38)*B8537</f>
        <v>9.2962000000000007</v>
      </c>
      <c r="C8538" s="24" t="s">
        <v>1333</v>
      </c>
      <c r="D8538" s="41">
        <f t="shared" si="732"/>
        <v>33.14</v>
      </c>
      <c r="E8538" s="31">
        <f t="shared" si="733"/>
        <v>308.07606800000002</v>
      </c>
      <c r="F8538" s="32"/>
      <c r="G8538" s="15"/>
      <c r="H8538" s="21"/>
      <c r="I8538" s="15"/>
      <c r="J8538" s="15"/>
      <c r="K8538" s="15"/>
      <c r="L8538" s="21"/>
      <c r="M8538" s="15"/>
    </row>
    <row r="8539" spans="1:13" s="166" customFormat="1" ht="12.75" customHeight="1">
      <c r="A8539" s="12" t="s">
        <v>1688</v>
      </c>
      <c r="B8539" s="434">
        <v>1</v>
      </c>
      <c r="C8539" s="24" t="s">
        <v>825</v>
      </c>
      <c r="D8539" s="41">
        <f t="shared" si="732"/>
        <v>600.29999999999995</v>
      </c>
      <c r="E8539" s="31"/>
      <c r="F8539" s="32"/>
      <c r="G8539" s="15"/>
      <c r="H8539" s="21"/>
      <c r="I8539" s="15"/>
      <c r="J8539" s="15"/>
      <c r="K8539" s="15"/>
      <c r="L8539" s="21"/>
      <c r="M8539" s="15"/>
    </row>
    <row r="8540" spans="1:13" s="166" customFormat="1" ht="12.75" customHeight="1">
      <c r="A8540" s="12" t="s">
        <v>208</v>
      </c>
      <c r="B8540" s="434">
        <f>SUM(E8533:E8535)</f>
        <v>21634.5</v>
      </c>
      <c r="C8540" s="24" t="s">
        <v>209</v>
      </c>
      <c r="D8540" s="41">
        <f t="shared" si="732"/>
        <v>0.02</v>
      </c>
      <c r="E8540" s="31">
        <f t="shared" si="733"/>
        <v>432.69</v>
      </c>
      <c r="F8540" s="32">
        <f>SUM(E8533:E8540)</f>
        <v>26153.806868</v>
      </c>
      <c r="G8540" s="15"/>
      <c r="H8540" s="21"/>
      <c r="I8540" s="15"/>
      <c r="J8540" s="15"/>
      <c r="K8540" s="15"/>
      <c r="L8540" s="21"/>
      <c r="M8540" s="15"/>
    </row>
    <row r="8541" spans="1:13" s="166" customFormat="1" ht="12.75" customHeight="1">
      <c r="A8541" s="12"/>
      <c r="B8541" s="434"/>
      <c r="C8541" s="24"/>
      <c r="D8541" s="41"/>
      <c r="E8541" s="31"/>
      <c r="F8541" s="32"/>
      <c r="G8541" s="15"/>
      <c r="H8541" s="21"/>
      <c r="I8541" s="15"/>
      <c r="J8541" s="15"/>
      <c r="K8541" s="15"/>
      <c r="L8541" s="21"/>
      <c r="M8541" s="15"/>
    </row>
    <row r="8542" spans="1:13" s="166" customFormat="1" ht="12.75" customHeight="1">
      <c r="A8542" s="13" t="s">
        <v>4373</v>
      </c>
      <c r="B8542" s="434"/>
      <c r="C8542" s="24"/>
      <c r="D8542" s="41"/>
      <c r="E8542" s="31"/>
      <c r="F8542" s="32"/>
      <c r="G8542" s="15"/>
      <c r="H8542" s="21"/>
      <c r="I8542" s="15"/>
      <c r="J8542" s="15"/>
      <c r="K8542" s="15"/>
      <c r="L8542" s="21"/>
      <c r="M8542" s="15"/>
    </row>
    <row r="8543" spans="1:13" s="166" customFormat="1" ht="12.75" customHeight="1">
      <c r="A8543" s="12" t="s">
        <v>4379</v>
      </c>
      <c r="B8543" s="434">
        <v>1.05</v>
      </c>
      <c r="C8543" s="24" t="s">
        <v>825</v>
      </c>
      <c r="D8543" s="41">
        <f t="shared" ref="D8543:D8550" si="734">D8533</f>
        <v>6850</v>
      </c>
      <c r="E8543" s="31">
        <f t="shared" ref="E8543:E8550" si="735">B8543*D8543</f>
        <v>7192.5</v>
      </c>
      <c r="F8543" s="32"/>
      <c r="G8543" s="15"/>
      <c r="H8543" s="21"/>
      <c r="I8543" s="15"/>
      <c r="J8543" s="15"/>
      <c r="K8543" s="15"/>
      <c r="L8543" s="21"/>
      <c r="M8543" s="15"/>
    </row>
    <row r="8544" spans="1:13" s="166" customFormat="1" ht="12.75" customHeight="1">
      <c r="A8544" s="12" t="s">
        <v>1686</v>
      </c>
      <c r="B8544" s="434">
        <v>4.3499999999999996</v>
      </c>
      <c r="C8544" s="24" t="s">
        <v>4</v>
      </c>
      <c r="D8544" s="41">
        <f t="shared" si="734"/>
        <v>3200</v>
      </c>
      <c r="E8544" s="31">
        <f t="shared" si="735"/>
        <v>13919.999999999998</v>
      </c>
      <c r="F8544" s="32"/>
      <c r="G8544" s="15"/>
      <c r="H8544" s="21"/>
      <c r="I8544" s="15"/>
      <c r="J8544" s="15"/>
      <c r="K8544" s="15"/>
      <c r="L8544" s="21"/>
      <c r="M8544" s="15"/>
    </row>
    <row r="8545" spans="1:13" s="166" customFormat="1" ht="12.75" customHeight="1">
      <c r="A8545" s="12" t="s">
        <v>1198</v>
      </c>
      <c r="B8545" s="434">
        <f>B8546*2</f>
        <v>8.6999999999999993</v>
      </c>
      <c r="C8545" s="24" t="s">
        <v>1018</v>
      </c>
      <c r="D8545" s="41">
        <f t="shared" si="734"/>
        <v>60</v>
      </c>
      <c r="E8545" s="31">
        <f t="shared" si="735"/>
        <v>522</v>
      </c>
      <c r="F8545" s="32"/>
      <c r="G8545" s="15"/>
      <c r="H8545" s="21"/>
      <c r="I8545" s="15"/>
      <c r="J8545" s="15"/>
      <c r="K8545" s="15"/>
      <c r="L8545" s="21"/>
      <c r="M8545" s="15"/>
    </row>
    <row r="8546" spans="1:13" s="166" customFormat="1" ht="12.75" customHeight="1">
      <c r="A8546" s="12" t="s">
        <v>1037</v>
      </c>
      <c r="B8546" s="434">
        <f>SUM(B8544:B8544)</f>
        <v>4.3499999999999996</v>
      </c>
      <c r="C8546" s="24" t="s">
        <v>216</v>
      </c>
      <c r="D8546" s="41">
        <f t="shared" si="734"/>
        <v>486.5</v>
      </c>
      <c r="E8546" s="31">
        <f t="shared" si="735"/>
        <v>2116.2749999999996</v>
      </c>
      <c r="F8546" s="32"/>
      <c r="G8546" s="15"/>
      <c r="H8546" s="21"/>
      <c r="I8546" s="15"/>
      <c r="J8546" s="15"/>
      <c r="K8546" s="15"/>
      <c r="L8546" s="21"/>
      <c r="M8546" s="15"/>
    </row>
    <row r="8547" spans="1:13" s="166" customFormat="1" ht="12.75" customHeight="1">
      <c r="A8547" s="12" t="s">
        <v>4380</v>
      </c>
      <c r="B8547" s="434">
        <v>8.77</v>
      </c>
      <c r="C8547" s="24" t="s">
        <v>1171</v>
      </c>
      <c r="D8547" s="41">
        <f t="shared" si="734"/>
        <v>189.54</v>
      </c>
      <c r="E8547" s="31">
        <f t="shared" si="735"/>
        <v>1662.2657999999999</v>
      </c>
      <c r="F8547" s="32"/>
      <c r="G8547" s="15"/>
      <c r="H8547" s="21"/>
      <c r="I8547" s="15"/>
      <c r="J8547" s="15"/>
      <c r="K8547" s="15"/>
      <c r="L8547" s="21"/>
      <c r="M8547" s="15"/>
    </row>
    <row r="8548" spans="1:13" s="166" customFormat="1" ht="12.75" customHeight="1">
      <c r="A8548" s="12" t="s">
        <v>4383</v>
      </c>
      <c r="B8548" s="434">
        <f>(0.3+0.38+0.38)*B8547</f>
        <v>9.2962000000000007</v>
      </c>
      <c r="C8548" s="24" t="s">
        <v>1333</v>
      </c>
      <c r="D8548" s="41">
        <f t="shared" si="734"/>
        <v>33.14</v>
      </c>
      <c r="E8548" s="31">
        <f t="shared" si="735"/>
        <v>308.07606800000002</v>
      </c>
      <c r="F8548" s="32"/>
      <c r="G8548" s="15"/>
      <c r="H8548" s="21"/>
      <c r="I8548" s="15"/>
      <c r="J8548" s="15"/>
      <c r="K8548" s="15"/>
      <c r="L8548" s="21"/>
      <c r="M8548" s="15"/>
    </row>
    <row r="8549" spans="1:13" s="166" customFormat="1" ht="12.75" customHeight="1">
      <c r="A8549" s="12" t="s">
        <v>1688</v>
      </c>
      <c r="B8549" s="434">
        <v>1</v>
      </c>
      <c r="C8549" s="24" t="s">
        <v>825</v>
      </c>
      <c r="D8549" s="41">
        <f t="shared" si="734"/>
        <v>600.29999999999995</v>
      </c>
      <c r="E8549" s="31"/>
      <c r="F8549" s="32"/>
      <c r="G8549" s="15"/>
      <c r="H8549" s="21"/>
      <c r="I8549" s="15"/>
      <c r="J8549" s="15"/>
      <c r="K8549" s="15"/>
      <c r="L8549" s="21"/>
      <c r="M8549" s="15"/>
    </row>
    <row r="8550" spans="1:13" s="166" customFormat="1" ht="12.75" customHeight="1">
      <c r="A8550" s="12" t="s">
        <v>208</v>
      </c>
      <c r="B8550" s="434">
        <f>SUM(E8543:E8545)</f>
        <v>21634.5</v>
      </c>
      <c r="C8550" s="24" t="s">
        <v>209</v>
      </c>
      <c r="D8550" s="41">
        <f t="shared" si="734"/>
        <v>0.02</v>
      </c>
      <c r="E8550" s="31">
        <f t="shared" si="735"/>
        <v>432.69</v>
      </c>
      <c r="F8550" s="32">
        <f>SUM(E8543:E8550)</f>
        <v>26153.806868</v>
      </c>
      <c r="G8550" s="15"/>
      <c r="H8550" s="21"/>
      <c r="I8550" s="15"/>
      <c r="J8550" s="15"/>
      <c r="K8550" s="15"/>
      <c r="L8550" s="21"/>
      <c r="M8550" s="15"/>
    </row>
    <row r="8551" spans="1:13" s="166" customFormat="1" ht="12.75" customHeight="1">
      <c r="A8551" s="12"/>
      <c r="B8551" s="434"/>
      <c r="C8551" s="24"/>
      <c r="D8551" s="41"/>
      <c r="E8551" s="31"/>
      <c r="F8551" s="32"/>
      <c r="G8551" s="15"/>
      <c r="H8551" s="21"/>
      <c r="I8551" s="15"/>
      <c r="J8551" s="15"/>
      <c r="K8551" s="15"/>
      <c r="L8551" s="21"/>
      <c r="M8551" s="15"/>
    </row>
    <row r="8552" spans="1:13" s="166" customFormat="1" ht="12.75" customHeight="1">
      <c r="A8552" s="13" t="s">
        <v>4374</v>
      </c>
      <c r="B8552" s="434"/>
      <c r="C8552" s="24"/>
      <c r="D8552" s="41"/>
      <c r="E8552" s="31"/>
      <c r="F8552" s="32"/>
      <c r="G8552" s="15"/>
      <c r="H8552" s="21"/>
      <c r="I8552" s="15"/>
      <c r="J8552" s="15"/>
      <c r="K8552" s="15"/>
      <c r="L8552" s="21"/>
      <c r="M8552" s="15"/>
    </row>
    <row r="8553" spans="1:13" s="166" customFormat="1" ht="12.75" customHeight="1">
      <c r="A8553" s="12" t="s">
        <v>4379</v>
      </c>
      <c r="B8553" s="434">
        <v>1.05</v>
      </c>
      <c r="C8553" s="24" t="s">
        <v>825</v>
      </c>
      <c r="D8553" s="41">
        <f t="shared" ref="D8553:D8560" si="736">D8543</f>
        <v>6850</v>
      </c>
      <c r="E8553" s="31">
        <f t="shared" ref="E8553:E8560" si="737">B8553*D8553</f>
        <v>7192.5</v>
      </c>
      <c r="F8553" s="32"/>
      <c r="G8553" s="15"/>
      <c r="H8553" s="21"/>
      <c r="I8553" s="15"/>
      <c r="J8553" s="15"/>
      <c r="K8553" s="15"/>
      <c r="L8553" s="21"/>
      <c r="M8553" s="15"/>
    </row>
    <row r="8554" spans="1:13" s="166" customFormat="1" ht="12.75" customHeight="1">
      <c r="A8554" s="12" t="s">
        <v>1686</v>
      </c>
      <c r="B8554" s="434">
        <v>4.3499999999999996</v>
      </c>
      <c r="C8554" s="24" t="s">
        <v>4</v>
      </c>
      <c r="D8554" s="41">
        <f t="shared" si="736"/>
        <v>3200</v>
      </c>
      <c r="E8554" s="31">
        <f t="shared" si="737"/>
        <v>13919.999999999998</v>
      </c>
      <c r="F8554" s="32"/>
      <c r="G8554" s="15"/>
      <c r="H8554" s="21"/>
      <c r="I8554" s="15"/>
      <c r="J8554" s="15"/>
      <c r="K8554" s="15"/>
      <c r="L8554" s="21"/>
      <c r="M8554" s="15"/>
    </row>
    <row r="8555" spans="1:13" s="166" customFormat="1" ht="12.75" customHeight="1">
      <c r="A8555" s="12" t="s">
        <v>1198</v>
      </c>
      <c r="B8555" s="434">
        <f>B8556*2</f>
        <v>8.6999999999999993</v>
      </c>
      <c r="C8555" s="24" t="s">
        <v>1018</v>
      </c>
      <c r="D8555" s="41">
        <f t="shared" si="736"/>
        <v>60</v>
      </c>
      <c r="E8555" s="31">
        <f t="shared" si="737"/>
        <v>522</v>
      </c>
      <c r="F8555" s="32"/>
      <c r="G8555" s="15"/>
      <c r="H8555" s="21"/>
      <c r="I8555" s="15"/>
      <c r="J8555" s="15"/>
      <c r="K8555" s="15"/>
      <c r="L8555" s="21"/>
      <c r="M8555" s="15"/>
    </row>
    <row r="8556" spans="1:13" s="166" customFormat="1" ht="12.75" customHeight="1">
      <c r="A8556" s="12" t="s">
        <v>1037</v>
      </c>
      <c r="B8556" s="434">
        <f>SUM(B8554:B8554)</f>
        <v>4.3499999999999996</v>
      </c>
      <c r="C8556" s="24" t="s">
        <v>216</v>
      </c>
      <c r="D8556" s="41">
        <f t="shared" si="736"/>
        <v>486.5</v>
      </c>
      <c r="E8556" s="31">
        <f t="shared" si="737"/>
        <v>2116.2749999999996</v>
      </c>
      <c r="F8556" s="32"/>
      <c r="G8556" s="15"/>
      <c r="H8556" s="21"/>
      <c r="I8556" s="15"/>
      <c r="J8556" s="15"/>
      <c r="K8556" s="15"/>
      <c r="L8556" s="21"/>
      <c r="M8556" s="15"/>
    </row>
    <row r="8557" spans="1:13" s="166" customFormat="1" ht="12.75" customHeight="1">
      <c r="A8557" s="12" t="s">
        <v>4380</v>
      </c>
      <c r="B8557" s="434">
        <v>8.77</v>
      </c>
      <c r="C8557" s="24" t="s">
        <v>1171</v>
      </c>
      <c r="D8557" s="41">
        <f t="shared" si="736"/>
        <v>189.54</v>
      </c>
      <c r="E8557" s="31">
        <f t="shared" si="737"/>
        <v>1662.2657999999999</v>
      </c>
      <c r="F8557" s="32"/>
      <c r="G8557" s="15"/>
      <c r="H8557" s="21"/>
      <c r="I8557" s="15"/>
      <c r="J8557" s="15"/>
      <c r="K8557" s="15"/>
      <c r="L8557" s="21"/>
      <c r="M8557" s="15"/>
    </row>
    <row r="8558" spans="1:13" s="166" customFormat="1" ht="12.75" customHeight="1">
      <c r="A8558" s="12" t="s">
        <v>4383</v>
      </c>
      <c r="B8558" s="434">
        <f>(0.3+0.38+0.38)*B8557</f>
        <v>9.2962000000000007</v>
      </c>
      <c r="C8558" s="24" t="s">
        <v>1333</v>
      </c>
      <c r="D8558" s="41">
        <f t="shared" si="736"/>
        <v>33.14</v>
      </c>
      <c r="E8558" s="31">
        <f t="shared" si="737"/>
        <v>308.07606800000002</v>
      </c>
      <c r="F8558" s="32"/>
      <c r="G8558" s="15"/>
      <c r="H8558" s="21"/>
      <c r="I8558" s="15"/>
      <c r="J8558" s="15"/>
      <c r="K8558" s="15"/>
      <c r="L8558" s="21"/>
      <c r="M8558" s="15"/>
    </row>
    <row r="8559" spans="1:13" s="166" customFormat="1" ht="12.75" customHeight="1">
      <c r="A8559" s="12" t="s">
        <v>1688</v>
      </c>
      <c r="B8559" s="434">
        <v>1</v>
      </c>
      <c r="C8559" s="24" t="s">
        <v>825</v>
      </c>
      <c r="D8559" s="41">
        <f t="shared" si="736"/>
        <v>600.29999999999995</v>
      </c>
      <c r="E8559" s="31"/>
      <c r="F8559" s="32"/>
      <c r="G8559" s="15"/>
      <c r="H8559" s="21"/>
      <c r="I8559" s="15"/>
      <c r="J8559" s="15"/>
      <c r="K8559" s="15"/>
      <c r="L8559" s="21"/>
      <c r="M8559" s="15"/>
    </row>
    <row r="8560" spans="1:13" s="166" customFormat="1" ht="12.75" customHeight="1">
      <c r="A8560" s="12" t="s">
        <v>208</v>
      </c>
      <c r="B8560" s="434">
        <f>SUM(E8553:E8555)</f>
        <v>21634.5</v>
      </c>
      <c r="C8560" s="24" t="s">
        <v>209</v>
      </c>
      <c r="D8560" s="41">
        <f t="shared" si="736"/>
        <v>0.02</v>
      </c>
      <c r="E8560" s="31">
        <f t="shared" si="737"/>
        <v>432.69</v>
      </c>
      <c r="F8560" s="32">
        <f>SUM(E8553:E8560)</f>
        <v>26153.806868</v>
      </c>
      <c r="G8560" s="15"/>
      <c r="H8560" s="21"/>
      <c r="I8560" s="15"/>
      <c r="J8560" s="15"/>
      <c r="K8560" s="15"/>
      <c r="L8560" s="21"/>
      <c r="M8560" s="15"/>
    </row>
    <row r="8561" spans="1:13" s="166" customFormat="1" ht="12.75" customHeight="1">
      <c r="A8561" s="12"/>
      <c r="B8561" s="434"/>
      <c r="C8561" s="24"/>
      <c r="D8561" s="41"/>
      <c r="E8561" s="31"/>
      <c r="F8561" s="32"/>
      <c r="G8561" s="15"/>
      <c r="H8561" s="21"/>
      <c r="I8561" s="15"/>
      <c r="J8561" s="15"/>
      <c r="K8561" s="15"/>
      <c r="L8561" s="21"/>
      <c r="M8561" s="15"/>
    </row>
    <row r="8562" spans="1:13" s="166" customFormat="1" ht="12.75" customHeight="1">
      <c r="A8562" s="13" t="s">
        <v>4375</v>
      </c>
      <c r="B8562" s="434"/>
      <c r="C8562" s="24"/>
      <c r="D8562" s="41"/>
      <c r="E8562" s="31"/>
      <c r="F8562" s="32"/>
      <c r="G8562" s="15"/>
      <c r="H8562" s="21"/>
      <c r="I8562" s="15"/>
      <c r="J8562" s="15"/>
      <c r="K8562" s="15"/>
      <c r="L8562" s="21"/>
      <c r="M8562" s="15"/>
    </row>
    <row r="8563" spans="1:13" s="166" customFormat="1" ht="12.75" customHeight="1">
      <c r="A8563" s="12" t="s">
        <v>4379</v>
      </c>
      <c r="B8563" s="434">
        <v>1.05</v>
      </c>
      <c r="C8563" s="24" t="s">
        <v>825</v>
      </c>
      <c r="D8563" s="41">
        <f t="shared" ref="D8563:D8570" si="738">D8553</f>
        <v>6850</v>
      </c>
      <c r="E8563" s="31">
        <f t="shared" ref="E8563:E8570" si="739">B8563*D8563</f>
        <v>7192.5</v>
      </c>
      <c r="F8563" s="32"/>
      <c r="G8563" s="15"/>
      <c r="H8563" s="21"/>
      <c r="I8563" s="15"/>
      <c r="J8563" s="15"/>
      <c r="K8563" s="15"/>
      <c r="L8563" s="21"/>
      <c r="M8563" s="15"/>
    </row>
    <row r="8564" spans="1:13" s="166" customFormat="1" ht="12.75" customHeight="1">
      <c r="A8564" s="12" t="s">
        <v>1686</v>
      </c>
      <c r="B8564" s="434">
        <v>4.3499999999999996</v>
      </c>
      <c r="C8564" s="24" t="s">
        <v>4</v>
      </c>
      <c r="D8564" s="41">
        <f t="shared" si="738"/>
        <v>3200</v>
      </c>
      <c r="E8564" s="31">
        <f t="shared" si="739"/>
        <v>13919.999999999998</v>
      </c>
      <c r="F8564" s="32"/>
      <c r="G8564" s="15"/>
      <c r="H8564" s="21"/>
      <c r="I8564" s="15"/>
      <c r="J8564" s="15"/>
      <c r="K8564" s="15"/>
      <c r="L8564" s="21"/>
      <c r="M8564" s="15"/>
    </row>
    <row r="8565" spans="1:13" s="166" customFormat="1" ht="12.75" customHeight="1">
      <c r="A8565" s="12" t="s">
        <v>1198</v>
      </c>
      <c r="B8565" s="434">
        <f>B8566*2</f>
        <v>8.6999999999999993</v>
      </c>
      <c r="C8565" s="24" t="s">
        <v>1018</v>
      </c>
      <c r="D8565" s="41">
        <f t="shared" si="738"/>
        <v>60</v>
      </c>
      <c r="E8565" s="31">
        <f t="shared" si="739"/>
        <v>522</v>
      </c>
      <c r="F8565" s="32"/>
      <c r="G8565" s="15"/>
      <c r="H8565" s="21"/>
      <c r="I8565" s="15"/>
      <c r="J8565" s="15"/>
      <c r="K8565" s="15"/>
      <c r="L8565" s="21"/>
      <c r="M8565" s="15"/>
    </row>
    <row r="8566" spans="1:13" s="166" customFormat="1" ht="12.75" customHeight="1">
      <c r="A8566" s="12" t="s">
        <v>1037</v>
      </c>
      <c r="B8566" s="434">
        <f>SUM(B8564:B8564)</f>
        <v>4.3499999999999996</v>
      </c>
      <c r="C8566" s="24" t="s">
        <v>216</v>
      </c>
      <c r="D8566" s="41">
        <f t="shared" si="738"/>
        <v>486.5</v>
      </c>
      <c r="E8566" s="31">
        <f t="shared" si="739"/>
        <v>2116.2749999999996</v>
      </c>
      <c r="F8566" s="32"/>
      <c r="G8566" s="15"/>
      <c r="H8566" s="21"/>
      <c r="I8566" s="15"/>
      <c r="J8566" s="15"/>
      <c r="K8566" s="15"/>
      <c r="L8566" s="21"/>
      <c r="M8566" s="15"/>
    </row>
    <row r="8567" spans="1:13" s="166" customFormat="1" ht="12.75" customHeight="1">
      <c r="A8567" s="12" t="s">
        <v>4380</v>
      </c>
      <c r="B8567" s="434">
        <v>8.77</v>
      </c>
      <c r="C8567" s="24" t="s">
        <v>1171</v>
      </c>
      <c r="D8567" s="41">
        <f t="shared" si="738"/>
        <v>189.54</v>
      </c>
      <c r="E8567" s="31">
        <f t="shared" si="739"/>
        <v>1662.2657999999999</v>
      </c>
      <c r="F8567" s="32"/>
      <c r="G8567" s="15"/>
      <c r="H8567" s="21"/>
      <c r="I8567" s="15"/>
      <c r="J8567" s="15"/>
      <c r="K8567" s="15"/>
      <c r="L8567" s="21"/>
      <c r="M8567" s="15"/>
    </row>
    <row r="8568" spans="1:13" s="166" customFormat="1" ht="12.75" customHeight="1">
      <c r="A8568" s="12" t="s">
        <v>4383</v>
      </c>
      <c r="B8568" s="434">
        <f>(0.3+0.38+0.38)*B8567</f>
        <v>9.2962000000000007</v>
      </c>
      <c r="C8568" s="24" t="s">
        <v>1333</v>
      </c>
      <c r="D8568" s="41">
        <f t="shared" si="738"/>
        <v>33.14</v>
      </c>
      <c r="E8568" s="31">
        <f t="shared" si="739"/>
        <v>308.07606800000002</v>
      </c>
      <c r="F8568" s="32"/>
      <c r="G8568" s="15"/>
      <c r="H8568" s="21"/>
      <c r="I8568" s="15"/>
      <c r="J8568" s="15"/>
      <c r="K8568" s="15"/>
      <c r="L8568" s="21"/>
      <c r="M8568" s="15"/>
    </row>
    <row r="8569" spans="1:13" s="166" customFormat="1" ht="12.75" customHeight="1">
      <c r="A8569" s="12" t="s">
        <v>1688</v>
      </c>
      <c r="B8569" s="434">
        <v>1</v>
      </c>
      <c r="C8569" s="24" t="s">
        <v>825</v>
      </c>
      <c r="D8569" s="41">
        <f t="shared" si="738"/>
        <v>600.29999999999995</v>
      </c>
      <c r="E8569" s="31"/>
      <c r="F8569" s="32"/>
      <c r="G8569" s="15"/>
      <c r="H8569" s="21"/>
      <c r="I8569" s="15"/>
      <c r="J8569" s="15"/>
      <c r="K8569" s="15"/>
      <c r="L8569" s="21"/>
      <c r="M8569" s="15"/>
    </row>
    <row r="8570" spans="1:13" s="166" customFormat="1" ht="12.75" customHeight="1">
      <c r="A8570" s="12" t="s">
        <v>208</v>
      </c>
      <c r="B8570" s="434">
        <f>SUM(E8563:E8565)</f>
        <v>21634.5</v>
      </c>
      <c r="C8570" s="24" t="s">
        <v>209</v>
      </c>
      <c r="D8570" s="41">
        <f t="shared" si="738"/>
        <v>0.02</v>
      </c>
      <c r="E8570" s="31">
        <f t="shared" si="739"/>
        <v>432.69</v>
      </c>
      <c r="F8570" s="32">
        <f>SUM(E8563:E8570)</f>
        <v>26153.806868</v>
      </c>
      <c r="G8570" s="15"/>
      <c r="H8570" s="21"/>
      <c r="I8570" s="15"/>
      <c r="J8570" s="15"/>
      <c r="K8570" s="15"/>
      <c r="L8570" s="21"/>
      <c r="M8570" s="15"/>
    </row>
    <row r="8571" spans="1:13" s="166" customFormat="1" ht="12.75" customHeight="1">
      <c r="A8571" s="12"/>
      <c r="B8571" s="434"/>
      <c r="C8571" s="24"/>
      <c r="D8571" s="41"/>
      <c r="E8571" s="31"/>
      <c r="F8571" s="32"/>
      <c r="G8571" s="15"/>
      <c r="H8571" s="21"/>
      <c r="I8571" s="15"/>
      <c r="J8571" s="15"/>
      <c r="K8571" s="15"/>
      <c r="L8571" s="21"/>
      <c r="M8571" s="15"/>
    </row>
    <row r="8572" spans="1:13" s="166" customFormat="1" ht="12.75" customHeight="1">
      <c r="A8572" s="13" t="s">
        <v>4376</v>
      </c>
      <c r="B8572" s="434"/>
      <c r="C8572" s="24"/>
      <c r="D8572" s="41"/>
      <c r="E8572" s="31"/>
      <c r="F8572" s="32"/>
      <c r="G8572" s="15"/>
      <c r="H8572" s="21"/>
      <c r="I8572" s="15"/>
      <c r="J8572" s="15"/>
      <c r="K8572" s="15"/>
      <c r="L8572" s="21"/>
      <c r="M8572" s="15"/>
    </row>
    <row r="8573" spans="1:13" s="166" customFormat="1" ht="12.75" customHeight="1">
      <c r="A8573" s="12" t="s">
        <v>4379</v>
      </c>
      <c r="B8573" s="434">
        <v>1.05</v>
      </c>
      <c r="C8573" s="24" t="s">
        <v>825</v>
      </c>
      <c r="D8573" s="41">
        <f t="shared" ref="D8573:D8580" si="740">D8563</f>
        <v>6850</v>
      </c>
      <c r="E8573" s="31">
        <f t="shared" ref="E8573:E8580" si="741">B8573*D8573</f>
        <v>7192.5</v>
      </c>
      <c r="F8573" s="32"/>
      <c r="G8573" s="15"/>
      <c r="H8573" s="21"/>
      <c r="I8573" s="15"/>
      <c r="J8573" s="15"/>
      <c r="K8573" s="15"/>
      <c r="L8573" s="21"/>
      <c r="M8573" s="15"/>
    </row>
    <row r="8574" spans="1:13" s="166" customFormat="1" ht="12.75" customHeight="1">
      <c r="A8574" s="12" t="s">
        <v>1686</v>
      </c>
      <c r="B8574" s="434">
        <v>4.3899999999999997</v>
      </c>
      <c r="C8574" s="24" t="s">
        <v>4</v>
      </c>
      <c r="D8574" s="41">
        <f t="shared" si="740"/>
        <v>3200</v>
      </c>
      <c r="E8574" s="31">
        <f t="shared" si="741"/>
        <v>14047.999999999998</v>
      </c>
      <c r="F8574" s="32"/>
      <c r="G8574" s="15"/>
      <c r="H8574" s="21"/>
      <c r="I8574" s="15"/>
      <c r="J8574" s="15"/>
      <c r="K8574" s="15"/>
      <c r="L8574" s="21"/>
      <c r="M8574" s="15"/>
    </row>
    <row r="8575" spans="1:13" s="166" customFormat="1" ht="12.75" customHeight="1">
      <c r="A8575" s="12" t="s">
        <v>1198</v>
      </c>
      <c r="B8575" s="434">
        <f>B8576*2</f>
        <v>8.7799999999999994</v>
      </c>
      <c r="C8575" s="24" t="s">
        <v>1018</v>
      </c>
      <c r="D8575" s="41">
        <f t="shared" si="740"/>
        <v>60</v>
      </c>
      <c r="E8575" s="31">
        <f t="shared" si="741"/>
        <v>526.79999999999995</v>
      </c>
      <c r="F8575" s="32"/>
      <c r="G8575" s="15"/>
      <c r="H8575" s="21"/>
      <c r="I8575" s="15"/>
      <c r="J8575" s="15"/>
      <c r="K8575" s="15"/>
      <c r="L8575" s="21"/>
      <c r="M8575" s="15"/>
    </row>
    <row r="8576" spans="1:13" s="166" customFormat="1" ht="12.75" customHeight="1">
      <c r="A8576" s="12" t="s">
        <v>1037</v>
      </c>
      <c r="B8576" s="434">
        <f>SUM(B8574:B8574)</f>
        <v>4.3899999999999997</v>
      </c>
      <c r="C8576" s="24" t="s">
        <v>216</v>
      </c>
      <c r="D8576" s="41">
        <f t="shared" si="740"/>
        <v>486.5</v>
      </c>
      <c r="E8576" s="31">
        <f t="shared" si="741"/>
        <v>2135.7349999999997</v>
      </c>
      <c r="F8576" s="32"/>
      <c r="G8576" s="15"/>
      <c r="H8576" s="21"/>
      <c r="I8576" s="15"/>
      <c r="J8576" s="15"/>
      <c r="K8576" s="15"/>
      <c r="L8576" s="21"/>
      <c r="M8576" s="15"/>
    </row>
    <row r="8577" spans="1:13" s="166" customFormat="1" ht="12.75" customHeight="1">
      <c r="A8577" s="12" t="s">
        <v>4380</v>
      </c>
      <c r="B8577" s="434">
        <v>8.77</v>
      </c>
      <c r="C8577" s="24" t="s">
        <v>1171</v>
      </c>
      <c r="D8577" s="41">
        <f t="shared" si="740"/>
        <v>189.54</v>
      </c>
      <c r="E8577" s="31">
        <f t="shared" si="741"/>
        <v>1662.2657999999999</v>
      </c>
      <c r="F8577" s="32"/>
      <c r="G8577" s="15"/>
      <c r="H8577" s="21"/>
      <c r="I8577" s="15"/>
      <c r="J8577" s="15"/>
      <c r="K8577" s="15"/>
      <c r="L8577" s="21"/>
      <c r="M8577" s="15"/>
    </row>
    <row r="8578" spans="1:13" s="166" customFormat="1" ht="12.75" customHeight="1">
      <c r="A8578" s="12" t="s">
        <v>4383</v>
      </c>
      <c r="B8578" s="434">
        <f>(0.3+0.38+0.38)*B8577</f>
        <v>9.2962000000000007</v>
      </c>
      <c r="C8578" s="24" t="s">
        <v>1333</v>
      </c>
      <c r="D8578" s="41">
        <f t="shared" si="740"/>
        <v>33.14</v>
      </c>
      <c r="E8578" s="31">
        <f t="shared" si="741"/>
        <v>308.07606800000002</v>
      </c>
      <c r="F8578" s="32"/>
      <c r="G8578" s="15"/>
      <c r="H8578" s="21"/>
      <c r="I8578" s="15"/>
      <c r="J8578" s="15"/>
      <c r="K8578" s="15"/>
      <c r="L8578" s="21"/>
      <c r="M8578" s="15"/>
    </row>
    <row r="8579" spans="1:13" s="166" customFormat="1" ht="12.75" customHeight="1">
      <c r="A8579" s="12" t="s">
        <v>1688</v>
      </c>
      <c r="B8579" s="434">
        <v>1</v>
      </c>
      <c r="C8579" s="24" t="s">
        <v>825</v>
      </c>
      <c r="D8579" s="41">
        <f t="shared" si="740"/>
        <v>600.29999999999995</v>
      </c>
      <c r="E8579" s="31"/>
      <c r="F8579" s="32"/>
      <c r="G8579" s="15"/>
      <c r="H8579" s="21"/>
      <c r="I8579" s="15"/>
      <c r="J8579" s="15"/>
      <c r="K8579" s="15"/>
      <c r="L8579" s="21"/>
      <c r="M8579" s="15"/>
    </row>
    <row r="8580" spans="1:13" s="166" customFormat="1" ht="12.75" customHeight="1">
      <c r="A8580" s="12" t="s">
        <v>208</v>
      </c>
      <c r="B8580" s="434">
        <f>SUM(E8573:E8575)</f>
        <v>21767.3</v>
      </c>
      <c r="C8580" s="24" t="s">
        <v>209</v>
      </c>
      <c r="D8580" s="41">
        <f t="shared" si="740"/>
        <v>0.02</v>
      </c>
      <c r="E8580" s="31">
        <f t="shared" si="741"/>
        <v>435.346</v>
      </c>
      <c r="F8580" s="32">
        <f>SUM(E8573:E8580)</f>
        <v>26308.722868000001</v>
      </c>
      <c r="G8580" s="15"/>
      <c r="H8580" s="21"/>
      <c r="I8580" s="15"/>
      <c r="J8580" s="15"/>
      <c r="K8580" s="15"/>
      <c r="L8580" s="21"/>
      <c r="M8580" s="15"/>
    </row>
    <row r="8581" spans="1:13" s="166" customFormat="1" ht="12.75" customHeight="1">
      <c r="A8581" s="12"/>
      <c r="B8581" s="434"/>
      <c r="C8581" s="24"/>
      <c r="D8581" s="41"/>
      <c r="E8581" s="31"/>
      <c r="F8581" s="32"/>
      <c r="G8581" s="15"/>
      <c r="H8581" s="21"/>
      <c r="I8581" s="15"/>
      <c r="J8581" s="15"/>
      <c r="K8581" s="15"/>
      <c r="L8581" s="21"/>
      <c r="M8581" s="15"/>
    </row>
    <row r="8582" spans="1:13" s="166" customFormat="1" ht="12.75" customHeight="1">
      <c r="A8582" s="13" t="s">
        <v>4377</v>
      </c>
      <c r="B8582" s="434"/>
      <c r="C8582" s="24"/>
      <c r="D8582" s="41"/>
      <c r="E8582" s="31"/>
      <c r="F8582" s="32"/>
      <c r="G8582" s="15"/>
      <c r="H8582" s="21"/>
      <c r="I8582" s="15"/>
      <c r="J8582" s="15"/>
      <c r="K8582" s="15"/>
      <c r="L8582" s="21"/>
      <c r="M8582" s="15"/>
    </row>
    <row r="8583" spans="1:13" s="166" customFormat="1" ht="12.75" customHeight="1">
      <c r="A8583" s="12" t="s">
        <v>4379</v>
      </c>
      <c r="B8583" s="434">
        <v>1.05</v>
      </c>
      <c r="C8583" s="24" t="s">
        <v>825</v>
      </c>
      <c r="D8583" s="41">
        <f t="shared" ref="D8583:D8590" si="742">D8573</f>
        <v>6850</v>
      </c>
      <c r="E8583" s="31">
        <f t="shared" ref="E8583:E8590" si="743">B8583*D8583</f>
        <v>7192.5</v>
      </c>
      <c r="F8583" s="32"/>
      <c r="G8583" s="15"/>
      <c r="H8583" s="21"/>
      <c r="I8583" s="15"/>
      <c r="J8583" s="15"/>
      <c r="K8583" s="15"/>
      <c r="L8583" s="21"/>
      <c r="M8583" s="15"/>
    </row>
    <row r="8584" spans="1:13" s="166" customFormat="1" ht="12.75" customHeight="1">
      <c r="A8584" s="12" t="s">
        <v>1686</v>
      </c>
      <c r="B8584" s="434">
        <v>4.17</v>
      </c>
      <c r="C8584" s="24" t="s">
        <v>4</v>
      </c>
      <c r="D8584" s="41">
        <f t="shared" si="742"/>
        <v>3200</v>
      </c>
      <c r="E8584" s="31">
        <f t="shared" si="743"/>
        <v>13344</v>
      </c>
      <c r="F8584" s="32"/>
      <c r="G8584" s="15"/>
      <c r="H8584" s="21"/>
      <c r="I8584" s="15"/>
      <c r="J8584" s="15"/>
      <c r="K8584" s="15"/>
      <c r="L8584" s="21"/>
      <c r="M8584" s="15"/>
    </row>
    <row r="8585" spans="1:13" s="166" customFormat="1" ht="12.75" customHeight="1">
      <c r="A8585" s="12" t="s">
        <v>1198</v>
      </c>
      <c r="B8585" s="434">
        <f>B8586*2</f>
        <v>8.34</v>
      </c>
      <c r="C8585" s="24" t="s">
        <v>1018</v>
      </c>
      <c r="D8585" s="41">
        <f t="shared" si="742"/>
        <v>60</v>
      </c>
      <c r="E8585" s="31">
        <f t="shared" si="743"/>
        <v>500.4</v>
      </c>
      <c r="F8585" s="32"/>
      <c r="G8585" s="15"/>
      <c r="H8585" s="21"/>
      <c r="I8585" s="15"/>
      <c r="J8585" s="15"/>
      <c r="K8585" s="15"/>
      <c r="L8585" s="21"/>
      <c r="M8585" s="15"/>
    </row>
    <row r="8586" spans="1:13" s="166" customFormat="1" ht="12.75" customHeight="1">
      <c r="A8586" s="12" t="s">
        <v>1037</v>
      </c>
      <c r="B8586" s="434">
        <f>SUM(B8584:B8584)</f>
        <v>4.17</v>
      </c>
      <c r="C8586" s="24" t="s">
        <v>216</v>
      </c>
      <c r="D8586" s="41">
        <f t="shared" si="742"/>
        <v>486.5</v>
      </c>
      <c r="E8586" s="31">
        <f t="shared" si="743"/>
        <v>2028.7049999999999</v>
      </c>
      <c r="F8586" s="32"/>
      <c r="G8586" s="15"/>
      <c r="H8586" s="21"/>
      <c r="I8586" s="15"/>
      <c r="J8586" s="15"/>
      <c r="K8586" s="15"/>
      <c r="L8586" s="21"/>
      <c r="M8586" s="15"/>
    </row>
    <row r="8587" spans="1:13" s="166" customFormat="1" ht="12.75" customHeight="1">
      <c r="A8587" s="12" t="s">
        <v>4380</v>
      </c>
      <c r="B8587" s="434">
        <v>8.77</v>
      </c>
      <c r="C8587" s="24" t="s">
        <v>1171</v>
      </c>
      <c r="D8587" s="41">
        <f t="shared" si="742"/>
        <v>189.54</v>
      </c>
      <c r="E8587" s="31">
        <f t="shared" si="743"/>
        <v>1662.2657999999999</v>
      </c>
      <c r="F8587" s="32"/>
      <c r="G8587" s="15"/>
      <c r="H8587" s="21"/>
      <c r="I8587" s="15"/>
      <c r="J8587" s="15"/>
      <c r="K8587" s="15"/>
      <c r="L8587" s="21"/>
      <c r="M8587" s="15"/>
    </row>
    <row r="8588" spans="1:13" s="166" customFormat="1" ht="12.75" customHeight="1">
      <c r="A8588" s="12" t="s">
        <v>4383</v>
      </c>
      <c r="B8588" s="434">
        <f>(0.3+0.38+0.38)*B8587</f>
        <v>9.2962000000000007</v>
      </c>
      <c r="C8588" s="24" t="s">
        <v>1333</v>
      </c>
      <c r="D8588" s="41">
        <f t="shared" si="742"/>
        <v>33.14</v>
      </c>
      <c r="E8588" s="31">
        <f t="shared" si="743"/>
        <v>308.07606800000002</v>
      </c>
      <c r="F8588" s="32"/>
      <c r="G8588" s="15"/>
      <c r="H8588" s="21"/>
      <c r="I8588" s="15"/>
      <c r="J8588" s="15"/>
      <c r="K8588" s="15"/>
      <c r="L8588" s="21"/>
      <c r="M8588" s="15"/>
    </row>
    <row r="8589" spans="1:13" s="166" customFormat="1" ht="12.75" customHeight="1">
      <c r="A8589" s="12" t="s">
        <v>1688</v>
      </c>
      <c r="B8589" s="434">
        <v>1</v>
      </c>
      <c r="C8589" s="24" t="s">
        <v>825</v>
      </c>
      <c r="D8589" s="41">
        <f t="shared" si="742"/>
        <v>600.29999999999995</v>
      </c>
      <c r="E8589" s="31"/>
      <c r="F8589" s="32"/>
      <c r="G8589" s="15"/>
      <c r="H8589" s="21"/>
      <c r="I8589" s="15"/>
      <c r="J8589" s="15"/>
      <c r="K8589" s="15"/>
      <c r="L8589" s="21"/>
      <c r="M8589" s="15"/>
    </row>
    <row r="8590" spans="1:13" s="166" customFormat="1" ht="12.75" customHeight="1">
      <c r="A8590" s="12" t="s">
        <v>208</v>
      </c>
      <c r="B8590" s="434">
        <f>SUM(E8583:E8585)</f>
        <v>21036.9</v>
      </c>
      <c r="C8590" s="24" t="s">
        <v>209</v>
      </c>
      <c r="D8590" s="41">
        <f t="shared" si="742"/>
        <v>0.02</v>
      </c>
      <c r="E8590" s="31">
        <f t="shared" si="743"/>
        <v>420.73800000000006</v>
      </c>
      <c r="F8590" s="32">
        <f>SUM(E8583:E8590)</f>
        <v>25456.684868000004</v>
      </c>
      <c r="G8590" s="15"/>
      <c r="H8590" s="21"/>
      <c r="I8590" s="15"/>
      <c r="J8590" s="15"/>
      <c r="K8590" s="15"/>
      <c r="L8590" s="21"/>
      <c r="M8590" s="15"/>
    </row>
    <row r="8591" spans="1:13" s="166" customFormat="1" ht="12.75" customHeight="1">
      <c r="A8591" s="12"/>
      <c r="B8591" s="434"/>
      <c r="C8591" s="24"/>
      <c r="D8591" s="41"/>
      <c r="E8591" s="31"/>
      <c r="F8591" s="32"/>
      <c r="G8591" s="15"/>
      <c r="H8591" s="21"/>
      <c r="I8591" s="15"/>
      <c r="J8591" s="15"/>
      <c r="K8591" s="15"/>
      <c r="L8591" s="21"/>
      <c r="M8591" s="15"/>
    </row>
    <row r="8592" spans="1:13" s="166" customFormat="1" ht="12.75" customHeight="1">
      <c r="A8592" s="13" t="s">
        <v>4378</v>
      </c>
      <c r="B8592" s="434"/>
      <c r="C8592" s="24"/>
      <c r="D8592" s="41"/>
      <c r="E8592" s="31"/>
      <c r="F8592" s="32"/>
      <c r="G8592" s="15"/>
      <c r="H8592" s="21"/>
      <c r="I8592" s="15"/>
      <c r="J8592" s="15"/>
      <c r="K8592" s="15"/>
      <c r="L8592" s="21"/>
      <c r="M8592" s="15"/>
    </row>
    <row r="8593" spans="1:13" s="166" customFormat="1" ht="12.75" customHeight="1">
      <c r="A8593" s="12" t="s">
        <v>4379</v>
      </c>
      <c r="B8593" s="434">
        <v>1.05</v>
      </c>
      <c r="C8593" s="24" t="s">
        <v>825</v>
      </c>
      <c r="D8593" s="41">
        <f t="shared" ref="D8593:D8600" si="744">D8583</f>
        <v>6850</v>
      </c>
      <c r="E8593" s="31">
        <f t="shared" ref="E8593:E8600" si="745">B8593*D8593</f>
        <v>7192.5</v>
      </c>
      <c r="F8593" s="32"/>
      <c r="G8593" s="15"/>
      <c r="H8593" s="21"/>
      <c r="I8593" s="15"/>
      <c r="J8593" s="15"/>
      <c r="K8593" s="15"/>
      <c r="L8593" s="21"/>
      <c r="M8593" s="15"/>
    </row>
    <row r="8594" spans="1:13" s="166" customFormat="1" ht="12.75" customHeight="1">
      <c r="A8594" s="12" t="s">
        <v>1686</v>
      </c>
      <c r="B8594" s="434">
        <v>4.17</v>
      </c>
      <c r="C8594" s="24" t="s">
        <v>4</v>
      </c>
      <c r="D8594" s="41">
        <f t="shared" si="744"/>
        <v>3200</v>
      </c>
      <c r="E8594" s="31">
        <f t="shared" si="745"/>
        <v>13344</v>
      </c>
      <c r="F8594" s="32"/>
      <c r="G8594" s="15"/>
      <c r="H8594" s="21"/>
      <c r="I8594" s="15"/>
      <c r="J8594" s="15"/>
      <c r="K8594" s="15"/>
      <c r="L8594" s="21"/>
      <c r="M8594" s="15"/>
    </row>
    <row r="8595" spans="1:13" s="166" customFormat="1" ht="12.75" customHeight="1">
      <c r="A8595" s="12" t="s">
        <v>1198</v>
      </c>
      <c r="B8595" s="434">
        <f>B8596*2</f>
        <v>8.34</v>
      </c>
      <c r="C8595" s="24" t="s">
        <v>1018</v>
      </c>
      <c r="D8595" s="41">
        <f t="shared" si="744"/>
        <v>60</v>
      </c>
      <c r="E8595" s="31">
        <f t="shared" si="745"/>
        <v>500.4</v>
      </c>
      <c r="F8595" s="32"/>
      <c r="G8595" s="15"/>
      <c r="H8595" s="21"/>
      <c r="I8595" s="15"/>
      <c r="J8595" s="15"/>
      <c r="K8595" s="15"/>
      <c r="L8595" s="21"/>
      <c r="M8595" s="15"/>
    </row>
    <row r="8596" spans="1:13" s="166" customFormat="1" ht="12.75" customHeight="1">
      <c r="A8596" s="12" t="s">
        <v>1037</v>
      </c>
      <c r="B8596" s="434">
        <f>SUM(B8594:B8594)</f>
        <v>4.17</v>
      </c>
      <c r="C8596" s="24" t="s">
        <v>216</v>
      </c>
      <c r="D8596" s="41">
        <f t="shared" si="744"/>
        <v>486.5</v>
      </c>
      <c r="E8596" s="31">
        <f t="shared" si="745"/>
        <v>2028.7049999999999</v>
      </c>
      <c r="F8596" s="32"/>
      <c r="G8596" s="15"/>
      <c r="H8596" s="21"/>
      <c r="I8596" s="15"/>
      <c r="J8596" s="15"/>
      <c r="K8596" s="15"/>
      <c r="L8596" s="21"/>
      <c r="M8596" s="15"/>
    </row>
    <row r="8597" spans="1:13" s="166" customFormat="1" ht="12.75" customHeight="1">
      <c r="A8597" s="12" t="s">
        <v>4380</v>
      </c>
      <c r="B8597" s="434">
        <v>8.77</v>
      </c>
      <c r="C8597" s="24" t="s">
        <v>1171</v>
      </c>
      <c r="D8597" s="41">
        <f t="shared" si="744"/>
        <v>189.54</v>
      </c>
      <c r="E8597" s="31">
        <f t="shared" si="745"/>
        <v>1662.2657999999999</v>
      </c>
      <c r="F8597" s="32"/>
      <c r="G8597" s="15"/>
      <c r="H8597" s="21"/>
      <c r="I8597" s="15"/>
      <c r="J8597" s="15"/>
      <c r="K8597" s="15"/>
      <c r="L8597" s="21"/>
      <c r="M8597" s="15"/>
    </row>
    <row r="8598" spans="1:13" s="166" customFormat="1" ht="12.75" customHeight="1">
      <c r="A8598" s="12" t="s">
        <v>4383</v>
      </c>
      <c r="B8598" s="434">
        <f>(0.3+0.38+0.38)*B8597</f>
        <v>9.2962000000000007</v>
      </c>
      <c r="C8598" s="24" t="s">
        <v>1333</v>
      </c>
      <c r="D8598" s="41">
        <f t="shared" si="744"/>
        <v>33.14</v>
      </c>
      <c r="E8598" s="31">
        <f t="shared" si="745"/>
        <v>308.07606800000002</v>
      </c>
      <c r="F8598" s="32"/>
      <c r="G8598" s="15"/>
      <c r="H8598" s="21"/>
      <c r="I8598" s="15"/>
      <c r="J8598" s="15"/>
      <c r="K8598" s="15"/>
      <c r="L8598" s="21"/>
      <c r="M8598" s="15"/>
    </row>
    <row r="8599" spans="1:13" s="166" customFormat="1" ht="12.75" customHeight="1">
      <c r="A8599" s="12" t="s">
        <v>1688</v>
      </c>
      <c r="B8599" s="434">
        <v>1</v>
      </c>
      <c r="C8599" s="24" t="s">
        <v>825</v>
      </c>
      <c r="D8599" s="41">
        <f t="shared" si="744"/>
        <v>600.29999999999995</v>
      </c>
      <c r="E8599" s="31"/>
      <c r="F8599" s="32"/>
      <c r="G8599" s="15"/>
      <c r="H8599" s="21"/>
      <c r="I8599" s="15"/>
      <c r="J8599" s="15"/>
      <c r="K8599" s="15"/>
      <c r="L8599" s="21"/>
      <c r="M8599" s="15"/>
    </row>
    <row r="8600" spans="1:13" s="166" customFormat="1" ht="12.75" customHeight="1">
      <c r="A8600" s="12" t="s">
        <v>208</v>
      </c>
      <c r="B8600" s="434">
        <f>SUM(E8593:E8595)</f>
        <v>21036.9</v>
      </c>
      <c r="C8600" s="24" t="s">
        <v>209</v>
      </c>
      <c r="D8600" s="41">
        <f t="shared" si="744"/>
        <v>0.02</v>
      </c>
      <c r="E8600" s="31">
        <f t="shared" si="745"/>
        <v>420.73800000000006</v>
      </c>
      <c r="F8600" s="32">
        <f>SUM(E8593:E8600)</f>
        <v>25456.684868000004</v>
      </c>
      <c r="G8600" s="15"/>
      <c r="H8600" s="21"/>
      <c r="I8600" s="15"/>
      <c r="J8600" s="15"/>
      <c r="K8600" s="15"/>
      <c r="L8600" s="21"/>
      <c r="M8600" s="15"/>
    </row>
    <row r="8601" spans="1:13" s="166" customFormat="1" ht="12.75" customHeight="1">
      <c r="A8601" s="12"/>
      <c r="B8601" s="434"/>
      <c r="C8601" s="24"/>
      <c r="D8601" s="41"/>
      <c r="E8601" s="31"/>
      <c r="F8601" s="32"/>
      <c r="G8601" s="15"/>
      <c r="H8601" s="21"/>
      <c r="I8601" s="15"/>
      <c r="J8601" s="15"/>
      <c r="K8601" s="15"/>
      <c r="L8601" s="21"/>
      <c r="M8601" s="15"/>
    </row>
    <row r="8602" spans="1:13" s="166" customFormat="1" ht="12.75" customHeight="1">
      <c r="A8602" s="13" t="s">
        <v>2026</v>
      </c>
      <c r="B8602" s="434"/>
      <c r="C8602" s="24"/>
      <c r="D8602" s="41"/>
      <c r="E8602" s="31"/>
      <c r="F8602" s="32"/>
      <c r="G8602" s="15"/>
      <c r="H8602" s="21"/>
      <c r="I8602" s="15"/>
      <c r="J8602" s="15"/>
      <c r="K8602" s="15"/>
      <c r="L8602" s="21"/>
      <c r="M8602" s="15"/>
    </row>
    <row r="8603" spans="1:13" s="166" customFormat="1" ht="12.75" customHeight="1">
      <c r="A8603" s="12" t="s">
        <v>1681</v>
      </c>
      <c r="B8603" s="434">
        <v>1.05</v>
      </c>
      <c r="C8603" s="24" t="s">
        <v>825</v>
      </c>
      <c r="D8603" s="41">
        <f>D8413</f>
        <v>6850</v>
      </c>
      <c r="E8603" s="31">
        <f t="shared" ref="E8603:E8609" si="746">B8603*D8603</f>
        <v>7192.5</v>
      </c>
      <c r="F8603" s="32"/>
      <c r="G8603" s="15"/>
      <c r="H8603" s="21"/>
      <c r="I8603" s="15"/>
      <c r="J8603" s="15"/>
      <c r="K8603" s="15"/>
      <c r="L8603" s="21"/>
      <c r="M8603" s="15"/>
    </row>
    <row r="8604" spans="1:13" s="166" customFormat="1" ht="12.75" customHeight="1">
      <c r="A8604" s="12" t="s">
        <v>1686</v>
      </c>
      <c r="B8604" s="434">
        <v>3.27</v>
      </c>
      <c r="C8604" s="24" t="s">
        <v>4</v>
      </c>
      <c r="D8604" s="41">
        <f>D8414</f>
        <v>3200</v>
      </c>
      <c r="E8604" s="31">
        <f t="shared" si="746"/>
        <v>10464</v>
      </c>
      <c r="F8604" s="32"/>
      <c r="G8604" s="15"/>
      <c r="H8604" s="21"/>
      <c r="I8604" s="15"/>
      <c r="J8604" s="15"/>
      <c r="K8604" s="15"/>
      <c r="L8604" s="21"/>
      <c r="M8604" s="15"/>
    </row>
    <row r="8605" spans="1:13" s="166" customFormat="1" ht="12.75" customHeight="1">
      <c r="A8605" s="12" t="s">
        <v>1198</v>
      </c>
      <c r="B8605" s="434">
        <f>B8606*2</f>
        <v>6.54</v>
      </c>
      <c r="C8605" s="24" t="s">
        <v>1018</v>
      </c>
      <c r="D8605" s="41">
        <f>D8415</f>
        <v>60</v>
      </c>
      <c r="E8605" s="31">
        <f t="shared" si="746"/>
        <v>392.4</v>
      </c>
      <c r="F8605" s="32"/>
      <c r="G8605" s="15"/>
      <c r="H8605" s="21"/>
      <c r="I8605" s="15"/>
      <c r="J8605" s="15"/>
      <c r="K8605" s="15"/>
      <c r="L8605" s="21"/>
      <c r="M8605" s="15"/>
    </row>
    <row r="8606" spans="1:13" s="166" customFormat="1" ht="12.75" customHeight="1">
      <c r="A8606" s="12" t="s">
        <v>1037</v>
      </c>
      <c r="B8606" s="434">
        <f>SUM(B8604:B8604)</f>
        <v>3.27</v>
      </c>
      <c r="C8606" s="24" t="s">
        <v>216</v>
      </c>
      <c r="D8606" s="41">
        <f>D8416</f>
        <v>486.5</v>
      </c>
      <c r="E8606" s="31">
        <f t="shared" si="746"/>
        <v>1590.855</v>
      </c>
      <c r="F8606" s="32"/>
      <c r="G8606" s="15"/>
      <c r="H8606" s="21"/>
      <c r="I8606" s="15"/>
      <c r="J8606" s="15"/>
      <c r="K8606" s="15"/>
      <c r="L8606" s="21"/>
      <c r="M8606" s="15"/>
    </row>
    <row r="8607" spans="1:13" s="166" customFormat="1" ht="12.75" customHeight="1">
      <c r="A8607" s="12" t="s">
        <v>1866</v>
      </c>
      <c r="B8607" s="434">
        <v>16.670000000000002</v>
      </c>
      <c r="C8607" s="24" t="s">
        <v>1171</v>
      </c>
      <c r="D8607" s="41">
        <v>500</v>
      </c>
      <c r="E8607" s="31">
        <f t="shared" si="746"/>
        <v>8335</v>
      </c>
      <c r="F8607" s="32"/>
      <c r="G8607" s="15"/>
      <c r="H8607" s="21"/>
      <c r="I8607" s="15"/>
      <c r="J8607" s="15"/>
      <c r="K8607" s="15"/>
      <c r="L8607" s="21"/>
      <c r="M8607" s="15"/>
    </row>
    <row r="8608" spans="1:13" s="166" customFormat="1" ht="12.75" customHeight="1">
      <c r="A8608" s="12" t="s">
        <v>1688</v>
      </c>
      <c r="B8608" s="434">
        <v>1</v>
      </c>
      <c r="C8608" s="24" t="s">
        <v>825</v>
      </c>
      <c r="D8608" s="41">
        <f>D8419</f>
        <v>600.29999999999995</v>
      </c>
      <c r="E8608" s="31">
        <f t="shared" si="746"/>
        <v>600.29999999999995</v>
      </c>
      <c r="F8608" s="32"/>
      <c r="G8608" s="15"/>
      <c r="H8608" s="21"/>
      <c r="I8608" s="15"/>
      <c r="J8608" s="15"/>
      <c r="K8608" s="15"/>
      <c r="L8608" s="21"/>
      <c r="M8608" s="15"/>
    </row>
    <row r="8609" spans="1:13" s="166" customFormat="1" ht="12.75" customHeight="1">
      <c r="A8609" s="12" t="s">
        <v>208</v>
      </c>
      <c r="B8609" s="434">
        <f>SUM(E8603:E8605)</f>
        <v>18048.900000000001</v>
      </c>
      <c r="C8609" s="24" t="s">
        <v>209</v>
      </c>
      <c r="D8609" s="41">
        <f>D8420</f>
        <v>0.02</v>
      </c>
      <c r="E8609" s="31">
        <f t="shared" si="746"/>
        <v>360.97800000000001</v>
      </c>
      <c r="F8609" s="32">
        <f>SUM(E8603:E8609)</f>
        <v>28936.032999999999</v>
      </c>
      <c r="G8609" s="15"/>
      <c r="H8609" s="21"/>
      <c r="I8609" s="15"/>
      <c r="J8609" s="15"/>
      <c r="K8609" s="15"/>
      <c r="L8609" s="21"/>
      <c r="M8609" s="15"/>
    </row>
    <row r="8610" spans="1:13" s="166" customFormat="1" ht="12.75" customHeight="1">
      <c r="A8610" s="12"/>
      <c r="B8610" s="434"/>
      <c r="C8610" s="24"/>
      <c r="D8610" s="41"/>
      <c r="E8610" s="31"/>
      <c r="F8610" s="32"/>
      <c r="G8610" s="15"/>
      <c r="H8610" s="21"/>
      <c r="I8610" s="15"/>
      <c r="J8610" s="15"/>
      <c r="K8610" s="15"/>
      <c r="L8610" s="21"/>
      <c r="M8610" s="15"/>
    </row>
    <row r="8611" spans="1:13" s="166" customFormat="1" ht="12.75" customHeight="1">
      <c r="A8611" s="513" t="s">
        <v>4188</v>
      </c>
      <c r="B8611" s="543"/>
      <c r="C8611" s="511"/>
      <c r="D8611" s="521"/>
      <c r="E8611" s="508"/>
      <c r="F8611" s="509"/>
      <c r="G8611" s="15"/>
      <c r="H8611" s="21"/>
      <c r="I8611" s="15"/>
      <c r="J8611" s="15"/>
      <c r="K8611" s="15"/>
      <c r="L8611" s="21"/>
      <c r="M8611" s="15"/>
    </row>
    <row r="8612" spans="1:13" s="166" customFormat="1" ht="12.75" customHeight="1">
      <c r="A8612" s="512" t="s">
        <v>1681</v>
      </c>
      <c r="B8612" s="543">
        <v>1.05</v>
      </c>
      <c r="C8612" s="511" t="s">
        <v>825</v>
      </c>
      <c r="D8612" s="521">
        <f>D8603</f>
        <v>6850</v>
      </c>
      <c r="E8612" s="508">
        <f t="shared" ref="E8612:E8618" si="747">B8612*D8612</f>
        <v>7192.5</v>
      </c>
      <c r="F8612" s="509"/>
      <c r="G8612" s="15"/>
      <c r="H8612" s="21"/>
      <c r="I8612" s="15"/>
      <c r="J8612" s="15"/>
      <c r="K8612" s="15"/>
      <c r="L8612" s="21"/>
      <c r="M8612" s="15"/>
    </row>
    <row r="8613" spans="1:13" s="166" customFormat="1" ht="12.75" customHeight="1">
      <c r="A8613" s="512" t="s">
        <v>1686</v>
      </c>
      <c r="B8613" s="543">
        <v>3.92</v>
      </c>
      <c r="C8613" s="511" t="s">
        <v>4</v>
      </c>
      <c r="D8613" s="521">
        <f t="shared" ref="D8613:D8618" si="748">D8604</f>
        <v>3200</v>
      </c>
      <c r="E8613" s="508">
        <f t="shared" si="747"/>
        <v>12544</v>
      </c>
      <c r="F8613" s="509"/>
      <c r="G8613" s="15"/>
      <c r="H8613" s="21"/>
      <c r="I8613" s="15"/>
      <c r="J8613" s="15"/>
      <c r="K8613" s="15"/>
      <c r="L8613" s="21"/>
      <c r="M8613" s="15"/>
    </row>
    <row r="8614" spans="1:13" s="166" customFormat="1" ht="12.75" customHeight="1">
      <c r="A8614" s="512" t="s">
        <v>1198</v>
      </c>
      <c r="B8614" s="543">
        <f>B8615*2</f>
        <v>7.84</v>
      </c>
      <c r="C8614" s="511" t="s">
        <v>1018</v>
      </c>
      <c r="D8614" s="521">
        <f t="shared" si="748"/>
        <v>60</v>
      </c>
      <c r="E8614" s="508">
        <f t="shared" si="747"/>
        <v>470.4</v>
      </c>
      <c r="F8614" s="509"/>
      <c r="G8614" s="15"/>
      <c r="H8614" s="21"/>
      <c r="I8614" s="15"/>
      <c r="J8614" s="15"/>
      <c r="K8614" s="15"/>
      <c r="L8614" s="21"/>
      <c r="M8614" s="15"/>
    </row>
    <row r="8615" spans="1:13" s="166" customFormat="1" ht="12.75" customHeight="1">
      <c r="A8615" s="512" t="s">
        <v>1037</v>
      </c>
      <c r="B8615" s="543">
        <f>SUM(B8613:B8613)</f>
        <v>3.92</v>
      </c>
      <c r="C8615" s="511" t="s">
        <v>216</v>
      </c>
      <c r="D8615" s="521">
        <f t="shared" si="748"/>
        <v>486.5</v>
      </c>
      <c r="E8615" s="508">
        <f t="shared" si="747"/>
        <v>1907.08</v>
      </c>
      <c r="F8615" s="509"/>
      <c r="G8615" s="15"/>
      <c r="H8615" s="21"/>
      <c r="I8615" s="15"/>
      <c r="J8615" s="15"/>
      <c r="K8615" s="15"/>
      <c r="L8615" s="21"/>
      <c r="M8615" s="15"/>
    </row>
    <row r="8616" spans="1:13" s="166" customFormat="1" ht="12.75" customHeight="1">
      <c r="A8616" s="512" t="s">
        <v>4187</v>
      </c>
      <c r="B8616" s="543">
        <v>8</v>
      </c>
      <c r="C8616" s="511" t="s">
        <v>1171</v>
      </c>
      <c r="D8616" s="521">
        <f>D8417</f>
        <v>406.4</v>
      </c>
      <c r="E8616" s="508">
        <f t="shared" si="747"/>
        <v>3251.2</v>
      </c>
      <c r="F8616" s="509"/>
      <c r="G8616" s="15"/>
      <c r="H8616" s="21"/>
      <c r="I8616" s="15"/>
      <c r="J8616" s="15"/>
      <c r="K8616" s="15"/>
      <c r="L8616" s="21"/>
      <c r="M8616" s="15"/>
    </row>
    <row r="8617" spans="1:13" s="166" customFormat="1" ht="12.75" customHeight="1">
      <c r="A8617" s="512" t="s">
        <v>1688</v>
      </c>
      <c r="B8617" s="543">
        <v>1</v>
      </c>
      <c r="C8617" s="511" t="s">
        <v>825</v>
      </c>
      <c r="D8617" s="521">
        <f t="shared" si="748"/>
        <v>600.29999999999995</v>
      </c>
      <c r="E8617" s="508">
        <f t="shared" si="747"/>
        <v>600.29999999999995</v>
      </c>
      <c r="F8617" s="509"/>
      <c r="G8617" s="15"/>
      <c r="H8617" s="21"/>
      <c r="I8617" s="15"/>
      <c r="J8617" s="15"/>
      <c r="K8617" s="15"/>
      <c r="L8617" s="21"/>
      <c r="M8617" s="15"/>
    </row>
    <row r="8618" spans="1:13" s="166" customFormat="1" ht="12.75" customHeight="1">
      <c r="A8618" s="512" t="s">
        <v>208</v>
      </c>
      <c r="B8618" s="543">
        <f>SUM(E8612:E8614)</f>
        <v>20206.900000000001</v>
      </c>
      <c r="C8618" s="511" t="s">
        <v>209</v>
      </c>
      <c r="D8618" s="521">
        <f t="shared" si="748"/>
        <v>0.02</v>
      </c>
      <c r="E8618" s="508">
        <f t="shared" si="747"/>
        <v>404.13800000000003</v>
      </c>
      <c r="F8618" s="509">
        <f>SUM(E8612:E8618)</f>
        <v>26369.618000000002</v>
      </c>
      <c r="G8618" s="15"/>
      <c r="H8618" s="21"/>
      <c r="I8618" s="15"/>
      <c r="J8618" s="15"/>
      <c r="K8618" s="15"/>
      <c r="L8618" s="21"/>
      <c r="M8618" s="15"/>
    </row>
    <row r="8619" spans="1:13" s="166" customFormat="1" ht="12.75" customHeight="1">
      <c r="A8619" s="12"/>
      <c r="B8619" s="434"/>
      <c r="C8619" s="24"/>
      <c r="D8619" s="41"/>
      <c r="E8619" s="31"/>
      <c r="F8619" s="32"/>
      <c r="G8619" s="15"/>
      <c r="H8619" s="21"/>
      <c r="I8619" s="15"/>
      <c r="J8619" s="15"/>
      <c r="K8619" s="15"/>
      <c r="L8619" s="21"/>
      <c r="M8619" s="15"/>
    </row>
    <row r="8620" spans="1:13" s="166" customFormat="1" ht="12.75" customHeight="1">
      <c r="A8620" s="513" t="s">
        <v>4194</v>
      </c>
      <c r="B8620" s="543"/>
      <c r="C8620" s="511"/>
      <c r="D8620" s="521"/>
      <c r="E8620" s="508"/>
      <c r="F8620" s="509"/>
      <c r="G8620" s="15"/>
      <c r="H8620" s="21"/>
      <c r="I8620" s="15"/>
      <c r="J8620" s="15"/>
      <c r="K8620" s="15"/>
      <c r="L8620" s="21"/>
      <c r="M8620" s="15"/>
    </row>
    <row r="8621" spans="1:13" s="166" customFormat="1" ht="12.75" customHeight="1">
      <c r="A8621" s="512" t="s">
        <v>1681</v>
      </c>
      <c r="B8621" s="543">
        <v>1.05</v>
      </c>
      <c r="C8621" s="511" t="s">
        <v>825</v>
      </c>
      <c r="D8621" s="521">
        <f>D8612</f>
        <v>6850</v>
      </c>
      <c r="E8621" s="508">
        <f t="shared" ref="E8621:E8627" si="749">B8621*D8621</f>
        <v>7192.5</v>
      </c>
      <c r="F8621" s="509"/>
      <c r="G8621" s="15"/>
      <c r="H8621" s="21"/>
      <c r="I8621" s="15"/>
      <c r="J8621" s="15"/>
      <c r="K8621" s="15"/>
      <c r="L8621" s="21"/>
      <c r="M8621" s="15"/>
    </row>
    <row r="8622" spans="1:13" s="166" customFormat="1" ht="12.75" customHeight="1">
      <c r="A8622" s="512" t="s">
        <v>1686</v>
      </c>
      <c r="B8622" s="543">
        <v>3.69</v>
      </c>
      <c r="C8622" s="511" t="s">
        <v>4</v>
      </c>
      <c r="D8622" s="521">
        <f t="shared" ref="D8622:D8627" si="750">D8613</f>
        <v>3200</v>
      </c>
      <c r="E8622" s="508">
        <f t="shared" si="749"/>
        <v>11808</v>
      </c>
      <c r="F8622" s="509"/>
      <c r="G8622" s="15"/>
      <c r="H8622" s="21"/>
      <c r="I8622" s="15"/>
      <c r="J8622" s="15"/>
      <c r="K8622" s="15"/>
      <c r="L8622" s="21"/>
      <c r="M8622" s="15"/>
    </row>
    <row r="8623" spans="1:13" s="166" customFormat="1" ht="12.75" customHeight="1">
      <c r="A8623" s="512" t="s">
        <v>1198</v>
      </c>
      <c r="B8623" s="543">
        <f>B8624*2</f>
        <v>7.38</v>
      </c>
      <c r="C8623" s="511" t="s">
        <v>1018</v>
      </c>
      <c r="D8623" s="521">
        <f t="shared" si="750"/>
        <v>60</v>
      </c>
      <c r="E8623" s="508">
        <f t="shared" si="749"/>
        <v>442.8</v>
      </c>
      <c r="F8623" s="509"/>
      <c r="G8623" s="15"/>
      <c r="H8623" s="21"/>
      <c r="I8623" s="15"/>
      <c r="J8623" s="15"/>
      <c r="K8623" s="15"/>
      <c r="L8623" s="21"/>
      <c r="M8623" s="15"/>
    </row>
    <row r="8624" spans="1:13" s="166" customFormat="1" ht="12.75" customHeight="1">
      <c r="A8624" s="512" t="s">
        <v>1037</v>
      </c>
      <c r="B8624" s="543">
        <f>SUM(B8622:B8622)</f>
        <v>3.69</v>
      </c>
      <c r="C8624" s="511" t="s">
        <v>216</v>
      </c>
      <c r="D8624" s="521">
        <f>D8406</f>
        <v>486.5</v>
      </c>
      <c r="E8624" s="508">
        <f t="shared" si="749"/>
        <v>1795.1849999999999</v>
      </c>
      <c r="F8624" s="509"/>
      <c r="G8624" s="15"/>
      <c r="H8624" s="21"/>
      <c r="I8624" s="15"/>
      <c r="J8624" s="15"/>
      <c r="K8624" s="15"/>
      <c r="L8624" s="21"/>
      <c r="M8624" s="15"/>
    </row>
    <row r="8625" spans="1:13" s="166" customFormat="1" ht="12.75" customHeight="1">
      <c r="A8625" s="512" t="s">
        <v>4187</v>
      </c>
      <c r="B8625" s="543">
        <v>8</v>
      </c>
      <c r="C8625" s="511" t="s">
        <v>1171</v>
      </c>
      <c r="D8625" s="521">
        <f>D8616*1.05</f>
        <v>426.71999999999997</v>
      </c>
      <c r="E8625" s="508">
        <f t="shared" si="749"/>
        <v>3413.7599999999998</v>
      </c>
      <c r="F8625" s="509"/>
      <c r="G8625" s="15"/>
      <c r="H8625" s="21"/>
      <c r="I8625" s="15"/>
      <c r="J8625" s="15"/>
      <c r="K8625" s="15"/>
      <c r="L8625" s="21"/>
      <c r="M8625" s="15"/>
    </row>
    <row r="8626" spans="1:13" s="166" customFormat="1" ht="12.75" customHeight="1">
      <c r="A8626" s="512" t="s">
        <v>1688</v>
      </c>
      <c r="B8626" s="543">
        <v>1</v>
      </c>
      <c r="C8626" s="511" t="s">
        <v>825</v>
      </c>
      <c r="D8626" s="521">
        <f t="shared" si="750"/>
        <v>600.29999999999995</v>
      </c>
      <c r="E8626" s="508">
        <f t="shared" si="749"/>
        <v>600.29999999999995</v>
      </c>
      <c r="F8626" s="509"/>
      <c r="G8626" s="15"/>
      <c r="H8626" s="21"/>
      <c r="I8626" s="15"/>
      <c r="J8626" s="15"/>
      <c r="K8626" s="15"/>
      <c r="L8626" s="21"/>
      <c r="M8626" s="15"/>
    </row>
    <row r="8627" spans="1:13" s="166" customFormat="1" ht="12.75" customHeight="1">
      <c r="A8627" s="512" t="s">
        <v>208</v>
      </c>
      <c r="B8627" s="543">
        <f>SUM(E8621:E8623)</f>
        <v>19443.3</v>
      </c>
      <c r="C8627" s="511" t="s">
        <v>209</v>
      </c>
      <c r="D8627" s="521">
        <f t="shared" si="750"/>
        <v>0.02</v>
      </c>
      <c r="E8627" s="508">
        <f t="shared" si="749"/>
        <v>388.86599999999999</v>
      </c>
      <c r="F8627" s="509">
        <f>SUM(E8621:E8627)</f>
        <v>25641.411</v>
      </c>
      <c r="G8627" s="15"/>
      <c r="H8627" s="21"/>
      <c r="I8627" s="15"/>
      <c r="J8627" s="15"/>
      <c r="K8627" s="15"/>
      <c r="L8627" s="21"/>
      <c r="M8627" s="15"/>
    </row>
    <row r="8628" spans="1:13" s="166" customFormat="1" ht="12.75" customHeight="1">
      <c r="A8628" s="12"/>
      <c r="B8628" s="434"/>
      <c r="C8628" s="24"/>
      <c r="D8628" s="41"/>
      <c r="E8628" s="31"/>
      <c r="F8628" s="32"/>
      <c r="G8628" s="15"/>
      <c r="H8628" s="21"/>
      <c r="I8628" s="15"/>
      <c r="J8628" s="15"/>
      <c r="K8628" s="15"/>
      <c r="L8628" s="21"/>
      <c r="M8628" s="15"/>
    </row>
    <row r="8629" spans="1:13" s="166" customFormat="1" ht="12.75" customHeight="1">
      <c r="A8629" s="513" t="s">
        <v>4195</v>
      </c>
      <c r="B8629" s="543"/>
      <c r="C8629" s="511"/>
      <c r="D8629" s="521"/>
      <c r="E8629" s="508"/>
      <c r="F8629" s="509"/>
      <c r="G8629" s="15"/>
      <c r="H8629" s="21"/>
      <c r="I8629" s="15"/>
      <c r="J8629" s="15"/>
      <c r="K8629" s="15"/>
      <c r="L8629" s="21"/>
      <c r="M8629" s="15"/>
    </row>
    <row r="8630" spans="1:13" s="166" customFormat="1" ht="12.75" customHeight="1">
      <c r="A8630" s="512" t="s">
        <v>1681</v>
      </c>
      <c r="B8630" s="543">
        <v>1.05</v>
      </c>
      <c r="C8630" s="511" t="s">
        <v>825</v>
      </c>
      <c r="D8630" s="521">
        <f>D8621</f>
        <v>6850</v>
      </c>
      <c r="E8630" s="508">
        <f t="shared" ref="E8630:E8636" si="751">B8630*D8630</f>
        <v>7192.5</v>
      </c>
      <c r="F8630" s="509"/>
      <c r="G8630" s="15"/>
      <c r="H8630" s="21"/>
      <c r="I8630" s="15"/>
      <c r="J8630" s="15"/>
      <c r="K8630" s="15"/>
      <c r="L8630" s="21"/>
      <c r="M8630" s="15"/>
    </row>
    <row r="8631" spans="1:13" s="166" customFormat="1" ht="12.75" customHeight="1">
      <c r="A8631" s="512" t="s">
        <v>1686</v>
      </c>
      <c r="B8631" s="543">
        <v>4.09</v>
      </c>
      <c r="C8631" s="511" t="s">
        <v>4</v>
      </c>
      <c r="D8631" s="521">
        <f t="shared" ref="D8631:D8636" si="752">D8622</f>
        <v>3200</v>
      </c>
      <c r="E8631" s="508">
        <f t="shared" si="751"/>
        <v>13088</v>
      </c>
      <c r="F8631" s="509"/>
      <c r="G8631" s="15"/>
      <c r="H8631" s="21"/>
      <c r="I8631" s="15"/>
      <c r="J8631" s="15"/>
      <c r="K8631" s="15"/>
      <c r="L8631" s="21"/>
      <c r="M8631" s="15"/>
    </row>
    <row r="8632" spans="1:13" s="166" customFormat="1" ht="12.75" customHeight="1">
      <c r="A8632" s="512" t="s">
        <v>1198</v>
      </c>
      <c r="B8632" s="543">
        <f>B8633*2</f>
        <v>8.18</v>
      </c>
      <c r="C8632" s="511" t="s">
        <v>1018</v>
      </c>
      <c r="D8632" s="521">
        <f t="shared" si="752"/>
        <v>60</v>
      </c>
      <c r="E8632" s="508">
        <f t="shared" si="751"/>
        <v>490.79999999999995</v>
      </c>
      <c r="F8632" s="509"/>
      <c r="G8632" s="15"/>
      <c r="H8632" s="21"/>
      <c r="I8632" s="15"/>
      <c r="J8632" s="15"/>
      <c r="K8632" s="15"/>
      <c r="L8632" s="21"/>
      <c r="M8632" s="15"/>
    </row>
    <row r="8633" spans="1:13" s="166" customFormat="1" ht="12.75" customHeight="1">
      <c r="A8633" s="512" t="s">
        <v>1037</v>
      </c>
      <c r="B8633" s="543">
        <f>SUM(B8631:B8631)</f>
        <v>4.09</v>
      </c>
      <c r="C8633" s="511" t="s">
        <v>216</v>
      </c>
      <c r="D8633" s="521">
        <f t="shared" si="752"/>
        <v>486.5</v>
      </c>
      <c r="E8633" s="508">
        <f t="shared" si="751"/>
        <v>1989.7849999999999</v>
      </c>
      <c r="F8633" s="509"/>
      <c r="G8633" s="15"/>
      <c r="H8633" s="21"/>
      <c r="I8633" s="15"/>
      <c r="J8633" s="15"/>
      <c r="K8633" s="15"/>
      <c r="L8633" s="21"/>
      <c r="M8633" s="15"/>
    </row>
    <row r="8634" spans="1:13" s="166" customFormat="1" ht="12.75" customHeight="1">
      <c r="A8634" s="512" t="s">
        <v>4187</v>
      </c>
      <c r="B8634" s="543">
        <v>8</v>
      </c>
      <c r="C8634" s="511" t="s">
        <v>1171</v>
      </c>
      <c r="D8634" s="521">
        <f>D8625</f>
        <v>426.71999999999997</v>
      </c>
      <c r="E8634" s="508">
        <f t="shared" si="751"/>
        <v>3413.7599999999998</v>
      </c>
      <c r="F8634" s="509"/>
      <c r="G8634" s="15"/>
      <c r="H8634" s="21"/>
      <c r="I8634" s="15"/>
      <c r="J8634" s="15"/>
      <c r="K8634" s="15"/>
      <c r="L8634" s="21"/>
      <c r="M8634" s="15"/>
    </row>
    <row r="8635" spans="1:13" s="166" customFormat="1" ht="12.75" customHeight="1">
      <c r="A8635" s="512" t="s">
        <v>1688</v>
      </c>
      <c r="B8635" s="543">
        <v>1</v>
      </c>
      <c r="C8635" s="511" t="s">
        <v>825</v>
      </c>
      <c r="D8635" s="521">
        <f t="shared" si="752"/>
        <v>600.29999999999995</v>
      </c>
      <c r="E8635" s="508">
        <f t="shared" si="751"/>
        <v>600.29999999999995</v>
      </c>
      <c r="F8635" s="509"/>
      <c r="G8635" s="15"/>
      <c r="H8635" s="21"/>
      <c r="I8635" s="15"/>
      <c r="J8635" s="15"/>
      <c r="K8635" s="15"/>
      <c r="L8635" s="21"/>
      <c r="M8635" s="15"/>
    </row>
    <row r="8636" spans="1:13" s="166" customFormat="1" ht="12.75" customHeight="1">
      <c r="A8636" s="512" t="s">
        <v>208</v>
      </c>
      <c r="B8636" s="543">
        <f>SUM(E8630:E8632)</f>
        <v>20771.3</v>
      </c>
      <c r="C8636" s="511" t="s">
        <v>209</v>
      </c>
      <c r="D8636" s="521">
        <f t="shared" si="752"/>
        <v>0.02</v>
      </c>
      <c r="E8636" s="508">
        <f t="shared" si="751"/>
        <v>415.42599999999999</v>
      </c>
      <c r="F8636" s="509">
        <f>SUM(E8630:E8636)</f>
        <v>27190.570999999996</v>
      </c>
      <c r="G8636" s="15"/>
      <c r="H8636" s="21"/>
      <c r="I8636" s="15"/>
      <c r="J8636" s="15"/>
      <c r="K8636" s="15"/>
      <c r="L8636" s="21"/>
      <c r="M8636" s="15"/>
    </row>
    <row r="8637" spans="1:13" s="166" customFormat="1" ht="12.75" customHeight="1">
      <c r="A8637" s="12"/>
      <c r="B8637" s="434"/>
      <c r="C8637" s="24"/>
      <c r="D8637" s="41"/>
      <c r="E8637" s="31"/>
      <c r="F8637" s="32"/>
      <c r="G8637" s="15"/>
      <c r="H8637" s="21"/>
      <c r="I8637" s="15"/>
      <c r="J8637" s="15"/>
      <c r="K8637" s="15"/>
      <c r="L8637" s="21"/>
      <c r="M8637" s="15"/>
    </row>
    <row r="8638" spans="1:13" s="166" customFormat="1" ht="12.75" customHeight="1">
      <c r="A8638" s="529" t="s">
        <v>4203</v>
      </c>
      <c r="B8638" s="541"/>
      <c r="C8638" s="537"/>
      <c r="D8638" s="542"/>
      <c r="E8638" s="538"/>
      <c r="F8638" s="539"/>
      <c r="G8638" s="15"/>
      <c r="H8638" s="21"/>
      <c r="I8638" s="15"/>
      <c r="J8638" s="15"/>
      <c r="K8638" s="15"/>
      <c r="L8638" s="21"/>
      <c r="M8638" s="15"/>
    </row>
    <row r="8639" spans="1:13" s="166" customFormat="1" ht="12.75" customHeight="1">
      <c r="A8639" s="535" t="s">
        <v>1681</v>
      </c>
      <c r="B8639" s="541">
        <v>1.05</v>
      </c>
      <c r="C8639" s="537" t="s">
        <v>825</v>
      </c>
      <c r="D8639" s="542">
        <f>D8630</f>
        <v>6850</v>
      </c>
      <c r="E8639" s="538">
        <f t="shared" ref="E8639:E8645" si="753">B8639*D8639</f>
        <v>7192.5</v>
      </c>
      <c r="F8639" s="539"/>
      <c r="G8639" s="15"/>
      <c r="H8639" s="21"/>
      <c r="I8639" s="15"/>
      <c r="J8639" s="15"/>
      <c r="K8639" s="15"/>
      <c r="L8639" s="21"/>
      <c r="M8639" s="15"/>
    </row>
    <row r="8640" spans="1:13" s="166" customFormat="1" ht="12.75" customHeight="1">
      <c r="A8640" s="535" t="s">
        <v>1686</v>
      </c>
      <c r="B8640" s="541">
        <v>4.5599999999999996</v>
      </c>
      <c r="C8640" s="537" t="s">
        <v>4</v>
      </c>
      <c r="D8640" s="542">
        <f t="shared" ref="D8640:D8645" si="754">D8631</f>
        <v>3200</v>
      </c>
      <c r="E8640" s="538">
        <f t="shared" si="753"/>
        <v>14591.999999999998</v>
      </c>
      <c r="F8640" s="539"/>
      <c r="G8640" s="15"/>
      <c r="H8640" s="21"/>
      <c r="I8640" s="15"/>
      <c r="J8640" s="15"/>
      <c r="K8640" s="15"/>
      <c r="L8640" s="21"/>
      <c r="M8640" s="15"/>
    </row>
    <row r="8641" spans="1:13" s="166" customFormat="1" ht="12.75" customHeight="1">
      <c r="A8641" s="535" t="s">
        <v>1198</v>
      </c>
      <c r="B8641" s="541">
        <f>B8642*2</f>
        <v>9.1199999999999992</v>
      </c>
      <c r="C8641" s="537" t="s">
        <v>1018</v>
      </c>
      <c r="D8641" s="542">
        <f t="shared" si="754"/>
        <v>60</v>
      </c>
      <c r="E8641" s="538">
        <f t="shared" si="753"/>
        <v>547.19999999999993</v>
      </c>
      <c r="F8641" s="539"/>
      <c r="G8641" s="15"/>
      <c r="H8641" s="21"/>
      <c r="I8641" s="15"/>
      <c r="J8641" s="15"/>
      <c r="K8641" s="15"/>
      <c r="L8641" s="21"/>
      <c r="M8641" s="15"/>
    </row>
    <row r="8642" spans="1:13" s="166" customFormat="1" ht="12.75" customHeight="1">
      <c r="A8642" s="535" t="s">
        <v>1037</v>
      </c>
      <c r="B8642" s="541">
        <f>SUM(B8640:B8640)</f>
        <v>4.5599999999999996</v>
      </c>
      <c r="C8642" s="537" t="s">
        <v>216</v>
      </c>
      <c r="D8642" s="542">
        <f>Prec.!C350</f>
        <v>486.5</v>
      </c>
      <c r="E8642" s="538">
        <f t="shared" si="753"/>
        <v>2218.4399999999996</v>
      </c>
      <c r="F8642" s="539"/>
      <c r="G8642" s="15"/>
      <c r="H8642" s="21"/>
      <c r="I8642" s="15"/>
      <c r="J8642" s="15"/>
      <c r="K8642" s="15"/>
      <c r="L8642" s="21"/>
      <c r="M8642" s="15"/>
    </row>
    <row r="8643" spans="1:13" s="166" customFormat="1" ht="12.75" customHeight="1">
      <c r="A8643" s="535" t="s">
        <v>4204</v>
      </c>
      <c r="B8643" s="541">
        <v>22.22</v>
      </c>
      <c r="C8643" s="537" t="s">
        <v>1171</v>
      </c>
      <c r="D8643" s="542">
        <v>250</v>
      </c>
      <c r="E8643" s="538">
        <f t="shared" si="753"/>
        <v>5555</v>
      </c>
      <c r="F8643" s="539"/>
      <c r="G8643" s="15"/>
      <c r="H8643" s="21"/>
      <c r="I8643" s="15"/>
      <c r="J8643" s="15"/>
      <c r="K8643" s="15"/>
      <c r="L8643" s="21"/>
      <c r="M8643" s="15"/>
    </row>
    <row r="8644" spans="1:13" s="166" customFormat="1" ht="12.75" customHeight="1">
      <c r="A8644" s="535" t="s">
        <v>1688</v>
      </c>
      <c r="B8644" s="541">
        <v>1</v>
      </c>
      <c r="C8644" s="537" t="s">
        <v>825</v>
      </c>
      <c r="D8644" s="542">
        <f t="shared" si="754"/>
        <v>600.29999999999995</v>
      </c>
      <c r="E8644" s="538">
        <f t="shared" si="753"/>
        <v>600.29999999999995</v>
      </c>
      <c r="F8644" s="539"/>
      <c r="G8644" s="15"/>
      <c r="H8644" s="21"/>
      <c r="I8644" s="15"/>
      <c r="J8644" s="15"/>
      <c r="K8644" s="15"/>
      <c r="L8644" s="21"/>
      <c r="M8644" s="15"/>
    </row>
    <row r="8645" spans="1:13" s="166" customFormat="1" ht="12.75" customHeight="1">
      <c r="A8645" s="535" t="s">
        <v>208</v>
      </c>
      <c r="B8645" s="541">
        <f>SUM(E8639:E8641)</f>
        <v>22331.7</v>
      </c>
      <c r="C8645" s="537" t="s">
        <v>209</v>
      </c>
      <c r="D8645" s="542">
        <f t="shared" si="754"/>
        <v>0.02</v>
      </c>
      <c r="E8645" s="538">
        <f t="shared" si="753"/>
        <v>446.63400000000001</v>
      </c>
      <c r="F8645" s="539">
        <f>SUM(E8639:E8645)</f>
        <v>31152.074000000001</v>
      </c>
      <c r="G8645" s="15"/>
      <c r="H8645" s="21"/>
      <c r="I8645" s="15"/>
      <c r="J8645" s="15"/>
      <c r="K8645" s="15"/>
      <c r="L8645" s="21"/>
      <c r="M8645" s="15"/>
    </row>
    <row r="8646" spans="1:13" s="166" customFormat="1" ht="12.75" customHeight="1">
      <c r="A8646" s="12"/>
      <c r="B8646" s="434"/>
      <c r="C8646" s="24"/>
      <c r="D8646" s="41"/>
      <c r="E8646" s="31"/>
      <c r="F8646" s="32"/>
      <c r="G8646" s="15"/>
      <c r="H8646" s="21"/>
      <c r="I8646" s="15"/>
      <c r="J8646" s="15"/>
      <c r="K8646" s="15"/>
      <c r="L8646" s="21"/>
      <c r="M8646" s="15"/>
    </row>
    <row r="8647" spans="1:13" s="166" customFormat="1" ht="12.75" customHeight="1">
      <c r="A8647" s="13" t="s">
        <v>1890</v>
      </c>
      <c r="B8647" s="434"/>
      <c r="C8647" s="24"/>
      <c r="D8647" s="41"/>
      <c r="E8647" s="31"/>
      <c r="F8647" s="32"/>
      <c r="G8647" s="15"/>
      <c r="H8647" s="21"/>
      <c r="I8647" s="15"/>
      <c r="J8647" s="15"/>
      <c r="K8647" s="15"/>
      <c r="L8647" s="21"/>
      <c r="M8647" s="15"/>
    </row>
    <row r="8648" spans="1:13" s="166" customFormat="1" ht="12.75" customHeight="1">
      <c r="A8648" s="12" t="s">
        <v>1681</v>
      </c>
      <c r="B8648" s="434">
        <v>1.05</v>
      </c>
      <c r="C8648" s="24" t="s">
        <v>825</v>
      </c>
      <c r="D8648" s="41">
        <f>D8639</f>
        <v>6850</v>
      </c>
      <c r="E8648" s="31">
        <f t="shared" ref="E8648:E8654" si="755">B8648*D8648</f>
        <v>7192.5</v>
      </c>
      <c r="F8648" s="32"/>
      <c r="G8648" s="15"/>
      <c r="H8648" s="21"/>
      <c r="I8648" s="15"/>
      <c r="J8648" s="15"/>
      <c r="K8648" s="15"/>
      <c r="L8648" s="21"/>
      <c r="M8648" s="15"/>
    </row>
    <row r="8649" spans="1:13" s="166" customFormat="1" ht="12.75" customHeight="1">
      <c r="A8649" s="12" t="s">
        <v>1686</v>
      </c>
      <c r="B8649" s="434">
        <v>4.3499999999999996</v>
      </c>
      <c r="C8649" s="24" t="s">
        <v>4</v>
      </c>
      <c r="D8649" s="41">
        <f t="shared" ref="D8649:D8654" si="756">D8640</f>
        <v>3200</v>
      </c>
      <c r="E8649" s="31">
        <f t="shared" si="755"/>
        <v>13919.999999999998</v>
      </c>
      <c r="F8649" s="32"/>
      <c r="G8649" s="15"/>
      <c r="H8649" s="21"/>
      <c r="I8649" s="15"/>
      <c r="J8649" s="15"/>
      <c r="K8649" s="15"/>
      <c r="L8649" s="21"/>
      <c r="M8649" s="15"/>
    </row>
    <row r="8650" spans="1:13" s="166" customFormat="1" ht="12.75" customHeight="1">
      <c r="A8650" s="12" t="s">
        <v>1198</v>
      </c>
      <c r="B8650" s="434">
        <f>B8651*2</f>
        <v>8.6999999999999993</v>
      </c>
      <c r="C8650" s="24" t="s">
        <v>1018</v>
      </c>
      <c r="D8650" s="41">
        <f t="shared" si="756"/>
        <v>60</v>
      </c>
      <c r="E8650" s="31">
        <f t="shared" si="755"/>
        <v>522</v>
      </c>
      <c r="F8650" s="32"/>
      <c r="G8650" s="15"/>
      <c r="H8650" s="21"/>
      <c r="I8650" s="15"/>
      <c r="J8650" s="15"/>
      <c r="K8650" s="15"/>
      <c r="L8650" s="21"/>
      <c r="M8650" s="15"/>
    </row>
    <row r="8651" spans="1:13" s="166" customFormat="1" ht="12.75" customHeight="1">
      <c r="A8651" s="12" t="s">
        <v>1037</v>
      </c>
      <c r="B8651" s="434">
        <f>SUM(B8649:B8649)</f>
        <v>4.3499999999999996</v>
      </c>
      <c r="C8651" s="24" t="s">
        <v>216</v>
      </c>
      <c r="D8651" s="41">
        <f t="shared" si="756"/>
        <v>486.5</v>
      </c>
      <c r="E8651" s="31">
        <f t="shared" si="755"/>
        <v>2116.2749999999996</v>
      </c>
      <c r="F8651" s="32"/>
      <c r="G8651" s="15"/>
      <c r="H8651" s="21"/>
      <c r="I8651" s="15"/>
      <c r="J8651" s="15"/>
      <c r="K8651" s="15"/>
      <c r="L8651" s="21"/>
      <c r="M8651" s="15"/>
    </row>
    <row r="8652" spans="1:13" s="166" customFormat="1" ht="12.75" customHeight="1">
      <c r="A8652" s="12" t="s">
        <v>1906</v>
      </c>
      <c r="B8652" s="434">
        <v>7.25</v>
      </c>
      <c r="C8652" s="24" t="s">
        <v>1171</v>
      </c>
      <c r="D8652" s="41">
        <f t="shared" si="756"/>
        <v>250</v>
      </c>
      <c r="E8652" s="31">
        <f t="shared" si="755"/>
        <v>1812.5</v>
      </c>
      <c r="F8652" s="32"/>
      <c r="G8652" s="15"/>
      <c r="H8652" s="21"/>
      <c r="I8652" s="15"/>
      <c r="J8652" s="15"/>
      <c r="K8652" s="15"/>
      <c r="L8652" s="21"/>
      <c r="M8652" s="15"/>
    </row>
    <row r="8653" spans="1:13" s="166" customFormat="1" ht="12.75" customHeight="1">
      <c r="A8653" s="12" t="s">
        <v>1688</v>
      </c>
      <c r="B8653" s="434">
        <v>1</v>
      </c>
      <c r="C8653" s="24" t="s">
        <v>825</v>
      </c>
      <c r="D8653" s="41">
        <f t="shared" si="756"/>
        <v>600.29999999999995</v>
      </c>
      <c r="E8653" s="31">
        <f t="shared" si="755"/>
        <v>600.29999999999995</v>
      </c>
      <c r="F8653" s="32"/>
      <c r="G8653" s="15"/>
      <c r="H8653" s="21"/>
      <c r="I8653" s="15"/>
      <c r="J8653" s="15"/>
      <c r="K8653" s="15"/>
      <c r="L8653" s="21"/>
      <c r="M8653" s="15"/>
    </row>
    <row r="8654" spans="1:13" s="166" customFormat="1" ht="12.75" customHeight="1">
      <c r="A8654" s="12" t="s">
        <v>208</v>
      </c>
      <c r="B8654" s="434">
        <f>SUM(E8648:E8650)</f>
        <v>21634.5</v>
      </c>
      <c r="C8654" s="24" t="s">
        <v>209</v>
      </c>
      <c r="D8654" s="41">
        <f t="shared" si="756"/>
        <v>0.02</v>
      </c>
      <c r="E8654" s="31">
        <f t="shared" si="755"/>
        <v>432.69</v>
      </c>
      <c r="F8654" s="32">
        <f>SUM(E8648:E8654)</f>
        <v>26596.264999999999</v>
      </c>
      <c r="G8654" s="15"/>
      <c r="H8654" s="21"/>
      <c r="I8654" s="15"/>
      <c r="J8654" s="15"/>
      <c r="K8654" s="15"/>
      <c r="L8654" s="21"/>
      <c r="M8654" s="15"/>
    </row>
    <row r="8655" spans="1:13" s="166" customFormat="1" ht="12.75" customHeight="1">
      <c r="A8655" s="12"/>
      <c r="B8655" s="434"/>
      <c r="C8655" s="24"/>
      <c r="D8655" s="41"/>
      <c r="E8655" s="31"/>
      <c r="F8655" s="32"/>
      <c r="G8655" s="15"/>
      <c r="H8655" s="21"/>
      <c r="I8655" s="15"/>
      <c r="J8655" s="15"/>
      <c r="K8655" s="15"/>
      <c r="L8655" s="21"/>
      <c r="M8655" s="15"/>
    </row>
    <row r="8656" spans="1:13" s="166" customFormat="1" ht="12.75" customHeight="1">
      <c r="A8656" s="13" t="s">
        <v>1891</v>
      </c>
      <c r="B8656" s="434"/>
      <c r="C8656" s="24"/>
      <c r="D8656" s="41"/>
      <c r="E8656" s="31"/>
      <c r="F8656" s="32"/>
      <c r="G8656" s="15"/>
      <c r="H8656" s="21"/>
      <c r="I8656" s="15"/>
      <c r="J8656" s="15"/>
      <c r="K8656" s="15"/>
      <c r="L8656" s="21"/>
      <c r="M8656" s="15"/>
    </row>
    <row r="8657" spans="1:13" s="166" customFormat="1" ht="12.75" customHeight="1">
      <c r="A8657" s="12" t="s">
        <v>1681</v>
      </c>
      <c r="B8657" s="434">
        <v>1.05</v>
      </c>
      <c r="C8657" s="24" t="s">
        <v>825</v>
      </c>
      <c r="D8657" s="41">
        <f>D8648</f>
        <v>6850</v>
      </c>
      <c r="E8657" s="31">
        <f t="shared" ref="E8657:E8663" si="757">B8657*D8657</f>
        <v>7192.5</v>
      </c>
      <c r="F8657" s="32"/>
      <c r="G8657" s="15"/>
      <c r="H8657" s="21"/>
      <c r="I8657" s="15"/>
      <c r="J8657" s="15"/>
      <c r="K8657" s="15"/>
      <c r="L8657" s="21"/>
      <c r="M8657" s="15"/>
    </row>
    <row r="8658" spans="1:13" s="166" customFormat="1" ht="12.75" customHeight="1">
      <c r="A8658" s="12" t="s">
        <v>1686</v>
      </c>
      <c r="B8658" s="434">
        <v>4.8899999999999997</v>
      </c>
      <c r="C8658" s="24" t="s">
        <v>4</v>
      </c>
      <c r="D8658" s="41">
        <f t="shared" ref="D8658:D8663" si="758">D8649</f>
        <v>3200</v>
      </c>
      <c r="E8658" s="31">
        <f t="shared" si="757"/>
        <v>15647.999999999998</v>
      </c>
      <c r="F8658" s="32"/>
      <c r="G8658" s="15"/>
      <c r="H8658" s="21"/>
      <c r="I8658" s="15"/>
      <c r="J8658" s="15"/>
      <c r="K8658" s="15"/>
      <c r="L8658" s="21"/>
      <c r="M8658" s="15"/>
    </row>
    <row r="8659" spans="1:13" s="166" customFormat="1" ht="12.75" customHeight="1">
      <c r="A8659" s="12" t="s">
        <v>1198</v>
      </c>
      <c r="B8659" s="434">
        <f>B8660*2</f>
        <v>9.7799999999999994</v>
      </c>
      <c r="C8659" s="24" t="s">
        <v>1018</v>
      </c>
      <c r="D8659" s="41">
        <f t="shared" si="758"/>
        <v>60</v>
      </c>
      <c r="E8659" s="31">
        <f t="shared" si="757"/>
        <v>586.79999999999995</v>
      </c>
      <c r="F8659" s="32"/>
      <c r="G8659" s="15"/>
      <c r="H8659" s="21"/>
      <c r="I8659" s="15"/>
      <c r="J8659" s="15"/>
      <c r="K8659" s="15"/>
      <c r="L8659" s="21"/>
      <c r="M8659" s="15"/>
    </row>
    <row r="8660" spans="1:13" s="166" customFormat="1" ht="12.75" customHeight="1">
      <c r="A8660" s="12" t="s">
        <v>1037</v>
      </c>
      <c r="B8660" s="434">
        <f>SUM(B8658:B8658)</f>
        <v>4.8899999999999997</v>
      </c>
      <c r="C8660" s="24" t="s">
        <v>216</v>
      </c>
      <c r="D8660" s="41">
        <f t="shared" si="758"/>
        <v>486.5</v>
      </c>
      <c r="E8660" s="31">
        <f t="shared" si="757"/>
        <v>2378.9849999999997</v>
      </c>
      <c r="F8660" s="32"/>
      <c r="G8660" s="15"/>
      <c r="H8660" s="21"/>
      <c r="I8660" s="15"/>
      <c r="J8660" s="15"/>
      <c r="K8660" s="15"/>
      <c r="L8660" s="21"/>
      <c r="M8660" s="15"/>
    </row>
    <row r="8661" spans="1:13" s="166" customFormat="1" ht="12.75" customHeight="1">
      <c r="A8661" s="12" t="s">
        <v>1906</v>
      </c>
      <c r="B8661" s="434">
        <v>7.25</v>
      </c>
      <c r="C8661" s="24" t="s">
        <v>1171</v>
      </c>
      <c r="D8661" s="41">
        <f t="shared" si="758"/>
        <v>250</v>
      </c>
      <c r="E8661" s="31">
        <f t="shared" si="757"/>
        <v>1812.5</v>
      </c>
      <c r="F8661" s="32"/>
      <c r="G8661" s="15"/>
      <c r="H8661" s="21"/>
      <c r="I8661" s="15"/>
      <c r="J8661" s="15"/>
      <c r="K8661" s="15"/>
      <c r="L8661" s="21"/>
      <c r="M8661" s="15"/>
    </row>
    <row r="8662" spans="1:13" s="166" customFormat="1" ht="12.75" customHeight="1">
      <c r="A8662" s="12" t="s">
        <v>1688</v>
      </c>
      <c r="B8662" s="434">
        <v>1</v>
      </c>
      <c r="C8662" s="24" t="s">
        <v>825</v>
      </c>
      <c r="D8662" s="41">
        <f t="shared" si="758"/>
        <v>600.29999999999995</v>
      </c>
      <c r="E8662" s="31">
        <f t="shared" si="757"/>
        <v>600.29999999999995</v>
      </c>
      <c r="F8662" s="32"/>
      <c r="G8662" s="15"/>
      <c r="H8662" s="21"/>
      <c r="I8662" s="15"/>
      <c r="J8662" s="15"/>
      <c r="K8662" s="15"/>
      <c r="L8662" s="21"/>
      <c r="M8662" s="15"/>
    </row>
    <row r="8663" spans="1:13" s="166" customFormat="1" ht="12.75" customHeight="1">
      <c r="A8663" s="12" t="s">
        <v>208</v>
      </c>
      <c r="B8663" s="434">
        <f>SUM(E8657:E8659)</f>
        <v>23427.3</v>
      </c>
      <c r="C8663" s="24" t="s">
        <v>209</v>
      </c>
      <c r="D8663" s="41">
        <f t="shared" si="758"/>
        <v>0.02</v>
      </c>
      <c r="E8663" s="31">
        <f t="shared" si="757"/>
        <v>468.54599999999999</v>
      </c>
      <c r="F8663" s="32">
        <f>SUM(E8657:E8663)</f>
        <v>28687.630999999998</v>
      </c>
      <c r="G8663" s="15"/>
      <c r="H8663" s="21"/>
      <c r="I8663" s="15"/>
      <c r="J8663" s="15"/>
      <c r="K8663" s="15"/>
      <c r="L8663" s="21"/>
      <c r="M8663" s="15"/>
    </row>
    <row r="8664" spans="1:13" s="166" customFormat="1" ht="12.75" customHeight="1">
      <c r="A8664" s="12"/>
      <c r="B8664" s="434"/>
      <c r="C8664" s="24"/>
      <c r="D8664" s="41"/>
      <c r="E8664" s="31"/>
      <c r="F8664" s="32"/>
      <c r="G8664" s="15"/>
      <c r="H8664" s="21"/>
      <c r="I8664" s="15"/>
      <c r="J8664" s="15"/>
      <c r="K8664" s="15"/>
      <c r="L8664" s="21"/>
      <c r="M8664" s="15"/>
    </row>
    <row r="8665" spans="1:13" s="166" customFormat="1" ht="12.75" customHeight="1">
      <c r="A8665" s="13" t="s">
        <v>1892</v>
      </c>
      <c r="B8665" s="434"/>
      <c r="C8665" s="24"/>
      <c r="D8665" s="41"/>
      <c r="E8665" s="31"/>
      <c r="F8665" s="32"/>
      <c r="G8665" s="15"/>
      <c r="H8665" s="21"/>
      <c r="I8665" s="15"/>
      <c r="J8665" s="15"/>
      <c r="K8665" s="15"/>
      <c r="L8665" s="21"/>
      <c r="M8665" s="15"/>
    </row>
    <row r="8666" spans="1:13" s="166" customFormat="1" ht="12.75" customHeight="1">
      <c r="A8666" s="12" t="s">
        <v>1681</v>
      </c>
      <c r="B8666" s="434">
        <v>1.05</v>
      </c>
      <c r="C8666" s="24" t="s">
        <v>825</v>
      </c>
      <c r="D8666" s="41">
        <f>D8657</f>
        <v>6850</v>
      </c>
      <c r="E8666" s="31">
        <f t="shared" ref="E8666:E8672" si="759">B8666*D8666</f>
        <v>7192.5</v>
      </c>
      <c r="F8666" s="32"/>
      <c r="G8666" s="15"/>
      <c r="H8666" s="21"/>
      <c r="I8666" s="15"/>
      <c r="J8666" s="15"/>
      <c r="K8666" s="15"/>
      <c r="L8666" s="21"/>
      <c r="M8666" s="15"/>
    </row>
    <row r="8667" spans="1:13" s="166" customFormat="1" ht="12.75" customHeight="1">
      <c r="A8667" s="12" t="s">
        <v>1686</v>
      </c>
      <c r="B8667" s="434">
        <v>5.03</v>
      </c>
      <c r="C8667" s="24" t="s">
        <v>4</v>
      </c>
      <c r="D8667" s="41">
        <f t="shared" ref="D8667:D8672" si="760">D8658</f>
        <v>3200</v>
      </c>
      <c r="E8667" s="31">
        <f t="shared" si="759"/>
        <v>16096</v>
      </c>
      <c r="F8667" s="32"/>
      <c r="G8667" s="15"/>
      <c r="H8667" s="21"/>
      <c r="I8667" s="15"/>
      <c r="J8667" s="15"/>
      <c r="K8667" s="15"/>
      <c r="L8667" s="21"/>
      <c r="M8667" s="15"/>
    </row>
    <row r="8668" spans="1:13" s="166" customFormat="1" ht="12.75" customHeight="1">
      <c r="A8668" s="12" t="s">
        <v>1198</v>
      </c>
      <c r="B8668" s="434">
        <f>B8669*2</f>
        <v>10.06</v>
      </c>
      <c r="C8668" s="24" t="s">
        <v>1018</v>
      </c>
      <c r="D8668" s="41">
        <f t="shared" si="760"/>
        <v>60</v>
      </c>
      <c r="E8668" s="31">
        <f t="shared" si="759"/>
        <v>603.6</v>
      </c>
      <c r="F8668" s="32"/>
      <c r="G8668" s="15"/>
      <c r="H8668" s="21"/>
      <c r="I8668" s="15"/>
      <c r="J8668" s="15"/>
      <c r="K8668" s="15"/>
      <c r="L8668" s="21"/>
      <c r="M8668" s="15"/>
    </row>
    <row r="8669" spans="1:13" s="166" customFormat="1" ht="12.75" customHeight="1">
      <c r="A8669" s="12" t="s">
        <v>1037</v>
      </c>
      <c r="B8669" s="434">
        <f>SUM(B8667:B8667)</f>
        <v>5.03</v>
      </c>
      <c r="C8669" s="24" t="s">
        <v>216</v>
      </c>
      <c r="D8669" s="41">
        <f t="shared" si="760"/>
        <v>486.5</v>
      </c>
      <c r="E8669" s="31">
        <f t="shared" si="759"/>
        <v>2447.0950000000003</v>
      </c>
      <c r="F8669" s="32"/>
      <c r="G8669" s="15"/>
      <c r="H8669" s="21"/>
      <c r="I8669" s="15"/>
      <c r="J8669" s="15"/>
      <c r="K8669" s="15"/>
      <c r="L8669" s="21"/>
      <c r="M8669" s="15"/>
    </row>
    <row r="8670" spans="1:13" s="166" customFormat="1" ht="12.75" customHeight="1">
      <c r="A8670" s="12" t="s">
        <v>1906</v>
      </c>
      <c r="B8670" s="434">
        <v>7.25</v>
      </c>
      <c r="C8670" s="24" t="s">
        <v>1171</v>
      </c>
      <c r="D8670" s="41">
        <f t="shared" si="760"/>
        <v>250</v>
      </c>
      <c r="E8670" s="31">
        <f t="shared" si="759"/>
        <v>1812.5</v>
      </c>
      <c r="F8670" s="32"/>
      <c r="G8670" s="15"/>
      <c r="H8670" s="21"/>
      <c r="I8670" s="15"/>
      <c r="J8670" s="15"/>
      <c r="K8670" s="15"/>
      <c r="L8670" s="21"/>
      <c r="M8670" s="15"/>
    </row>
    <row r="8671" spans="1:13" s="166" customFormat="1" ht="12.75" customHeight="1">
      <c r="A8671" s="12" t="s">
        <v>1688</v>
      </c>
      <c r="B8671" s="434">
        <v>1</v>
      </c>
      <c r="C8671" s="24" t="s">
        <v>825</v>
      </c>
      <c r="D8671" s="41">
        <f t="shared" si="760"/>
        <v>600.29999999999995</v>
      </c>
      <c r="E8671" s="31">
        <f t="shared" si="759"/>
        <v>600.29999999999995</v>
      </c>
      <c r="F8671" s="32"/>
      <c r="G8671" s="15"/>
      <c r="H8671" s="21"/>
      <c r="I8671" s="15"/>
      <c r="J8671" s="15"/>
      <c r="K8671" s="15"/>
      <c r="L8671" s="21"/>
      <c r="M8671" s="15"/>
    </row>
    <row r="8672" spans="1:13" s="166" customFormat="1" ht="12.75" customHeight="1">
      <c r="A8672" s="12" t="s">
        <v>208</v>
      </c>
      <c r="B8672" s="434">
        <f>SUM(E8666:E8668)</f>
        <v>23892.1</v>
      </c>
      <c r="C8672" s="24" t="s">
        <v>209</v>
      </c>
      <c r="D8672" s="41">
        <f t="shared" si="760"/>
        <v>0.02</v>
      </c>
      <c r="E8672" s="31">
        <f t="shared" si="759"/>
        <v>477.84199999999998</v>
      </c>
      <c r="F8672" s="32">
        <f>SUM(E8666:E8672)</f>
        <v>29229.837</v>
      </c>
      <c r="G8672" s="15"/>
      <c r="H8672" s="21"/>
      <c r="I8672" s="15"/>
      <c r="J8672" s="15"/>
      <c r="K8672" s="15"/>
      <c r="L8672" s="21"/>
      <c r="M8672" s="15"/>
    </row>
    <row r="8673" spans="1:13" s="166" customFormat="1" ht="12.75" customHeight="1">
      <c r="A8673" s="12"/>
      <c r="B8673" s="434"/>
      <c r="C8673" s="24"/>
      <c r="D8673" s="41"/>
      <c r="E8673" s="31"/>
      <c r="F8673" s="32"/>
      <c r="G8673" s="15"/>
      <c r="H8673" s="21"/>
      <c r="I8673" s="15"/>
      <c r="J8673" s="15"/>
      <c r="K8673" s="15"/>
      <c r="L8673" s="21"/>
      <c r="M8673" s="15"/>
    </row>
    <row r="8674" spans="1:13" s="166" customFormat="1" ht="12.75" customHeight="1">
      <c r="A8674" s="13" t="s">
        <v>1893</v>
      </c>
      <c r="B8674" s="434"/>
      <c r="C8674" s="24"/>
      <c r="D8674" s="41"/>
      <c r="E8674" s="31"/>
      <c r="F8674" s="32"/>
      <c r="G8674" s="15"/>
      <c r="H8674" s="21"/>
      <c r="I8674" s="15"/>
      <c r="J8674" s="15"/>
      <c r="K8674" s="15"/>
      <c r="L8674" s="21"/>
      <c r="M8674" s="15"/>
    </row>
    <row r="8675" spans="1:13" s="166" customFormat="1" ht="12.75" customHeight="1">
      <c r="A8675" s="12" t="s">
        <v>1681</v>
      </c>
      <c r="B8675" s="434">
        <v>1.05</v>
      </c>
      <c r="C8675" s="24" t="s">
        <v>825</v>
      </c>
      <c r="D8675" s="41">
        <f>D8666</f>
        <v>6850</v>
      </c>
      <c r="E8675" s="31">
        <f t="shared" ref="E8675:E8681" si="761">B8675*D8675</f>
        <v>7192.5</v>
      </c>
      <c r="F8675" s="32"/>
      <c r="G8675" s="15"/>
      <c r="H8675" s="21"/>
      <c r="I8675" s="15"/>
      <c r="J8675" s="15"/>
      <c r="K8675" s="15"/>
      <c r="L8675" s="21"/>
      <c r="M8675" s="15"/>
    </row>
    <row r="8676" spans="1:13" s="166" customFormat="1" ht="12.75" customHeight="1">
      <c r="A8676" s="12" t="s">
        <v>1686</v>
      </c>
      <c r="B8676" s="434">
        <v>5.64</v>
      </c>
      <c r="C8676" s="24" t="s">
        <v>4</v>
      </c>
      <c r="D8676" s="41">
        <f t="shared" ref="D8676:D8681" si="762">D8667</f>
        <v>3200</v>
      </c>
      <c r="E8676" s="31">
        <f t="shared" si="761"/>
        <v>18048</v>
      </c>
      <c r="F8676" s="32"/>
      <c r="G8676" s="15"/>
      <c r="H8676" s="21"/>
      <c r="I8676" s="15"/>
      <c r="J8676" s="15"/>
      <c r="K8676" s="15"/>
      <c r="L8676" s="21"/>
      <c r="M8676" s="15"/>
    </row>
    <row r="8677" spans="1:13" s="166" customFormat="1" ht="12.75" customHeight="1">
      <c r="A8677" s="12" t="s">
        <v>1198</v>
      </c>
      <c r="B8677" s="434">
        <f>B8678*2</f>
        <v>11.28</v>
      </c>
      <c r="C8677" s="24" t="s">
        <v>1018</v>
      </c>
      <c r="D8677" s="41">
        <f t="shared" si="762"/>
        <v>60</v>
      </c>
      <c r="E8677" s="31">
        <f t="shared" si="761"/>
        <v>676.8</v>
      </c>
      <c r="F8677" s="32"/>
      <c r="G8677" s="15"/>
      <c r="H8677" s="21"/>
      <c r="I8677" s="15"/>
      <c r="J8677" s="15"/>
      <c r="K8677" s="15"/>
      <c r="L8677" s="21"/>
      <c r="M8677" s="15"/>
    </row>
    <row r="8678" spans="1:13" s="166" customFormat="1" ht="12.75" customHeight="1">
      <c r="A8678" s="12" t="s">
        <v>1037</v>
      </c>
      <c r="B8678" s="434">
        <f>SUM(B8676:B8676)</f>
        <v>5.64</v>
      </c>
      <c r="C8678" s="24" t="s">
        <v>216</v>
      </c>
      <c r="D8678" s="41">
        <f t="shared" si="762"/>
        <v>486.5</v>
      </c>
      <c r="E8678" s="31">
        <f t="shared" si="761"/>
        <v>2743.8599999999997</v>
      </c>
      <c r="F8678" s="32"/>
      <c r="G8678" s="15"/>
      <c r="H8678" s="21"/>
      <c r="I8678" s="15"/>
      <c r="J8678" s="15"/>
      <c r="K8678" s="15"/>
      <c r="L8678" s="21"/>
      <c r="M8678" s="15"/>
    </row>
    <row r="8679" spans="1:13" s="166" customFormat="1" ht="12.75" customHeight="1">
      <c r="A8679" s="12" t="s">
        <v>1906</v>
      </c>
      <c r="B8679" s="434">
        <v>7.25</v>
      </c>
      <c r="C8679" s="24" t="s">
        <v>1171</v>
      </c>
      <c r="D8679" s="41">
        <f t="shared" si="762"/>
        <v>250</v>
      </c>
      <c r="E8679" s="31">
        <f t="shared" si="761"/>
        <v>1812.5</v>
      </c>
      <c r="F8679" s="32"/>
      <c r="G8679" s="15"/>
      <c r="H8679" s="21"/>
      <c r="I8679" s="15"/>
      <c r="J8679" s="15"/>
      <c r="K8679" s="15"/>
      <c r="L8679" s="21"/>
      <c r="M8679" s="15"/>
    </row>
    <row r="8680" spans="1:13" s="166" customFormat="1" ht="12.75" customHeight="1">
      <c r="A8680" s="12" t="s">
        <v>1688</v>
      </c>
      <c r="B8680" s="434">
        <v>1</v>
      </c>
      <c r="C8680" s="24" t="s">
        <v>825</v>
      </c>
      <c r="D8680" s="41">
        <f t="shared" si="762"/>
        <v>600.29999999999995</v>
      </c>
      <c r="E8680" s="31">
        <f t="shared" si="761"/>
        <v>600.29999999999995</v>
      </c>
      <c r="F8680" s="32"/>
      <c r="G8680" s="15"/>
      <c r="H8680" s="21"/>
      <c r="I8680" s="15"/>
      <c r="J8680" s="15"/>
      <c r="K8680" s="15"/>
      <c r="L8680" s="21"/>
      <c r="M8680" s="15"/>
    </row>
    <row r="8681" spans="1:13" s="166" customFormat="1" ht="12.75" customHeight="1">
      <c r="A8681" s="12" t="s">
        <v>208</v>
      </c>
      <c r="B8681" s="434">
        <f>SUM(E8675:E8677)</f>
        <v>25917.3</v>
      </c>
      <c r="C8681" s="24" t="s">
        <v>209</v>
      </c>
      <c r="D8681" s="41">
        <f t="shared" si="762"/>
        <v>0.02</v>
      </c>
      <c r="E8681" s="31">
        <f t="shared" si="761"/>
        <v>518.346</v>
      </c>
      <c r="F8681" s="32">
        <f>SUM(E8675:E8681)</f>
        <v>31592.306</v>
      </c>
      <c r="G8681" s="15"/>
      <c r="H8681" s="21"/>
      <c r="I8681" s="15"/>
      <c r="J8681" s="15"/>
      <c r="K8681" s="15"/>
      <c r="L8681" s="21"/>
      <c r="M8681" s="15"/>
    </row>
    <row r="8682" spans="1:13" s="166" customFormat="1" ht="12.75" customHeight="1">
      <c r="A8682" s="12"/>
      <c r="B8682" s="434"/>
      <c r="C8682" s="24"/>
      <c r="D8682" s="41"/>
      <c r="E8682" s="31"/>
      <c r="F8682" s="32"/>
      <c r="G8682" s="15"/>
      <c r="H8682" s="21"/>
      <c r="I8682" s="15"/>
      <c r="J8682" s="15"/>
      <c r="K8682" s="15"/>
      <c r="L8682" s="21"/>
      <c r="M8682" s="15"/>
    </row>
    <row r="8683" spans="1:13" s="166" customFormat="1" ht="12.75" customHeight="1">
      <c r="A8683" s="13" t="s">
        <v>1894</v>
      </c>
      <c r="B8683" s="434"/>
      <c r="C8683" s="24"/>
      <c r="D8683" s="41"/>
      <c r="E8683" s="31"/>
      <c r="F8683" s="32"/>
      <c r="G8683" s="15"/>
      <c r="H8683" s="21"/>
      <c r="I8683" s="15"/>
      <c r="J8683" s="15"/>
      <c r="K8683" s="15"/>
      <c r="L8683" s="21"/>
      <c r="M8683" s="15"/>
    </row>
    <row r="8684" spans="1:13" s="166" customFormat="1" ht="12.75" customHeight="1">
      <c r="A8684" s="12" t="s">
        <v>1681</v>
      </c>
      <c r="B8684" s="434">
        <v>1.05</v>
      </c>
      <c r="C8684" s="24" t="s">
        <v>825</v>
      </c>
      <c r="D8684" s="41">
        <f>D8675</f>
        <v>6850</v>
      </c>
      <c r="E8684" s="31">
        <f t="shared" ref="E8684:E8690" si="763">B8684*D8684</f>
        <v>7192.5</v>
      </c>
      <c r="F8684" s="32"/>
      <c r="G8684" s="15"/>
      <c r="H8684" s="21"/>
      <c r="I8684" s="15"/>
      <c r="J8684" s="15"/>
      <c r="K8684" s="15"/>
      <c r="L8684" s="21"/>
      <c r="M8684" s="15"/>
    </row>
    <row r="8685" spans="1:13" s="166" customFormat="1" ht="12.75" customHeight="1">
      <c r="A8685" s="12" t="s">
        <v>1686</v>
      </c>
      <c r="B8685" s="434">
        <v>5.03</v>
      </c>
      <c r="C8685" s="24" t="s">
        <v>4</v>
      </c>
      <c r="D8685" s="41">
        <f t="shared" ref="D8685:D8690" si="764">D8676</f>
        <v>3200</v>
      </c>
      <c r="E8685" s="31">
        <f t="shared" si="763"/>
        <v>16096</v>
      </c>
      <c r="F8685" s="32"/>
      <c r="G8685" s="15"/>
      <c r="H8685" s="21"/>
      <c r="I8685" s="15"/>
      <c r="J8685" s="15"/>
      <c r="K8685" s="15"/>
      <c r="L8685" s="21"/>
      <c r="M8685" s="15"/>
    </row>
    <row r="8686" spans="1:13" s="166" customFormat="1" ht="12.75" customHeight="1">
      <c r="A8686" s="12" t="s">
        <v>1198</v>
      </c>
      <c r="B8686" s="434">
        <f>B8687*2</f>
        <v>10.06</v>
      </c>
      <c r="C8686" s="24" t="s">
        <v>1018</v>
      </c>
      <c r="D8686" s="41">
        <f t="shared" si="764"/>
        <v>60</v>
      </c>
      <c r="E8686" s="31">
        <f t="shared" si="763"/>
        <v>603.6</v>
      </c>
      <c r="F8686" s="32"/>
      <c r="G8686" s="15"/>
      <c r="H8686" s="21"/>
      <c r="I8686" s="15"/>
      <c r="J8686" s="15"/>
      <c r="K8686" s="15"/>
      <c r="L8686" s="21"/>
      <c r="M8686" s="15"/>
    </row>
    <row r="8687" spans="1:13" s="166" customFormat="1" ht="12.75" customHeight="1">
      <c r="A8687" s="12" t="s">
        <v>1037</v>
      </c>
      <c r="B8687" s="434">
        <f>SUM(B8685:B8685)</f>
        <v>5.03</v>
      </c>
      <c r="C8687" s="24" t="s">
        <v>216</v>
      </c>
      <c r="D8687" s="41">
        <f t="shared" si="764"/>
        <v>486.5</v>
      </c>
      <c r="E8687" s="31">
        <f t="shared" si="763"/>
        <v>2447.0950000000003</v>
      </c>
      <c r="F8687" s="32"/>
      <c r="G8687" s="15"/>
      <c r="H8687" s="21"/>
      <c r="I8687" s="15"/>
      <c r="J8687" s="15"/>
      <c r="K8687" s="15"/>
      <c r="L8687" s="21"/>
      <c r="M8687" s="15"/>
    </row>
    <row r="8688" spans="1:13" s="166" customFormat="1" ht="12.75" customHeight="1">
      <c r="A8688" s="12" t="s">
        <v>1906</v>
      </c>
      <c r="B8688" s="434">
        <v>7.25</v>
      </c>
      <c r="C8688" s="24" t="s">
        <v>1171</v>
      </c>
      <c r="D8688" s="41">
        <f t="shared" si="764"/>
        <v>250</v>
      </c>
      <c r="E8688" s="31">
        <f t="shared" si="763"/>
        <v>1812.5</v>
      </c>
      <c r="F8688" s="32"/>
      <c r="G8688" s="15"/>
      <c r="H8688" s="21"/>
      <c r="I8688" s="15"/>
      <c r="J8688" s="15"/>
      <c r="K8688" s="15"/>
      <c r="L8688" s="21"/>
      <c r="M8688" s="15"/>
    </row>
    <row r="8689" spans="1:13" s="166" customFormat="1" ht="12.75" customHeight="1">
      <c r="A8689" s="12" t="s">
        <v>1688</v>
      </c>
      <c r="B8689" s="434">
        <v>1</v>
      </c>
      <c r="C8689" s="24" t="s">
        <v>825</v>
      </c>
      <c r="D8689" s="41">
        <f t="shared" si="764"/>
        <v>600.29999999999995</v>
      </c>
      <c r="E8689" s="31">
        <f t="shared" si="763"/>
        <v>600.29999999999995</v>
      </c>
      <c r="F8689" s="32"/>
      <c r="G8689" s="15"/>
      <c r="H8689" s="21"/>
      <c r="I8689" s="15"/>
      <c r="J8689" s="15"/>
      <c r="K8689" s="15"/>
      <c r="L8689" s="21"/>
      <c r="M8689" s="15"/>
    </row>
    <row r="8690" spans="1:13" s="166" customFormat="1" ht="12.75" customHeight="1">
      <c r="A8690" s="12" t="s">
        <v>208</v>
      </c>
      <c r="B8690" s="434">
        <f>SUM(E8684:E8686)</f>
        <v>23892.1</v>
      </c>
      <c r="C8690" s="24" t="s">
        <v>209</v>
      </c>
      <c r="D8690" s="41">
        <f t="shared" si="764"/>
        <v>0.02</v>
      </c>
      <c r="E8690" s="31">
        <f t="shared" si="763"/>
        <v>477.84199999999998</v>
      </c>
      <c r="F8690" s="32">
        <f>SUM(E8684:E8690)</f>
        <v>29229.837</v>
      </c>
      <c r="G8690" s="15"/>
      <c r="H8690" s="21"/>
      <c r="I8690" s="15"/>
      <c r="J8690" s="15"/>
      <c r="K8690" s="15"/>
      <c r="L8690" s="21"/>
      <c r="M8690" s="15"/>
    </row>
    <row r="8691" spans="1:13" s="166" customFormat="1" ht="12.75" customHeight="1">
      <c r="A8691" s="12"/>
      <c r="B8691" s="434"/>
      <c r="C8691" s="24"/>
      <c r="D8691" s="41"/>
      <c r="E8691" s="31"/>
      <c r="F8691" s="32"/>
      <c r="G8691" s="15"/>
      <c r="H8691" s="21"/>
      <c r="I8691" s="15"/>
      <c r="J8691" s="15"/>
      <c r="K8691" s="15"/>
      <c r="L8691" s="21"/>
      <c r="M8691" s="15"/>
    </row>
    <row r="8692" spans="1:13" s="166" customFormat="1" ht="12.75" customHeight="1">
      <c r="A8692" s="13" t="s">
        <v>1895</v>
      </c>
      <c r="B8692" s="434"/>
      <c r="C8692" s="24"/>
      <c r="D8692" s="41"/>
      <c r="E8692" s="31"/>
      <c r="F8692" s="32"/>
      <c r="G8692" s="15"/>
      <c r="H8692" s="21"/>
      <c r="I8692" s="15"/>
      <c r="J8692" s="15"/>
      <c r="K8692" s="15"/>
      <c r="L8692" s="21"/>
      <c r="M8692" s="15"/>
    </row>
    <row r="8693" spans="1:13" s="166" customFormat="1" ht="12.75" customHeight="1">
      <c r="A8693" s="12" t="s">
        <v>1681</v>
      </c>
      <c r="B8693" s="434">
        <v>1.05</v>
      </c>
      <c r="C8693" s="24" t="s">
        <v>825</v>
      </c>
      <c r="D8693" s="41">
        <f>D8684</f>
        <v>6850</v>
      </c>
      <c r="E8693" s="31">
        <f t="shared" ref="E8693:E8699" si="765">B8693*D8693</f>
        <v>7192.5</v>
      </c>
      <c r="F8693" s="32"/>
      <c r="G8693" s="15"/>
      <c r="H8693" s="21"/>
      <c r="I8693" s="15"/>
      <c r="J8693" s="15"/>
      <c r="K8693" s="15"/>
      <c r="L8693" s="21"/>
      <c r="M8693" s="15"/>
    </row>
    <row r="8694" spans="1:13" s="166" customFormat="1" ht="12.75" customHeight="1">
      <c r="A8694" s="12" t="s">
        <v>1686</v>
      </c>
      <c r="B8694" s="434">
        <v>5.64</v>
      </c>
      <c r="C8694" s="24" t="s">
        <v>4</v>
      </c>
      <c r="D8694" s="41">
        <f t="shared" ref="D8694:D8699" si="766">D8685</f>
        <v>3200</v>
      </c>
      <c r="E8694" s="31">
        <f t="shared" si="765"/>
        <v>18048</v>
      </c>
      <c r="F8694" s="32"/>
      <c r="G8694" s="15"/>
      <c r="H8694" s="21"/>
      <c r="I8694" s="15"/>
      <c r="J8694" s="15"/>
      <c r="K8694" s="15"/>
      <c r="L8694" s="21"/>
      <c r="M8694" s="15"/>
    </row>
    <row r="8695" spans="1:13" s="166" customFormat="1" ht="12.75" customHeight="1">
      <c r="A8695" s="12" t="s">
        <v>1198</v>
      </c>
      <c r="B8695" s="434">
        <f>B8696*2</f>
        <v>11.28</v>
      </c>
      <c r="C8695" s="24" t="s">
        <v>1018</v>
      </c>
      <c r="D8695" s="41">
        <f t="shared" si="766"/>
        <v>60</v>
      </c>
      <c r="E8695" s="31">
        <f t="shared" si="765"/>
        <v>676.8</v>
      </c>
      <c r="F8695" s="32"/>
      <c r="G8695" s="15"/>
      <c r="H8695" s="21"/>
      <c r="I8695" s="15"/>
      <c r="J8695" s="15"/>
      <c r="K8695" s="15"/>
      <c r="L8695" s="21"/>
      <c r="M8695" s="15"/>
    </row>
    <row r="8696" spans="1:13" s="166" customFormat="1" ht="12.75" customHeight="1">
      <c r="A8696" s="12" t="s">
        <v>1037</v>
      </c>
      <c r="B8696" s="434">
        <f>SUM(B8694:B8694)</f>
        <v>5.64</v>
      </c>
      <c r="C8696" s="24" t="s">
        <v>216</v>
      </c>
      <c r="D8696" s="41">
        <f t="shared" si="766"/>
        <v>486.5</v>
      </c>
      <c r="E8696" s="31">
        <f t="shared" si="765"/>
        <v>2743.8599999999997</v>
      </c>
      <c r="F8696" s="32"/>
      <c r="G8696" s="15"/>
      <c r="H8696" s="21"/>
      <c r="I8696" s="15"/>
      <c r="J8696" s="15"/>
      <c r="K8696" s="15"/>
      <c r="L8696" s="21"/>
      <c r="M8696" s="15"/>
    </row>
    <row r="8697" spans="1:13" s="166" customFormat="1" ht="12.75" customHeight="1">
      <c r="A8697" s="12" t="s">
        <v>1906</v>
      </c>
      <c r="B8697" s="434">
        <v>7.25</v>
      </c>
      <c r="C8697" s="24" t="s">
        <v>1171</v>
      </c>
      <c r="D8697" s="41">
        <f t="shared" si="766"/>
        <v>250</v>
      </c>
      <c r="E8697" s="31">
        <f t="shared" si="765"/>
        <v>1812.5</v>
      </c>
      <c r="F8697" s="32"/>
      <c r="G8697" s="15"/>
      <c r="H8697" s="21"/>
      <c r="I8697" s="15"/>
      <c r="J8697" s="15"/>
      <c r="K8697" s="15"/>
      <c r="L8697" s="21"/>
      <c r="M8697" s="15"/>
    </row>
    <row r="8698" spans="1:13" s="166" customFormat="1" ht="12.75" customHeight="1">
      <c r="A8698" s="12" t="s">
        <v>1688</v>
      </c>
      <c r="B8698" s="434">
        <v>1</v>
      </c>
      <c r="C8698" s="24" t="s">
        <v>825</v>
      </c>
      <c r="D8698" s="41">
        <f t="shared" si="766"/>
        <v>600.29999999999995</v>
      </c>
      <c r="E8698" s="31">
        <f t="shared" si="765"/>
        <v>600.29999999999995</v>
      </c>
      <c r="F8698" s="32"/>
      <c r="G8698" s="15"/>
      <c r="H8698" s="21"/>
      <c r="I8698" s="15"/>
      <c r="J8698" s="15"/>
      <c r="K8698" s="15"/>
      <c r="L8698" s="21"/>
      <c r="M8698" s="15"/>
    </row>
    <row r="8699" spans="1:13" s="166" customFormat="1" ht="12.75" customHeight="1">
      <c r="A8699" s="12" t="s">
        <v>208</v>
      </c>
      <c r="B8699" s="434">
        <f>SUM(E8693:E8695)</f>
        <v>25917.3</v>
      </c>
      <c r="C8699" s="24" t="s">
        <v>209</v>
      </c>
      <c r="D8699" s="41">
        <f t="shared" si="766"/>
        <v>0.02</v>
      </c>
      <c r="E8699" s="31">
        <f t="shared" si="765"/>
        <v>518.346</v>
      </c>
      <c r="F8699" s="32">
        <f>SUM(E8693:E8699)</f>
        <v>31592.306</v>
      </c>
      <c r="G8699" s="15"/>
      <c r="H8699" s="21"/>
      <c r="I8699" s="15"/>
      <c r="J8699" s="15"/>
      <c r="K8699" s="15"/>
      <c r="L8699" s="21"/>
      <c r="M8699" s="15"/>
    </row>
    <row r="8700" spans="1:13" s="166" customFormat="1" ht="12.75" customHeight="1">
      <c r="A8700" s="12"/>
      <c r="B8700" s="434"/>
      <c r="C8700" s="24"/>
      <c r="D8700" s="41"/>
      <c r="E8700" s="31"/>
      <c r="F8700" s="32"/>
      <c r="G8700" s="15"/>
      <c r="H8700" s="21"/>
      <c r="I8700" s="15"/>
      <c r="J8700" s="15"/>
      <c r="K8700" s="15"/>
      <c r="L8700" s="21"/>
      <c r="M8700" s="15"/>
    </row>
    <row r="8701" spans="1:13" s="166" customFormat="1" ht="12.75" customHeight="1">
      <c r="A8701" s="13" t="s">
        <v>1896</v>
      </c>
      <c r="B8701" s="434"/>
      <c r="C8701" s="24"/>
      <c r="D8701" s="41"/>
      <c r="E8701" s="31"/>
      <c r="F8701" s="32"/>
      <c r="G8701" s="15"/>
      <c r="H8701" s="21"/>
      <c r="I8701" s="15"/>
      <c r="J8701" s="15"/>
      <c r="K8701" s="15"/>
      <c r="L8701" s="21"/>
      <c r="M8701" s="15"/>
    </row>
    <row r="8702" spans="1:13" s="166" customFormat="1" ht="12.75" customHeight="1">
      <c r="A8702" s="12" t="s">
        <v>1681</v>
      </c>
      <c r="B8702" s="434">
        <v>1.05</v>
      </c>
      <c r="C8702" s="24" t="s">
        <v>825</v>
      </c>
      <c r="D8702" s="41">
        <f>D8693</f>
        <v>6850</v>
      </c>
      <c r="E8702" s="31">
        <f t="shared" ref="E8702:E8708" si="767">B8702*D8702</f>
        <v>7192.5</v>
      </c>
      <c r="F8702" s="32"/>
      <c r="G8702" s="15"/>
      <c r="H8702" s="21"/>
      <c r="I8702" s="15"/>
      <c r="J8702" s="15"/>
      <c r="K8702" s="15"/>
      <c r="L8702" s="21"/>
      <c r="M8702" s="15"/>
    </row>
    <row r="8703" spans="1:13" s="166" customFormat="1" ht="12.75" customHeight="1">
      <c r="A8703" s="12" t="s">
        <v>1686</v>
      </c>
      <c r="B8703" s="434">
        <v>5.64</v>
      </c>
      <c r="C8703" s="24" t="s">
        <v>4</v>
      </c>
      <c r="D8703" s="41">
        <f t="shared" ref="D8703:D8708" si="768">D8694</f>
        <v>3200</v>
      </c>
      <c r="E8703" s="31">
        <f t="shared" si="767"/>
        <v>18048</v>
      </c>
      <c r="F8703" s="32"/>
      <c r="G8703" s="15"/>
      <c r="H8703" s="21"/>
      <c r="I8703" s="15"/>
      <c r="J8703" s="15"/>
      <c r="K8703" s="15"/>
      <c r="L8703" s="21"/>
      <c r="M8703" s="15"/>
    </row>
    <row r="8704" spans="1:13" s="166" customFormat="1" ht="12.75" customHeight="1">
      <c r="A8704" s="12" t="s">
        <v>1198</v>
      </c>
      <c r="B8704" s="434">
        <f>B8705*2</f>
        <v>11.28</v>
      </c>
      <c r="C8704" s="24" t="s">
        <v>1018</v>
      </c>
      <c r="D8704" s="41">
        <f t="shared" si="768"/>
        <v>60</v>
      </c>
      <c r="E8704" s="31">
        <f t="shared" si="767"/>
        <v>676.8</v>
      </c>
      <c r="F8704" s="32"/>
      <c r="G8704" s="15"/>
      <c r="H8704" s="21"/>
      <c r="I8704" s="15"/>
      <c r="J8704" s="15"/>
      <c r="K8704" s="15"/>
      <c r="L8704" s="21"/>
      <c r="M8704" s="15"/>
    </row>
    <row r="8705" spans="1:13" s="166" customFormat="1" ht="12.75" customHeight="1">
      <c r="A8705" s="12" t="s">
        <v>1037</v>
      </c>
      <c r="B8705" s="434">
        <f>SUM(B8703:B8703)</f>
        <v>5.64</v>
      </c>
      <c r="C8705" s="24" t="s">
        <v>216</v>
      </c>
      <c r="D8705" s="41">
        <f t="shared" si="768"/>
        <v>486.5</v>
      </c>
      <c r="E8705" s="31">
        <f t="shared" si="767"/>
        <v>2743.8599999999997</v>
      </c>
      <c r="F8705" s="32"/>
      <c r="G8705" s="15"/>
      <c r="H8705" s="21"/>
      <c r="I8705" s="15"/>
      <c r="J8705" s="15"/>
      <c r="K8705" s="15"/>
      <c r="L8705" s="21"/>
      <c r="M8705" s="15"/>
    </row>
    <row r="8706" spans="1:13" s="166" customFormat="1" ht="12.75" customHeight="1">
      <c r="A8706" s="12" t="s">
        <v>1906</v>
      </c>
      <c r="B8706" s="434">
        <v>7.25</v>
      </c>
      <c r="C8706" s="24" t="s">
        <v>1171</v>
      </c>
      <c r="D8706" s="41">
        <f t="shared" si="768"/>
        <v>250</v>
      </c>
      <c r="E8706" s="31">
        <f t="shared" si="767"/>
        <v>1812.5</v>
      </c>
      <c r="F8706" s="32"/>
      <c r="G8706" s="15"/>
      <c r="H8706" s="21"/>
      <c r="I8706" s="15"/>
      <c r="J8706" s="15"/>
      <c r="K8706" s="15"/>
      <c r="L8706" s="21"/>
      <c r="M8706" s="15"/>
    </row>
    <row r="8707" spans="1:13" s="166" customFormat="1" ht="12.75" customHeight="1">
      <c r="A8707" s="12" t="s">
        <v>1688</v>
      </c>
      <c r="B8707" s="434">
        <v>1</v>
      </c>
      <c r="C8707" s="24" t="s">
        <v>825</v>
      </c>
      <c r="D8707" s="41">
        <f t="shared" si="768"/>
        <v>600.29999999999995</v>
      </c>
      <c r="E8707" s="31">
        <f t="shared" si="767"/>
        <v>600.29999999999995</v>
      </c>
      <c r="F8707" s="32"/>
      <c r="G8707" s="15"/>
      <c r="H8707" s="21"/>
      <c r="I8707" s="15"/>
      <c r="J8707" s="15"/>
      <c r="K8707" s="15"/>
      <c r="L8707" s="21"/>
      <c r="M8707" s="15"/>
    </row>
    <row r="8708" spans="1:13" s="166" customFormat="1" ht="12.75" customHeight="1">
      <c r="A8708" s="12" t="s">
        <v>208</v>
      </c>
      <c r="B8708" s="434">
        <f>SUM(E8702:E8704)</f>
        <v>25917.3</v>
      </c>
      <c r="C8708" s="24" t="s">
        <v>209</v>
      </c>
      <c r="D8708" s="41">
        <f t="shared" si="768"/>
        <v>0.02</v>
      </c>
      <c r="E8708" s="31">
        <f t="shared" si="767"/>
        <v>518.346</v>
      </c>
      <c r="F8708" s="32">
        <f>SUM(E8702:E8708)</f>
        <v>31592.306</v>
      </c>
      <c r="G8708" s="15"/>
      <c r="H8708" s="21"/>
      <c r="I8708" s="15"/>
      <c r="J8708" s="15"/>
      <c r="K8708" s="15"/>
      <c r="L8708" s="21"/>
      <c r="M8708" s="15"/>
    </row>
    <row r="8709" spans="1:13" s="166" customFormat="1" ht="12.75" customHeight="1">
      <c r="A8709" s="12"/>
      <c r="B8709" s="434"/>
      <c r="C8709" s="24"/>
      <c r="D8709" s="41"/>
      <c r="E8709" s="31"/>
      <c r="F8709" s="32"/>
      <c r="G8709" s="15"/>
      <c r="H8709" s="21"/>
      <c r="I8709" s="15"/>
      <c r="J8709" s="15"/>
      <c r="K8709" s="15"/>
      <c r="L8709" s="21"/>
      <c r="M8709" s="15"/>
    </row>
    <row r="8710" spans="1:13" s="166" customFormat="1" ht="12.75" customHeight="1">
      <c r="A8710" s="13" t="s">
        <v>2023</v>
      </c>
      <c r="B8710" s="434"/>
      <c r="C8710" s="24"/>
      <c r="D8710" s="41"/>
      <c r="E8710" s="31"/>
      <c r="F8710" s="32"/>
      <c r="G8710" s="15"/>
      <c r="H8710" s="21"/>
      <c r="I8710" s="15"/>
      <c r="J8710" s="15"/>
      <c r="K8710" s="15"/>
      <c r="L8710" s="21"/>
      <c r="M8710" s="15"/>
    </row>
    <row r="8711" spans="1:13" s="166" customFormat="1" ht="12.75" customHeight="1">
      <c r="A8711" s="12" t="s">
        <v>1681</v>
      </c>
      <c r="B8711" s="434">
        <v>1.05</v>
      </c>
      <c r="C8711" s="24" t="s">
        <v>825</v>
      </c>
      <c r="D8711" s="41">
        <f>D8788</f>
        <v>6850</v>
      </c>
      <c r="E8711" s="31">
        <f t="shared" ref="E8711:E8717" si="769">B8711*D8711</f>
        <v>7192.5</v>
      </c>
      <c r="F8711" s="32"/>
      <c r="G8711" s="15"/>
      <c r="H8711" s="21"/>
      <c r="I8711" s="15"/>
      <c r="J8711" s="15"/>
      <c r="K8711" s="15"/>
      <c r="L8711" s="21"/>
      <c r="M8711" s="15"/>
    </row>
    <row r="8712" spans="1:13" s="166" customFormat="1" ht="12.75" customHeight="1">
      <c r="A8712" s="12" t="s">
        <v>1683</v>
      </c>
      <c r="B8712" s="434">
        <v>5.0999999999999996</v>
      </c>
      <c r="C8712" s="24" t="s">
        <v>4</v>
      </c>
      <c r="D8712" s="41">
        <f>D8789</f>
        <v>3200</v>
      </c>
      <c r="E8712" s="31">
        <f t="shared" si="769"/>
        <v>16319.999999999998</v>
      </c>
      <c r="F8712" s="32"/>
      <c r="G8712" s="15"/>
      <c r="H8712" s="21"/>
      <c r="I8712" s="15"/>
      <c r="J8712" s="15"/>
      <c r="K8712" s="15"/>
      <c r="L8712" s="21"/>
      <c r="M8712" s="15"/>
    </row>
    <row r="8713" spans="1:13" s="166" customFormat="1" ht="12.75" customHeight="1">
      <c r="A8713" s="12" t="s">
        <v>1198</v>
      </c>
      <c r="B8713" s="434">
        <f>B8712*2</f>
        <v>10.199999999999999</v>
      </c>
      <c r="C8713" s="24" t="s">
        <v>1018</v>
      </c>
      <c r="D8713" s="41">
        <f>D8790</f>
        <v>60</v>
      </c>
      <c r="E8713" s="31">
        <f t="shared" si="769"/>
        <v>612</v>
      </c>
      <c r="F8713" s="32"/>
      <c r="G8713" s="15"/>
      <c r="H8713" s="21"/>
      <c r="I8713" s="15"/>
      <c r="J8713" s="15"/>
      <c r="K8713" s="15"/>
      <c r="L8713" s="21"/>
      <c r="M8713" s="15"/>
    </row>
    <row r="8714" spans="1:13" s="166" customFormat="1" ht="12.75" customHeight="1">
      <c r="A8714" s="12" t="s">
        <v>1037</v>
      </c>
      <c r="B8714" s="434">
        <v>33.33</v>
      </c>
      <c r="C8714" s="24" t="s">
        <v>1171</v>
      </c>
      <c r="D8714" s="41">
        <f>Prec.!C358</f>
        <v>107.87</v>
      </c>
      <c r="E8714" s="31">
        <f t="shared" si="769"/>
        <v>3595.3071</v>
      </c>
      <c r="F8714" s="32"/>
      <c r="G8714" s="15"/>
      <c r="H8714" s="21"/>
      <c r="I8714" s="15"/>
      <c r="J8714" s="15"/>
      <c r="K8714" s="15"/>
      <c r="L8714" s="21"/>
      <c r="M8714" s="15"/>
    </row>
    <row r="8715" spans="1:13" s="166" customFormat="1" ht="12.75" customHeight="1">
      <c r="A8715" s="12" t="s">
        <v>1685</v>
      </c>
      <c r="B8715" s="434">
        <v>33.33</v>
      </c>
      <c r="C8715" s="24" t="s">
        <v>1171</v>
      </c>
      <c r="D8715" s="41">
        <v>250</v>
      </c>
      <c r="E8715" s="31">
        <f t="shared" si="769"/>
        <v>8332.5</v>
      </c>
      <c r="F8715" s="32"/>
      <c r="G8715" s="15"/>
      <c r="H8715" s="21"/>
      <c r="I8715" s="15"/>
      <c r="J8715" s="15"/>
      <c r="K8715" s="15"/>
      <c r="L8715" s="21"/>
      <c r="M8715" s="15"/>
    </row>
    <row r="8716" spans="1:13" s="166" customFormat="1" ht="12.75" customHeight="1">
      <c r="A8716" s="12" t="s">
        <v>1684</v>
      </c>
      <c r="B8716" s="434">
        <v>1</v>
      </c>
      <c r="C8716" s="24" t="s">
        <v>825</v>
      </c>
      <c r="D8716" s="41">
        <f>D8793</f>
        <v>600.29999999999995</v>
      </c>
      <c r="E8716" s="31">
        <f t="shared" si="769"/>
        <v>600.29999999999995</v>
      </c>
      <c r="F8716" s="32"/>
      <c r="G8716" s="15"/>
      <c r="H8716" s="21"/>
      <c r="I8716" s="15"/>
      <c r="J8716" s="15"/>
      <c r="K8716" s="15"/>
      <c r="L8716" s="21"/>
      <c r="M8716" s="15"/>
    </row>
    <row r="8717" spans="1:13" s="166" customFormat="1" ht="12.75" customHeight="1">
      <c r="A8717" s="12" t="s">
        <v>208</v>
      </c>
      <c r="B8717" s="434">
        <f>SUM(E8711:E8713)</f>
        <v>24124.5</v>
      </c>
      <c r="C8717" s="24" t="s">
        <v>209</v>
      </c>
      <c r="D8717" s="41">
        <f>D8794</f>
        <v>0.02</v>
      </c>
      <c r="E8717" s="31">
        <f t="shared" si="769"/>
        <v>482.49</v>
      </c>
      <c r="F8717" s="32">
        <f>SUM(E8711:E8717)</f>
        <v>37135.097099999999</v>
      </c>
      <c r="G8717" s="15"/>
      <c r="H8717" s="21"/>
      <c r="I8717" s="15"/>
      <c r="J8717" s="15"/>
      <c r="K8717" s="15"/>
      <c r="L8717" s="21"/>
      <c r="M8717" s="15"/>
    </row>
    <row r="8718" spans="1:13" s="166" customFormat="1" ht="12.75" customHeight="1">
      <c r="A8718" s="12"/>
      <c r="B8718" s="434"/>
      <c r="C8718" s="24"/>
      <c r="D8718" s="41"/>
      <c r="E8718" s="31"/>
      <c r="F8718" s="32"/>
      <c r="G8718" s="15"/>
      <c r="H8718" s="21"/>
      <c r="I8718" s="15"/>
      <c r="J8718" s="15"/>
      <c r="K8718" s="15"/>
      <c r="L8718" s="21"/>
      <c r="M8718" s="15"/>
    </row>
    <row r="8719" spans="1:13" s="166" customFormat="1" ht="12.75" customHeight="1">
      <c r="A8719" s="698" t="s">
        <v>2024</v>
      </c>
      <c r="B8719" s="699"/>
      <c r="C8719" s="700"/>
      <c r="D8719" s="701"/>
      <c r="E8719" s="702"/>
      <c r="F8719" s="703"/>
      <c r="G8719" s="15"/>
      <c r="H8719" s="21"/>
      <c r="I8719" s="15"/>
      <c r="J8719" s="15"/>
      <c r="K8719" s="15"/>
      <c r="L8719" s="21"/>
      <c r="M8719" s="15"/>
    </row>
    <row r="8720" spans="1:13" s="166" customFormat="1" ht="12.75" customHeight="1">
      <c r="A8720" s="704" t="s">
        <v>1681</v>
      </c>
      <c r="B8720" s="699">
        <v>1.05</v>
      </c>
      <c r="C8720" s="700" t="s">
        <v>825</v>
      </c>
      <c r="D8720" s="701">
        <f>Prec.!C36</f>
        <v>6850</v>
      </c>
      <c r="E8720" s="702">
        <f t="shared" ref="E8720:E8727" si="770">B8720*D8720</f>
        <v>7192.5</v>
      </c>
      <c r="F8720" s="703"/>
      <c r="G8720" s="15"/>
      <c r="H8720" s="21"/>
      <c r="I8720" s="15"/>
      <c r="J8720" s="15"/>
      <c r="K8720" s="15"/>
      <c r="L8720" s="21"/>
      <c r="M8720" s="15"/>
    </row>
    <row r="8721" spans="1:13" s="166" customFormat="1" ht="12.75" customHeight="1">
      <c r="A8721" s="704" t="s">
        <v>1683</v>
      </c>
      <c r="B8721" s="699">
        <v>3.94</v>
      </c>
      <c r="C8721" s="700" t="s">
        <v>4</v>
      </c>
      <c r="D8721" s="701">
        <f>D8798</f>
        <v>3200</v>
      </c>
      <c r="E8721" s="702">
        <f t="shared" si="770"/>
        <v>12608</v>
      </c>
      <c r="F8721" s="703"/>
      <c r="G8721" s="15"/>
      <c r="H8721" s="21"/>
      <c r="I8721" s="15"/>
      <c r="J8721" s="15"/>
      <c r="K8721" s="15"/>
      <c r="L8721" s="21"/>
      <c r="M8721" s="15"/>
    </row>
    <row r="8722" spans="1:13" s="166" customFormat="1" ht="12.75" customHeight="1">
      <c r="A8722" s="704" t="s">
        <v>1198</v>
      </c>
      <c r="B8722" s="699">
        <f>B8721*2</f>
        <v>7.88</v>
      </c>
      <c r="C8722" s="700" t="s">
        <v>1018</v>
      </c>
      <c r="D8722" s="701">
        <f>D8799</f>
        <v>60</v>
      </c>
      <c r="E8722" s="702">
        <f t="shared" si="770"/>
        <v>472.8</v>
      </c>
      <c r="F8722" s="703"/>
      <c r="G8722" s="15"/>
      <c r="H8722" s="21"/>
      <c r="I8722" s="15"/>
      <c r="J8722" s="15"/>
      <c r="K8722" s="15"/>
      <c r="L8722" s="21"/>
      <c r="M8722" s="15"/>
    </row>
    <row r="8723" spans="1:13" s="166" customFormat="1" ht="12.75" customHeight="1">
      <c r="A8723" s="704" t="s">
        <v>1037</v>
      </c>
      <c r="B8723" s="699">
        <v>33.33</v>
      </c>
      <c r="C8723" s="700" t="s">
        <v>1171</v>
      </c>
      <c r="D8723" s="701">
        <f>Prec.!C358</f>
        <v>107.87</v>
      </c>
      <c r="E8723" s="702">
        <f t="shared" si="770"/>
        <v>3595.3071</v>
      </c>
      <c r="F8723" s="703"/>
      <c r="G8723" s="15"/>
      <c r="H8723" s="21"/>
      <c r="I8723" s="15"/>
      <c r="J8723" s="15"/>
      <c r="K8723" s="15"/>
      <c r="L8723" s="21"/>
      <c r="M8723" s="15"/>
    </row>
    <row r="8724" spans="1:13" s="166" customFormat="1" ht="12.75" customHeight="1">
      <c r="A8724" s="704" t="s">
        <v>1685</v>
      </c>
      <c r="B8724" s="699">
        <v>33.33</v>
      </c>
      <c r="C8724" s="700" t="s">
        <v>1171</v>
      </c>
      <c r="D8724" s="701">
        <v>165.66</v>
      </c>
      <c r="E8724" s="702">
        <f t="shared" si="770"/>
        <v>5521.4477999999999</v>
      </c>
      <c r="F8724" s="703"/>
      <c r="G8724" s="15"/>
      <c r="H8724" s="21"/>
      <c r="I8724" s="15"/>
      <c r="J8724" s="15"/>
      <c r="K8724" s="15"/>
      <c r="L8724" s="21"/>
      <c r="M8724" s="15"/>
    </row>
    <row r="8725" spans="1:13" s="166" customFormat="1" ht="12.75" customHeight="1">
      <c r="A8725" s="704" t="s">
        <v>4383</v>
      </c>
      <c r="B8725" s="699">
        <f>(0.15+0.4)*B8724</f>
        <v>18.331500000000002</v>
      </c>
      <c r="C8725" s="700" t="s">
        <v>213</v>
      </c>
      <c r="D8725" s="701">
        <v>33.14</v>
      </c>
      <c r="E8725" s="702">
        <f t="shared" si="770"/>
        <v>607.50591000000009</v>
      </c>
      <c r="F8725" s="703"/>
      <c r="G8725" s="15"/>
      <c r="H8725" s="21"/>
      <c r="I8725" s="15"/>
      <c r="J8725" s="15"/>
      <c r="K8725" s="15"/>
      <c r="L8725" s="21"/>
      <c r="M8725" s="15"/>
    </row>
    <row r="8726" spans="1:13" s="166" customFormat="1" ht="12.75" customHeight="1">
      <c r="A8726" s="704" t="s">
        <v>1684</v>
      </c>
      <c r="B8726" s="699">
        <v>1</v>
      </c>
      <c r="C8726" s="700" t="s">
        <v>825</v>
      </c>
      <c r="D8726" s="701">
        <f>D8802</f>
        <v>600.29999999999995</v>
      </c>
      <c r="E8726" s="702"/>
      <c r="F8726" s="703"/>
      <c r="G8726" s="15"/>
      <c r="H8726" s="21"/>
      <c r="I8726" s="15"/>
      <c r="J8726" s="15"/>
      <c r="K8726" s="15"/>
      <c r="L8726" s="21"/>
      <c r="M8726" s="15"/>
    </row>
    <row r="8727" spans="1:13" s="166" customFormat="1" ht="12.75" customHeight="1">
      <c r="A8727" s="704" t="s">
        <v>208</v>
      </c>
      <c r="B8727" s="699">
        <f>SUM(E8720:E8722)</f>
        <v>20273.3</v>
      </c>
      <c r="C8727" s="700" t="s">
        <v>209</v>
      </c>
      <c r="D8727" s="701">
        <f>D8803</f>
        <v>0.02</v>
      </c>
      <c r="E8727" s="702">
        <f t="shared" si="770"/>
        <v>405.46600000000001</v>
      </c>
      <c r="F8727" s="703">
        <f>SUM(E8720:E8727)</f>
        <v>30403.026810000003</v>
      </c>
      <c r="G8727" s="15"/>
      <c r="H8727" s="21"/>
      <c r="I8727" s="15"/>
      <c r="J8727" s="15"/>
      <c r="K8727" s="15"/>
      <c r="L8727" s="21"/>
      <c r="M8727" s="15"/>
    </row>
    <row r="8728" spans="1:13" s="166" customFormat="1" ht="12.75" customHeight="1">
      <c r="A8728" s="12"/>
      <c r="B8728" s="434"/>
      <c r="C8728" s="24"/>
      <c r="D8728" s="41"/>
      <c r="E8728" s="31"/>
      <c r="F8728" s="32"/>
      <c r="G8728" s="15"/>
      <c r="H8728" s="21"/>
      <c r="I8728" s="15"/>
      <c r="J8728" s="15"/>
      <c r="K8728" s="15"/>
      <c r="L8728" s="21"/>
      <c r="M8728" s="15"/>
    </row>
    <row r="8729" spans="1:13" s="166" customFormat="1" ht="12.75" customHeight="1">
      <c r="A8729" s="698" t="s">
        <v>4388</v>
      </c>
      <c r="B8729" s="699"/>
      <c r="C8729" s="700"/>
      <c r="D8729" s="701"/>
      <c r="E8729" s="702"/>
      <c r="F8729" s="703"/>
      <c r="G8729" s="15"/>
      <c r="H8729" s="21"/>
      <c r="I8729" s="15"/>
      <c r="J8729" s="15"/>
      <c r="K8729" s="15"/>
      <c r="L8729" s="21"/>
      <c r="M8729" s="15"/>
    </row>
    <row r="8730" spans="1:13" s="166" customFormat="1" ht="12.75" customHeight="1">
      <c r="A8730" s="704" t="s">
        <v>1840</v>
      </c>
      <c r="B8730" s="699">
        <v>1.1000000000000001</v>
      </c>
      <c r="C8730" s="700" t="s">
        <v>825</v>
      </c>
      <c r="D8730" s="701">
        <f>F135</f>
        <v>5714.31</v>
      </c>
      <c r="E8730" s="702">
        <f t="shared" ref="E8730:E8737" si="771">B8730*D8730</f>
        <v>6285.7410000000009</v>
      </c>
      <c r="F8730" s="703"/>
      <c r="G8730" s="15"/>
      <c r="H8730" s="21"/>
      <c r="I8730" s="15"/>
      <c r="J8730" s="15"/>
      <c r="K8730" s="15"/>
      <c r="L8730" s="21"/>
      <c r="M8730" s="15"/>
    </row>
    <row r="8731" spans="1:13" s="166" customFormat="1" ht="12.75" customHeight="1">
      <c r="A8731" s="704" t="s">
        <v>1683</v>
      </c>
      <c r="B8731" s="699">
        <v>2.87</v>
      </c>
      <c r="C8731" s="700" t="s">
        <v>4</v>
      </c>
      <c r="D8731" s="701">
        <f>D8712</f>
        <v>3200</v>
      </c>
      <c r="E8731" s="702">
        <f t="shared" si="771"/>
        <v>9184</v>
      </c>
      <c r="F8731" s="703"/>
      <c r="G8731" s="15"/>
      <c r="H8731" s="21"/>
      <c r="I8731" s="15"/>
      <c r="J8731" s="15"/>
      <c r="K8731" s="15"/>
      <c r="L8731" s="21"/>
      <c r="M8731" s="15"/>
    </row>
    <row r="8732" spans="1:13" s="166" customFormat="1" ht="12.75" customHeight="1">
      <c r="A8732" s="704" t="s">
        <v>1198</v>
      </c>
      <c r="B8732" s="699">
        <f>B8731*2</f>
        <v>5.74</v>
      </c>
      <c r="C8732" s="700" t="s">
        <v>1018</v>
      </c>
      <c r="D8732" s="701">
        <f>D8713</f>
        <v>60</v>
      </c>
      <c r="E8732" s="702">
        <f t="shared" si="771"/>
        <v>344.40000000000003</v>
      </c>
      <c r="F8732" s="703"/>
      <c r="G8732" s="15"/>
      <c r="H8732" s="21"/>
      <c r="I8732" s="15"/>
      <c r="J8732" s="15"/>
      <c r="K8732" s="15"/>
      <c r="L8732" s="21"/>
      <c r="M8732" s="15"/>
    </row>
    <row r="8733" spans="1:13" s="166" customFormat="1" ht="12.75" customHeight="1">
      <c r="A8733" s="704" t="s">
        <v>1037</v>
      </c>
      <c r="B8733" s="699">
        <v>33.33</v>
      </c>
      <c r="C8733" s="700" t="s">
        <v>1171</v>
      </c>
      <c r="D8733" s="701">
        <f>D8723</f>
        <v>107.87</v>
      </c>
      <c r="E8733" s="702">
        <f t="shared" si="771"/>
        <v>3595.3071</v>
      </c>
      <c r="F8733" s="703"/>
      <c r="G8733" s="15"/>
      <c r="H8733" s="21"/>
      <c r="I8733" s="15"/>
      <c r="J8733" s="15"/>
      <c r="K8733" s="15"/>
      <c r="L8733" s="21"/>
      <c r="M8733" s="15"/>
    </row>
    <row r="8734" spans="1:13" s="166" customFormat="1" ht="12.75" customHeight="1">
      <c r="A8734" s="704" t="s">
        <v>1685</v>
      </c>
      <c r="B8734" s="699">
        <v>33.33</v>
      </c>
      <c r="C8734" s="700" t="s">
        <v>1171</v>
      </c>
      <c r="D8734" s="701">
        <f>D8715</f>
        <v>250</v>
      </c>
      <c r="E8734" s="702">
        <f t="shared" si="771"/>
        <v>8332.5</v>
      </c>
      <c r="F8734" s="703"/>
      <c r="G8734" s="15"/>
      <c r="H8734" s="21"/>
      <c r="I8734" s="15"/>
      <c r="J8734" s="15"/>
      <c r="K8734" s="15"/>
      <c r="L8734" s="21"/>
      <c r="M8734" s="15"/>
    </row>
    <row r="8735" spans="1:13" s="166" customFormat="1" ht="12.75" customHeight="1">
      <c r="A8735" s="704" t="s">
        <v>4383</v>
      </c>
      <c r="B8735" s="699">
        <f>(0.15+0.4)*B8734</f>
        <v>18.331500000000002</v>
      </c>
      <c r="C8735" s="700" t="s">
        <v>213</v>
      </c>
      <c r="D8735" s="701">
        <v>33.14</v>
      </c>
      <c r="E8735" s="702">
        <f t="shared" si="771"/>
        <v>607.50591000000009</v>
      </c>
      <c r="F8735" s="703"/>
      <c r="G8735" s="15"/>
      <c r="H8735" s="21"/>
      <c r="I8735" s="15"/>
      <c r="J8735" s="15"/>
      <c r="K8735" s="15"/>
      <c r="L8735" s="21"/>
      <c r="M8735" s="15"/>
    </row>
    <row r="8736" spans="1:13" s="166" customFormat="1" ht="12.75" customHeight="1">
      <c r="A8736" s="704" t="s">
        <v>783</v>
      </c>
      <c r="B8736" s="699">
        <v>1</v>
      </c>
      <c r="C8736" s="700" t="s">
        <v>825</v>
      </c>
      <c r="D8736" s="701">
        <f>D8716</f>
        <v>600.29999999999995</v>
      </c>
      <c r="E8736" s="702">
        <f t="shared" si="771"/>
        <v>600.29999999999995</v>
      </c>
      <c r="F8736" s="703"/>
      <c r="G8736" s="15"/>
      <c r="H8736" s="21"/>
      <c r="I8736" s="15"/>
      <c r="J8736" s="15"/>
      <c r="K8736" s="15"/>
      <c r="L8736" s="21"/>
      <c r="M8736" s="15"/>
    </row>
    <row r="8737" spans="1:13" s="166" customFormat="1" ht="12.75" customHeight="1">
      <c r="A8737" s="704" t="s">
        <v>208</v>
      </c>
      <c r="B8737" s="699">
        <f>SUM(E8730:E8732)</f>
        <v>15814.141000000001</v>
      </c>
      <c r="C8737" s="700" t="s">
        <v>209</v>
      </c>
      <c r="D8737" s="701">
        <f>D8717</f>
        <v>0.02</v>
      </c>
      <c r="E8737" s="702">
        <f t="shared" si="771"/>
        <v>316.28282000000002</v>
      </c>
      <c r="F8737" s="703">
        <f>SUM(E8730:E8737)</f>
        <v>29266.036830000001</v>
      </c>
      <c r="G8737" s="15"/>
      <c r="H8737" s="21"/>
      <c r="I8737" s="15"/>
      <c r="J8737" s="15"/>
      <c r="K8737" s="15"/>
      <c r="L8737" s="21"/>
      <c r="M8737" s="15"/>
    </row>
    <row r="8738" spans="1:13" s="166" customFormat="1" ht="12.75" customHeight="1">
      <c r="A8738" s="12"/>
      <c r="B8738" s="434"/>
      <c r="C8738" s="24"/>
      <c r="D8738" s="41"/>
      <c r="E8738" s="31"/>
      <c r="F8738" s="32"/>
      <c r="G8738" s="15"/>
      <c r="H8738" s="21"/>
      <c r="I8738" s="15"/>
      <c r="J8738" s="15"/>
      <c r="K8738" s="15"/>
      <c r="L8738" s="21"/>
      <c r="M8738" s="15"/>
    </row>
    <row r="8739" spans="1:13" s="166" customFormat="1" ht="12.75" customHeight="1">
      <c r="A8739" s="698" t="s">
        <v>4189</v>
      </c>
      <c r="B8739" s="699"/>
      <c r="C8739" s="700"/>
      <c r="D8739" s="701"/>
      <c r="E8739" s="702"/>
      <c r="F8739" s="703"/>
      <c r="G8739" s="15"/>
      <c r="H8739" s="21"/>
      <c r="I8739" s="15"/>
      <c r="J8739" s="15"/>
      <c r="K8739" s="15"/>
      <c r="L8739" s="21"/>
      <c r="M8739" s="15"/>
    </row>
    <row r="8740" spans="1:13" s="166" customFormat="1" ht="12.75" customHeight="1">
      <c r="A8740" s="704" t="s">
        <v>1840</v>
      </c>
      <c r="B8740" s="699">
        <v>1.1000000000000001</v>
      </c>
      <c r="C8740" s="700" t="s">
        <v>825</v>
      </c>
      <c r="D8740" s="701">
        <f t="shared" ref="D8740:D8747" si="772">D8730</f>
        <v>5714.31</v>
      </c>
      <c r="E8740" s="702">
        <f t="shared" ref="E8740:E8747" si="773">B8740*D8740</f>
        <v>6285.7410000000009</v>
      </c>
      <c r="F8740" s="703"/>
      <c r="G8740" s="15"/>
      <c r="H8740" s="21"/>
      <c r="I8740" s="15"/>
      <c r="J8740" s="15"/>
      <c r="K8740" s="15"/>
      <c r="L8740" s="21"/>
      <c r="M8740" s="15"/>
    </row>
    <row r="8741" spans="1:13" s="166" customFormat="1" ht="12.75" customHeight="1">
      <c r="A8741" s="704" t="s">
        <v>1683</v>
      </c>
      <c r="B8741" s="699">
        <v>3.81</v>
      </c>
      <c r="C8741" s="700" t="s">
        <v>4</v>
      </c>
      <c r="D8741" s="701">
        <f t="shared" si="772"/>
        <v>3200</v>
      </c>
      <c r="E8741" s="702">
        <f t="shared" si="773"/>
        <v>12192</v>
      </c>
      <c r="F8741" s="703"/>
      <c r="G8741" s="15"/>
      <c r="H8741" s="21"/>
      <c r="I8741" s="15"/>
      <c r="J8741" s="15"/>
      <c r="K8741" s="15"/>
      <c r="L8741" s="21"/>
      <c r="M8741" s="15"/>
    </row>
    <row r="8742" spans="1:13" s="166" customFormat="1" ht="12.75" customHeight="1">
      <c r="A8742" s="704" t="s">
        <v>1198</v>
      </c>
      <c r="B8742" s="699">
        <f>B8741*2</f>
        <v>7.62</v>
      </c>
      <c r="C8742" s="700" t="s">
        <v>1018</v>
      </c>
      <c r="D8742" s="701">
        <f t="shared" si="772"/>
        <v>60</v>
      </c>
      <c r="E8742" s="702">
        <f t="shared" si="773"/>
        <v>457.2</v>
      </c>
      <c r="F8742" s="703"/>
      <c r="G8742" s="15"/>
      <c r="H8742" s="21"/>
      <c r="I8742" s="15"/>
      <c r="J8742" s="15"/>
      <c r="K8742" s="15"/>
      <c r="L8742" s="21"/>
      <c r="M8742" s="15"/>
    </row>
    <row r="8743" spans="1:13" s="166" customFormat="1" ht="12.75" customHeight="1">
      <c r="A8743" s="704" t="s">
        <v>1037</v>
      </c>
      <c r="B8743" s="699">
        <v>33.33</v>
      </c>
      <c r="C8743" s="700" t="s">
        <v>1171</v>
      </c>
      <c r="D8743" s="701">
        <f t="shared" si="772"/>
        <v>107.87</v>
      </c>
      <c r="E8743" s="702">
        <f t="shared" si="773"/>
        <v>3595.3071</v>
      </c>
      <c r="F8743" s="703"/>
      <c r="G8743" s="15"/>
      <c r="H8743" s="21"/>
      <c r="I8743" s="15"/>
      <c r="J8743" s="15"/>
      <c r="K8743" s="15"/>
      <c r="L8743" s="21"/>
      <c r="M8743" s="15"/>
    </row>
    <row r="8744" spans="1:13" s="166" customFormat="1" ht="12.75" customHeight="1">
      <c r="A8744" s="704" t="s">
        <v>1685</v>
      </c>
      <c r="B8744" s="699">
        <v>33.33</v>
      </c>
      <c r="C8744" s="700" t="s">
        <v>1171</v>
      </c>
      <c r="D8744" s="701">
        <f t="shared" si="772"/>
        <v>250</v>
      </c>
      <c r="E8744" s="702">
        <f t="shared" si="773"/>
        <v>8332.5</v>
      </c>
      <c r="F8744" s="703"/>
      <c r="G8744" s="15"/>
      <c r="H8744" s="21"/>
      <c r="I8744" s="15"/>
      <c r="J8744" s="15"/>
      <c r="K8744" s="15"/>
      <c r="L8744" s="21"/>
      <c r="M8744" s="15"/>
    </row>
    <row r="8745" spans="1:13" s="166" customFormat="1" ht="12.75" customHeight="1">
      <c r="A8745" s="704" t="s">
        <v>4383</v>
      </c>
      <c r="B8745" s="699">
        <f>B8735</f>
        <v>18.331500000000002</v>
      </c>
      <c r="C8745" s="700" t="s">
        <v>213</v>
      </c>
      <c r="D8745" s="701">
        <f t="shared" si="772"/>
        <v>33.14</v>
      </c>
      <c r="E8745" s="702">
        <f t="shared" si="773"/>
        <v>607.50591000000009</v>
      </c>
      <c r="F8745" s="703"/>
      <c r="G8745" s="15"/>
      <c r="H8745" s="21"/>
      <c r="I8745" s="15"/>
      <c r="J8745" s="15"/>
      <c r="K8745" s="15"/>
      <c r="L8745" s="21"/>
      <c r="M8745" s="15"/>
    </row>
    <row r="8746" spans="1:13" s="166" customFormat="1" ht="12.75" customHeight="1">
      <c r="A8746" s="704" t="s">
        <v>1343</v>
      </c>
      <c r="B8746" s="699">
        <v>1</v>
      </c>
      <c r="C8746" s="700" t="s">
        <v>825</v>
      </c>
      <c r="D8746" s="701">
        <f t="shared" si="772"/>
        <v>600.29999999999995</v>
      </c>
      <c r="E8746" s="702">
        <f t="shared" si="773"/>
        <v>600.29999999999995</v>
      </c>
      <c r="F8746" s="703"/>
      <c r="G8746" s="15"/>
      <c r="H8746" s="21"/>
      <c r="I8746" s="15"/>
      <c r="J8746" s="15"/>
      <c r="K8746" s="15"/>
      <c r="L8746" s="21"/>
      <c r="M8746" s="15"/>
    </row>
    <row r="8747" spans="1:13" s="166" customFormat="1" ht="12.75" customHeight="1">
      <c r="A8747" s="704" t="s">
        <v>208</v>
      </c>
      <c r="B8747" s="699">
        <f>SUM(E8740:E8742)</f>
        <v>18934.941000000003</v>
      </c>
      <c r="C8747" s="700" t="s">
        <v>209</v>
      </c>
      <c r="D8747" s="701">
        <f t="shared" si="772"/>
        <v>0.02</v>
      </c>
      <c r="E8747" s="702">
        <f t="shared" si="773"/>
        <v>378.69882000000007</v>
      </c>
      <c r="F8747" s="703">
        <f>SUM(E8740:E8747)</f>
        <v>32449.252830000005</v>
      </c>
      <c r="G8747" s="15"/>
      <c r="H8747" s="21"/>
      <c r="I8747" s="15"/>
      <c r="J8747" s="15"/>
      <c r="K8747" s="15"/>
      <c r="L8747" s="21"/>
      <c r="M8747" s="15"/>
    </row>
    <row r="8748" spans="1:13" s="166" customFormat="1" ht="12.75" customHeight="1">
      <c r="A8748" s="12"/>
      <c r="B8748" s="434"/>
      <c r="C8748" s="24"/>
      <c r="D8748" s="41"/>
      <c r="E8748" s="31"/>
      <c r="F8748" s="32"/>
      <c r="G8748" s="15"/>
      <c r="H8748" s="21"/>
      <c r="I8748" s="15"/>
      <c r="J8748" s="15"/>
      <c r="K8748" s="15"/>
      <c r="L8748" s="21"/>
      <c r="M8748" s="15"/>
    </row>
    <row r="8749" spans="1:13" s="166" customFormat="1" ht="12.75" customHeight="1">
      <c r="A8749" s="12"/>
      <c r="B8749" s="434"/>
      <c r="C8749" s="24"/>
      <c r="D8749" s="41"/>
      <c r="E8749" s="31"/>
      <c r="F8749" s="32"/>
      <c r="G8749" s="15"/>
      <c r="H8749" s="21"/>
      <c r="I8749" s="15"/>
      <c r="J8749" s="15"/>
      <c r="K8749" s="15"/>
      <c r="L8749" s="21"/>
      <c r="M8749" s="15"/>
    </row>
    <row r="8750" spans="1:13" s="166" customFormat="1" ht="12.75" customHeight="1">
      <c r="A8750" s="12"/>
      <c r="B8750" s="434"/>
      <c r="C8750" s="24"/>
      <c r="D8750" s="41"/>
      <c r="E8750" s="31"/>
      <c r="F8750" s="32"/>
      <c r="G8750" s="15"/>
      <c r="H8750" s="21"/>
      <c r="I8750" s="15"/>
      <c r="J8750" s="15"/>
      <c r="K8750" s="15"/>
      <c r="L8750" s="21"/>
      <c r="M8750" s="15"/>
    </row>
    <row r="8751" spans="1:13" s="166" customFormat="1" ht="12.75" customHeight="1">
      <c r="A8751" s="12"/>
      <c r="B8751" s="434"/>
      <c r="C8751" s="24"/>
      <c r="D8751" s="41"/>
      <c r="E8751" s="31"/>
      <c r="F8751" s="32"/>
      <c r="G8751" s="15"/>
      <c r="H8751" s="21"/>
      <c r="I8751" s="15"/>
      <c r="J8751" s="15"/>
      <c r="K8751" s="15"/>
      <c r="L8751" s="21"/>
      <c r="M8751" s="15"/>
    </row>
    <row r="8752" spans="1:13" s="166" customFormat="1" ht="12.75" customHeight="1">
      <c r="A8752" s="12"/>
      <c r="B8752" s="434"/>
      <c r="C8752" s="24"/>
      <c r="D8752" s="41"/>
      <c r="E8752" s="31"/>
      <c r="F8752" s="32"/>
      <c r="G8752" s="15"/>
      <c r="H8752" s="21"/>
      <c r="I8752" s="15"/>
      <c r="J8752" s="15"/>
      <c r="K8752" s="15"/>
      <c r="L8752" s="21"/>
      <c r="M8752" s="15"/>
    </row>
    <row r="8753" spans="1:13" s="166" customFormat="1" ht="12.75" customHeight="1">
      <c r="A8753" s="12"/>
      <c r="B8753" s="434"/>
      <c r="C8753" s="24"/>
      <c r="D8753" s="41"/>
      <c r="E8753" s="31"/>
      <c r="F8753" s="32"/>
      <c r="G8753" s="15"/>
      <c r="H8753" s="21"/>
      <c r="I8753" s="15"/>
      <c r="J8753" s="15"/>
      <c r="K8753" s="15"/>
      <c r="L8753" s="21"/>
      <c r="M8753" s="15"/>
    </row>
    <row r="8754" spans="1:13" s="166" customFormat="1" ht="12.75" customHeight="1">
      <c r="A8754" s="12"/>
      <c r="B8754" s="434"/>
      <c r="C8754" s="24"/>
      <c r="D8754" s="41"/>
      <c r="E8754" s="31"/>
      <c r="F8754" s="32"/>
      <c r="G8754" s="15"/>
      <c r="H8754" s="21"/>
      <c r="I8754" s="15"/>
      <c r="J8754" s="15"/>
      <c r="K8754" s="15"/>
      <c r="L8754" s="21"/>
      <c r="M8754" s="15"/>
    </row>
    <row r="8755" spans="1:13" s="166" customFormat="1" ht="12.75" customHeight="1">
      <c r="A8755" s="12"/>
      <c r="B8755" s="434"/>
      <c r="C8755" s="24"/>
      <c r="D8755" s="41"/>
      <c r="E8755" s="31"/>
      <c r="F8755" s="32"/>
      <c r="G8755" s="15"/>
      <c r="H8755" s="21"/>
      <c r="I8755" s="15"/>
      <c r="J8755" s="15"/>
      <c r="K8755" s="15"/>
      <c r="L8755" s="21"/>
      <c r="M8755" s="15"/>
    </row>
    <row r="8756" spans="1:13" s="166" customFormat="1" ht="12.75" customHeight="1">
      <c r="A8756" s="12"/>
      <c r="B8756" s="434"/>
      <c r="C8756" s="24"/>
      <c r="D8756" s="41"/>
      <c r="E8756" s="31"/>
      <c r="F8756" s="32"/>
      <c r="G8756" s="15"/>
      <c r="H8756" s="21"/>
      <c r="I8756" s="15"/>
      <c r="J8756" s="15"/>
      <c r="K8756" s="15"/>
      <c r="L8756" s="21"/>
      <c r="M8756" s="15"/>
    </row>
    <row r="8757" spans="1:13" s="166" customFormat="1" ht="12.75" customHeight="1">
      <c r="A8757" s="12"/>
      <c r="B8757" s="434"/>
      <c r="C8757" s="24"/>
      <c r="D8757" s="41"/>
      <c r="E8757" s="31"/>
      <c r="F8757" s="32"/>
      <c r="G8757" s="15"/>
      <c r="H8757" s="21"/>
      <c r="I8757" s="15"/>
      <c r="J8757" s="15"/>
      <c r="K8757" s="15"/>
      <c r="L8757" s="21"/>
      <c r="M8757" s="15"/>
    </row>
    <row r="8758" spans="1:13" s="166" customFormat="1" ht="12.75" customHeight="1">
      <c r="A8758" s="12"/>
      <c r="B8758" s="434"/>
      <c r="C8758" s="24"/>
      <c r="D8758" s="41"/>
      <c r="E8758" s="31"/>
      <c r="F8758" s="32"/>
      <c r="G8758" s="15"/>
      <c r="H8758" s="21"/>
      <c r="I8758" s="15"/>
      <c r="J8758" s="15"/>
      <c r="K8758" s="15"/>
      <c r="L8758" s="21"/>
      <c r="M8758" s="15"/>
    </row>
    <row r="8759" spans="1:13" s="166" customFormat="1" ht="12.75" customHeight="1">
      <c r="A8759" s="12"/>
      <c r="B8759" s="434"/>
      <c r="C8759" s="24"/>
      <c r="D8759" s="41"/>
      <c r="E8759" s="31"/>
      <c r="F8759" s="32"/>
      <c r="G8759" s="15"/>
      <c r="H8759" s="21"/>
      <c r="I8759" s="15"/>
      <c r="J8759" s="15"/>
      <c r="K8759" s="15"/>
      <c r="L8759" s="21"/>
      <c r="M8759" s="15"/>
    </row>
    <row r="8760" spans="1:13" s="166" customFormat="1" ht="12.75" customHeight="1">
      <c r="A8760" s="13" t="s">
        <v>1969</v>
      </c>
      <c r="B8760" s="434"/>
      <c r="C8760" s="24"/>
      <c r="D8760" s="41"/>
      <c r="E8760" s="31"/>
      <c r="F8760" s="32"/>
      <c r="G8760" s="15"/>
      <c r="H8760" s="21"/>
      <c r="I8760" s="15"/>
      <c r="J8760" s="15"/>
      <c r="K8760" s="15"/>
      <c r="L8760" s="21"/>
      <c r="M8760" s="15"/>
    </row>
    <row r="8761" spans="1:13" s="166" customFormat="1" ht="12.75" customHeight="1">
      <c r="A8761" s="12" t="s">
        <v>1681</v>
      </c>
      <c r="B8761" s="434">
        <v>1.05</v>
      </c>
      <c r="C8761" s="24" t="s">
        <v>825</v>
      </c>
      <c r="D8761" s="41">
        <f>D8797</f>
        <v>6850</v>
      </c>
      <c r="E8761" s="31">
        <f t="shared" ref="E8761:E8767" si="774">B8761*D8761</f>
        <v>7192.5</v>
      </c>
      <c r="F8761" s="32"/>
      <c r="G8761" s="15"/>
      <c r="H8761" s="21"/>
      <c r="I8761" s="15"/>
      <c r="J8761" s="15"/>
      <c r="K8761" s="15"/>
      <c r="L8761" s="21"/>
      <c r="M8761" s="15"/>
    </row>
    <row r="8762" spans="1:13" s="166" customFormat="1" ht="12.75" customHeight="1">
      <c r="A8762" s="12" t="s">
        <v>1683</v>
      </c>
      <c r="B8762" s="434">
        <v>4.57</v>
      </c>
      <c r="C8762" s="24" t="s">
        <v>4</v>
      </c>
      <c r="D8762" s="41">
        <f>D8798</f>
        <v>3200</v>
      </c>
      <c r="E8762" s="31">
        <f t="shared" si="774"/>
        <v>14624</v>
      </c>
      <c r="F8762" s="32"/>
      <c r="G8762" s="15"/>
      <c r="H8762" s="21"/>
      <c r="I8762" s="15"/>
      <c r="J8762" s="15"/>
      <c r="K8762" s="15"/>
      <c r="L8762" s="21"/>
      <c r="M8762" s="15"/>
    </row>
    <row r="8763" spans="1:13" s="166" customFormat="1" ht="12.75" customHeight="1">
      <c r="A8763" s="12" t="s">
        <v>1198</v>
      </c>
      <c r="B8763" s="434">
        <f>B8762*2</f>
        <v>9.14</v>
      </c>
      <c r="C8763" s="24" t="s">
        <v>1018</v>
      </c>
      <c r="D8763" s="41">
        <f>D8799</f>
        <v>60</v>
      </c>
      <c r="E8763" s="31">
        <f t="shared" si="774"/>
        <v>548.40000000000009</v>
      </c>
      <c r="F8763" s="32"/>
      <c r="G8763" s="15"/>
      <c r="H8763" s="21"/>
      <c r="I8763" s="15"/>
      <c r="J8763" s="15"/>
      <c r="K8763" s="15"/>
      <c r="L8763" s="21"/>
      <c r="M8763" s="15"/>
    </row>
    <row r="8764" spans="1:13" s="166" customFormat="1" ht="12.75" customHeight="1">
      <c r="A8764" s="12" t="s">
        <v>1037</v>
      </c>
      <c r="B8764" s="434">
        <v>33.33</v>
      </c>
      <c r="C8764" s="24" t="s">
        <v>1171</v>
      </c>
      <c r="D8764" s="41">
        <f>Prec.!C359</f>
        <v>118.65700000000001</v>
      </c>
      <c r="E8764" s="31">
        <f t="shared" si="774"/>
        <v>3954.83781</v>
      </c>
      <c r="F8764" s="32"/>
      <c r="G8764" s="15"/>
      <c r="H8764" s="21"/>
      <c r="I8764" s="15"/>
      <c r="J8764" s="15"/>
      <c r="K8764" s="15"/>
      <c r="L8764" s="21"/>
      <c r="M8764" s="15"/>
    </row>
    <row r="8765" spans="1:13" s="166" customFormat="1" ht="12.75" customHeight="1">
      <c r="A8765" s="12" t="s">
        <v>1685</v>
      </c>
      <c r="B8765" s="434">
        <v>33.33</v>
      </c>
      <c r="C8765" s="24" t="s">
        <v>1171</v>
      </c>
      <c r="D8765" s="41">
        <f>D8715*1.05</f>
        <v>262.5</v>
      </c>
      <c r="E8765" s="31">
        <f t="shared" si="774"/>
        <v>8749.125</v>
      </c>
      <c r="F8765" s="32"/>
      <c r="G8765" s="15"/>
      <c r="H8765" s="21"/>
      <c r="I8765" s="15"/>
      <c r="J8765" s="15"/>
      <c r="K8765" s="15"/>
      <c r="L8765" s="21"/>
      <c r="M8765" s="15"/>
    </row>
    <row r="8766" spans="1:13" s="166" customFormat="1" ht="12.75" customHeight="1">
      <c r="A8766" s="12" t="s">
        <v>1684</v>
      </c>
      <c r="B8766" s="434">
        <v>1</v>
      </c>
      <c r="C8766" s="24" t="s">
        <v>825</v>
      </c>
      <c r="D8766" s="41">
        <f>D8802</f>
        <v>600.29999999999995</v>
      </c>
      <c r="E8766" s="31">
        <f t="shared" si="774"/>
        <v>600.29999999999995</v>
      </c>
      <c r="F8766" s="32"/>
      <c r="G8766" s="15"/>
      <c r="H8766" s="21"/>
      <c r="I8766" s="15"/>
      <c r="J8766" s="15"/>
      <c r="K8766" s="15"/>
      <c r="L8766" s="21"/>
      <c r="M8766" s="15"/>
    </row>
    <row r="8767" spans="1:13" s="166" customFormat="1" ht="12.75" customHeight="1">
      <c r="A8767" s="12" t="s">
        <v>208</v>
      </c>
      <c r="B8767" s="434">
        <f>SUM(E8761:E8763)</f>
        <v>22364.9</v>
      </c>
      <c r="C8767" s="24" t="s">
        <v>209</v>
      </c>
      <c r="D8767" s="41">
        <f>D8803</f>
        <v>0.02</v>
      </c>
      <c r="E8767" s="31">
        <f t="shared" si="774"/>
        <v>447.29800000000006</v>
      </c>
      <c r="F8767" s="32">
        <f>SUM(E8761:E8767)</f>
        <v>36116.460810000011</v>
      </c>
      <c r="G8767" s="15"/>
      <c r="H8767" s="21"/>
      <c r="I8767" s="15"/>
      <c r="J8767" s="15"/>
      <c r="K8767" s="15"/>
      <c r="L8767" s="21"/>
      <c r="M8767" s="15"/>
    </row>
    <row r="8768" spans="1:13" s="166" customFormat="1" ht="12.75" customHeight="1">
      <c r="A8768" s="12"/>
      <c r="B8768" s="434"/>
      <c r="C8768" s="24"/>
      <c r="D8768" s="41"/>
      <c r="E8768" s="31"/>
      <c r="F8768" s="32"/>
      <c r="G8768" s="15"/>
      <c r="H8768" s="21"/>
      <c r="I8768" s="15"/>
      <c r="J8768" s="15"/>
      <c r="K8768" s="15"/>
      <c r="L8768" s="21"/>
      <c r="M8768" s="15"/>
    </row>
    <row r="8769" spans="1:13" s="166" customFormat="1" ht="12.75" customHeight="1">
      <c r="A8769" s="13" t="s">
        <v>1970</v>
      </c>
      <c r="B8769" s="434"/>
      <c r="C8769" s="24"/>
      <c r="D8769" s="41"/>
      <c r="E8769" s="31"/>
      <c r="F8769" s="32"/>
      <c r="G8769" s="15"/>
      <c r="H8769" s="21"/>
      <c r="I8769" s="15"/>
      <c r="J8769" s="15"/>
      <c r="K8769" s="15"/>
      <c r="L8769" s="21"/>
      <c r="M8769" s="15"/>
    </row>
    <row r="8770" spans="1:13" s="166" customFormat="1" ht="12.75" customHeight="1">
      <c r="A8770" s="12" t="s">
        <v>1681</v>
      </c>
      <c r="B8770" s="434">
        <v>1.05</v>
      </c>
      <c r="C8770" s="24" t="s">
        <v>825</v>
      </c>
      <c r="D8770" s="41">
        <f>D8806</f>
        <v>6850</v>
      </c>
      <c r="E8770" s="31">
        <f t="shared" ref="E8770:E8776" si="775">B8770*D8770</f>
        <v>7192.5</v>
      </c>
      <c r="F8770" s="32"/>
      <c r="G8770" s="15"/>
      <c r="H8770" s="21"/>
      <c r="I8770" s="15"/>
      <c r="J8770" s="15"/>
      <c r="K8770" s="15"/>
      <c r="L8770" s="21"/>
      <c r="M8770" s="15"/>
    </row>
    <row r="8771" spans="1:13" s="166" customFormat="1" ht="12.75" customHeight="1">
      <c r="A8771" s="12" t="s">
        <v>1683</v>
      </c>
      <c r="B8771" s="434">
        <v>4.57</v>
      </c>
      <c r="C8771" s="24" t="s">
        <v>4</v>
      </c>
      <c r="D8771" s="41">
        <f>D8807</f>
        <v>3200</v>
      </c>
      <c r="E8771" s="31">
        <f t="shared" si="775"/>
        <v>14624</v>
      </c>
      <c r="F8771" s="32"/>
      <c r="G8771" s="15"/>
      <c r="H8771" s="21"/>
      <c r="I8771" s="15"/>
      <c r="J8771" s="15"/>
      <c r="K8771" s="15"/>
      <c r="L8771" s="21"/>
      <c r="M8771" s="15"/>
    </row>
    <row r="8772" spans="1:13" s="166" customFormat="1" ht="12.75" customHeight="1">
      <c r="A8772" s="12" t="s">
        <v>1198</v>
      </c>
      <c r="B8772" s="434">
        <f>B8771*2</f>
        <v>9.14</v>
      </c>
      <c r="C8772" s="24" t="s">
        <v>1018</v>
      </c>
      <c r="D8772" s="41">
        <f>D8808</f>
        <v>60</v>
      </c>
      <c r="E8772" s="31">
        <f t="shared" si="775"/>
        <v>548.40000000000009</v>
      </c>
      <c r="F8772" s="32"/>
      <c r="G8772" s="15"/>
      <c r="H8772" s="21"/>
      <c r="I8772" s="15"/>
      <c r="J8772" s="15"/>
      <c r="K8772" s="15"/>
      <c r="L8772" s="21"/>
      <c r="M8772" s="15"/>
    </row>
    <row r="8773" spans="1:13" s="166" customFormat="1" ht="12.75" customHeight="1">
      <c r="A8773" s="12" t="s">
        <v>1037</v>
      </c>
      <c r="B8773" s="434">
        <v>33.33</v>
      </c>
      <c r="C8773" s="24" t="s">
        <v>1171</v>
      </c>
      <c r="D8773" s="41">
        <f>Prec.!C360</f>
        <v>124.0505</v>
      </c>
      <c r="E8773" s="31">
        <f t="shared" si="775"/>
        <v>4134.6031649999995</v>
      </c>
      <c r="F8773" s="32"/>
      <c r="G8773" s="15"/>
      <c r="H8773" s="21"/>
      <c r="I8773" s="15"/>
      <c r="J8773" s="15"/>
      <c r="K8773" s="15"/>
      <c r="L8773" s="21"/>
      <c r="M8773" s="15"/>
    </row>
    <row r="8774" spans="1:13" s="166" customFormat="1" ht="12.75" customHeight="1">
      <c r="A8774" s="12" t="s">
        <v>1685</v>
      </c>
      <c r="B8774" s="434">
        <v>33.33</v>
      </c>
      <c r="C8774" s="24" t="s">
        <v>1171</v>
      </c>
      <c r="D8774" s="41">
        <f>D8715*1.1</f>
        <v>275</v>
      </c>
      <c r="E8774" s="31">
        <f t="shared" si="775"/>
        <v>9165.75</v>
      </c>
      <c r="F8774" s="32"/>
      <c r="G8774" s="15"/>
      <c r="H8774" s="21"/>
      <c r="I8774" s="15"/>
      <c r="J8774" s="15"/>
      <c r="K8774" s="15"/>
      <c r="L8774" s="21"/>
      <c r="M8774" s="15"/>
    </row>
    <row r="8775" spans="1:13" s="166" customFormat="1" ht="12.75" customHeight="1">
      <c r="A8775" s="12" t="s">
        <v>1684</v>
      </c>
      <c r="B8775" s="434">
        <v>1</v>
      </c>
      <c r="C8775" s="24" t="s">
        <v>825</v>
      </c>
      <c r="D8775" s="41">
        <f>D8811</f>
        <v>600.29999999999995</v>
      </c>
      <c r="E8775" s="31">
        <f t="shared" si="775"/>
        <v>600.29999999999995</v>
      </c>
      <c r="F8775" s="32"/>
      <c r="G8775" s="15"/>
      <c r="H8775" s="21"/>
      <c r="I8775" s="15"/>
      <c r="J8775" s="15"/>
      <c r="K8775" s="15"/>
      <c r="L8775" s="21"/>
      <c r="M8775" s="15"/>
    </row>
    <row r="8776" spans="1:13" s="166" customFormat="1" ht="12.75" customHeight="1">
      <c r="A8776" s="12" t="s">
        <v>208</v>
      </c>
      <c r="B8776" s="434">
        <f>SUM(E8770:E8772)</f>
        <v>22364.9</v>
      </c>
      <c r="C8776" s="24" t="s">
        <v>209</v>
      </c>
      <c r="D8776" s="41">
        <f>D8812</f>
        <v>0.02</v>
      </c>
      <c r="E8776" s="31">
        <f t="shared" si="775"/>
        <v>447.29800000000006</v>
      </c>
      <c r="F8776" s="32">
        <f>SUM(E8770:E8776)</f>
        <v>36712.851165000007</v>
      </c>
      <c r="G8776" s="15"/>
      <c r="H8776" s="21"/>
      <c r="I8776" s="15"/>
      <c r="J8776" s="15"/>
      <c r="K8776" s="15"/>
      <c r="L8776" s="21"/>
      <c r="M8776" s="15"/>
    </row>
    <row r="8777" spans="1:13" s="166" customFormat="1" ht="12.75" customHeight="1">
      <c r="A8777" s="12"/>
      <c r="B8777" s="434"/>
      <c r="C8777" s="24"/>
      <c r="D8777" s="41"/>
      <c r="E8777" s="31"/>
      <c r="F8777" s="32"/>
      <c r="G8777" s="15"/>
      <c r="H8777" s="21"/>
      <c r="I8777" s="15"/>
      <c r="J8777" s="15"/>
      <c r="K8777" s="15"/>
      <c r="L8777" s="21"/>
      <c r="M8777" s="15"/>
    </row>
    <row r="8778" spans="1:13" s="166" customFormat="1" ht="12.75" customHeight="1">
      <c r="A8778" s="13" t="s">
        <v>1971</v>
      </c>
      <c r="B8778" s="434"/>
      <c r="C8778" s="24"/>
      <c r="D8778" s="41"/>
      <c r="E8778" s="31"/>
      <c r="F8778" s="32"/>
      <c r="G8778" s="15"/>
      <c r="H8778" s="21"/>
      <c r="I8778" s="15"/>
      <c r="J8778" s="15"/>
      <c r="K8778" s="15"/>
      <c r="L8778" s="21"/>
      <c r="M8778" s="15"/>
    </row>
    <row r="8779" spans="1:13" s="166" customFormat="1" ht="12.75" customHeight="1">
      <c r="A8779" s="12" t="s">
        <v>1681</v>
      </c>
      <c r="B8779" s="434">
        <v>1.05</v>
      </c>
      <c r="C8779" s="24" t="s">
        <v>825</v>
      </c>
      <c r="D8779" s="41">
        <f>D8815</f>
        <v>6850</v>
      </c>
      <c r="E8779" s="31">
        <f t="shared" ref="E8779:E8785" si="776">B8779*D8779</f>
        <v>7192.5</v>
      </c>
      <c r="F8779" s="32"/>
      <c r="G8779" s="15"/>
      <c r="H8779" s="21"/>
      <c r="I8779" s="15"/>
      <c r="J8779" s="15"/>
      <c r="K8779" s="15"/>
      <c r="L8779" s="21"/>
      <c r="M8779" s="15"/>
    </row>
    <row r="8780" spans="1:13" s="166" customFormat="1" ht="12.75" customHeight="1">
      <c r="A8780" s="12" t="s">
        <v>1683</v>
      </c>
      <c r="B8780" s="434">
        <v>4.57</v>
      </c>
      <c r="C8780" s="24" t="s">
        <v>4</v>
      </c>
      <c r="D8780" s="41">
        <f>D8816</f>
        <v>3200</v>
      </c>
      <c r="E8780" s="31">
        <f t="shared" si="776"/>
        <v>14624</v>
      </c>
      <c r="F8780" s="32"/>
      <c r="G8780" s="15"/>
      <c r="H8780" s="21"/>
      <c r="I8780" s="15"/>
      <c r="J8780" s="15"/>
      <c r="K8780" s="15"/>
      <c r="L8780" s="21"/>
      <c r="M8780" s="15"/>
    </row>
    <row r="8781" spans="1:13" s="166" customFormat="1" ht="12.75" customHeight="1">
      <c r="A8781" s="12" t="s">
        <v>1198</v>
      </c>
      <c r="B8781" s="434">
        <f>B8780*2</f>
        <v>9.14</v>
      </c>
      <c r="C8781" s="24" t="s">
        <v>1018</v>
      </c>
      <c r="D8781" s="41">
        <f>D8817</f>
        <v>60</v>
      </c>
      <c r="E8781" s="31">
        <f t="shared" si="776"/>
        <v>548.40000000000009</v>
      </c>
      <c r="F8781" s="32"/>
      <c r="G8781" s="15"/>
      <c r="H8781" s="21"/>
      <c r="I8781" s="15"/>
      <c r="J8781" s="15"/>
      <c r="K8781" s="15"/>
      <c r="L8781" s="21"/>
      <c r="M8781" s="15"/>
    </row>
    <row r="8782" spans="1:13" s="166" customFormat="1" ht="12.75" customHeight="1">
      <c r="A8782" s="12" t="s">
        <v>1037</v>
      </c>
      <c r="B8782" s="434">
        <v>33.33</v>
      </c>
      <c r="C8782" s="24" t="s">
        <v>1171</v>
      </c>
      <c r="D8782" s="41">
        <f>Prec.!C361</f>
        <v>129.44399999999999</v>
      </c>
      <c r="E8782" s="31">
        <f t="shared" si="776"/>
        <v>4314.3685199999991</v>
      </c>
      <c r="F8782" s="32"/>
      <c r="G8782" s="15"/>
      <c r="H8782" s="21"/>
      <c r="I8782" s="15"/>
      <c r="J8782" s="15"/>
      <c r="K8782" s="15"/>
      <c r="L8782" s="21"/>
      <c r="M8782" s="15"/>
    </row>
    <row r="8783" spans="1:13" s="166" customFormat="1" ht="12.75" customHeight="1">
      <c r="A8783" s="12" t="s">
        <v>1685</v>
      </c>
      <c r="B8783" s="434">
        <v>33.33</v>
      </c>
      <c r="C8783" s="24" t="s">
        <v>1171</v>
      </c>
      <c r="D8783" s="41">
        <f>D8715*1.15</f>
        <v>287.5</v>
      </c>
      <c r="E8783" s="31">
        <f t="shared" si="776"/>
        <v>9582.375</v>
      </c>
      <c r="F8783" s="32"/>
      <c r="G8783" s="15"/>
      <c r="H8783" s="21"/>
      <c r="I8783" s="15"/>
      <c r="J8783" s="15"/>
      <c r="K8783" s="15"/>
      <c r="L8783" s="21"/>
      <c r="M8783" s="15"/>
    </row>
    <row r="8784" spans="1:13" s="166" customFormat="1" ht="12.75" customHeight="1">
      <c r="A8784" s="12" t="s">
        <v>1684</v>
      </c>
      <c r="B8784" s="434">
        <v>1</v>
      </c>
      <c r="C8784" s="24" t="s">
        <v>825</v>
      </c>
      <c r="D8784" s="41">
        <f>D8820</f>
        <v>600.29999999999995</v>
      </c>
      <c r="E8784" s="31">
        <f t="shared" si="776"/>
        <v>600.29999999999995</v>
      </c>
      <c r="F8784" s="32"/>
      <c r="G8784" s="15"/>
      <c r="H8784" s="21"/>
      <c r="I8784" s="15"/>
      <c r="J8784" s="15"/>
      <c r="K8784" s="15"/>
      <c r="L8784" s="21"/>
      <c r="M8784" s="15"/>
    </row>
    <row r="8785" spans="1:13" s="166" customFormat="1" ht="12.75" customHeight="1">
      <c r="A8785" s="12" t="s">
        <v>208</v>
      </c>
      <c r="B8785" s="434">
        <f>SUM(E8779:E8781)</f>
        <v>22364.9</v>
      </c>
      <c r="C8785" s="24" t="s">
        <v>209</v>
      </c>
      <c r="D8785" s="41">
        <f>D8821</f>
        <v>0.02</v>
      </c>
      <c r="E8785" s="31">
        <f t="shared" si="776"/>
        <v>447.29800000000006</v>
      </c>
      <c r="F8785" s="32">
        <f>SUM(E8779:E8785)</f>
        <v>37309.241520000003</v>
      </c>
      <c r="G8785" s="15"/>
      <c r="H8785" s="21"/>
      <c r="I8785" s="15"/>
      <c r="J8785" s="15"/>
      <c r="K8785" s="15"/>
      <c r="L8785" s="21"/>
      <c r="M8785" s="15"/>
    </row>
    <row r="8786" spans="1:13" s="166" customFormat="1" ht="12.75" customHeight="1">
      <c r="A8786" s="12"/>
      <c r="B8786" s="434"/>
      <c r="C8786" s="24"/>
      <c r="D8786" s="41"/>
      <c r="E8786" s="31"/>
      <c r="F8786" s="32"/>
      <c r="G8786" s="15"/>
      <c r="H8786" s="21"/>
      <c r="I8786" s="15"/>
      <c r="J8786" s="15"/>
      <c r="K8786" s="15"/>
      <c r="L8786" s="21"/>
      <c r="M8786" s="15"/>
    </row>
    <row r="8787" spans="1:13" s="166" customFormat="1" ht="12.75" customHeight="1">
      <c r="A8787" s="13" t="s">
        <v>1897</v>
      </c>
      <c r="B8787" s="434"/>
      <c r="C8787" s="24"/>
      <c r="D8787" s="41"/>
      <c r="E8787" s="31"/>
      <c r="F8787" s="32"/>
      <c r="G8787" s="15"/>
      <c r="H8787" s="21"/>
      <c r="I8787" s="15"/>
      <c r="J8787" s="15"/>
      <c r="K8787" s="15"/>
      <c r="L8787" s="21"/>
      <c r="M8787" s="15"/>
    </row>
    <row r="8788" spans="1:13" s="166" customFormat="1" ht="12.75" customHeight="1">
      <c r="A8788" s="12" t="s">
        <v>1681</v>
      </c>
      <c r="B8788" s="434">
        <v>1.05</v>
      </c>
      <c r="C8788" s="24" t="s">
        <v>825</v>
      </c>
      <c r="D8788" s="41">
        <f>D8702</f>
        <v>6850</v>
      </c>
      <c r="E8788" s="31">
        <f t="shared" ref="E8788:E8794" si="777">B8788*D8788</f>
        <v>7192.5</v>
      </c>
      <c r="F8788" s="32"/>
      <c r="G8788" s="15"/>
      <c r="H8788" s="21"/>
      <c r="I8788" s="15"/>
      <c r="J8788" s="15"/>
      <c r="K8788" s="15"/>
      <c r="L8788" s="21"/>
      <c r="M8788" s="15"/>
    </row>
    <row r="8789" spans="1:13" s="166" customFormat="1" ht="12.75" customHeight="1">
      <c r="A8789" s="12" t="s">
        <v>1686</v>
      </c>
      <c r="B8789" s="434">
        <v>5.0199999999999996</v>
      </c>
      <c r="C8789" s="24" t="s">
        <v>4</v>
      </c>
      <c r="D8789" s="41">
        <f>D8703</f>
        <v>3200</v>
      </c>
      <c r="E8789" s="31">
        <f t="shared" si="777"/>
        <v>16063.999999999998</v>
      </c>
      <c r="F8789" s="32"/>
      <c r="G8789" s="15"/>
      <c r="H8789" s="21"/>
      <c r="I8789" s="15"/>
      <c r="J8789" s="15"/>
      <c r="K8789" s="15"/>
      <c r="L8789" s="21"/>
      <c r="M8789" s="15"/>
    </row>
    <row r="8790" spans="1:13" s="166" customFormat="1" ht="12.75" customHeight="1">
      <c r="A8790" s="12" t="s">
        <v>1198</v>
      </c>
      <c r="B8790" s="434">
        <f>B8791*2</f>
        <v>10.039999999999999</v>
      </c>
      <c r="C8790" s="24" t="s">
        <v>1018</v>
      </c>
      <c r="D8790" s="41">
        <f>D8704</f>
        <v>60</v>
      </c>
      <c r="E8790" s="31">
        <f t="shared" si="777"/>
        <v>602.4</v>
      </c>
      <c r="F8790" s="32"/>
      <c r="G8790" s="15"/>
      <c r="H8790" s="21"/>
      <c r="I8790" s="15"/>
      <c r="J8790" s="15"/>
      <c r="K8790" s="15"/>
      <c r="L8790" s="21"/>
      <c r="M8790" s="15"/>
    </row>
    <row r="8791" spans="1:13" s="166" customFormat="1" ht="12.75" customHeight="1">
      <c r="A8791" s="12" t="s">
        <v>1037</v>
      </c>
      <c r="B8791" s="434">
        <f>SUM(B8789:B8789)</f>
        <v>5.0199999999999996</v>
      </c>
      <c r="C8791" s="24" t="s">
        <v>216</v>
      </c>
      <c r="D8791" s="41">
        <f>D8705</f>
        <v>486.5</v>
      </c>
      <c r="E8791" s="31">
        <f t="shared" si="777"/>
        <v>2442.23</v>
      </c>
      <c r="F8791" s="32"/>
      <c r="G8791" s="15"/>
      <c r="H8791" s="21"/>
      <c r="I8791" s="15"/>
      <c r="J8791" s="15"/>
      <c r="K8791" s="15"/>
      <c r="L8791" s="21"/>
      <c r="M8791" s="15"/>
    </row>
    <row r="8792" spans="1:13" s="166" customFormat="1" ht="12.75" customHeight="1">
      <c r="A8792" s="12" t="s">
        <v>1907</v>
      </c>
      <c r="B8792" s="434">
        <v>6.06</v>
      </c>
      <c r="C8792" s="24" t="s">
        <v>1171</v>
      </c>
      <c r="D8792" s="41">
        <v>700</v>
      </c>
      <c r="E8792" s="31">
        <f t="shared" si="777"/>
        <v>4242</v>
      </c>
      <c r="F8792" s="32"/>
      <c r="G8792" s="15"/>
      <c r="H8792" s="21"/>
      <c r="I8792" s="15"/>
      <c r="J8792" s="15"/>
      <c r="K8792" s="15"/>
      <c r="L8792" s="21"/>
      <c r="M8792" s="15"/>
    </row>
    <row r="8793" spans="1:13" s="166" customFormat="1" ht="12.75" customHeight="1">
      <c r="A8793" s="12" t="s">
        <v>1688</v>
      </c>
      <c r="B8793" s="434">
        <v>1</v>
      </c>
      <c r="C8793" s="24" t="s">
        <v>825</v>
      </c>
      <c r="D8793" s="41">
        <f>D8707</f>
        <v>600.29999999999995</v>
      </c>
      <c r="E8793" s="31">
        <f t="shared" si="777"/>
        <v>600.29999999999995</v>
      </c>
      <c r="F8793" s="32"/>
      <c r="G8793" s="15"/>
      <c r="H8793" s="21"/>
      <c r="I8793" s="15"/>
      <c r="J8793" s="15"/>
      <c r="K8793" s="15"/>
      <c r="L8793" s="21"/>
      <c r="M8793" s="15"/>
    </row>
    <row r="8794" spans="1:13" s="166" customFormat="1" ht="12.75" customHeight="1">
      <c r="A8794" s="12" t="s">
        <v>208</v>
      </c>
      <c r="B8794" s="434">
        <f>SUM(E8788:E8790)</f>
        <v>23858.9</v>
      </c>
      <c r="C8794" s="24" t="s">
        <v>209</v>
      </c>
      <c r="D8794" s="41">
        <f>D8708</f>
        <v>0.02</v>
      </c>
      <c r="E8794" s="31">
        <f t="shared" si="777"/>
        <v>477.17800000000005</v>
      </c>
      <c r="F8794" s="32">
        <f>SUM(E8788:E8794)</f>
        <v>31620.608</v>
      </c>
      <c r="G8794" s="15"/>
      <c r="H8794" s="21"/>
      <c r="I8794" s="15"/>
      <c r="J8794" s="15"/>
      <c r="K8794" s="15"/>
      <c r="L8794" s="21"/>
      <c r="M8794" s="15"/>
    </row>
    <row r="8795" spans="1:13" s="166" customFormat="1" ht="12.75" customHeight="1">
      <c r="A8795" s="12"/>
      <c r="B8795" s="434"/>
      <c r="C8795" s="24"/>
      <c r="D8795" s="41"/>
      <c r="E8795" s="31"/>
      <c r="F8795" s="32"/>
      <c r="G8795" s="15"/>
      <c r="H8795" s="21"/>
      <c r="I8795" s="15"/>
      <c r="J8795" s="15"/>
      <c r="K8795" s="15"/>
      <c r="L8795" s="21"/>
      <c r="M8795" s="15"/>
    </row>
    <row r="8796" spans="1:13" s="166" customFormat="1" ht="12.75" customHeight="1">
      <c r="A8796" s="13" t="s">
        <v>1913</v>
      </c>
      <c r="B8796" s="434"/>
      <c r="C8796" s="24"/>
      <c r="D8796" s="41"/>
      <c r="E8796" s="31"/>
      <c r="F8796" s="32"/>
      <c r="G8796" s="15"/>
      <c r="H8796" s="21"/>
      <c r="I8796" s="15"/>
      <c r="J8796" s="15"/>
      <c r="K8796" s="15"/>
      <c r="L8796" s="21"/>
      <c r="M8796" s="15"/>
    </row>
    <row r="8797" spans="1:13" s="166" customFormat="1" ht="12.75" customHeight="1">
      <c r="A8797" s="12" t="s">
        <v>1681</v>
      </c>
      <c r="B8797" s="434">
        <v>1.05</v>
      </c>
      <c r="C8797" s="24" t="s">
        <v>825</v>
      </c>
      <c r="D8797" s="41">
        <f>D8788</f>
        <v>6850</v>
      </c>
      <c r="E8797" s="31">
        <f t="shared" ref="E8797:E8803" si="778">B8797*D8797</f>
        <v>7192.5</v>
      </c>
      <c r="F8797" s="32"/>
      <c r="G8797" s="15"/>
      <c r="H8797" s="21"/>
      <c r="I8797" s="15"/>
      <c r="J8797" s="15"/>
      <c r="K8797" s="15"/>
      <c r="L8797" s="21"/>
      <c r="M8797" s="15"/>
    </row>
    <row r="8798" spans="1:13" s="166" customFormat="1" ht="12.75" customHeight="1">
      <c r="A8798" s="12" t="s">
        <v>1686</v>
      </c>
      <c r="B8798" s="434">
        <v>5.0199999999999996</v>
      </c>
      <c r="C8798" s="24" t="s">
        <v>4</v>
      </c>
      <c r="D8798" s="41">
        <f>D8789</f>
        <v>3200</v>
      </c>
      <c r="E8798" s="31">
        <f t="shared" si="778"/>
        <v>16063.999999999998</v>
      </c>
      <c r="F8798" s="32"/>
      <c r="G8798" s="15"/>
      <c r="H8798" s="21"/>
      <c r="I8798" s="15"/>
      <c r="J8798" s="15"/>
      <c r="K8798" s="15"/>
      <c r="L8798" s="21"/>
      <c r="M8798" s="15"/>
    </row>
    <row r="8799" spans="1:13" s="166" customFormat="1" ht="12.75" customHeight="1">
      <c r="A8799" s="12" t="s">
        <v>1198</v>
      </c>
      <c r="B8799" s="434">
        <f>B8800*2</f>
        <v>10.039999999999999</v>
      </c>
      <c r="C8799" s="24" t="s">
        <v>1018</v>
      </c>
      <c r="D8799" s="41">
        <f>D8790</f>
        <v>60</v>
      </c>
      <c r="E8799" s="31">
        <f t="shared" si="778"/>
        <v>602.4</v>
      </c>
      <c r="F8799" s="32"/>
      <c r="G8799" s="15"/>
      <c r="H8799" s="21"/>
      <c r="I8799" s="15"/>
      <c r="J8799" s="15"/>
      <c r="K8799" s="15"/>
      <c r="L8799" s="21"/>
      <c r="M8799" s="15"/>
    </row>
    <row r="8800" spans="1:13" s="166" customFormat="1" ht="12.75" customHeight="1">
      <c r="A8800" s="12" t="s">
        <v>1037</v>
      </c>
      <c r="B8800" s="434">
        <f>SUM(B8798:B8798)</f>
        <v>5.0199999999999996</v>
      </c>
      <c r="C8800" s="24" t="s">
        <v>216</v>
      </c>
      <c r="D8800" s="41">
        <f>Prec.!C351</f>
        <v>535.15000000000009</v>
      </c>
      <c r="E8800" s="31">
        <f t="shared" si="778"/>
        <v>2686.4530000000004</v>
      </c>
      <c r="F8800" s="32"/>
      <c r="G8800" s="15"/>
      <c r="H8800" s="21"/>
      <c r="I8800" s="15"/>
      <c r="J8800" s="15"/>
      <c r="K8800" s="15"/>
      <c r="L8800" s="21"/>
      <c r="M8800" s="15"/>
    </row>
    <row r="8801" spans="1:13" s="166" customFormat="1" ht="12.75" customHeight="1">
      <c r="A8801" s="12" t="s">
        <v>1907</v>
      </c>
      <c r="B8801" s="434">
        <v>6.06</v>
      </c>
      <c r="C8801" s="24" t="s">
        <v>1171</v>
      </c>
      <c r="D8801" s="41">
        <f>D8792*1.05</f>
        <v>735</v>
      </c>
      <c r="E8801" s="31">
        <f t="shared" si="778"/>
        <v>4454.0999999999995</v>
      </c>
      <c r="F8801" s="32"/>
      <c r="G8801" s="15"/>
      <c r="H8801" s="21"/>
      <c r="I8801" s="15"/>
      <c r="J8801" s="15"/>
      <c r="K8801" s="15"/>
      <c r="L8801" s="21"/>
      <c r="M8801" s="15"/>
    </row>
    <row r="8802" spans="1:13" s="166" customFormat="1" ht="12.75" customHeight="1">
      <c r="A8802" s="12" t="s">
        <v>1688</v>
      </c>
      <c r="B8802" s="434">
        <v>1</v>
      </c>
      <c r="C8802" s="24" t="s">
        <v>825</v>
      </c>
      <c r="D8802" s="41">
        <f>D8793</f>
        <v>600.29999999999995</v>
      </c>
      <c r="E8802" s="31">
        <f t="shared" si="778"/>
        <v>600.29999999999995</v>
      </c>
      <c r="F8802" s="32"/>
      <c r="G8802" s="15"/>
      <c r="H8802" s="21"/>
      <c r="I8802" s="15"/>
      <c r="J8802" s="15"/>
      <c r="K8802" s="15"/>
      <c r="L8802" s="21"/>
      <c r="M8802" s="15"/>
    </row>
    <row r="8803" spans="1:13" s="166" customFormat="1" ht="12.75" customHeight="1">
      <c r="A8803" s="12" t="s">
        <v>208</v>
      </c>
      <c r="B8803" s="434">
        <f>SUM(E8797:E8799)</f>
        <v>23858.9</v>
      </c>
      <c r="C8803" s="24" t="s">
        <v>209</v>
      </c>
      <c r="D8803" s="41">
        <f>D8794</f>
        <v>0.02</v>
      </c>
      <c r="E8803" s="31">
        <f t="shared" si="778"/>
        <v>477.17800000000005</v>
      </c>
      <c r="F8803" s="32">
        <f>SUM(E8797:E8803)</f>
        <v>32076.931</v>
      </c>
      <c r="G8803" s="15"/>
      <c r="H8803" s="21"/>
      <c r="I8803" s="15"/>
      <c r="J8803" s="15"/>
      <c r="K8803" s="15"/>
      <c r="L8803" s="21"/>
      <c r="M8803" s="15"/>
    </row>
    <row r="8804" spans="1:13" s="166" customFormat="1" ht="12.75" customHeight="1">
      <c r="A8804" s="12"/>
      <c r="B8804" s="434"/>
      <c r="C8804" s="24"/>
      <c r="D8804" s="41"/>
      <c r="E8804" s="31"/>
      <c r="F8804" s="32"/>
      <c r="G8804" s="15"/>
      <c r="H8804" s="21"/>
      <c r="I8804" s="15"/>
      <c r="J8804" s="15"/>
      <c r="K8804" s="15"/>
      <c r="L8804" s="21"/>
      <c r="M8804" s="15"/>
    </row>
    <row r="8805" spans="1:13" s="166" customFormat="1" ht="12.75" customHeight="1">
      <c r="A8805" s="13" t="s">
        <v>1914</v>
      </c>
      <c r="B8805" s="434"/>
      <c r="C8805" s="24"/>
      <c r="D8805" s="41"/>
      <c r="E8805" s="31"/>
      <c r="F8805" s="32"/>
      <c r="G8805" s="15"/>
      <c r="H8805" s="21"/>
      <c r="I8805" s="15"/>
      <c r="J8805" s="15"/>
      <c r="K8805" s="15"/>
      <c r="L8805" s="21"/>
      <c r="M8805" s="15"/>
    </row>
    <row r="8806" spans="1:13" s="166" customFormat="1" ht="12.75" customHeight="1">
      <c r="A8806" s="12" t="s">
        <v>1681</v>
      </c>
      <c r="B8806" s="434">
        <v>1.05</v>
      </c>
      <c r="C8806" s="24" t="s">
        <v>825</v>
      </c>
      <c r="D8806" s="41">
        <f>D8797</f>
        <v>6850</v>
      </c>
      <c r="E8806" s="31">
        <f t="shared" ref="E8806:E8812" si="779">B8806*D8806</f>
        <v>7192.5</v>
      </c>
      <c r="F8806" s="32"/>
      <c r="G8806" s="15"/>
      <c r="H8806" s="21"/>
      <c r="I8806" s="15"/>
      <c r="J8806" s="15"/>
      <c r="K8806" s="15"/>
      <c r="L8806" s="21"/>
      <c r="M8806" s="15"/>
    </row>
    <row r="8807" spans="1:13" s="166" customFormat="1" ht="12.75" customHeight="1">
      <c r="A8807" s="12" t="s">
        <v>1686</v>
      </c>
      <c r="B8807" s="434">
        <v>5.0199999999999996</v>
      </c>
      <c r="C8807" s="24" t="s">
        <v>4</v>
      </c>
      <c r="D8807" s="41">
        <f t="shared" ref="D8807:D8812" si="780">D8798</f>
        <v>3200</v>
      </c>
      <c r="E8807" s="31">
        <f t="shared" si="779"/>
        <v>16063.999999999998</v>
      </c>
      <c r="F8807" s="32"/>
      <c r="G8807" s="15"/>
      <c r="H8807" s="21"/>
      <c r="I8807" s="15"/>
      <c r="J8807" s="15"/>
      <c r="K8807" s="15"/>
      <c r="L8807" s="21"/>
      <c r="M8807" s="15"/>
    </row>
    <row r="8808" spans="1:13" s="166" customFormat="1" ht="12.75" customHeight="1">
      <c r="A8808" s="12" t="s">
        <v>1198</v>
      </c>
      <c r="B8808" s="434">
        <f>B8809*2</f>
        <v>10.039999999999999</v>
      </c>
      <c r="C8808" s="24" t="s">
        <v>1018</v>
      </c>
      <c r="D8808" s="41">
        <f t="shared" si="780"/>
        <v>60</v>
      </c>
      <c r="E8808" s="31">
        <f t="shared" si="779"/>
        <v>602.4</v>
      </c>
      <c r="F8808" s="32"/>
      <c r="G8808" s="15"/>
      <c r="H8808" s="21"/>
      <c r="I8808" s="15"/>
      <c r="J8808" s="15"/>
      <c r="K8808" s="15"/>
      <c r="L8808" s="21"/>
      <c r="M8808" s="15"/>
    </row>
    <row r="8809" spans="1:13" s="166" customFormat="1" ht="12.75" customHeight="1">
      <c r="A8809" s="12" t="s">
        <v>1037</v>
      </c>
      <c r="B8809" s="434">
        <f>SUM(B8807:B8807)</f>
        <v>5.0199999999999996</v>
      </c>
      <c r="C8809" s="24" t="s">
        <v>216</v>
      </c>
      <c r="D8809" s="41">
        <f>Prec.!C352</f>
        <v>559.47499999999991</v>
      </c>
      <c r="E8809" s="31">
        <f t="shared" si="779"/>
        <v>2808.5644999999995</v>
      </c>
      <c r="F8809" s="32"/>
      <c r="G8809" s="15"/>
      <c r="H8809" s="21"/>
      <c r="I8809" s="15"/>
      <c r="J8809" s="15"/>
      <c r="K8809" s="15"/>
      <c r="L8809" s="21"/>
      <c r="M8809" s="15"/>
    </row>
    <row r="8810" spans="1:13" s="166" customFormat="1" ht="12.75" customHeight="1">
      <c r="A8810" s="12" t="s">
        <v>1907</v>
      </c>
      <c r="B8810" s="434">
        <v>6.06</v>
      </c>
      <c r="C8810" s="24" t="s">
        <v>1171</v>
      </c>
      <c r="D8810" s="41">
        <f>D8792*1.1</f>
        <v>770.00000000000011</v>
      </c>
      <c r="E8810" s="31">
        <f t="shared" si="779"/>
        <v>4666.2000000000007</v>
      </c>
      <c r="F8810" s="32"/>
      <c r="G8810" s="15"/>
      <c r="H8810" s="21"/>
      <c r="I8810" s="15"/>
      <c r="J8810" s="15"/>
      <c r="K8810" s="15"/>
      <c r="L8810" s="21"/>
      <c r="M8810" s="15"/>
    </row>
    <row r="8811" spans="1:13" s="166" customFormat="1" ht="12.75" customHeight="1">
      <c r="A8811" s="12" t="s">
        <v>1688</v>
      </c>
      <c r="B8811" s="434">
        <v>1</v>
      </c>
      <c r="C8811" s="24" t="s">
        <v>825</v>
      </c>
      <c r="D8811" s="41">
        <f t="shared" si="780"/>
        <v>600.29999999999995</v>
      </c>
      <c r="E8811" s="31">
        <f t="shared" si="779"/>
        <v>600.29999999999995</v>
      </c>
      <c r="F8811" s="32"/>
      <c r="G8811" s="15"/>
      <c r="H8811" s="21"/>
      <c r="I8811" s="15"/>
      <c r="J8811" s="15"/>
      <c r="K8811" s="15"/>
      <c r="L8811" s="21"/>
      <c r="M8811" s="15"/>
    </row>
    <row r="8812" spans="1:13" s="166" customFormat="1" ht="12.75" customHeight="1">
      <c r="A8812" s="12" t="s">
        <v>208</v>
      </c>
      <c r="B8812" s="434">
        <f>SUM(E8806:E8808)</f>
        <v>23858.9</v>
      </c>
      <c r="C8812" s="24" t="s">
        <v>209</v>
      </c>
      <c r="D8812" s="41">
        <f t="shared" si="780"/>
        <v>0.02</v>
      </c>
      <c r="E8812" s="31">
        <f t="shared" si="779"/>
        <v>477.17800000000005</v>
      </c>
      <c r="F8812" s="32">
        <f>SUM(E8806:E8812)</f>
        <v>32411.142500000002</v>
      </c>
      <c r="G8812" s="15"/>
      <c r="H8812" s="21"/>
      <c r="I8812" s="15"/>
      <c r="J8812" s="15"/>
      <c r="K8812" s="15"/>
      <c r="L8812" s="21"/>
      <c r="M8812" s="15"/>
    </row>
    <row r="8813" spans="1:13" s="166" customFormat="1" ht="12.75" customHeight="1">
      <c r="A8813" s="12"/>
      <c r="B8813" s="434"/>
      <c r="C8813" s="24"/>
      <c r="D8813" s="41"/>
      <c r="E8813" s="31"/>
      <c r="F8813" s="32"/>
      <c r="G8813" s="15"/>
      <c r="H8813" s="21"/>
      <c r="I8813" s="15"/>
      <c r="J8813" s="15"/>
      <c r="K8813" s="15"/>
      <c r="L8813" s="21"/>
      <c r="M8813" s="15"/>
    </row>
    <row r="8814" spans="1:13" s="166" customFormat="1" ht="12.75" customHeight="1">
      <c r="A8814" s="13" t="s">
        <v>1915</v>
      </c>
      <c r="B8814" s="434"/>
      <c r="C8814" s="24"/>
      <c r="D8814" s="41"/>
      <c r="E8814" s="31"/>
      <c r="F8814" s="32"/>
      <c r="G8814" s="15"/>
      <c r="H8814" s="21"/>
      <c r="I8814" s="15"/>
      <c r="J8814" s="15"/>
      <c r="K8814" s="15"/>
      <c r="L8814" s="21"/>
      <c r="M8814" s="15"/>
    </row>
    <row r="8815" spans="1:13" s="166" customFormat="1" ht="12.75" customHeight="1">
      <c r="A8815" s="12" t="s">
        <v>1681</v>
      </c>
      <c r="B8815" s="434">
        <v>1.05</v>
      </c>
      <c r="C8815" s="24" t="s">
        <v>825</v>
      </c>
      <c r="D8815" s="41">
        <f>D8806</f>
        <v>6850</v>
      </c>
      <c r="E8815" s="31">
        <f t="shared" ref="E8815:E8821" si="781">B8815*D8815</f>
        <v>7192.5</v>
      </c>
      <c r="F8815" s="32"/>
      <c r="G8815" s="15"/>
      <c r="H8815" s="21"/>
      <c r="I8815" s="15"/>
      <c r="J8815" s="15"/>
      <c r="K8815" s="15"/>
      <c r="L8815" s="21"/>
      <c r="M8815" s="15"/>
    </row>
    <row r="8816" spans="1:13" s="166" customFormat="1" ht="12.75" customHeight="1">
      <c r="A8816" s="12" t="s">
        <v>1686</v>
      </c>
      <c r="B8816" s="434">
        <v>5.0199999999999996</v>
      </c>
      <c r="C8816" s="24" t="s">
        <v>4</v>
      </c>
      <c r="D8816" s="41">
        <f t="shared" ref="D8816:D8821" si="782">D8807</f>
        <v>3200</v>
      </c>
      <c r="E8816" s="31">
        <f t="shared" si="781"/>
        <v>16063.999999999998</v>
      </c>
      <c r="F8816" s="32"/>
      <c r="G8816" s="15"/>
      <c r="H8816" s="21"/>
      <c r="I8816" s="15"/>
      <c r="J8816" s="15"/>
      <c r="K8816" s="15"/>
      <c r="L8816" s="21"/>
      <c r="M8816" s="15"/>
    </row>
    <row r="8817" spans="1:13" s="166" customFormat="1" ht="12.75" customHeight="1">
      <c r="A8817" s="12" t="s">
        <v>1198</v>
      </c>
      <c r="B8817" s="434">
        <f>B8818*2</f>
        <v>10.039999999999999</v>
      </c>
      <c r="C8817" s="24" t="s">
        <v>1018</v>
      </c>
      <c r="D8817" s="41">
        <f t="shared" si="782"/>
        <v>60</v>
      </c>
      <c r="E8817" s="31">
        <f t="shared" si="781"/>
        <v>602.4</v>
      </c>
      <c r="F8817" s="32"/>
      <c r="G8817" s="15"/>
      <c r="H8817" s="21"/>
      <c r="I8817" s="15"/>
      <c r="J8817" s="15"/>
      <c r="K8817" s="15"/>
      <c r="L8817" s="21"/>
      <c r="M8817" s="15"/>
    </row>
    <row r="8818" spans="1:13" s="166" customFormat="1" ht="12.75" customHeight="1">
      <c r="A8818" s="12" t="s">
        <v>1037</v>
      </c>
      <c r="B8818" s="434">
        <f>SUM(B8816:B8816)</f>
        <v>5.0199999999999996</v>
      </c>
      <c r="C8818" s="24" t="s">
        <v>216</v>
      </c>
      <c r="D8818" s="41">
        <f>Prec.!C353</f>
        <v>583.79999999999995</v>
      </c>
      <c r="E8818" s="31">
        <f t="shared" si="781"/>
        <v>2930.6759999999995</v>
      </c>
      <c r="F8818" s="32"/>
      <c r="G8818" s="15"/>
      <c r="H8818" s="21"/>
      <c r="I8818" s="15"/>
      <c r="J8818" s="15"/>
      <c r="K8818" s="15"/>
      <c r="L8818" s="21"/>
      <c r="M8818" s="15"/>
    </row>
    <row r="8819" spans="1:13" s="166" customFormat="1" ht="12.75" customHeight="1">
      <c r="A8819" s="12" t="s">
        <v>1907</v>
      </c>
      <c r="B8819" s="434">
        <v>6.06</v>
      </c>
      <c r="C8819" s="24" t="s">
        <v>1171</v>
      </c>
      <c r="D8819" s="41">
        <f>D8792*1.15</f>
        <v>804.99999999999989</v>
      </c>
      <c r="E8819" s="31">
        <f t="shared" si="781"/>
        <v>4878.2999999999993</v>
      </c>
      <c r="F8819" s="32"/>
      <c r="G8819" s="15"/>
      <c r="H8819" s="21"/>
      <c r="I8819" s="15"/>
      <c r="J8819" s="15"/>
      <c r="K8819" s="15"/>
      <c r="L8819" s="21"/>
      <c r="M8819" s="15"/>
    </row>
    <row r="8820" spans="1:13" s="166" customFormat="1" ht="12.75" customHeight="1">
      <c r="A8820" s="12" t="s">
        <v>1688</v>
      </c>
      <c r="B8820" s="434">
        <v>1</v>
      </c>
      <c r="C8820" s="24" t="s">
        <v>825</v>
      </c>
      <c r="D8820" s="41">
        <f t="shared" si="782"/>
        <v>600.29999999999995</v>
      </c>
      <c r="E8820" s="31">
        <f t="shared" si="781"/>
        <v>600.29999999999995</v>
      </c>
      <c r="F8820" s="32"/>
      <c r="G8820" s="15"/>
      <c r="H8820" s="21"/>
      <c r="I8820" s="15"/>
      <c r="J8820" s="15"/>
      <c r="K8820" s="15"/>
      <c r="L8820" s="21"/>
      <c r="M8820" s="15"/>
    </row>
    <row r="8821" spans="1:13" s="166" customFormat="1" ht="12.75" customHeight="1">
      <c r="A8821" s="12" t="s">
        <v>208</v>
      </c>
      <c r="B8821" s="434">
        <f>SUM(E8815:E8817)</f>
        <v>23858.9</v>
      </c>
      <c r="C8821" s="24" t="s">
        <v>209</v>
      </c>
      <c r="D8821" s="41">
        <f t="shared" si="782"/>
        <v>0.02</v>
      </c>
      <c r="E8821" s="31">
        <f t="shared" si="781"/>
        <v>477.17800000000005</v>
      </c>
      <c r="F8821" s="32">
        <f>SUM(E8815:E8821)</f>
        <v>32745.353999999999</v>
      </c>
      <c r="G8821" s="15"/>
      <c r="H8821" s="21"/>
      <c r="I8821" s="15"/>
      <c r="J8821" s="15"/>
      <c r="K8821" s="15"/>
      <c r="L8821" s="21"/>
      <c r="M8821" s="15"/>
    </row>
    <row r="8822" spans="1:13" s="166" customFormat="1" ht="12.75" customHeight="1">
      <c r="A8822" s="12"/>
      <c r="B8822" s="434"/>
      <c r="C8822" s="24"/>
      <c r="D8822" s="41"/>
      <c r="E8822" s="31"/>
      <c r="F8822" s="32"/>
      <c r="G8822" s="15"/>
      <c r="H8822" s="21"/>
      <c r="I8822" s="15"/>
      <c r="J8822" s="15"/>
      <c r="K8822" s="15"/>
      <c r="L8822" s="21"/>
      <c r="M8822" s="15"/>
    </row>
    <row r="8823" spans="1:13" s="166" customFormat="1" ht="12.75" customHeight="1">
      <c r="A8823" s="13" t="s">
        <v>1898</v>
      </c>
      <c r="B8823" s="434"/>
      <c r="C8823" s="24"/>
      <c r="D8823" s="41"/>
      <c r="E8823" s="31"/>
      <c r="F8823" s="32"/>
      <c r="G8823" s="15"/>
      <c r="H8823" s="21"/>
      <c r="I8823" s="15"/>
      <c r="J8823" s="15"/>
      <c r="K8823" s="15"/>
      <c r="L8823" s="21"/>
      <c r="M8823" s="15"/>
    </row>
    <row r="8824" spans="1:13" s="166" customFormat="1" ht="12.75" customHeight="1">
      <c r="A8824" s="12" t="s">
        <v>1681</v>
      </c>
      <c r="B8824" s="434">
        <v>1.05</v>
      </c>
      <c r="C8824" s="24" t="s">
        <v>825</v>
      </c>
      <c r="D8824" s="41">
        <f>D8788</f>
        <v>6850</v>
      </c>
      <c r="E8824" s="31">
        <f t="shared" ref="E8824:E8830" si="783">B8824*D8824</f>
        <v>7192.5</v>
      </c>
      <c r="F8824" s="32"/>
      <c r="G8824" s="15"/>
      <c r="H8824" s="21"/>
      <c r="I8824" s="15"/>
      <c r="J8824" s="15"/>
      <c r="K8824" s="15"/>
      <c r="L8824" s="21"/>
      <c r="M8824" s="15"/>
    </row>
    <row r="8825" spans="1:13" s="166" customFormat="1" ht="12.75" customHeight="1">
      <c r="A8825" s="12" t="s">
        <v>1686</v>
      </c>
      <c r="B8825" s="434">
        <v>6.18</v>
      </c>
      <c r="C8825" s="24" t="s">
        <v>4</v>
      </c>
      <c r="D8825" s="41">
        <f>D8789</f>
        <v>3200</v>
      </c>
      <c r="E8825" s="31">
        <f t="shared" si="783"/>
        <v>19776</v>
      </c>
      <c r="F8825" s="32"/>
      <c r="G8825" s="15"/>
      <c r="H8825" s="21"/>
      <c r="I8825" s="15"/>
      <c r="J8825" s="15"/>
      <c r="K8825" s="15"/>
      <c r="L8825" s="21"/>
      <c r="M8825" s="15"/>
    </row>
    <row r="8826" spans="1:13" s="166" customFormat="1" ht="12.75" customHeight="1">
      <c r="A8826" s="12" t="s">
        <v>1198</v>
      </c>
      <c r="B8826" s="434">
        <f>B8827*2</f>
        <v>12.36</v>
      </c>
      <c r="C8826" s="24" t="s">
        <v>1018</v>
      </c>
      <c r="D8826" s="41">
        <f>D8790</f>
        <v>60</v>
      </c>
      <c r="E8826" s="31">
        <f t="shared" si="783"/>
        <v>741.59999999999991</v>
      </c>
      <c r="F8826" s="32"/>
      <c r="G8826" s="15"/>
      <c r="H8826" s="21"/>
      <c r="I8826" s="15"/>
      <c r="J8826" s="15"/>
      <c r="K8826" s="15"/>
      <c r="L8826" s="21"/>
      <c r="M8826" s="15"/>
    </row>
    <row r="8827" spans="1:13" s="166" customFormat="1" ht="12.75" customHeight="1">
      <c r="A8827" s="12" t="s">
        <v>1037</v>
      </c>
      <c r="B8827" s="434">
        <f>SUM(B8825:B8825)</f>
        <v>6.18</v>
      </c>
      <c r="C8827" s="24" t="s">
        <v>216</v>
      </c>
      <c r="D8827" s="41">
        <f>D8791</f>
        <v>486.5</v>
      </c>
      <c r="E8827" s="31">
        <f t="shared" si="783"/>
        <v>3006.5699999999997</v>
      </c>
      <c r="F8827" s="32"/>
      <c r="G8827" s="15"/>
      <c r="H8827" s="21"/>
      <c r="I8827" s="15"/>
      <c r="J8827" s="15"/>
      <c r="K8827" s="15"/>
      <c r="L8827" s="21"/>
      <c r="M8827" s="15"/>
    </row>
    <row r="8828" spans="1:13" s="166" customFormat="1" ht="12.75" customHeight="1">
      <c r="A8828" s="12" t="s">
        <v>1907</v>
      </c>
      <c r="B8828" s="434">
        <v>6.06</v>
      </c>
      <c r="C8828" s="24" t="s">
        <v>1171</v>
      </c>
      <c r="D8828" s="41">
        <v>700</v>
      </c>
      <c r="E8828" s="31">
        <f t="shared" si="783"/>
        <v>4242</v>
      </c>
      <c r="F8828" s="32"/>
      <c r="G8828" s="15"/>
      <c r="H8828" s="21"/>
      <c r="I8828" s="15"/>
      <c r="J8828" s="15"/>
      <c r="K8828" s="15"/>
      <c r="L8828" s="21"/>
      <c r="M8828" s="15"/>
    </row>
    <row r="8829" spans="1:13" s="166" customFormat="1" ht="12.75" customHeight="1">
      <c r="A8829" s="12" t="s">
        <v>1688</v>
      </c>
      <c r="B8829" s="434">
        <v>1</v>
      </c>
      <c r="C8829" s="24" t="s">
        <v>825</v>
      </c>
      <c r="D8829" s="41">
        <f>D8793</f>
        <v>600.29999999999995</v>
      </c>
      <c r="E8829" s="31">
        <f t="shared" si="783"/>
        <v>600.29999999999995</v>
      </c>
      <c r="F8829" s="32"/>
      <c r="G8829" s="15"/>
      <c r="H8829" s="21"/>
      <c r="I8829" s="15"/>
      <c r="J8829" s="15"/>
      <c r="K8829" s="15"/>
      <c r="L8829" s="21"/>
      <c r="M8829" s="15"/>
    </row>
    <row r="8830" spans="1:13" s="166" customFormat="1" ht="12.75" customHeight="1">
      <c r="A8830" s="12" t="s">
        <v>208</v>
      </c>
      <c r="B8830" s="434">
        <f>SUM(E8824:E8826)</f>
        <v>27710.1</v>
      </c>
      <c r="C8830" s="24" t="s">
        <v>209</v>
      </c>
      <c r="D8830" s="41">
        <f>D8794</f>
        <v>0.02</v>
      </c>
      <c r="E8830" s="31">
        <f t="shared" si="783"/>
        <v>554.202</v>
      </c>
      <c r="F8830" s="32">
        <f>SUM(E8824:E8830)</f>
        <v>36113.171999999999</v>
      </c>
      <c r="G8830" s="15"/>
      <c r="H8830" s="21"/>
      <c r="I8830" s="15"/>
      <c r="J8830" s="15"/>
      <c r="K8830" s="15"/>
      <c r="L8830" s="21"/>
      <c r="M8830" s="15"/>
    </row>
    <row r="8831" spans="1:13" s="166" customFormat="1" ht="12.75" customHeight="1">
      <c r="A8831" s="12"/>
      <c r="B8831" s="434"/>
      <c r="C8831" s="24"/>
      <c r="D8831" s="41"/>
      <c r="E8831" s="31"/>
      <c r="F8831" s="32"/>
      <c r="G8831" s="15"/>
      <c r="H8831" s="21"/>
      <c r="I8831" s="15"/>
      <c r="J8831" s="15"/>
      <c r="K8831" s="15"/>
      <c r="L8831" s="21"/>
      <c r="M8831" s="15"/>
    </row>
    <row r="8832" spans="1:13" s="166" customFormat="1" ht="12.75" customHeight="1">
      <c r="A8832" s="13" t="s">
        <v>1916</v>
      </c>
      <c r="B8832" s="434"/>
      <c r="C8832" s="24"/>
      <c r="D8832" s="41"/>
      <c r="E8832" s="31"/>
      <c r="F8832" s="32"/>
      <c r="G8832" s="15"/>
      <c r="H8832" s="21"/>
      <c r="I8832" s="15"/>
      <c r="J8832" s="15"/>
      <c r="K8832" s="15"/>
      <c r="L8832" s="21"/>
      <c r="M8832" s="15"/>
    </row>
    <row r="8833" spans="1:13" s="166" customFormat="1" ht="12.75" customHeight="1">
      <c r="A8833" s="12" t="s">
        <v>1681</v>
      </c>
      <c r="B8833" s="434">
        <v>1.05</v>
      </c>
      <c r="C8833" s="24" t="s">
        <v>825</v>
      </c>
      <c r="D8833" s="41">
        <f>D8824</f>
        <v>6850</v>
      </c>
      <c r="E8833" s="31">
        <f t="shared" ref="E8833:E8839" si="784">B8833*D8833</f>
        <v>7192.5</v>
      </c>
      <c r="F8833" s="32"/>
      <c r="G8833" s="15"/>
      <c r="H8833" s="21"/>
      <c r="I8833" s="15"/>
      <c r="J8833" s="15"/>
      <c r="K8833" s="15"/>
      <c r="L8833" s="21"/>
      <c r="M8833" s="15"/>
    </row>
    <row r="8834" spans="1:13" s="166" customFormat="1" ht="12.75" customHeight="1">
      <c r="A8834" s="12" t="s">
        <v>1686</v>
      </c>
      <c r="B8834" s="434">
        <v>6.18</v>
      </c>
      <c r="C8834" s="24" t="s">
        <v>4</v>
      </c>
      <c r="D8834" s="41">
        <f t="shared" ref="D8834:D8839" si="785">D8825</f>
        <v>3200</v>
      </c>
      <c r="E8834" s="31">
        <f t="shared" si="784"/>
        <v>19776</v>
      </c>
      <c r="F8834" s="32"/>
      <c r="G8834" s="15"/>
      <c r="H8834" s="21"/>
      <c r="I8834" s="15"/>
      <c r="J8834" s="15"/>
      <c r="K8834" s="15"/>
      <c r="L8834" s="21"/>
      <c r="M8834" s="15"/>
    </row>
    <row r="8835" spans="1:13" s="166" customFormat="1" ht="12.75" customHeight="1">
      <c r="A8835" s="12" t="s">
        <v>1198</v>
      </c>
      <c r="B8835" s="434">
        <f>B8836*2</f>
        <v>12.36</v>
      </c>
      <c r="C8835" s="24" t="s">
        <v>1018</v>
      </c>
      <c r="D8835" s="41">
        <f t="shared" si="785"/>
        <v>60</v>
      </c>
      <c r="E8835" s="31">
        <f t="shared" si="784"/>
        <v>741.59999999999991</v>
      </c>
      <c r="F8835" s="32"/>
      <c r="G8835" s="15"/>
      <c r="H8835" s="21"/>
      <c r="I8835" s="15"/>
      <c r="J8835" s="15"/>
      <c r="K8835" s="15"/>
      <c r="L8835" s="21"/>
      <c r="M8835" s="15"/>
    </row>
    <row r="8836" spans="1:13" s="166" customFormat="1" ht="12.75" customHeight="1">
      <c r="A8836" s="12" t="s">
        <v>1037</v>
      </c>
      <c r="B8836" s="434">
        <f>SUM(B8834:B8834)</f>
        <v>6.18</v>
      </c>
      <c r="C8836" s="24" t="s">
        <v>216</v>
      </c>
      <c r="D8836" s="41">
        <f>Prec.!C351</f>
        <v>535.15000000000009</v>
      </c>
      <c r="E8836" s="31">
        <f t="shared" si="784"/>
        <v>3307.2270000000003</v>
      </c>
      <c r="F8836" s="32"/>
      <c r="G8836" s="15"/>
      <c r="H8836" s="21"/>
      <c r="I8836" s="15"/>
      <c r="J8836" s="15"/>
      <c r="K8836" s="15"/>
      <c r="L8836" s="21"/>
      <c r="M8836" s="15"/>
    </row>
    <row r="8837" spans="1:13" s="166" customFormat="1" ht="12.75" customHeight="1">
      <c r="A8837" s="12" t="s">
        <v>1907</v>
      </c>
      <c r="B8837" s="434">
        <v>6.06</v>
      </c>
      <c r="C8837" s="24" t="s">
        <v>1171</v>
      </c>
      <c r="D8837" s="41">
        <f>D8828*1.05</f>
        <v>735</v>
      </c>
      <c r="E8837" s="31">
        <f t="shared" si="784"/>
        <v>4454.0999999999995</v>
      </c>
      <c r="F8837" s="32"/>
      <c r="G8837" s="15"/>
      <c r="H8837" s="21"/>
      <c r="I8837" s="15"/>
      <c r="J8837" s="15"/>
      <c r="K8837" s="15"/>
      <c r="L8837" s="21"/>
      <c r="M8837" s="15"/>
    </row>
    <row r="8838" spans="1:13" s="166" customFormat="1" ht="12.75" customHeight="1">
      <c r="A8838" s="12" t="s">
        <v>1688</v>
      </c>
      <c r="B8838" s="434">
        <v>1</v>
      </c>
      <c r="C8838" s="24" t="s">
        <v>825</v>
      </c>
      <c r="D8838" s="41">
        <f t="shared" si="785"/>
        <v>600.29999999999995</v>
      </c>
      <c r="E8838" s="31">
        <f t="shared" si="784"/>
        <v>600.29999999999995</v>
      </c>
      <c r="F8838" s="32"/>
      <c r="G8838" s="15"/>
      <c r="H8838" s="21"/>
      <c r="I8838" s="15"/>
      <c r="J8838" s="15"/>
      <c r="K8838" s="15"/>
      <c r="L8838" s="21"/>
      <c r="M8838" s="15"/>
    </row>
    <row r="8839" spans="1:13" s="166" customFormat="1" ht="12.75" customHeight="1">
      <c r="A8839" s="12" t="s">
        <v>208</v>
      </c>
      <c r="B8839" s="434">
        <f>SUM(E8833:E8835)</f>
        <v>27710.1</v>
      </c>
      <c r="C8839" s="24" t="s">
        <v>209</v>
      </c>
      <c r="D8839" s="41">
        <f t="shared" si="785"/>
        <v>0.02</v>
      </c>
      <c r="E8839" s="31">
        <f t="shared" si="784"/>
        <v>554.202</v>
      </c>
      <c r="F8839" s="32">
        <f>SUM(E8833:E8839)</f>
        <v>36625.928999999996</v>
      </c>
      <c r="G8839" s="15"/>
      <c r="H8839" s="21"/>
      <c r="I8839" s="15"/>
      <c r="J8839" s="15"/>
      <c r="K8839" s="15"/>
      <c r="L8839" s="21"/>
      <c r="M8839" s="15"/>
    </row>
    <row r="8840" spans="1:13" s="166" customFormat="1" ht="12.75" customHeight="1">
      <c r="A8840" s="12"/>
      <c r="B8840" s="434"/>
      <c r="C8840" s="24"/>
      <c r="D8840" s="41"/>
      <c r="E8840" s="31"/>
      <c r="F8840" s="32"/>
      <c r="G8840" s="15"/>
      <c r="H8840" s="21"/>
      <c r="I8840" s="15"/>
      <c r="J8840" s="15"/>
      <c r="K8840" s="15"/>
      <c r="L8840" s="21"/>
      <c r="M8840" s="15"/>
    </row>
    <row r="8841" spans="1:13" s="166" customFormat="1" ht="12.75" customHeight="1">
      <c r="A8841" s="13" t="s">
        <v>1917</v>
      </c>
      <c r="B8841" s="434"/>
      <c r="C8841" s="24"/>
      <c r="D8841" s="41"/>
      <c r="E8841" s="31"/>
      <c r="F8841" s="32"/>
      <c r="G8841" s="15"/>
      <c r="H8841" s="21"/>
      <c r="I8841" s="15"/>
      <c r="J8841" s="15"/>
      <c r="K8841" s="15"/>
      <c r="L8841" s="21"/>
      <c r="M8841" s="15"/>
    </row>
    <row r="8842" spans="1:13" s="166" customFormat="1" ht="12.75" customHeight="1">
      <c r="A8842" s="12" t="s">
        <v>1681</v>
      </c>
      <c r="B8842" s="434">
        <v>1.05</v>
      </c>
      <c r="C8842" s="24" t="s">
        <v>825</v>
      </c>
      <c r="D8842" s="41">
        <f>D8833</f>
        <v>6850</v>
      </c>
      <c r="E8842" s="31">
        <f t="shared" ref="E8842:E8848" si="786">B8842*D8842</f>
        <v>7192.5</v>
      </c>
      <c r="F8842" s="32"/>
      <c r="G8842" s="15"/>
      <c r="H8842" s="21"/>
      <c r="I8842" s="15"/>
      <c r="J8842" s="15"/>
      <c r="K8842" s="15"/>
      <c r="L8842" s="21"/>
      <c r="M8842" s="15"/>
    </row>
    <row r="8843" spans="1:13" s="166" customFormat="1" ht="12.75" customHeight="1">
      <c r="A8843" s="12" t="s">
        <v>1686</v>
      </c>
      <c r="B8843" s="434">
        <v>6.18</v>
      </c>
      <c r="C8843" s="24" t="s">
        <v>4</v>
      </c>
      <c r="D8843" s="41">
        <f t="shared" ref="D8843:D8848" si="787">D8834</f>
        <v>3200</v>
      </c>
      <c r="E8843" s="31">
        <f t="shared" si="786"/>
        <v>19776</v>
      </c>
      <c r="F8843" s="32"/>
      <c r="G8843" s="15"/>
      <c r="H8843" s="21"/>
      <c r="I8843" s="15"/>
      <c r="J8843" s="15"/>
      <c r="K8843" s="15"/>
      <c r="L8843" s="21"/>
      <c r="M8843" s="15"/>
    </row>
    <row r="8844" spans="1:13" s="166" customFormat="1" ht="12.75" customHeight="1">
      <c r="A8844" s="12" t="s">
        <v>1198</v>
      </c>
      <c r="B8844" s="434">
        <f>B8845*2</f>
        <v>12.36</v>
      </c>
      <c r="C8844" s="24" t="s">
        <v>1018</v>
      </c>
      <c r="D8844" s="41">
        <f t="shared" si="787"/>
        <v>60</v>
      </c>
      <c r="E8844" s="31">
        <f t="shared" si="786"/>
        <v>741.59999999999991</v>
      </c>
      <c r="F8844" s="32"/>
      <c r="G8844" s="15"/>
      <c r="H8844" s="21"/>
      <c r="I8844" s="15"/>
      <c r="J8844" s="15"/>
      <c r="K8844" s="15"/>
      <c r="L8844" s="21"/>
      <c r="M8844" s="15"/>
    </row>
    <row r="8845" spans="1:13" s="166" customFormat="1" ht="12.75" customHeight="1">
      <c r="A8845" s="12" t="s">
        <v>1037</v>
      </c>
      <c r="B8845" s="434">
        <f>SUM(B8843:B8843)</f>
        <v>6.18</v>
      </c>
      <c r="C8845" s="24" t="s">
        <v>216</v>
      </c>
      <c r="D8845" s="41">
        <f>Prec.!C352</f>
        <v>559.47499999999991</v>
      </c>
      <c r="E8845" s="31">
        <f t="shared" si="786"/>
        <v>3457.5554999999995</v>
      </c>
      <c r="F8845" s="32"/>
      <c r="G8845" s="15"/>
      <c r="H8845" s="21"/>
      <c r="I8845" s="15"/>
      <c r="J8845" s="15"/>
      <c r="K8845" s="15"/>
      <c r="L8845" s="21"/>
      <c r="M8845" s="15"/>
    </row>
    <row r="8846" spans="1:13" s="166" customFormat="1" ht="12.75" customHeight="1">
      <c r="A8846" s="12" t="s">
        <v>1907</v>
      </c>
      <c r="B8846" s="434">
        <v>6.06</v>
      </c>
      <c r="C8846" s="24" t="s">
        <v>1171</v>
      </c>
      <c r="D8846" s="41">
        <f>D8828*1.1</f>
        <v>770.00000000000011</v>
      </c>
      <c r="E8846" s="31">
        <f t="shared" si="786"/>
        <v>4666.2000000000007</v>
      </c>
      <c r="F8846" s="32"/>
      <c r="G8846" s="15"/>
      <c r="H8846" s="21"/>
      <c r="I8846" s="15"/>
      <c r="J8846" s="15"/>
      <c r="K8846" s="15"/>
      <c r="L8846" s="21"/>
      <c r="M8846" s="15"/>
    </row>
    <row r="8847" spans="1:13" s="166" customFormat="1" ht="12.75" customHeight="1">
      <c r="A8847" s="12" t="s">
        <v>1688</v>
      </c>
      <c r="B8847" s="434">
        <v>1</v>
      </c>
      <c r="C8847" s="24" t="s">
        <v>825</v>
      </c>
      <c r="D8847" s="41">
        <f t="shared" si="787"/>
        <v>600.29999999999995</v>
      </c>
      <c r="E8847" s="31">
        <f t="shared" si="786"/>
        <v>600.29999999999995</v>
      </c>
      <c r="F8847" s="32"/>
      <c r="G8847" s="15"/>
      <c r="H8847" s="21"/>
      <c r="I8847" s="15"/>
      <c r="J8847" s="15"/>
      <c r="K8847" s="15"/>
      <c r="L8847" s="21"/>
      <c r="M8847" s="15"/>
    </row>
    <row r="8848" spans="1:13" s="166" customFormat="1" ht="12.75" customHeight="1">
      <c r="A8848" s="12" t="s">
        <v>208</v>
      </c>
      <c r="B8848" s="434">
        <f>SUM(E8842:E8844)</f>
        <v>27710.1</v>
      </c>
      <c r="C8848" s="24" t="s">
        <v>209</v>
      </c>
      <c r="D8848" s="41">
        <f t="shared" si="787"/>
        <v>0.02</v>
      </c>
      <c r="E8848" s="31">
        <f t="shared" si="786"/>
        <v>554.202</v>
      </c>
      <c r="F8848" s="32">
        <f>SUM(E8842:E8848)</f>
        <v>36988.357499999998</v>
      </c>
      <c r="G8848" s="15"/>
      <c r="H8848" s="21"/>
      <c r="I8848" s="15"/>
      <c r="J8848" s="15"/>
      <c r="K8848" s="15"/>
      <c r="L8848" s="21"/>
      <c r="M8848" s="15"/>
    </row>
    <row r="8849" spans="1:13" s="166" customFormat="1" ht="12.75" customHeight="1">
      <c r="A8849" s="12"/>
      <c r="B8849" s="434"/>
      <c r="C8849" s="24"/>
      <c r="D8849" s="41"/>
      <c r="E8849" s="31"/>
      <c r="F8849" s="32"/>
      <c r="G8849" s="15"/>
      <c r="H8849" s="21"/>
      <c r="I8849" s="15"/>
      <c r="J8849" s="15"/>
      <c r="K8849" s="15"/>
      <c r="L8849" s="21"/>
      <c r="M8849" s="15"/>
    </row>
    <row r="8850" spans="1:13" s="166" customFormat="1" ht="12.75" customHeight="1">
      <c r="A8850" s="13" t="s">
        <v>1918</v>
      </c>
      <c r="B8850" s="434"/>
      <c r="C8850" s="24"/>
      <c r="D8850" s="41"/>
      <c r="E8850" s="31"/>
      <c r="F8850" s="32"/>
      <c r="G8850" s="15"/>
      <c r="H8850" s="21"/>
      <c r="I8850" s="15"/>
      <c r="J8850" s="15"/>
      <c r="K8850" s="15"/>
      <c r="L8850" s="21"/>
      <c r="M8850" s="15"/>
    </row>
    <row r="8851" spans="1:13" s="166" customFormat="1" ht="12.75" customHeight="1">
      <c r="A8851" s="12" t="s">
        <v>1681</v>
      </c>
      <c r="B8851" s="434">
        <v>1.05</v>
      </c>
      <c r="C8851" s="24" t="s">
        <v>825</v>
      </c>
      <c r="D8851" s="41">
        <f>D8842</f>
        <v>6850</v>
      </c>
      <c r="E8851" s="31">
        <f t="shared" ref="E8851:E8857" si="788">B8851*D8851</f>
        <v>7192.5</v>
      </c>
      <c r="F8851" s="32"/>
      <c r="G8851" s="15"/>
      <c r="H8851" s="21"/>
      <c r="I8851" s="15"/>
      <c r="J8851" s="15"/>
      <c r="K8851" s="15"/>
      <c r="L8851" s="21"/>
      <c r="M8851" s="15"/>
    </row>
    <row r="8852" spans="1:13" s="166" customFormat="1" ht="12.75" customHeight="1">
      <c r="A8852" s="12" t="s">
        <v>1686</v>
      </c>
      <c r="B8852" s="434">
        <v>6.18</v>
      </c>
      <c r="C8852" s="24" t="s">
        <v>4</v>
      </c>
      <c r="D8852" s="41">
        <f>D8843</f>
        <v>3200</v>
      </c>
      <c r="E8852" s="31">
        <f t="shared" si="788"/>
        <v>19776</v>
      </c>
      <c r="F8852" s="32"/>
      <c r="G8852" s="15"/>
      <c r="H8852" s="21"/>
      <c r="I8852" s="15"/>
      <c r="J8852" s="15"/>
      <c r="K8852" s="15"/>
      <c r="L8852" s="21"/>
      <c r="M8852" s="15"/>
    </row>
    <row r="8853" spans="1:13" s="166" customFormat="1" ht="12.75" customHeight="1">
      <c r="A8853" s="12" t="s">
        <v>1198</v>
      </c>
      <c r="B8853" s="434">
        <f>B8854*2</f>
        <v>12.36</v>
      </c>
      <c r="C8853" s="24" t="s">
        <v>1018</v>
      </c>
      <c r="D8853" s="41">
        <f t="shared" ref="D8853:D8857" si="789">D8844</f>
        <v>60</v>
      </c>
      <c r="E8853" s="31">
        <f t="shared" si="788"/>
        <v>741.59999999999991</v>
      </c>
      <c r="F8853" s="32"/>
      <c r="G8853" s="15"/>
      <c r="H8853" s="21"/>
      <c r="I8853" s="15"/>
      <c r="J8853" s="15"/>
      <c r="K8853" s="15"/>
      <c r="L8853" s="21"/>
      <c r="M8853" s="15"/>
    </row>
    <row r="8854" spans="1:13" s="166" customFormat="1" ht="12.75" customHeight="1">
      <c r="A8854" s="12" t="s">
        <v>1037</v>
      </c>
      <c r="B8854" s="434">
        <f>SUM(B8852:B8852)</f>
        <v>6.18</v>
      </c>
      <c r="C8854" s="24" t="s">
        <v>216</v>
      </c>
      <c r="D8854" s="41">
        <f>Prec.!C353</f>
        <v>583.79999999999995</v>
      </c>
      <c r="E8854" s="31">
        <f t="shared" si="788"/>
        <v>3607.8839999999996</v>
      </c>
      <c r="F8854" s="32"/>
      <c r="G8854" s="15"/>
      <c r="H8854" s="21"/>
      <c r="I8854" s="15"/>
      <c r="J8854" s="15"/>
      <c r="K8854" s="15"/>
      <c r="L8854" s="21"/>
      <c r="M8854" s="15"/>
    </row>
    <row r="8855" spans="1:13" s="166" customFormat="1" ht="12.75" customHeight="1">
      <c r="A8855" s="12" t="s">
        <v>1907</v>
      </c>
      <c r="B8855" s="434">
        <v>6.06</v>
      </c>
      <c r="C8855" s="24" t="s">
        <v>1171</v>
      </c>
      <c r="D8855" s="41">
        <f>D8828*1.15</f>
        <v>804.99999999999989</v>
      </c>
      <c r="E8855" s="31">
        <f t="shared" si="788"/>
        <v>4878.2999999999993</v>
      </c>
      <c r="F8855" s="32"/>
      <c r="G8855" s="15"/>
      <c r="H8855" s="21"/>
      <c r="I8855" s="15"/>
      <c r="J8855" s="15"/>
      <c r="K8855" s="15"/>
      <c r="L8855" s="21"/>
      <c r="M8855" s="15"/>
    </row>
    <row r="8856" spans="1:13" s="166" customFormat="1" ht="12.75" customHeight="1">
      <c r="A8856" s="12" t="s">
        <v>1688</v>
      </c>
      <c r="B8856" s="434">
        <v>1</v>
      </c>
      <c r="C8856" s="24" t="s">
        <v>825</v>
      </c>
      <c r="D8856" s="41">
        <f t="shared" si="789"/>
        <v>600.29999999999995</v>
      </c>
      <c r="E8856" s="31">
        <f t="shared" si="788"/>
        <v>600.29999999999995</v>
      </c>
      <c r="F8856" s="32"/>
      <c r="G8856" s="15"/>
      <c r="H8856" s="21"/>
      <c r="I8856" s="15"/>
      <c r="J8856" s="15"/>
      <c r="K8856" s="15"/>
      <c r="L8856" s="21"/>
      <c r="M8856" s="15"/>
    </row>
    <row r="8857" spans="1:13" s="166" customFormat="1" ht="12.75" customHeight="1">
      <c r="A8857" s="12" t="s">
        <v>208</v>
      </c>
      <c r="B8857" s="434">
        <f>SUM(E8851:E8853)</f>
        <v>27710.1</v>
      </c>
      <c r="C8857" s="24" t="s">
        <v>209</v>
      </c>
      <c r="D8857" s="41">
        <f t="shared" si="789"/>
        <v>0.02</v>
      </c>
      <c r="E8857" s="31">
        <f t="shared" si="788"/>
        <v>554.202</v>
      </c>
      <c r="F8857" s="32">
        <f>SUM(E8851:E8857)</f>
        <v>37350.786</v>
      </c>
      <c r="G8857" s="15"/>
      <c r="H8857" s="21"/>
      <c r="I8857" s="15"/>
      <c r="J8857" s="15"/>
      <c r="K8857" s="15"/>
      <c r="L8857" s="21"/>
      <c r="M8857" s="15"/>
    </row>
    <row r="8858" spans="1:13" s="166" customFormat="1" ht="12.75" customHeight="1">
      <c r="A8858" s="12"/>
      <c r="B8858" s="434"/>
      <c r="C8858" s="24"/>
      <c r="D8858" s="41"/>
      <c r="E8858" s="31"/>
      <c r="F8858" s="32"/>
      <c r="G8858" s="15"/>
      <c r="H8858" s="21"/>
      <c r="I8858" s="15"/>
      <c r="J8858" s="15"/>
      <c r="K8858" s="15"/>
      <c r="L8858" s="21"/>
      <c r="M8858" s="15"/>
    </row>
    <row r="8859" spans="1:13" s="166" customFormat="1" ht="12.75" customHeight="1">
      <c r="A8859" s="13" t="s">
        <v>1899</v>
      </c>
      <c r="B8859" s="434"/>
      <c r="C8859" s="24"/>
      <c r="D8859" s="41"/>
      <c r="E8859" s="31"/>
      <c r="F8859" s="32"/>
      <c r="G8859" s="15"/>
      <c r="H8859" s="21"/>
      <c r="I8859" s="15"/>
      <c r="J8859" s="15"/>
      <c r="K8859" s="15"/>
      <c r="L8859" s="21"/>
      <c r="M8859" s="15"/>
    </row>
    <row r="8860" spans="1:13" s="166" customFormat="1" ht="12.75" customHeight="1">
      <c r="A8860" s="12" t="s">
        <v>1681</v>
      </c>
      <c r="B8860" s="434">
        <v>1.05</v>
      </c>
      <c r="C8860" s="24" t="s">
        <v>825</v>
      </c>
      <c r="D8860" s="41">
        <f>D8824</f>
        <v>6850</v>
      </c>
      <c r="E8860" s="31">
        <f t="shared" ref="E8860:E8866" si="790">B8860*D8860</f>
        <v>7192.5</v>
      </c>
      <c r="F8860" s="32"/>
      <c r="G8860" s="15"/>
      <c r="H8860" s="21"/>
      <c r="I8860" s="15"/>
      <c r="J8860" s="15"/>
      <c r="K8860" s="15"/>
      <c r="L8860" s="21"/>
      <c r="M8860" s="15"/>
    </row>
    <row r="8861" spans="1:13" s="166" customFormat="1" ht="12.75" customHeight="1">
      <c r="A8861" s="12" t="s">
        <v>1686</v>
      </c>
      <c r="B8861" s="434">
        <v>6.48</v>
      </c>
      <c r="C8861" s="24" t="s">
        <v>4</v>
      </c>
      <c r="D8861" s="41">
        <f>D8825</f>
        <v>3200</v>
      </c>
      <c r="E8861" s="31">
        <f t="shared" si="790"/>
        <v>20736</v>
      </c>
      <c r="F8861" s="32"/>
      <c r="G8861" s="15"/>
      <c r="H8861" s="21"/>
      <c r="I8861" s="15"/>
      <c r="J8861" s="15"/>
      <c r="K8861" s="15"/>
      <c r="L8861" s="21"/>
      <c r="M8861" s="15"/>
    </row>
    <row r="8862" spans="1:13" s="166" customFormat="1" ht="12.75" customHeight="1">
      <c r="A8862" s="12" t="s">
        <v>1198</v>
      </c>
      <c r="B8862" s="434">
        <f>B8863*2</f>
        <v>12.96</v>
      </c>
      <c r="C8862" s="24" t="s">
        <v>1018</v>
      </c>
      <c r="D8862" s="41">
        <f>D8826</f>
        <v>60</v>
      </c>
      <c r="E8862" s="31">
        <f t="shared" si="790"/>
        <v>777.6</v>
      </c>
      <c r="F8862" s="32"/>
      <c r="G8862" s="15"/>
      <c r="H8862" s="21"/>
      <c r="I8862" s="15"/>
      <c r="J8862" s="15"/>
      <c r="K8862" s="15"/>
      <c r="L8862" s="21"/>
      <c r="M8862" s="15"/>
    </row>
    <row r="8863" spans="1:13" s="166" customFormat="1" ht="12.75" customHeight="1">
      <c r="A8863" s="12" t="s">
        <v>1037</v>
      </c>
      <c r="B8863" s="434">
        <f>SUM(B8861:B8861)</f>
        <v>6.48</v>
      </c>
      <c r="C8863" s="24" t="s">
        <v>216</v>
      </c>
      <c r="D8863" s="41">
        <f>D8827</f>
        <v>486.5</v>
      </c>
      <c r="E8863" s="31">
        <f t="shared" si="790"/>
        <v>3152.52</v>
      </c>
      <c r="F8863" s="32"/>
      <c r="G8863" s="15"/>
      <c r="H8863" s="21"/>
      <c r="I8863" s="15"/>
      <c r="J8863" s="15"/>
      <c r="K8863" s="15"/>
      <c r="L8863" s="21"/>
      <c r="M8863" s="15"/>
    </row>
    <row r="8864" spans="1:13" s="166" customFormat="1" ht="12.75" customHeight="1">
      <c r="A8864" s="12" t="s">
        <v>1907</v>
      </c>
      <c r="B8864" s="434">
        <v>6.06</v>
      </c>
      <c r="C8864" s="24" t="s">
        <v>1171</v>
      </c>
      <c r="D8864" s="41">
        <v>700</v>
      </c>
      <c r="E8864" s="31">
        <f t="shared" si="790"/>
        <v>4242</v>
      </c>
      <c r="F8864" s="32"/>
      <c r="G8864" s="15"/>
      <c r="H8864" s="21"/>
      <c r="I8864" s="15"/>
      <c r="J8864" s="15"/>
      <c r="K8864" s="15"/>
      <c r="L8864" s="21"/>
      <c r="M8864" s="15"/>
    </row>
    <row r="8865" spans="1:13" s="166" customFormat="1" ht="12.75" customHeight="1">
      <c r="A8865" s="12" t="s">
        <v>1688</v>
      </c>
      <c r="B8865" s="434">
        <v>1</v>
      </c>
      <c r="C8865" s="24" t="s">
        <v>825</v>
      </c>
      <c r="D8865" s="41">
        <f>D8829</f>
        <v>600.29999999999995</v>
      </c>
      <c r="E8865" s="31">
        <f t="shared" si="790"/>
        <v>600.29999999999995</v>
      </c>
      <c r="F8865" s="32"/>
      <c r="G8865" s="15"/>
      <c r="H8865" s="21"/>
      <c r="I8865" s="15"/>
      <c r="J8865" s="15"/>
      <c r="K8865" s="15"/>
      <c r="L8865" s="21"/>
      <c r="M8865" s="15"/>
    </row>
    <row r="8866" spans="1:13" s="166" customFormat="1" ht="12.75" customHeight="1">
      <c r="A8866" s="12" t="s">
        <v>208</v>
      </c>
      <c r="B8866" s="434">
        <f>SUM(E8860:E8862)</f>
        <v>28706.1</v>
      </c>
      <c r="C8866" s="24" t="s">
        <v>209</v>
      </c>
      <c r="D8866" s="41">
        <f>D8830</f>
        <v>0.02</v>
      </c>
      <c r="E8866" s="31">
        <f t="shared" si="790"/>
        <v>574.12199999999996</v>
      </c>
      <c r="F8866" s="32">
        <f>SUM(E8860:E8866)</f>
        <v>37275.042000000001</v>
      </c>
      <c r="G8866" s="15"/>
      <c r="H8866" s="21"/>
      <c r="I8866" s="15"/>
      <c r="J8866" s="15"/>
      <c r="K8866" s="15"/>
      <c r="L8866" s="21"/>
      <c r="M8866" s="15"/>
    </row>
    <row r="8867" spans="1:13" s="166" customFormat="1" ht="12.75" customHeight="1">
      <c r="A8867" s="12"/>
      <c r="B8867" s="434"/>
      <c r="C8867" s="24"/>
      <c r="D8867" s="41"/>
      <c r="E8867" s="31"/>
      <c r="F8867" s="32"/>
      <c r="G8867" s="15"/>
      <c r="H8867" s="21"/>
      <c r="I8867" s="15"/>
      <c r="J8867" s="15"/>
      <c r="K8867" s="15"/>
      <c r="L8867" s="21"/>
      <c r="M8867" s="15"/>
    </row>
    <row r="8868" spans="1:13" s="166" customFormat="1" ht="12.75" customHeight="1">
      <c r="A8868" s="13" t="s">
        <v>1919</v>
      </c>
      <c r="B8868" s="434"/>
      <c r="C8868" s="24"/>
      <c r="D8868" s="41"/>
      <c r="E8868" s="31"/>
      <c r="F8868" s="32"/>
      <c r="G8868" s="15"/>
      <c r="H8868" s="21"/>
      <c r="I8868" s="15"/>
      <c r="J8868" s="15"/>
      <c r="K8868" s="15"/>
      <c r="L8868" s="21"/>
      <c r="M8868" s="15"/>
    </row>
    <row r="8869" spans="1:13" s="166" customFormat="1" ht="12.75" customHeight="1">
      <c r="A8869" s="12" t="s">
        <v>1681</v>
      </c>
      <c r="B8869" s="434">
        <v>1.05</v>
      </c>
      <c r="C8869" s="24" t="s">
        <v>825</v>
      </c>
      <c r="D8869" s="41">
        <f>D8860</f>
        <v>6850</v>
      </c>
      <c r="E8869" s="31">
        <f t="shared" ref="E8869:E8875" si="791">B8869*D8869</f>
        <v>7192.5</v>
      </c>
      <c r="F8869" s="32"/>
      <c r="G8869" s="15"/>
      <c r="H8869" s="21"/>
      <c r="I8869" s="15"/>
      <c r="J8869" s="15"/>
      <c r="K8869" s="15"/>
      <c r="L8869" s="21"/>
      <c r="M8869" s="15"/>
    </row>
    <row r="8870" spans="1:13" s="166" customFormat="1" ht="12.75" customHeight="1">
      <c r="A8870" s="12" t="s">
        <v>1686</v>
      </c>
      <c r="B8870" s="434">
        <v>6.48</v>
      </c>
      <c r="C8870" s="24" t="s">
        <v>4</v>
      </c>
      <c r="D8870" s="41">
        <f t="shared" ref="D8870:D8875" si="792">D8861</f>
        <v>3200</v>
      </c>
      <c r="E8870" s="31">
        <f t="shared" si="791"/>
        <v>20736</v>
      </c>
      <c r="F8870" s="32"/>
      <c r="G8870" s="15"/>
      <c r="H8870" s="21"/>
      <c r="I8870" s="15"/>
      <c r="J8870" s="15"/>
      <c r="K8870" s="15"/>
      <c r="L8870" s="21"/>
      <c r="M8870" s="15"/>
    </row>
    <row r="8871" spans="1:13" s="166" customFormat="1" ht="12.75" customHeight="1">
      <c r="A8871" s="12" t="s">
        <v>1198</v>
      </c>
      <c r="B8871" s="434">
        <f>B8872*2</f>
        <v>12.96</v>
      </c>
      <c r="C8871" s="24" t="s">
        <v>1018</v>
      </c>
      <c r="D8871" s="41">
        <f t="shared" si="792"/>
        <v>60</v>
      </c>
      <c r="E8871" s="31">
        <f t="shared" si="791"/>
        <v>777.6</v>
      </c>
      <c r="F8871" s="32"/>
      <c r="G8871" s="15"/>
      <c r="H8871" s="21"/>
      <c r="I8871" s="15"/>
      <c r="J8871" s="15"/>
      <c r="K8871" s="15"/>
      <c r="L8871" s="21"/>
      <c r="M8871" s="15"/>
    </row>
    <row r="8872" spans="1:13" s="166" customFormat="1" ht="12.75" customHeight="1">
      <c r="A8872" s="12" t="s">
        <v>1037</v>
      </c>
      <c r="B8872" s="434">
        <f>SUM(B8870:B8870)</f>
        <v>6.48</v>
      </c>
      <c r="C8872" s="24" t="s">
        <v>216</v>
      </c>
      <c r="D8872" s="41">
        <f>Prec.!C351</f>
        <v>535.15000000000009</v>
      </c>
      <c r="E8872" s="31">
        <f t="shared" si="791"/>
        <v>3467.7720000000008</v>
      </c>
      <c r="F8872" s="32"/>
      <c r="G8872" s="15"/>
      <c r="H8872" s="21"/>
      <c r="I8872" s="15"/>
      <c r="J8872" s="15"/>
      <c r="K8872" s="15"/>
      <c r="L8872" s="21"/>
      <c r="M8872" s="15"/>
    </row>
    <row r="8873" spans="1:13" s="166" customFormat="1" ht="12.75" customHeight="1">
      <c r="A8873" s="12" t="s">
        <v>1907</v>
      </c>
      <c r="B8873" s="434">
        <v>6.06</v>
      </c>
      <c r="C8873" s="24" t="s">
        <v>1171</v>
      </c>
      <c r="D8873" s="41">
        <f>D8864*1.05</f>
        <v>735</v>
      </c>
      <c r="E8873" s="31">
        <f t="shared" si="791"/>
        <v>4454.0999999999995</v>
      </c>
      <c r="F8873" s="32"/>
      <c r="G8873" s="15"/>
      <c r="H8873" s="21"/>
      <c r="I8873" s="15"/>
      <c r="J8873" s="15"/>
      <c r="K8873" s="15"/>
      <c r="L8873" s="21"/>
      <c r="M8873" s="15"/>
    </row>
    <row r="8874" spans="1:13" s="166" customFormat="1" ht="12.75" customHeight="1">
      <c r="A8874" s="12" t="s">
        <v>1688</v>
      </c>
      <c r="B8874" s="434">
        <v>1</v>
      </c>
      <c r="C8874" s="24" t="s">
        <v>825</v>
      </c>
      <c r="D8874" s="41">
        <f t="shared" si="792"/>
        <v>600.29999999999995</v>
      </c>
      <c r="E8874" s="31">
        <f t="shared" si="791"/>
        <v>600.29999999999995</v>
      </c>
      <c r="F8874" s="32"/>
      <c r="G8874" s="15"/>
      <c r="H8874" s="21"/>
      <c r="I8874" s="15"/>
      <c r="J8874" s="15"/>
      <c r="K8874" s="15"/>
      <c r="L8874" s="21"/>
      <c r="M8874" s="15"/>
    </row>
    <row r="8875" spans="1:13" s="166" customFormat="1" ht="12.75" customHeight="1">
      <c r="A8875" s="12" t="s">
        <v>208</v>
      </c>
      <c r="B8875" s="434">
        <f>SUM(E8869:E8871)</f>
        <v>28706.1</v>
      </c>
      <c r="C8875" s="24" t="s">
        <v>209</v>
      </c>
      <c r="D8875" s="41">
        <f t="shared" si="792"/>
        <v>0.02</v>
      </c>
      <c r="E8875" s="31">
        <f t="shared" si="791"/>
        <v>574.12199999999996</v>
      </c>
      <c r="F8875" s="32">
        <f>SUM(E8869:E8875)</f>
        <v>37802.394000000008</v>
      </c>
      <c r="G8875" s="15"/>
      <c r="H8875" s="21"/>
      <c r="I8875" s="15"/>
      <c r="J8875" s="15"/>
      <c r="K8875" s="15"/>
      <c r="L8875" s="21"/>
      <c r="M8875" s="15"/>
    </row>
    <row r="8876" spans="1:13" s="166" customFormat="1" ht="12.75" customHeight="1">
      <c r="A8876" s="12"/>
      <c r="B8876" s="434"/>
      <c r="C8876" s="24"/>
      <c r="D8876" s="41"/>
      <c r="E8876" s="31"/>
      <c r="F8876" s="32"/>
      <c r="G8876" s="15"/>
      <c r="H8876" s="21"/>
      <c r="I8876" s="15"/>
      <c r="J8876" s="15"/>
      <c r="K8876" s="15"/>
      <c r="L8876" s="21"/>
      <c r="M8876" s="15"/>
    </row>
    <row r="8877" spans="1:13" s="166" customFormat="1" ht="12.75" customHeight="1">
      <c r="A8877" s="13" t="s">
        <v>1920</v>
      </c>
      <c r="B8877" s="434"/>
      <c r="C8877" s="24"/>
      <c r="D8877" s="41"/>
      <c r="E8877" s="31"/>
      <c r="F8877" s="32"/>
      <c r="G8877" s="15"/>
      <c r="H8877" s="21"/>
      <c r="I8877" s="15"/>
      <c r="J8877" s="15"/>
      <c r="K8877" s="15"/>
      <c r="L8877" s="21"/>
      <c r="M8877" s="15"/>
    </row>
    <row r="8878" spans="1:13" s="166" customFormat="1" ht="12.75" customHeight="1">
      <c r="A8878" s="12" t="s">
        <v>1681</v>
      </c>
      <c r="B8878" s="434">
        <v>1.05</v>
      </c>
      <c r="C8878" s="24" t="s">
        <v>825</v>
      </c>
      <c r="D8878" s="41">
        <f>D8869</f>
        <v>6850</v>
      </c>
      <c r="E8878" s="31">
        <f t="shared" ref="E8878:E8884" si="793">B8878*D8878</f>
        <v>7192.5</v>
      </c>
      <c r="F8878" s="32"/>
      <c r="G8878" s="15"/>
      <c r="H8878" s="21"/>
      <c r="I8878" s="15"/>
      <c r="J8878" s="15"/>
      <c r="K8878" s="15"/>
      <c r="L8878" s="21"/>
      <c r="M8878" s="15"/>
    </row>
    <row r="8879" spans="1:13" s="166" customFormat="1" ht="12.75" customHeight="1">
      <c r="A8879" s="12" t="s">
        <v>1686</v>
      </c>
      <c r="B8879" s="434">
        <v>6.48</v>
      </c>
      <c r="C8879" s="24" t="s">
        <v>4</v>
      </c>
      <c r="D8879" s="41">
        <f t="shared" ref="D8879:D8884" si="794">D8870</f>
        <v>3200</v>
      </c>
      <c r="E8879" s="31">
        <f t="shared" si="793"/>
        <v>20736</v>
      </c>
      <c r="F8879" s="32"/>
      <c r="G8879" s="15"/>
      <c r="H8879" s="21"/>
      <c r="I8879" s="15"/>
      <c r="J8879" s="15"/>
      <c r="K8879" s="15"/>
      <c r="L8879" s="21"/>
      <c r="M8879" s="15"/>
    </row>
    <row r="8880" spans="1:13" s="166" customFormat="1" ht="12.75" customHeight="1">
      <c r="A8880" s="12" t="s">
        <v>1198</v>
      </c>
      <c r="B8880" s="434">
        <f>B8881*2</f>
        <v>12.96</v>
      </c>
      <c r="C8880" s="24" t="s">
        <v>1018</v>
      </c>
      <c r="D8880" s="41">
        <f t="shared" si="794"/>
        <v>60</v>
      </c>
      <c r="E8880" s="31">
        <f t="shared" si="793"/>
        <v>777.6</v>
      </c>
      <c r="F8880" s="32"/>
      <c r="G8880" s="15"/>
      <c r="H8880" s="21"/>
      <c r="I8880" s="15"/>
      <c r="J8880" s="15"/>
      <c r="K8880" s="15"/>
      <c r="L8880" s="21"/>
      <c r="M8880" s="15"/>
    </row>
    <row r="8881" spans="1:13" s="166" customFormat="1" ht="12.75" customHeight="1">
      <c r="A8881" s="12" t="s">
        <v>1037</v>
      </c>
      <c r="B8881" s="434">
        <f>SUM(B8879:B8879)</f>
        <v>6.48</v>
      </c>
      <c r="C8881" s="24" t="s">
        <v>216</v>
      </c>
      <c r="D8881" s="41">
        <f>Prec.!C352</f>
        <v>559.47499999999991</v>
      </c>
      <c r="E8881" s="31">
        <f t="shared" si="793"/>
        <v>3625.3979999999997</v>
      </c>
      <c r="F8881" s="32"/>
      <c r="G8881" s="15"/>
      <c r="H8881" s="21"/>
      <c r="I8881" s="15"/>
      <c r="J8881" s="15"/>
      <c r="K8881" s="15"/>
      <c r="L8881" s="21"/>
      <c r="M8881" s="15"/>
    </row>
    <row r="8882" spans="1:13" s="166" customFormat="1" ht="12.75" customHeight="1">
      <c r="A8882" s="12" t="s">
        <v>1907</v>
      </c>
      <c r="B8882" s="434">
        <v>6.06</v>
      </c>
      <c r="C8882" s="24" t="s">
        <v>1171</v>
      </c>
      <c r="D8882" s="41">
        <f>D8864*1.1</f>
        <v>770.00000000000011</v>
      </c>
      <c r="E8882" s="31">
        <f t="shared" si="793"/>
        <v>4666.2000000000007</v>
      </c>
      <c r="F8882" s="32"/>
      <c r="G8882" s="15"/>
      <c r="H8882" s="21"/>
      <c r="I8882" s="15"/>
      <c r="J8882" s="15"/>
      <c r="K8882" s="15"/>
      <c r="L8882" s="21"/>
      <c r="M8882" s="15"/>
    </row>
    <row r="8883" spans="1:13" s="166" customFormat="1" ht="12.75" customHeight="1">
      <c r="A8883" s="12" t="s">
        <v>1688</v>
      </c>
      <c r="B8883" s="434">
        <v>1</v>
      </c>
      <c r="C8883" s="24" t="s">
        <v>825</v>
      </c>
      <c r="D8883" s="41">
        <f>D8874</f>
        <v>600.29999999999995</v>
      </c>
      <c r="E8883" s="31">
        <f t="shared" si="793"/>
        <v>600.29999999999995</v>
      </c>
      <c r="F8883" s="32"/>
      <c r="G8883" s="15"/>
      <c r="H8883" s="21"/>
      <c r="I8883" s="15"/>
      <c r="J8883" s="15"/>
      <c r="K8883" s="15"/>
      <c r="L8883" s="21"/>
      <c r="M8883" s="15"/>
    </row>
    <row r="8884" spans="1:13" s="166" customFormat="1" ht="12.75" customHeight="1">
      <c r="A8884" s="12" t="s">
        <v>208</v>
      </c>
      <c r="B8884" s="434">
        <f>SUM(E8878:E8880)</f>
        <v>28706.1</v>
      </c>
      <c r="C8884" s="24" t="s">
        <v>209</v>
      </c>
      <c r="D8884" s="41">
        <f t="shared" si="794"/>
        <v>0.02</v>
      </c>
      <c r="E8884" s="31">
        <f t="shared" si="793"/>
        <v>574.12199999999996</v>
      </c>
      <c r="F8884" s="32">
        <f>SUM(E8878:E8884)</f>
        <v>38172.12000000001</v>
      </c>
      <c r="G8884" s="15"/>
      <c r="H8884" s="21"/>
      <c r="I8884" s="15"/>
      <c r="J8884" s="15"/>
      <c r="K8884" s="15"/>
      <c r="L8884" s="21"/>
      <c r="M8884" s="15"/>
    </row>
    <row r="8885" spans="1:13" s="166" customFormat="1" ht="12.75" customHeight="1">
      <c r="A8885" s="12"/>
      <c r="B8885" s="434"/>
      <c r="C8885" s="24"/>
      <c r="D8885" s="41"/>
      <c r="E8885" s="31"/>
      <c r="F8885" s="32"/>
      <c r="G8885" s="15"/>
      <c r="H8885" s="21"/>
      <c r="I8885" s="15"/>
      <c r="J8885" s="15"/>
      <c r="K8885" s="15"/>
      <c r="L8885" s="21"/>
      <c r="M8885" s="15"/>
    </row>
    <row r="8886" spans="1:13" s="166" customFormat="1" ht="12.75" customHeight="1">
      <c r="A8886" s="13" t="s">
        <v>1921</v>
      </c>
      <c r="B8886" s="434"/>
      <c r="C8886" s="24"/>
      <c r="D8886" s="41"/>
      <c r="E8886" s="31"/>
      <c r="F8886" s="32"/>
      <c r="G8886" s="15"/>
      <c r="H8886" s="21"/>
      <c r="I8886" s="15"/>
      <c r="J8886" s="15"/>
      <c r="K8886" s="15"/>
      <c r="L8886" s="21"/>
      <c r="M8886" s="15"/>
    </row>
    <row r="8887" spans="1:13" s="166" customFormat="1" ht="12.75" customHeight="1">
      <c r="A8887" s="12" t="s">
        <v>1681</v>
      </c>
      <c r="B8887" s="434">
        <v>1.05</v>
      </c>
      <c r="C8887" s="24" t="s">
        <v>825</v>
      </c>
      <c r="D8887" s="41">
        <f>D8878</f>
        <v>6850</v>
      </c>
      <c r="E8887" s="31">
        <f t="shared" ref="E8887:E8893" si="795">B8887*D8887</f>
        <v>7192.5</v>
      </c>
      <c r="F8887" s="32"/>
      <c r="G8887" s="15"/>
      <c r="H8887" s="21"/>
      <c r="I8887" s="15"/>
      <c r="J8887" s="15"/>
      <c r="K8887" s="15"/>
      <c r="L8887" s="21"/>
      <c r="M8887" s="15"/>
    </row>
    <row r="8888" spans="1:13" s="166" customFormat="1" ht="12.75" customHeight="1">
      <c r="A8888" s="12" t="s">
        <v>1686</v>
      </c>
      <c r="B8888" s="434">
        <v>6.48</v>
      </c>
      <c r="C8888" s="24" t="s">
        <v>4</v>
      </c>
      <c r="D8888" s="41">
        <f t="shared" ref="D8888:D8893" si="796">D8879</f>
        <v>3200</v>
      </c>
      <c r="E8888" s="31">
        <f t="shared" si="795"/>
        <v>20736</v>
      </c>
      <c r="F8888" s="32"/>
      <c r="G8888" s="15"/>
      <c r="H8888" s="21"/>
      <c r="I8888" s="15"/>
      <c r="J8888" s="15"/>
      <c r="K8888" s="15"/>
      <c r="L8888" s="21"/>
      <c r="M8888" s="15"/>
    </row>
    <row r="8889" spans="1:13" s="166" customFormat="1" ht="12.75" customHeight="1">
      <c r="A8889" s="12" t="s">
        <v>1198</v>
      </c>
      <c r="B8889" s="434">
        <f>B8890*2</f>
        <v>12.96</v>
      </c>
      <c r="C8889" s="24" t="s">
        <v>1018</v>
      </c>
      <c r="D8889" s="41">
        <f t="shared" si="796"/>
        <v>60</v>
      </c>
      <c r="E8889" s="31">
        <f t="shared" si="795"/>
        <v>777.6</v>
      </c>
      <c r="F8889" s="32"/>
      <c r="G8889" s="15"/>
      <c r="H8889" s="21"/>
      <c r="I8889" s="15"/>
      <c r="J8889" s="15"/>
      <c r="K8889" s="15"/>
      <c r="L8889" s="21"/>
      <c r="M8889" s="15"/>
    </row>
    <row r="8890" spans="1:13" s="166" customFormat="1" ht="12.75" customHeight="1">
      <c r="A8890" s="12" t="s">
        <v>1037</v>
      </c>
      <c r="B8890" s="434">
        <f>SUM(B8888:B8888)</f>
        <v>6.48</v>
      </c>
      <c r="C8890" s="24" t="s">
        <v>216</v>
      </c>
      <c r="D8890" s="41">
        <f>Prec.!C353</f>
        <v>583.79999999999995</v>
      </c>
      <c r="E8890" s="31">
        <f t="shared" si="795"/>
        <v>3783.0239999999999</v>
      </c>
      <c r="F8890" s="32"/>
      <c r="G8890" s="15"/>
      <c r="H8890" s="21"/>
      <c r="I8890" s="15"/>
      <c r="J8890" s="15"/>
      <c r="K8890" s="15"/>
      <c r="L8890" s="21"/>
      <c r="M8890" s="15"/>
    </row>
    <row r="8891" spans="1:13" s="166" customFormat="1" ht="12.75" customHeight="1">
      <c r="A8891" s="12" t="s">
        <v>1907</v>
      </c>
      <c r="B8891" s="434">
        <v>6.06</v>
      </c>
      <c r="C8891" s="24" t="s">
        <v>1171</v>
      </c>
      <c r="D8891" s="41">
        <f>D8864*1.15</f>
        <v>804.99999999999989</v>
      </c>
      <c r="E8891" s="31">
        <f t="shared" si="795"/>
        <v>4878.2999999999993</v>
      </c>
      <c r="F8891" s="32"/>
      <c r="G8891" s="15"/>
      <c r="H8891" s="21"/>
      <c r="I8891" s="15"/>
      <c r="J8891" s="15"/>
      <c r="K8891" s="15"/>
      <c r="L8891" s="21"/>
      <c r="M8891" s="15"/>
    </row>
    <row r="8892" spans="1:13" s="166" customFormat="1" ht="12.75" customHeight="1">
      <c r="A8892" s="12" t="s">
        <v>1688</v>
      </c>
      <c r="B8892" s="434">
        <v>1</v>
      </c>
      <c r="C8892" s="24" t="s">
        <v>825</v>
      </c>
      <c r="D8892" s="41">
        <f>D8883</f>
        <v>600.29999999999995</v>
      </c>
      <c r="E8892" s="31">
        <f t="shared" si="795"/>
        <v>600.29999999999995</v>
      </c>
      <c r="F8892" s="32"/>
      <c r="G8892" s="15"/>
      <c r="H8892" s="21"/>
      <c r="I8892" s="15"/>
      <c r="J8892" s="15"/>
      <c r="K8892" s="15"/>
      <c r="L8892" s="21"/>
      <c r="M8892" s="15"/>
    </row>
    <row r="8893" spans="1:13" s="166" customFormat="1" ht="12.75" customHeight="1">
      <c r="A8893" s="12" t="s">
        <v>208</v>
      </c>
      <c r="B8893" s="434">
        <f>SUM(E8887:E8889)</f>
        <v>28706.1</v>
      </c>
      <c r="C8893" s="24" t="s">
        <v>209</v>
      </c>
      <c r="D8893" s="41">
        <f t="shared" si="796"/>
        <v>0.02</v>
      </c>
      <c r="E8893" s="31">
        <f t="shared" si="795"/>
        <v>574.12199999999996</v>
      </c>
      <c r="F8893" s="32">
        <f>SUM(E8887:E8893)</f>
        <v>38541.846000000005</v>
      </c>
      <c r="G8893" s="15"/>
      <c r="H8893" s="21"/>
      <c r="I8893" s="15"/>
      <c r="J8893" s="15"/>
      <c r="K8893" s="15"/>
      <c r="L8893" s="21"/>
      <c r="M8893" s="15"/>
    </row>
    <row r="8894" spans="1:13" s="166" customFormat="1" ht="12.75" customHeight="1">
      <c r="A8894" s="12"/>
      <c r="B8894" s="434"/>
      <c r="C8894" s="24"/>
      <c r="D8894" s="41"/>
      <c r="E8894" s="31"/>
      <c r="F8894" s="32"/>
      <c r="G8894" s="15"/>
      <c r="H8894" s="21"/>
      <c r="I8894" s="15"/>
      <c r="J8894" s="15"/>
      <c r="K8894" s="15"/>
      <c r="L8894" s="21"/>
      <c r="M8894" s="15"/>
    </row>
    <row r="8895" spans="1:13" s="166" customFormat="1" ht="12.75" customHeight="1">
      <c r="A8895" s="13" t="s">
        <v>1900</v>
      </c>
      <c r="B8895" s="434"/>
      <c r="C8895" s="24"/>
      <c r="D8895" s="41"/>
      <c r="E8895" s="31"/>
      <c r="F8895" s="32"/>
      <c r="G8895" s="15"/>
      <c r="H8895" s="21"/>
      <c r="I8895" s="15"/>
      <c r="J8895" s="15"/>
      <c r="K8895" s="15"/>
      <c r="L8895" s="21"/>
      <c r="M8895" s="15"/>
    </row>
    <row r="8896" spans="1:13" s="166" customFormat="1" ht="12.75" customHeight="1">
      <c r="A8896" s="12" t="s">
        <v>1681</v>
      </c>
      <c r="B8896" s="434">
        <v>1.05</v>
      </c>
      <c r="C8896" s="24" t="s">
        <v>825</v>
      </c>
      <c r="D8896" s="41">
        <f>D8860</f>
        <v>6850</v>
      </c>
      <c r="E8896" s="31">
        <f t="shared" ref="E8896:E8902" si="797">B8896*D8896</f>
        <v>7192.5</v>
      </c>
      <c r="F8896" s="32"/>
      <c r="G8896" s="15"/>
      <c r="H8896" s="21"/>
      <c r="I8896" s="15"/>
      <c r="J8896" s="15"/>
      <c r="K8896" s="15"/>
      <c r="L8896" s="21"/>
      <c r="M8896" s="15"/>
    </row>
    <row r="8897" spans="1:13" s="166" customFormat="1" ht="12.75" customHeight="1">
      <c r="A8897" s="12" t="s">
        <v>1686</v>
      </c>
      <c r="B8897" s="434">
        <v>3</v>
      </c>
      <c r="C8897" s="24" t="s">
        <v>4</v>
      </c>
      <c r="D8897" s="41">
        <f>D8861</f>
        <v>3200</v>
      </c>
      <c r="E8897" s="31">
        <f t="shared" si="797"/>
        <v>9600</v>
      </c>
      <c r="F8897" s="32"/>
      <c r="G8897" s="15"/>
      <c r="H8897" s="21"/>
      <c r="I8897" s="15"/>
      <c r="J8897" s="15"/>
      <c r="K8897" s="15"/>
      <c r="L8897" s="21"/>
      <c r="M8897" s="15"/>
    </row>
    <row r="8898" spans="1:13" s="166" customFormat="1" ht="12.75" customHeight="1">
      <c r="A8898" s="12" t="s">
        <v>1198</v>
      </c>
      <c r="B8898" s="434">
        <f>B8899*2</f>
        <v>6</v>
      </c>
      <c r="C8898" s="24" t="s">
        <v>1018</v>
      </c>
      <c r="D8898" s="41">
        <f>D8862</f>
        <v>60</v>
      </c>
      <c r="E8898" s="31">
        <f t="shared" si="797"/>
        <v>360</v>
      </c>
      <c r="F8898" s="32"/>
      <c r="G8898" s="15"/>
      <c r="H8898" s="21"/>
      <c r="I8898" s="15"/>
      <c r="J8898" s="15"/>
      <c r="K8898" s="15"/>
      <c r="L8898" s="21"/>
      <c r="M8898" s="15"/>
    </row>
    <row r="8899" spans="1:13" s="166" customFormat="1" ht="12.75" customHeight="1">
      <c r="A8899" s="12" t="s">
        <v>1037</v>
      </c>
      <c r="B8899" s="434">
        <f>SUM(B8897:B8897)</f>
        <v>3</v>
      </c>
      <c r="C8899" s="24" t="s">
        <v>216</v>
      </c>
      <c r="D8899" s="41">
        <f>D8863</f>
        <v>486.5</v>
      </c>
      <c r="E8899" s="31">
        <f t="shared" si="797"/>
        <v>1459.5</v>
      </c>
      <c r="F8899" s="32"/>
      <c r="G8899" s="15"/>
      <c r="H8899" s="21"/>
      <c r="I8899" s="15"/>
      <c r="J8899" s="15"/>
      <c r="K8899" s="15"/>
      <c r="L8899" s="21"/>
      <c r="M8899" s="15"/>
    </row>
    <row r="8900" spans="1:13" s="166" customFormat="1" ht="12.75" customHeight="1">
      <c r="A8900" s="12" t="s">
        <v>1907</v>
      </c>
      <c r="B8900" s="434">
        <v>6.06</v>
      </c>
      <c r="C8900" s="24" t="s">
        <v>1171</v>
      </c>
      <c r="D8900" s="41">
        <v>700</v>
      </c>
      <c r="E8900" s="31">
        <f t="shared" si="797"/>
        <v>4242</v>
      </c>
      <c r="F8900" s="32"/>
      <c r="G8900" s="15"/>
      <c r="H8900" s="21"/>
      <c r="I8900" s="15"/>
      <c r="J8900" s="15"/>
      <c r="K8900" s="15"/>
      <c r="L8900" s="21"/>
      <c r="M8900" s="15"/>
    </row>
    <row r="8901" spans="1:13" s="166" customFormat="1" ht="12.75" customHeight="1">
      <c r="A8901" s="12" t="s">
        <v>1688</v>
      </c>
      <c r="B8901" s="434">
        <v>1</v>
      </c>
      <c r="C8901" s="24" t="s">
        <v>825</v>
      </c>
      <c r="D8901" s="41">
        <f>D8865</f>
        <v>600.29999999999995</v>
      </c>
      <c r="E8901" s="31">
        <f t="shared" si="797"/>
        <v>600.29999999999995</v>
      </c>
      <c r="F8901" s="32"/>
      <c r="G8901" s="15"/>
      <c r="H8901" s="21"/>
      <c r="I8901" s="15"/>
      <c r="J8901" s="15"/>
      <c r="K8901" s="15"/>
      <c r="L8901" s="21"/>
      <c r="M8901" s="15"/>
    </row>
    <row r="8902" spans="1:13" s="166" customFormat="1" ht="12.75" customHeight="1">
      <c r="A8902" s="12" t="s">
        <v>208</v>
      </c>
      <c r="B8902" s="434">
        <f>SUM(E8896:E8898)</f>
        <v>17152.5</v>
      </c>
      <c r="C8902" s="24" t="s">
        <v>209</v>
      </c>
      <c r="D8902" s="41">
        <f>D8866</f>
        <v>0.02</v>
      </c>
      <c r="E8902" s="31">
        <f t="shared" si="797"/>
        <v>343.05</v>
      </c>
      <c r="F8902" s="32">
        <f>SUM(E8896:E8902)</f>
        <v>23797.35</v>
      </c>
      <c r="G8902" s="15"/>
      <c r="H8902" s="21"/>
      <c r="I8902" s="15"/>
      <c r="J8902" s="15"/>
      <c r="K8902" s="15"/>
      <c r="L8902" s="21"/>
      <c r="M8902" s="15"/>
    </row>
    <row r="8903" spans="1:13" s="166" customFormat="1" ht="12.75" customHeight="1">
      <c r="A8903" s="12"/>
      <c r="B8903" s="434"/>
      <c r="C8903" s="24"/>
      <c r="D8903" s="41"/>
      <c r="E8903" s="31"/>
      <c r="F8903" s="32"/>
      <c r="G8903" s="15"/>
      <c r="H8903" s="21"/>
      <c r="I8903" s="15"/>
      <c r="J8903" s="15"/>
      <c r="K8903" s="15"/>
      <c r="L8903" s="21"/>
      <c r="M8903" s="15"/>
    </row>
    <row r="8904" spans="1:13" s="166" customFormat="1" ht="12.75" customHeight="1">
      <c r="A8904" s="13" t="s">
        <v>1922</v>
      </c>
      <c r="B8904" s="434"/>
      <c r="C8904" s="24"/>
      <c r="D8904" s="41"/>
      <c r="E8904" s="31"/>
      <c r="F8904" s="32"/>
      <c r="G8904" s="15"/>
      <c r="H8904" s="21"/>
      <c r="I8904" s="15"/>
      <c r="J8904" s="15"/>
      <c r="K8904" s="15"/>
      <c r="L8904" s="21"/>
      <c r="M8904" s="15"/>
    </row>
    <row r="8905" spans="1:13" s="166" customFormat="1" ht="12.75" customHeight="1">
      <c r="A8905" s="12" t="s">
        <v>1681</v>
      </c>
      <c r="B8905" s="434">
        <v>1.05</v>
      </c>
      <c r="C8905" s="24" t="s">
        <v>825</v>
      </c>
      <c r="D8905" s="41">
        <f>D8896</f>
        <v>6850</v>
      </c>
      <c r="E8905" s="31">
        <f t="shared" ref="E8905:E8911" si="798">B8905*D8905</f>
        <v>7192.5</v>
      </c>
      <c r="F8905" s="32"/>
      <c r="G8905" s="15"/>
      <c r="H8905" s="21"/>
      <c r="I8905" s="15"/>
      <c r="J8905" s="15"/>
      <c r="K8905" s="15"/>
      <c r="L8905" s="21"/>
      <c r="M8905" s="15"/>
    </row>
    <row r="8906" spans="1:13" s="166" customFormat="1" ht="12.75" customHeight="1">
      <c r="A8906" s="12" t="s">
        <v>1686</v>
      </c>
      <c r="B8906" s="434">
        <v>3</v>
      </c>
      <c r="C8906" s="24" t="s">
        <v>4</v>
      </c>
      <c r="D8906" s="41">
        <f t="shared" ref="D8906:D8911" si="799">D8897</f>
        <v>3200</v>
      </c>
      <c r="E8906" s="31">
        <f t="shared" si="798"/>
        <v>9600</v>
      </c>
      <c r="F8906" s="32"/>
      <c r="G8906" s="15"/>
      <c r="H8906" s="21"/>
      <c r="I8906" s="15"/>
      <c r="J8906" s="15"/>
      <c r="K8906" s="15"/>
      <c r="L8906" s="21"/>
      <c r="M8906" s="15"/>
    </row>
    <row r="8907" spans="1:13" s="166" customFormat="1" ht="12.75" customHeight="1">
      <c r="A8907" s="12" t="s">
        <v>1198</v>
      </c>
      <c r="B8907" s="434">
        <f>B8908*2</f>
        <v>6</v>
      </c>
      <c r="C8907" s="24" t="s">
        <v>1018</v>
      </c>
      <c r="D8907" s="41">
        <f t="shared" si="799"/>
        <v>60</v>
      </c>
      <c r="E8907" s="31">
        <f t="shared" si="798"/>
        <v>360</v>
      </c>
      <c r="F8907" s="32"/>
      <c r="G8907" s="15"/>
      <c r="H8907" s="21"/>
      <c r="I8907" s="15"/>
      <c r="J8907" s="15"/>
      <c r="K8907" s="15"/>
      <c r="L8907" s="21"/>
      <c r="M8907" s="15"/>
    </row>
    <row r="8908" spans="1:13" s="166" customFormat="1" ht="12.75" customHeight="1">
      <c r="A8908" s="12" t="s">
        <v>1037</v>
      </c>
      <c r="B8908" s="434">
        <f>SUM(B8906:B8906)</f>
        <v>3</v>
      </c>
      <c r="C8908" s="24" t="s">
        <v>216</v>
      </c>
      <c r="D8908" s="41">
        <f>Prec.!C351</f>
        <v>535.15000000000009</v>
      </c>
      <c r="E8908" s="31">
        <f t="shared" si="798"/>
        <v>1605.4500000000003</v>
      </c>
      <c r="F8908" s="32"/>
      <c r="G8908" s="15"/>
      <c r="H8908" s="21"/>
      <c r="I8908" s="15"/>
      <c r="J8908" s="15"/>
      <c r="K8908" s="15"/>
      <c r="L8908" s="21"/>
      <c r="M8908" s="15"/>
    </row>
    <row r="8909" spans="1:13" s="166" customFormat="1" ht="12.75" customHeight="1">
      <c r="A8909" s="12" t="s">
        <v>1907</v>
      </c>
      <c r="B8909" s="434">
        <v>6.06</v>
      </c>
      <c r="C8909" s="24" t="s">
        <v>1171</v>
      </c>
      <c r="D8909" s="41">
        <f>D8900*1.05</f>
        <v>735</v>
      </c>
      <c r="E8909" s="31">
        <f t="shared" si="798"/>
        <v>4454.0999999999995</v>
      </c>
      <c r="F8909" s="32"/>
      <c r="G8909" s="15"/>
      <c r="H8909" s="21"/>
      <c r="I8909" s="15"/>
      <c r="J8909" s="15"/>
      <c r="K8909" s="15"/>
      <c r="L8909" s="21"/>
      <c r="M8909" s="15"/>
    </row>
    <row r="8910" spans="1:13" s="166" customFormat="1" ht="12.75" customHeight="1">
      <c r="A8910" s="12" t="s">
        <v>1688</v>
      </c>
      <c r="B8910" s="434">
        <v>1</v>
      </c>
      <c r="C8910" s="24" t="s">
        <v>825</v>
      </c>
      <c r="D8910" s="41">
        <f t="shared" si="799"/>
        <v>600.29999999999995</v>
      </c>
      <c r="E8910" s="31">
        <f t="shared" si="798"/>
        <v>600.29999999999995</v>
      </c>
      <c r="F8910" s="32"/>
      <c r="G8910" s="15"/>
      <c r="H8910" s="21"/>
      <c r="I8910" s="15"/>
      <c r="J8910" s="15"/>
      <c r="K8910" s="15"/>
      <c r="L8910" s="21"/>
      <c r="M8910" s="15"/>
    </row>
    <row r="8911" spans="1:13" s="166" customFormat="1" ht="12.75" customHeight="1">
      <c r="A8911" s="12" t="s">
        <v>208</v>
      </c>
      <c r="B8911" s="434">
        <f>SUM(E8905:E8907)</f>
        <v>17152.5</v>
      </c>
      <c r="C8911" s="24" t="s">
        <v>209</v>
      </c>
      <c r="D8911" s="41">
        <f t="shared" si="799"/>
        <v>0.02</v>
      </c>
      <c r="E8911" s="31">
        <f t="shared" si="798"/>
        <v>343.05</v>
      </c>
      <c r="F8911" s="32">
        <f>SUM(E8905:E8911)</f>
        <v>24155.399999999998</v>
      </c>
      <c r="G8911" s="15"/>
      <c r="H8911" s="21"/>
      <c r="I8911" s="15"/>
      <c r="J8911" s="15"/>
      <c r="K8911" s="15"/>
      <c r="L8911" s="21"/>
      <c r="M8911" s="15"/>
    </row>
    <row r="8912" spans="1:13" s="166" customFormat="1" ht="12.75" customHeight="1">
      <c r="A8912" s="12"/>
      <c r="B8912" s="434"/>
      <c r="C8912" s="24"/>
      <c r="D8912" s="41"/>
      <c r="E8912" s="31"/>
      <c r="F8912" s="32"/>
      <c r="G8912" s="15"/>
      <c r="H8912" s="21"/>
      <c r="I8912" s="15"/>
      <c r="J8912" s="15"/>
      <c r="K8912" s="15"/>
      <c r="L8912" s="21"/>
      <c r="M8912" s="15"/>
    </row>
    <row r="8913" spans="1:13" s="166" customFormat="1" ht="12.75" customHeight="1">
      <c r="A8913" s="13" t="s">
        <v>1923</v>
      </c>
      <c r="B8913" s="434"/>
      <c r="C8913" s="24"/>
      <c r="D8913" s="41"/>
      <c r="E8913" s="31"/>
      <c r="F8913" s="32"/>
      <c r="G8913" s="15"/>
      <c r="H8913" s="21"/>
      <c r="I8913" s="15"/>
      <c r="J8913" s="15"/>
      <c r="K8913" s="15"/>
      <c r="L8913" s="21"/>
      <c r="M8913" s="15"/>
    </row>
    <row r="8914" spans="1:13" s="166" customFormat="1" ht="12.75" customHeight="1">
      <c r="A8914" s="12" t="s">
        <v>1681</v>
      </c>
      <c r="B8914" s="434">
        <v>1.05</v>
      </c>
      <c r="C8914" s="24" t="s">
        <v>825</v>
      </c>
      <c r="D8914" s="41">
        <f>D8905</f>
        <v>6850</v>
      </c>
      <c r="E8914" s="31">
        <f t="shared" ref="E8914:E8920" si="800">B8914*D8914</f>
        <v>7192.5</v>
      </c>
      <c r="F8914" s="32"/>
      <c r="G8914" s="15"/>
      <c r="H8914" s="21"/>
      <c r="I8914" s="15"/>
      <c r="J8914" s="15"/>
      <c r="K8914" s="15"/>
      <c r="L8914" s="21"/>
      <c r="M8914" s="15"/>
    </row>
    <row r="8915" spans="1:13" s="166" customFormat="1" ht="12.75" customHeight="1">
      <c r="A8915" s="12" t="s">
        <v>1686</v>
      </c>
      <c r="B8915" s="434">
        <v>3</v>
      </c>
      <c r="C8915" s="24" t="s">
        <v>4</v>
      </c>
      <c r="D8915" s="41">
        <f t="shared" ref="D8915:D8920" si="801">D8906</f>
        <v>3200</v>
      </c>
      <c r="E8915" s="31">
        <f t="shared" si="800"/>
        <v>9600</v>
      </c>
      <c r="F8915" s="32"/>
      <c r="G8915" s="15"/>
      <c r="H8915" s="21"/>
      <c r="I8915" s="15"/>
      <c r="J8915" s="15"/>
      <c r="K8915" s="15"/>
      <c r="L8915" s="21"/>
      <c r="M8915" s="15"/>
    </row>
    <row r="8916" spans="1:13" s="166" customFormat="1" ht="12.75" customHeight="1">
      <c r="A8916" s="12" t="s">
        <v>1198</v>
      </c>
      <c r="B8916" s="434">
        <f>B8917*2</f>
        <v>6</v>
      </c>
      <c r="C8916" s="24" t="s">
        <v>1018</v>
      </c>
      <c r="D8916" s="41">
        <f t="shared" si="801"/>
        <v>60</v>
      </c>
      <c r="E8916" s="31">
        <f t="shared" si="800"/>
        <v>360</v>
      </c>
      <c r="F8916" s="32"/>
      <c r="G8916" s="15"/>
      <c r="H8916" s="21"/>
      <c r="I8916" s="15"/>
      <c r="J8916" s="15"/>
      <c r="K8916" s="15"/>
      <c r="L8916" s="21"/>
      <c r="M8916" s="15"/>
    </row>
    <row r="8917" spans="1:13" s="166" customFormat="1" ht="12.75" customHeight="1">
      <c r="A8917" s="12" t="s">
        <v>1037</v>
      </c>
      <c r="B8917" s="434">
        <f>SUM(B8915:B8915)</f>
        <v>3</v>
      </c>
      <c r="C8917" s="24" t="s">
        <v>216</v>
      </c>
      <c r="D8917" s="41">
        <f>Prec.!C352</f>
        <v>559.47499999999991</v>
      </c>
      <c r="E8917" s="31">
        <f t="shared" si="800"/>
        <v>1678.4249999999997</v>
      </c>
      <c r="F8917" s="32"/>
      <c r="G8917" s="15"/>
      <c r="H8917" s="21"/>
      <c r="I8917" s="15"/>
      <c r="J8917" s="15"/>
      <c r="K8917" s="15"/>
      <c r="L8917" s="21"/>
      <c r="M8917" s="15"/>
    </row>
    <row r="8918" spans="1:13" s="166" customFormat="1" ht="12.75" customHeight="1">
      <c r="A8918" s="12" t="s">
        <v>1907</v>
      </c>
      <c r="B8918" s="434">
        <v>6.06</v>
      </c>
      <c r="C8918" s="24" t="s">
        <v>1171</v>
      </c>
      <c r="D8918" s="41">
        <f>D8900*1.1</f>
        <v>770.00000000000011</v>
      </c>
      <c r="E8918" s="31">
        <f t="shared" si="800"/>
        <v>4666.2000000000007</v>
      </c>
      <c r="F8918" s="32"/>
      <c r="G8918" s="15"/>
      <c r="H8918" s="21"/>
      <c r="I8918" s="15"/>
      <c r="J8918" s="15"/>
      <c r="K8918" s="15"/>
      <c r="L8918" s="21"/>
      <c r="M8918" s="15"/>
    </row>
    <row r="8919" spans="1:13" s="166" customFormat="1" ht="12.75" customHeight="1">
      <c r="A8919" s="12" t="s">
        <v>1688</v>
      </c>
      <c r="B8919" s="434">
        <v>1</v>
      </c>
      <c r="C8919" s="24" t="s">
        <v>825</v>
      </c>
      <c r="D8919" s="41">
        <f t="shared" si="801"/>
        <v>600.29999999999995</v>
      </c>
      <c r="E8919" s="31">
        <f t="shared" si="800"/>
        <v>600.29999999999995</v>
      </c>
      <c r="F8919" s="32"/>
      <c r="G8919" s="15"/>
      <c r="H8919" s="21"/>
      <c r="I8919" s="15"/>
      <c r="J8919" s="15"/>
      <c r="K8919" s="15"/>
      <c r="L8919" s="21"/>
      <c r="M8919" s="15"/>
    </row>
    <row r="8920" spans="1:13" s="166" customFormat="1" ht="12.75" customHeight="1">
      <c r="A8920" s="12" t="s">
        <v>208</v>
      </c>
      <c r="B8920" s="434">
        <f>SUM(E8914:E8916)</f>
        <v>17152.5</v>
      </c>
      <c r="C8920" s="24" t="s">
        <v>209</v>
      </c>
      <c r="D8920" s="41">
        <f t="shared" si="801"/>
        <v>0.02</v>
      </c>
      <c r="E8920" s="31">
        <f t="shared" si="800"/>
        <v>343.05</v>
      </c>
      <c r="F8920" s="32">
        <f>SUM(E8914:E8920)</f>
        <v>24440.474999999999</v>
      </c>
      <c r="G8920" s="15"/>
      <c r="H8920" s="21"/>
      <c r="I8920" s="15"/>
      <c r="J8920" s="15"/>
      <c r="K8920" s="15"/>
      <c r="L8920" s="21"/>
      <c r="M8920" s="15"/>
    </row>
    <row r="8921" spans="1:13" s="166" customFormat="1" ht="12.75" customHeight="1">
      <c r="A8921" s="12"/>
      <c r="B8921" s="434"/>
      <c r="C8921" s="24"/>
      <c r="D8921" s="41"/>
      <c r="E8921" s="31"/>
      <c r="F8921" s="32"/>
      <c r="G8921" s="15"/>
      <c r="H8921" s="21"/>
      <c r="I8921" s="15"/>
      <c r="J8921" s="15"/>
      <c r="K8921" s="15"/>
      <c r="L8921" s="21"/>
      <c r="M8921" s="15"/>
    </row>
    <row r="8922" spans="1:13" s="166" customFormat="1" ht="12.75" customHeight="1">
      <c r="A8922" s="13" t="s">
        <v>1924</v>
      </c>
      <c r="B8922" s="434"/>
      <c r="C8922" s="24"/>
      <c r="D8922" s="41"/>
      <c r="E8922" s="31"/>
      <c r="F8922" s="32"/>
      <c r="G8922" s="15"/>
      <c r="H8922" s="21"/>
      <c r="I8922" s="15"/>
      <c r="J8922" s="15"/>
      <c r="K8922" s="15"/>
      <c r="L8922" s="21"/>
      <c r="M8922" s="15"/>
    </row>
    <row r="8923" spans="1:13" s="166" customFormat="1" ht="12.75" customHeight="1">
      <c r="A8923" s="12" t="s">
        <v>1681</v>
      </c>
      <c r="B8923" s="434">
        <v>1.05</v>
      </c>
      <c r="C8923" s="24" t="s">
        <v>825</v>
      </c>
      <c r="D8923" s="41">
        <f>D8914</f>
        <v>6850</v>
      </c>
      <c r="E8923" s="31">
        <f t="shared" ref="E8923:E8929" si="802">B8923*D8923</f>
        <v>7192.5</v>
      </c>
      <c r="F8923" s="32"/>
      <c r="G8923" s="15"/>
      <c r="H8923" s="21"/>
      <c r="I8923" s="15"/>
      <c r="J8923" s="15"/>
      <c r="K8923" s="15"/>
      <c r="L8923" s="21"/>
      <c r="M8923" s="15"/>
    </row>
    <row r="8924" spans="1:13" s="166" customFormat="1" ht="12.75" customHeight="1">
      <c r="A8924" s="12" t="s">
        <v>1686</v>
      </c>
      <c r="B8924" s="434">
        <v>3</v>
      </c>
      <c r="C8924" s="24" t="s">
        <v>4</v>
      </c>
      <c r="D8924" s="41">
        <f t="shared" ref="D8924:D8929" si="803">D8915</f>
        <v>3200</v>
      </c>
      <c r="E8924" s="31">
        <f t="shared" si="802"/>
        <v>9600</v>
      </c>
      <c r="F8924" s="32"/>
      <c r="G8924" s="15"/>
      <c r="H8924" s="21"/>
      <c r="I8924" s="15"/>
      <c r="J8924" s="15"/>
      <c r="K8924" s="15"/>
      <c r="L8924" s="21"/>
      <c r="M8924" s="15"/>
    </row>
    <row r="8925" spans="1:13" s="166" customFormat="1" ht="12.75" customHeight="1">
      <c r="A8925" s="12" t="s">
        <v>1198</v>
      </c>
      <c r="B8925" s="434">
        <f>B8926*2</f>
        <v>6</v>
      </c>
      <c r="C8925" s="24" t="s">
        <v>1018</v>
      </c>
      <c r="D8925" s="41">
        <f t="shared" si="803"/>
        <v>60</v>
      </c>
      <c r="E8925" s="31">
        <f t="shared" si="802"/>
        <v>360</v>
      </c>
      <c r="F8925" s="32"/>
      <c r="G8925" s="15"/>
      <c r="H8925" s="21"/>
      <c r="I8925" s="15"/>
      <c r="J8925" s="15"/>
      <c r="K8925" s="15"/>
      <c r="L8925" s="21"/>
      <c r="M8925" s="15"/>
    </row>
    <row r="8926" spans="1:13" s="166" customFormat="1" ht="12.75" customHeight="1">
      <c r="A8926" s="12" t="s">
        <v>1037</v>
      </c>
      <c r="B8926" s="434">
        <f>SUM(B8924:B8924)</f>
        <v>3</v>
      </c>
      <c r="C8926" s="24" t="s">
        <v>216</v>
      </c>
      <c r="D8926" s="41">
        <f>Prec.!C353</f>
        <v>583.79999999999995</v>
      </c>
      <c r="E8926" s="31">
        <f t="shared" si="802"/>
        <v>1751.3999999999999</v>
      </c>
      <c r="F8926" s="32"/>
      <c r="G8926" s="15"/>
      <c r="H8926" s="21"/>
      <c r="I8926" s="15"/>
      <c r="J8926" s="15"/>
      <c r="K8926" s="15"/>
      <c r="L8926" s="21"/>
      <c r="M8926" s="15"/>
    </row>
    <row r="8927" spans="1:13" s="166" customFormat="1" ht="12.75" customHeight="1">
      <c r="A8927" s="12" t="s">
        <v>1907</v>
      </c>
      <c r="B8927" s="434">
        <v>6.06</v>
      </c>
      <c r="C8927" s="24" t="s">
        <v>1171</v>
      </c>
      <c r="D8927" s="41">
        <f>D8900*1.15</f>
        <v>804.99999999999989</v>
      </c>
      <c r="E8927" s="31">
        <f t="shared" si="802"/>
        <v>4878.2999999999993</v>
      </c>
      <c r="F8927" s="32"/>
      <c r="G8927" s="15"/>
      <c r="H8927" s="21"/>
      <c r="I8927" s="15"/>
      <c r="J8927" s="15"/>
      <c r="K8927" s="15"/>
      <c r="L8927" s="21"/>
      <c r="M8927" s="15"/>
    </row>
    <row r="8928" spans="1:13" s="166" customFormat="1" ht="12.75" customHeight="1">
      <c r="A8928" s="12" t="s">
        <v>1688</v>
      </c>
      <c r="B8928" s="434">
        <v>1</v>
      </c>
      <c r="C8928" s="24" t="s">
        <v>825</v>
      </c>
      <c r="D8928" s="41">
        <f t="shared" si="803"/>
        <v>600.29999999999995</v>
      </c>
      <c r="E8928" s="31">
        <f t="shared" si="802"/>
        <v>600.29999999999995</v>
      </c>
      <c r="F8928" s="32"/>
      <c r="G8928" s="15"/>
      <c r="H8928" s="21"/>
      <c r="I8928" s="15"/>
      <c r="J8928" s="15"/>
      <c r="K8928" s="15"/>
      <c r="L8928" s="21"/>
      <c r="M8928" s="15"/>
    </row>
    <row r="8929" spans="1:13" s="166" customFormat="1" ht="12.75" customHeight="1">
      <c r="A8929" s="12" t="s">
        <v>208</v>
      </c>
      <c r="B8929" s="434">
        <f>SUM(E8923:E8925)</f>
        <v>17152.5</v>
      </c>
      <c r="C8929" s="24" t="s">
        <v>209</v>
      </c>
      <c r="D8929" s="41">
        <f t="shared" si="803"/>
        <v>0.02</v>
      </c>
      <c r="E8929" s="31">
        <f t="shared" si="802"/>
        <v>343.05</v>
      </c>
      <c r="F8929" s="32">
        <f>SUM(E8923:E8929)</f>
        <v>24725.55</v>
      </c>
      <c r="G8929" s="15"/>
      <c r="H8929" s="21"/>
      <c r="I8929" s="15"/>
      <c r="J8929" s="15"/>
      <c r="K8929" s="15"/>
      <c r="L8929" s="21"/>
      <c r="M8929" s="15"/>
    </row>
    <row r="8930" spans="1:13" s="166" customFormat="1" ht="12.75" customHeight="1">
      <c r="A8930" s="12"/>
      <c r="B8930" s="434"/>
      <c r="C8930" s="24"/>
      <c r="D8930" s="41"/>
      <c r="E8930" s="31"/>
      <c r="F8930" s="32"/>
      <c r="G8930" s="15"/>
      <c r="H8930" s="21"/>
      <c r="I8930" s="15"/>
      <c r="J8930" s="15"/>
      <c r="K8930" s="15"/>
      <c r="L8930" s="21"/>
      <c r="M8930" s="15"/>
    </row>
    <row r="8931" spans="1:13" s="166" customFormat="1" ht="12.75" customHeight="1">
      <c r="A8931" s="13" t="s">
        <v>1925</v>
      </c>
      <c r="B8931" s="434"/>
      <c r="C8931" s="24"/>
      <c r="D8931" s="41"/>
      <c r="E8931" s="31"/>
      <c r="F8931" s="32"/>
      <c r="G8931" s="15"/>
      <c r="H8931" s="21"/>
      <c r="I8931" s="15"/>
      <c r="J8931" s="15"/>
      <c r="K8931" s="15"/>
      <c r="L8931" s="21"/>
      <c r="M8931" s="15"/>
    </row>
    <row r="8932" spans="1:13" s="166" customFormat="1" ht="12.75" customHeight="1">
      <c r="A8932" s="12" t="s">
        <v>1681</v>
      </c>
      <c r="B8932" s="434">
        <v>1.05</v>
      </c>
      <c r="C8932" s="24" t="s">
        <v>825</v>
      </c>
      <c r="D8932" s="41">
        <f>D8923</f>
        <v>6850</v>
      </c>
      <c r="E8932" s="31">
        <f t="shared" ref="E8932:E8938" si="804">B8932*D8932</f>
        <v>7192.5</v>
      </c>
      <c r="F8932" s="32"/>
      <c r="G8932" s="15"/>
      <c r="H8932" s="21"/>
      <c r="I8932" s="15"/>
      <c r="J8932" s="15"/>
      <c r="K8932" s="15"/>
      <c r="L8932" s="21"/>
      <c r="M8932" s="15"/>
    </row>
    <row r="8933" spans="1:13" s="166" customFormat="1" ht="12.75" customHeight="1">
      <c r="A8933" s="12" t="s">
        <v>1686</v>
      </c>
      <c r="B8933" s="434">
        <v>3.16</v>
      </c>
      <c r="C8933" s="24" t="s">
        <v>4</v>
      </c>
      <c r="D8933" s="41">
        <f t="shared" ref="D8933:D8938" si="805">D8924</f>
        <v>3200</v>
      </c>
      <c r="E8933" s="31">
        <f t="shared" si="804"/>
        <v>10112</v>
      </c>
      <c r="F8933" s="32"/>
      <c r="G8933" s="15"/>
      <c r="H8933" s="21"/>
      <c r="I8933" s="15"/>
      <c r="J8933" s="15"/>
      <c r="K8933" s="15"/>
      <c r="L8933" s="21"/>
      <c r="M8933" s="15"/>
    </row>
    <row r="8934" spans="1:13" s="166" customFormat="1" ht="12.75" customHeight="1">
      <c r="A8934" s="12" t="s">
        <v>1198</v>
      </c>
      <c r="B8934" s="434">
        <f>B8935*2</f>
        <v>6.32</v>
      </c>
      <c r="C8934" s="24" t="s">
        <v>1018</v>
      </c>
      <c r="D8934" s="41">
        <f t="shared" si="805"/>
        <v>60</v>
      </c>
      <c r="E8934" s="31">
        <f t="shared" si="804"/>
        <v>379.20000000000005</v>
      </c>
      <c r="F8934" s="32"/>
      <c r="G8934" s="15"/>
      <c r="H8934" s="21"/>
      <c r="I8934" s="15"/>
      <c r="J8934" s="15"/>
      <c r="K8934" s="15"/>
      <c r="L8934" s="21"/>
      <c r="M8934" s="15"/>
    </row>
    <row r="8935" spans="1:13" s="166" customFormat="1" ht="12.75" customHeight="1">
      <c r="A8935" s="12" t="s">
        <v>1037</v>
      </c>
      <c r="B8935" s="434">
        <f>SUM(B8933:B8933)</f>
        <v>3.16</v>
      </c>
      <c r="C8935" s="24" t="s">
        <v>216</v>
      </c>
      <c r="D8935" s="41">
        <f>Prec.!C362</f>
        <v>134.83750000000001</v>
      </c>
      <c r="E8935" s="31">
        <f t="shared" si="804"/>
        <v>426.08650000000006</v>
      </c>
      <c r="F8935" s="32"/>
      <c r="G8935" s="15"/>
      <c r="H8935" s="21"/>
      <c r="I8935" s="15"/>
      <c r="J8935" s="15"/>
      <c r="K8935" s="15"/>
      <c r="L8935" s="21"/>
      <c r="M8935" s="15"/>
    </row>
    <row r="8936" spans="1:13" s="166" customFormat="1" ht="12.75" customHeight="1">
      <c r="A8936" s="12" t="s">
        <v>1907</v>
      </c>
      <c r="B8936" s="434">
        <v>6.06</v>
      </c>
      <c r="C8936" s="24" t="s">
        <v>1171</v>
      </c>
      <c r="D8936" s="41">
        <f>D8900*1.2</f>
        <v>840</v>
      </c>
      <c r="E8936" s="31">
        <f t="shared" si="804"/>
        <v>5090.3999999999996</v>
      </c>
      <c r="F8936" s="32"/>
      <c r="G8936" s="15"/>
      <c r="H8936" s="21"/>
      <c r="I8936" s="15"/>
      <c r="J8936" s="15"/>
      <c r="K8936" s="15"/>
      <c r="L8936" s="21"/>
      <c r="M8936" s="15"/>
    </row>
    <row r="8937" spans="1:13" s="166" customFormat="1" ht="12.75" customHeight="1">
      <c r="A8937" s="12" t="s">
        <v>1688</v>
      </c>
      <c r="B8937" s="434">
        <v>1</v>
      </c>
      <c r="C8937" s="24" t="s">
        <v>825</v>
      </c>
      <c r="D8937" s="41">
        <f t="shared" si="805"/>
        <v>600.29999999999995</v>
      </c>
      <c r="E8937" s="31">
        <f t="shared" si="804"/>
        <v>600.29999999999995</v>
      </c>
      <c r="F8937" s="32"/>
      <c r="G8937" s="15"/>
      <c r="H8937" s="21"/>
      <c r="I8937" s="15"/>
      <c r="J8937" s="15"/>
      <c r="K8937" s="15"/>
      <c r="L8937" s="21"/>
      <c r="M8937" s="15"/>
    </row>
    <row r="8938" spans="1:13" s="166" customFormat="1" ht="12.75" customHeight="1">
      <c r="A8938" s="12" t="s">
        <v>208</v>
      </c>
      <c r="B8938" s="434">
        <f>SUM(E8932:E8934)</f>
        <v>17683.7</v>
      </c>
      <c r="C8938" s="24" t="s">
        <v>209</v>
      </c>
      <c r="D8938" s="41">
        <f t="shared" si="805"/>
        <v>0.02</v>
      </c>
      <c r="E8938" s="31">
        <f t="shared" si="804"/>
        <v>353.67400000000004</v>
      </c>
      <c r="F8938" s="32">
        <f>SUM(E8932:E8938)</f>
        <v>24154.160500000002</v>
      </c>
      <c r="G8938" s="15"/>
      <c r="H8938" s="21"/>
      <c r="I8938" s="15"/>
      <c r="J8938" s="15"/>
      <c r="K8938" s="15"/>
      <c r="L8938" s="21"/>
      <c r="M8938" s="15"/>
    </row>
    <row r="8939" spans="1:13" s="166" customFormat="1" ht="12.75" customHeight="1">
      <c r="A8939" s="12"/>
      <c r="B8939" s="434"/>
      <c r="C8939" s="24"/>
      <c r="D8939" s="41"/>
      <c r="E8939" s="31"/>
      <c r="F8939" s="32"/>
      <c r="G8939" s="15"/>
      <c r="H8939" s="21"/>
      <c r="I8939" s="15"/>
      <c r="J8939" s="15"/>
      <c r="K8939" s="15"/>
      <c r="L8939" s="21"/>
      <c r="M8939" s="15"/>
    </row>
    <row r="8940" spans="1:13" s="166" customFormat="1" ht="12.75" customHeight="1">
      <c r="A8940" s="12"/>
      <c r="B8940" s="434"/>
      <c r="C8940" s="24"/>
      <c r="D8940" s="41"/>
      <c r="E8940" s="31"/>
      <c r="F8940" s="32"/>
      <c r="G8940" s="15"/>
      <c r="H8940" s="21"/>
      <c r="I8940" s="15"/>
      <c r="J8940" s="15"/>
      <c r="K8940" s="15"/>
      <c r="L8940" s="21"/>
      <c r="M8940" s="15"/>
    </row>
    <row r="8941" spans="1:13" s="166" customFormat="1" ht="12.75" customHeight="1">
      <c r="A8941" s="13" t="s">
        <v>1901</v>
      </c>
      <c r="B8941" s="434"/>
      <c r="C8941" s="24"/>
      <c r="D8941" s="41"/>
      <c r="E8941" s="31"/>
      <c r="F8941" s="32"/>
      <c r="G8941" s="15"/>
      <c r="H8941" s="21"/>
      <c r="I8941" s="15"/>
      <c r="J8941" s="15"/>
      <c r="K8941" s="15"/>
      <c r="L8941" s="21"/>
      <c r="M8941" s="15"/>
    </row>
    <row r="8942" spans="1:13" s="166" customFormat="1" ht="12.75" customHeight="1">
      <c r="A8942" s="12" t="s">
        <v>1681</v>
      </c>
      <c r="B8942" s="434">
        <v>1.05</v>
      </c>
      <c r="C8942" s="24" t="s">
        <v>825</v>
      </c>
      <c r="D8942" s="41">
        <f>D8896</f>
        <v>6850</v>
      </c>
      <c r="E8942" s="31">
        <f t="shared" ref="E8942:E8948" si="806">B8942*D8942</f>
        <v>7192.5</v>
      </c>
      <c r="F8942" s="32"/>
      <c r="G8942" s="15"/>
      <c r="H8942" s="21"/>
      <c r="I8942" s="15"/>
      <c r="J8942" s="15"/>
      <c r="K8942" s="15"/>
      <c r="L8942" s="21"/>
      <c r="M8942" s="15"/>
    </row>
    <row r="8943" spans="1:13" s="166" customFormat="1" ht="12.75" customHeight="1">
      <c r="A8943" s="12" t="s">
        <v>1686</v>
      </c>
      <c r="B8943" s="434">
        <v>2.74</v>
      </c>
      <c r="C8943" s="24" t="s">
        <v>4</v>
      </c>
      <c r="D8943" s="41">
        <f>D8897</f>
        <v>3200</v>
      </c>
      <c r="E8943" s="31">
        <f t="shared" si="806"/>
        <v>8768</v>
      </c>
      <c r="F8943" s="32"/>
      <c r="G8943" s="15"/>
      <c r="H8943" s="21"/>
      <c r="I8943" s="15"/>
      <c r="J8943" s="15"/>
      <c r="K8943" s="15"/>
      <c r="L8943" s="21"/>
      <c r="M8943" s="15"/>
    </row>
    <row r="8944" spans="1:13" s="166" customFormat="1" ht="12.75" customHeight="1">
      <c r="A8944" s="12" t="s">
        <v>1198</v>
      </c>
      <c r="B8944" s="434">
        <f>B8945*2</f>
        <v>5.48</v>
      </c>
      <c r="C8944" s="24" t="s">
        <v>1018</v>
      </c>
      <c r="D8944" s="41">
        <f>D8898</f>
        <v>60</v>
      </c>
      <c r="E8944" s="31">
        <f t="shared" si="806"/>
        <v>328.8</v>
      </c>
      <c r="F8944" s="32"/>
      <c r="G8944" s="15"/>
      <c r="H8944" s="21"/>
      <c r="I8944" s="15"/>
      <c r="J8944" s="15"/>
      <c r="K8944" s="15"/>
      <c r="L8944" s="21"/>
      <c r="M8944" s="15"/>
    </row>
    <row r="8945" spans="1:13" s="166" customFormat="1" ht="12.75" customHeight="1">
      <c r="A8945" s="12" t="s">
        <v>1037</v>
      </c>
      <c r="B8945" s="434">
        <f>SUM(B8943:B8943)</f>
        <v>2.74</v>
      </c>
      <c r="C8945" s="24" t="s">
        <v>216</v>
      </c>
      <c r="D8945" s="41">
        <f>D8899</f>
        <v>486.5</v>
      </c>
      <c r="E8945" s="31">
        <f t="shared" si="806"/>
        <v>1333.01</v>
      </c>
      <c r="F8945" s="32"/>
      <c r="G8945" s="15"/>
      <c r="H8945" s="21"/>
      <c r="I8945" s="15"/>
      <c r="J8945" s="15"/>
      <c r="K8945" s="15"/>
      <c r="L8945" s="21"/>
      <c r="M8945" s="15"/>
    </row>
    <row r="8946" spans="1:13" s="166" customFormat="1" ht="12.75" customHeight="1">
      <c r="A8946" s="12" t="s">
        <v>1907</v>
      </c>
      <c r="B8946" s="434">
        <v>6.06</v>
      </c>
      <c r="C8946" s="24" t="s">
        <v>1171</v>
      </c>
      <c r="D8946" s="41">
        <v>700</v>
      </c>
      <c r="E8946" s="31">
        <f t="shared" si="806"/>
        <v>4242</v>
      </c>
      <c r="F8946" s="32"/>
      <c r="G8946" s="15"/>
      <c r="H8946" s="21"/>
      <c r="I8946" s="15"/>
      <c r="J8946" s="15"/>
      <c r="K8946" s="15"/>
      <c r="L8946" s="21"/>
      <c r="M8946" s="15"/>
    </row>
    <row r="8947" spans="1:13" s="166" customFormat="1" ht="12.75" customHeight="1">
      <c r="A8947" s="12" t="s">
        <v>1688</v>
      </c>
      <c r="B8947" s="434">
        <v>1</v>
      </c>
      <c r="C8947" s="24" t="s">
        <v>825</v>
      </c>
      <c r="D8947" s="41">
        <f>D8901</f>
        <v>600.29999999999995</v>
      </c>
      <c r="E8947" s="31">
        <f t="shared" si="806"/>
        <v>600.29999999999995</v>
      </c>
      <c r="F8947" s="32"/>
      <c r="G8947" s="15"/>
      <c r="H8947" s="21"/>
      <c r="I8947" s="15"/>
      <c r="J8947" s="15"/>
      <c r="K8947" s="15"/>
      <c r="L8947" s="21"/>
      <c r="M8947" s="15"/>
    </row>
    <row r="8948" spans="1:13" s="166" customFormat="1" ht="12.75" customHeight="1">
      <c r="A8948" s="12" t="s">
        <v>208</v>
      </c>
      <c r="B8948" s="434">
        <f>SUM(E8942:E8944)</f>
        <v>16289.3</v>
      </c>
      <c r="C8948" s="24" t="s">
        <v>209</v>
      </c>
      <c r="D8948" s="41">
        <f>D8902</f>
        <v>0.02</v>
      </c>
      <c r="E8948" s="31">
        <f t="shared" si="806"/>
        <v>325.786</v>
      </c>
      <c r="F8948" s="32">
        <f>SUM(E8942:E8948)</f>
        <v>22790.395999999997</v>
      </c>
      <c r="G8948" s="15"/>
      <c r="H8948" s="21"/>
      <c r="I8948" s="15"/>
      <c r="J8948" s="15"/>
      <c r="K8948" s="15"/>
      <c r="L8948" s="21"/>
      <c r="M8948" s="15"/>
    </row>
    <row r="8949" spans="1:13" s="166" customFormat="1" ht="12.75" customHeight="1">
      <c r="A8949" s="12"/>
      <c r="B8949" s="434"/>
      <c r="C8949" s="24"/>
      <c r="D8949" s="41"/>
      <c r="E8949" s="31"/>
      <c r="F8949" s="32"/>
      <c r="G8949" s="15"/>
      <c r="H8949" s="21"/>
      <c r="I8949" s="15"/>
      <c r="J8949" s="15"/>
      <c r="K8949" s="15"/>
      <c r="L8949" s="21"/>
      <c r="M8949" s="15"/>
    </row>
    <row r="8950" spans="1:13" s="166" customFormat="1" ht="12.75" customHeight="1">
      <c r="A8950" s="13" t="s">
        <v>1926</v>
      </c>
      <c r="B8950" s="434"/>
      <c r="C8950" s="24"/>
      <c r="D8950" s="41"/>
      <c r="E8950" s="31"/>
      <c r="F8950" s="32"/>
      <c r="G8950" s="15"/>
      <c r="H8950" s="21"/>
      <c r="I8950" s="15"/>
      <c r="J8950" s="15"/>
      <c r="K8950" s="15"/>
      <c r="L8950" s="21"/>
      <c r="M8950" s="15"/>
    </row>
    <row r="8951" spans="1:13" s="166" customFormat="1" ht="12.75" customHeight="1">
      <c r="A8951" s="12" t="s">
        <v>1681</v>
      </c>
      <c r="B8951" s="434">
        <v>1.05</v>
      </c>
      <c r="C8951" s="24" t="s">
        <v>825</v>
      </c>
      <c r="D8951" s="41">
        <f>D8942</f>
        <v>6850</v>
      </c>
      <c r="E8951" s="31">
        <f t="shared" ref="E8951:E8957" si="807">B8951*D8951</f>
        <v>7192.5</v>
      </c>
      <c r="F8951" s="32"/>
      <c r="G8951" s="15"/>
      <c r="H8951" s="21"/>
      <c r="I8951" s="15"/>
      <c r="J8951" s="15"/>
      <c r="K8951" s="15"/>
      <c r="L8951" s="21"/>
      <c r="M8951" s="15"/>
    </row>
    <row r="8952" spans="1:13" s="166" customFormat="1" ht="12.75" customHeight="1">
      <c r="A8952" s="12" t="s">
        <v>1686</v>
      </c>
      <c r="B8952" s="434">
        <v>2.74</v>
      </c>
      <c r="C8952" s="24" t="s">
        <v>4</v>
      </c>
      <c r="D8952" s="41">
        <f t="shared" ref="D8952:D8953" si="808">D8943</f>
        <v>3200</v>
      </c>
      <c r="E8952" s="31">
        <f t="shared" si="807"/>
        <v>8768</v>
      </c>
      <c r="F8952" s="32"/>
      <c r="G8952" s="15"/>
      <c r="H8952" s="21"/>
      <c r="I8952" s="15"/>
      <c r="J8952" s="15"/>
      <c r="K8952" s="15"/>
      <c r="L8952" s="21"/>
      <c r="M8952" s="15"/>
    </row>
    <row r="8953" spans="1:13" s="166" customFormat="1" ht="12.75" customHeight="1">
      <c r="A8953" s="12" t="s">
        <v>1198</v>
      </c>
      <c r="B8953" s="434">
        <f>B8954*2</f>
        <v>5.48</v>
      </c>
      <c r="C8953" s="24" t="s">
        <v>1018</v>
      </c>
      <c r="D8953" s="41">
        <f t="shared" si="808"/>
        <v>60</v>
      </c>
      <c r="E8953" s="31">
        <f t="shared" si="807"/>
        <v>328.8</v>
      </c>
      <c r="F8953" s="32"/>
      <c r="G8953" s="15"/>
      <c r="H8953" s="21"/>
      <c r="I8953" s="15"/>
      <c r="J8953" s="15"/>
      <c r="K8953" s="15"/>
      <c r="L8953" s="21"/>
      <c r="M8953" s="15"/>
    </row>
    <row r="8954" spans="1:13" s="166" customFormat="1" ht="12.75" customHeight="1">
      <c r="A8954" s="12" t="s">
        <v>1037</v>
      </c>
      <c r="B8954" s="434">
        <f>SUM(B8952:B8952)</f>
        <v>2.74</v>
      </c>
      <c r="C8954" s="24" t="s">
        <v>216</v>
      </c>
      <c r="D8954" s="41">
        <f>Prec.!C351</f>
        <v>535.15000000000009</v>
      </c>
      <c r="E8954" s="31">
        <f t="shared" si="807"/>
        <v>1466.3110000000004</v>
      </c>
      <c r="F8954" s="32"/>
      <c r="G8954" s="15"/>
      <c r="H8954" s="21"/>
      <c r="I8954" s="15"/>
      <c r="J8954" s="15"/>
      <c r="K8954" s="15"/>
      <c r="L8954" s="21"/>
      <c r="M8954" s="15"/>
    </row>
    <row r="8955" spans="1:13" s="166" customFormat="1" ht="12.75" customHeight="1">
      <c r="A8955" s="12" t="s">
        <v>1907</v>
      </c>
      <c r="B8955" s="434">
        <v>6.06</v>
      </c>
      <c r="C8955" s="24" t="s">
        <v>1171</v>
      </c>
      <c r="D8955" s="41">
        <f>D8946*1.05</f>
        <v>735</v>
      </c>
      <c r="E8955" s="31">
        <f t="shared" si="807"/>
        <v>4454.0999999999995</v>
      </c>
      <c r="F8955" s="32"/>
      <c r="G8955" s="15"/>
      <c r="H8955" s="21"/>
      <c r="I8955" s="15"/>
      <c r="J8955" s="15"/>
      <c r="K8955" s="15"/>
      <c r="L8955" s="21"/>
      <c r="M8955" s="15"/>
    </row>
    <row r="8956" spans="1:13" s="166" customFormat="1" ht="12.75" customHeight="1">
      <c r="A8956" s="12" t="s">
        <v>1688</v>
      </c>
      <c r="B8956" s="434">
        <v>1</v>
      </c>
      <c r="C8956" s="24" t="s">
        <v>825</v>
      </c>
      <c r="D8956" s="41">
        <f>D8947</f>
        <v>600.29999999999995</v>
      </c>
      <c r="E8956" s="31">
        <f t="shared" si="807"/>
        <v>600.29999999999995</v>
      </c>
      <c r="F8956" s="32"/>
      <c r="G8956" s="15"/>
      <c r="H8956" s="21"/>
      <c r="I8956" s="15"/>
      <c r="J8956" s="15"/>
      <c r="K8956" s="15"/>
      <c r="L8956" s="21"/>
      <c r="M8956" s="15"/>
    </row>
    <row r="8957" spans="1:13" s="166" customFormat="1" ht="12.75" customHeight="1">
      <c r="A8957" s="12" t="s">
        <v>208</v>
      </c>
      <c r="B8957" s="434">
        <f>SUM(E8951:E8953)</f>
        <v>16289.3</v>
      </c>
      <c r="C8957" s="24" t="s">
        <v>209</v>
      </c>
      <c r="D8957" s="41">
        <f>D8948</f>
        <v>0.02</v>
      </c>
      <c r="E8957" s="31">
        <f t="shared" si="807"/>
        <v>325.786</v>
      </c>
      <c r="F8957" s="32">
        <f>SUM(E8951:E8957)</f>
        <v>23135.796999999999</v>
      </c>
      <c r="G8957" s="15"/>
      <c r="H8957" s="21"/>
      <c r="I8957" s="15"/>
      <c r="J8957" s="15"/>
      <c r="K8957" s="15"/>
      <c r="L8957" s="21"/>
      <c r="M8957" s="15"/>
    </row>
    <row r="8958" spans="1:13" s="166" customFormat="1" ht="12.75" customHeight="1">
      <c r="A8958" s="12"/>
      <c r="B8958" s="434"/>
      <c r="C8958" s="24"/>
      <c r="D8958" s="41"/>
      <c r="E8958" s="31"/>
      <c r="F8958" s="32"/>
      <c r="G8958" s="15"/>
      <c r="H8958" s="21"/>
      <c r="I8958" s="15"/>
      <c r="J8958" s="15"/>
      <c r="K8958" s="15"/>
      <c r="L8958" s="21"/>
      <c r="M8958" s="15"/>
    </row>
    <row r="8959" spans="1:13" s="166" customFormat="1" ht="12.75" customHeight="1">
      <c r="A8959" s="13" t="s">
        <v>1927</v>
      </c>
      <c r="B8959" s="434"/>
      <c r="C8959" s="24"/>
      <c r="D8959" s="41"/>
      <c r="E8959" s="31"/>
      <c r="F8959" s="32"/>
      <c r="G8959" s="15"/>
      <c r="H8959" s="21"/>
      <c r="I8959" s="15"/>
      <c r="J8959" s="15"/>
      <c r="K8959" s="15"/>
      <c r="L8959" s="21"/>
      <c r="M8959" s="15"/>
    </row>
    <row r="8960" spans="1:13" s="166" customFormat="1" ht="12.75" customHeight="1">
      <c r="A8960" s="12" t="s">
        <v>1681</v>
      </c>
      <c r="B8960" s="434">
        <v>1.05</v>
      </c>
      <c r="C8960" s="24" t="s">
        <v>825</v>
      </c>
      <c r="D8960" s="41">
        <f>D8951</f>
        <v>6850</v>
      </c>
      <c r="E8960" s="31">
        <f t="shared" ref="E8960:E8966" si="809">B8960*D8960</f>
        <v>7192.5</v>
      </c>
      <c r="F8960" s="32"/>
      <c r="G8960" s="15"/>
      <c r="H8960" s="21"/>
      <c r="I8960" s="15"/>
      <c r="J8960" s="15"/>
      <c r="K8960" s="15"/>
      <c r="L8960" s="21"/>
      <c r="M8960" s="15"/>
    </row>
    <row r="8961" spans="1:13" s="166" customFormat="1" ht="12.75" customHeight="1">
      <c r="A8961" s="12" t="s">
        <v>1686</v>
      </c>
      <c r="B8961" s="434">
        <v>2.74</v>
      </c>
      <c r="C8961" s="24" t="s">
        <v>4</v>
      </c>
      <c r="D8961" s="41">
        <f t="shared" ref="D8961:D8962" si="810">D8952</f>
        <v>3200</v>
      </c>
      <c r="E8961" s="31">
        <f t="shared" si="809"/>
        <v>8768</v>
      </c>
      <c r="F8961" s="32"/>
      <c r="G8961" s="15"/>
      <c r="H8961" s="21"/>
      <c r="I8961" s="15"/>
      <c r="J8961" s="15"/>
      <c r="K8961" s="15"/>
      <c r="L8961" s="21"/>
      <c r="M8961" s="15"/>
    </row>
    <row r="8962" spans="1:13" s="166" customFormat="1" ht="12.75" customHeight="1">
      <c r="A8962" s="12" t="s">
        <v>1198</v>
      </c>
      <c r="B8962" s="434">
        <f>B8963*2</f>
        <v>5.48</v>
      </c>
      <c r="C8962" s="24" t="s">
        <v>1018</v>
      </c>
      <c r="D8962" s="41">
        <f t="shared" si="810"/>
        <v>60</v>
      </c>
      <c r="E8962" s="31">
        <f t="shared" si="809"/>
        <v>328.8</v>
      </c>
      <c r="F8962" s="32"/>
      <c r="G8962" s="15"/>
      <c r="H8962" s="21"/>
      <c r="I8962" s="15"/>
      <c r="J8962" s="15"/>
      <c r="K8962" s="15"/>
      <c r="L8962" s="21"/>
      <c r="M8962" s="15"/>
    </row>
    <row r="8963" spans="1:13" s="166" customFormat="1" ht="12.75" customHeight="1">
      <c r="A8963" s="12" t="s">
        <v>1037</v>
      </c>
      <c r="B8963" s="434">
        <f>SUM(B8961:B8961)</f>
        <v>2.74</v>
      </c>
      <c r="C8963" s="24" t="s">
        <v>216</v>
      </c>
      <c r="D8963" s="41">
        <f>Prec.!C352</f>
        <v>559.47499999999991</v>
      </c>
      <c r="E8963" s="31">
        <f t="shared" si="809"/>
        <v>1532.9614999999999</v>
      </c>
      <c r="F8963" s="32"/>
      <c r="G8963" s="15"/>
      <c r="H8963" s="21"/>
      <c r="I8963" s="15"/>
      <c r="J8963" s="15"/>
      <c r="K8963" s="15"/>
      <c r="L8963" s="21"/>
      <c r="M8963" s="15"/>
    </row>
    <row r="8964" spans="1:13" s="166" customFormat="1" ht="12.75" customHeight="1">
      <c r="A8964" s="12" t="s">
        <v>1907</v>
      </c>
      <c r="B8964" s="434">
        <v>6.06</v>
      </c>
      <c r="C8964" s="24" t="s">
        <v>1171</v>
      </c>
      <c r="D8964" s="41">
        <f>D8946*1.1</f>
        <v>770.00000000000011</v>
      </c>
      <c r="E8964" s="31">
        <f t="shared" si="809"/>
        <v>4666.2000000000007</v>
      </c>
      <c r="F8964" s="32"/>
      <c r="G8964" s="15"/>
      <c r="H8964" s="21"/>
      <c r="I8964" s="15"/>
      <c r="J8964" s="15"/>
      <c r="K8964" s="15"/>
      <c r="L8964" s="21"/>
      <c r="M8964" s="15"/>
    </row>
    <row r="8965" spans="1:13" s="166" customFormat="1" ht="12.75" customHeight="1">
      <c r="A8965" s="12" t="s">
        <v>1688</v>
      </c>
      <c r="B8965" s="434">
        <v>1</v>
      </c>
      <c r="C8965" s="24" t="s">
        <v>825</v>
      </c>
      <c r="D8965" s="41">
        <f>D8956</f>
        <v>600.29999999999995</v>
      </c>
      <c r="E8965" s="31">
        <f t="shared" si="809"/>
        <v>600.29999999999995</v>
      </c>
      <c r="F8965" s="32"/>
      <c r="G8965" s="15"/>
      <c r="H8965" s="21"/>
      <c r="I8965" s="15"/>
      <c r="J8965" s="15"/>
      <c r="K8965" s="15"/>
      <c r="L8965" s="21"/>
      <c r="M8965" s="15"/>
    </row>
    <row r="8966" spans="1:13" s="166" customFormat="1" ht="12.75" customHeight="1">
      <c r="A8966" s="12" t="s">
        <v>208</v>
      </c>
      <c r="B8966" s="434">
        <f>SUM(E8960:E8962)</f>
        <v>16289.3</v>
      </c>
      <c r="C8966" s="24" t="s">
        <v>209</v>
      </c>
      <c r="D8966" s="41">
        <f>D8957</f>
        <v>0.02</v>
      </c>
      <c r="E8966" s="31">
        <f t="shared" si="809"/>
        <v>325.786</v>
      </c>
      <c r="F8966" s="32">
        <f>SUM(E8960:E8966)</f>
        <v>23414.547500000001</v>
      </c>
      <c r="G8966" s="15"/>
      <c r="H8966" s="21"/>
      <c r="I8966" s="15"/>
      <c r="J8966" s="15"/>
      <c r="K8966" s="15"/>
      <c r="L8966" s="21"/>
      <c r="M8966" s="15"/>
    </row>
    <row r="8967" spans="1:13" s="166" customFormat="1" ht="12.75" customHeight="1">
      <c r="A8967" s="12"/>
      <c r="B8967" s="434"/>
      <c r="C8967" s="24"/>
      <c r="D8967" s="41"/>
      <c r="E8967" s="31"/>
      <c r="F8967" s="32"/>
      <c r="G8967" s="15"/>
      <c r="H8967" s="21"/>
      <c r="I8967" s="15"/>
      <c r="J8967" s="15"/>
      <c r="K8967" s="15"/>
      <c r="L8967" s="21"/>
      <c r="M8967" s="15"/>
    </row>
    <row r="8968" spans="1:13" s="166" customFormat="1" ht="12.75" customHeight="1">
      <c r="A8968" s="13" t="s">
        <v>1928</v>
      </c>
      <c r="B8968" s="434"/>
      <c r="C8968" s="24"/>
      <c r="D8968" s="41"/>
      <c r="E8968" s="31"/>
      <c r="F8968" s="32"/>
      <c r="G8968" s="15"/>
      <c r="H8968" s="21"/>
      <c r="I8968" s="15"/>
      <c r="J8968" s="15"/>
      <c r="K8968" s="15"/>
      <c r="L8968" s="21"/>
      <c r="M8968" s="15"/>
    </row>
    <row r="8969" spans="1:13" s="166" customFormat="1" ht="12.75" customHeight="1">
      <c r="A8969" s="12" t="s">
        <v>1681</v>
      </c>
      <c r="B8969" s="434">
        <v>1.05</v>
      </c>
      <c r="C8969" s="24" t="s">
        <v>825</v>
      </c>
      <c r="D8969" s="41">
        <f>D8960</f>
        <v>6850</v>
      </c>
      <c r="E8969" s="31">
        <f t="shared" ref="E8969:E8975" si="811">B8969*D8969</f>
        <v>7192.5</v>
      </c>
      <c r="F8969" s="32"/>
      <c r="G8969" s="15"/>
      <c r="H8969" s="21"/>
      <c r="I8969" s="15"/>
      <c r="J8969" s="15"/>
      <c r="K8969" s="15"/>
      <c r="L8969" s="21"/>
      <c r="M8969" s="15"/>
    </row>
    <row r="8970" spans="1:13" s="166" customFormat="1" ht="12.75" customHeight="1">
      <c r="A8970" s="12" t="s">
        <v>1686</v>
      </c>
      <c r="B8970" s="434">
        <v>2.74</v>
      </c>
      <c r="C8970" s="24" t="s">
        <v>4</v>
      </c>
      <c r="D8970" s="41">
        <f t="shared" ref="D8970:D8971" si="812">D8961</f>
        <v>3200</v>
      </c>
      <c r="E8970" s="31">
        <f t="shared" si="811"/>
        <v>8768</v>
      </c>
      <c r="F8970" s="32"/>
      <c r="G8970" s="15"/>
      <c r="H8970" s="21"/>
      <c r="I8970" s="15"/>
      <c r="J8970" s="15"/>
      <c r="K8970" s="15"/>
      <c r="L8970" s="21"/>
      <c r="M8970" s="15"/>
    </row>
    <row r="8971" spans="1:13" s="166" customFormat="1" ht="12.75" customHeight="1">
      <c r="A8971" s="12" t="s">
        <v>1198</v>
      </c>
      <c r="B8971" s="434">
        <f>B8972*2</f>
        <v>5.48</v>
      </c>
      <c r="C8971" s="24" t="s">
        <v>1018</v>
      </c>
      <c r="D8971" s="41">
        <f t="shared" si="812"/>
        <v>60</v>
      </c>
      <c r="E8971" s="31">
        <f t="shared" si="811"/>
        <v>328.8</v>
      </c>
      <c r="F8971" s="32"/>
      <c r="G8971" s="15"/>
      <c r="H8971" s="21"/>
      <c r="I8971" s="15"/>
      <c r="J8971" s="15"/>
      <c r="K8971" s="15"/>
      <c r="L8971" s="21"/>
      <c r="M8971" s="15"/>
    </row>
    <row r="8972" spans="1:13" s="166" customFormat="1" ht="12.75" customHeight="1">
      <c r="A8972" s="12" t="s">
        <v>1037</v>
      </c>
      <c r="B8972" s="434">
        <f>SUM(B8970:B8970)</f>
        <v>2.74</v>
      </c>
      <c r="C8972" s="24" t="s">
        <v>216</v>
      </c>
      <c r="D8972" s="41">
        <f>Prec.!C353</f>
        <v>583.79999999999995</v>
      </c>
      <c r="E8972" s="31">
        <f t="shared" si="811"/>
        <v>1599.6120000000001</v>
      </c>
      <c r="F8972" s="32"/>
      <c r="G8972" s="15"/>
      <c r="H8972" s="21"/>
      <c r="I8972" s="15"/>
      <c r="J8972" s="15"/>
      <c r="K8972" s="15"/>
      <c r="L8972" s="21"/>
      <c r="M8972" s="15"/>
    </row>
    <row r="8973" spans="1:13" s="166" customFormat="1" ht="12.75" customHeight="1">
      <c r="A8973" s="12" t="s">
        <v>1907</v>
      </c>
      <c r="B8973" s="434">
        <v>6.06</v>
      </c>
      <c r="C8973" s="24" t="s">
        <v>1171</v>
      </c>
      <c r="D8973" s="41">
        <f>D8946*1.15</f>
        <v>804.99999999999989</v>
      </c>
      <c r="E8973" s="31">
        <f t="shared" si="811"/>
        <v>4878.2999999999993</v>
      </c>
      <c r="F8973" s="32"/>
      <c r="G8973" s="15"/>
      <c r="H8973" s="21"/>
      <c r="I8973" s="15"/>
      <c r="J8973" s="15"/>
      <c r="K8973" s="15"/>
      <c r="L8973" s="21"/>
      <c r="M8973" s="15"/>
    </row>
    <row r="8974" spans="1:13" s="166" customFormat="1" ht="12.75" customHeight="1">
      <c r="A8974" s="12" t="s">
        <v>1688</v>
      </c>
      <c r="B8974" s="434">
        <v>1</v>
      </c>
      <c r="C8974" s="24" t="s">
        <v>825</v>
      </c>
      <c r="D8974" s="41">
        <f>D8965</f>
        <v>600.29999999999995</v>
      </c>
      <c r="E8974" s="31">
        <f t="shared" si="811"/>
        <v>600.29999999999995</v>
      </c>
      <c r="F8974" s="32"/>
      <c r="G8974" s="15"/>
      <c r="H8974" s="21"/>
      <c r="I8974" s="15"/>
      <c r="J8974" s="15"/>
      <c r="K8974" s="15"/>
      <c r="L8974" s="21"/>
      <c r="M8974" s="15"/>
    </row>
    <row r="8975" spans="1:13" s="166" customFormat="1" ht="12.75" customHeight="1">
      <c r="A8975" s="12" t="s">
        <v>208</v>
      </c>
      <c r="B8975" s="434">
        <f>SUM(E8969:E8971)</f>
        <v>16289.3</v>
      </c>
      <c r="C8975" s="24" t="s">
        <v>209</v>
      </c>
      <c r="D8975" s="41">
        <f>D8966</f>
        <v>0.02</v>
      </c>
      <c r="E8975" s="31">
        <f t="shared" si="811"/>
        <v>325.786</v>
      </c>
      <c r="F8975" s="32">
        <f>SUM(E8969:E8975)</f>
        <v>23693.297999999999</v>
      </c>
      <c r="G8975" s="15"/>
      <c r="H8975" s="21"/>
      <c r="I8975" s="15"/>
      <c r="J8975" s="15"/>
      <c r="K8975" s="15"/>
      <c r="L8975" s="21"/>
      <c r="M8975" s="15"/>
    </row>
    <row r="8976" spans="1:13" s="166" customFormat="1" ht="12.75" customHeight="1">
      <c r="A8976" s="12"/>
      <c r="B8976" s="434"/>
      <c r="C8976" s="24"/>
      <c r="D8976" s="41"/>
      <c r="E8976" s="31"/>
      <c r="F8976" s="32"/>
      <c r="G8976" s="15"/>
      <c r="H8976" s="21"/>
      <c r="I8976" s="15"/>
      <c r="J8976" s="15"/>
      <c r="K8976" s="15"/>
      <c r="L8976" s="21"/>
      <c r="M8976" s="15"/>
    </row>
    <row r="8977" spans="1:13" s="166" customFormat="1" ht="12.75" customHeight="1">
      <c r="A8977" s="13" t="s">
        <v>1929</v>
      </c>
      <c r="B8977" s="434"/>
      <c r="C8977" s="24"/>
      <c r="D8977" s="41"/>
      <c r="E8977" s="31"/>
      <c r="F8977" s="32"/>
      <c r="G8977" s="15"/>
      <c r="H8977" s="21"/>
      <c r="I8977" s="15"/>
      <c r="J8977" s="15"/>
      <c r="K8977" s="15"/>
      <c r="L8977" s="21"/>
      <c r="M8977" s="15"/>
    </row>
    <row r="8978" spans="1:13" s="166" customFormat="1" ht="12.75" customHeight="1">
      <c r="A8978" s="12" t="s">
        <v>1681</v>
      </c>
      <c r="B8978" s="434">
        <v>1.05</v>
      </c>
      <c r="C8978" s="24" t="s">
        <v>825</v>
      </c>
      <c r="D8978" s="41">
        <f>D8969</f>
        <v>6850</v>
      </c>
      <c r="E8978" s="31">
        <f t="shared" ref="E8978:E8984" si="813">B8978*D8978</f>
        <v>7192.5</v>
      </c>
      <c r="F8978" s="32"/>
      <c r="G8978" s="15"/>
      <c r="H8978" s="21"/>
      <c r="I8978" s="15"/>
      <c r="J8978" s="15"/>
      <c r="K8978" s="15"/>
      <c r="L8978" s="21"/>
      <c r="M8978" s="15"/>
    </row>
    <row r="8979" spans="1:13" s="166" customFormat="1" ht="12.75" customHeight="1">
      <c r="A8979" s="12" t="s">
        <v>1686</v>
      </c>
      <c r="B8979" s="434">
        <v>3.16</v>
      </c>
      <c r="C8979" s="24" t="s">
        <v>4</v>
      </c>
      <c r="D8979" s="41">
        <f t="shared" ref="D8979:D8980" si="814">D8970</f>
        <v>3200</v>
      </c>
      <c r="E8979" s="31">
        <f t="shared" si="813"/>
        <v>10112</v>
      </c>
      <c r="F8979" s="32"/>
      <c r="G8979" s="15"/>
      <c r="H8979" s="21"/>
      <c r="I8979" s="15"/>
      <c r="J8979" s="15"/>
      <c r="K8979" s="15"/>
      <c r="L8979" s="21"/>
      <c r="M8979" s="15"/>
    </row>
    <row r="8980" spans="1:13" s="166" customFormat="1" ht="12.75" customHeight="1">
      <c r="A8980" s="12" t="s">
        <v>1198</v>
      </c>
      <c r="B8980" s="434">
        <f>B8981*2</f>
        <v>6.32</v>
      </c>
      <c r="C8980" s="24" t="s">
        <v>1018</v>
      </c>
      <c r="D8980" s="41">
        <f t="shared" si="814"/>
        <v>60</v>
      </c>
      <c r="E8980" s="31">
        <f t="shared" si="813"/>
        <v>379.20000000000005</v>
      </c>
      <c r="F8980" s="32"/>
      <c r="G8980" s="15"/>
      <c r="H8980" s="21"/>
      <c r="I8980" s="15"/>
      <c r="J8980" s="15"/>
      <c r="K8980" s="15"/>
      <c r="L8980" s="21"/>
      <c r="M8980" s="15"/>
    </row>
    <row r="8981" spans="1:13" s="166" customFormat="1" ht="12.75" customHeight="1">
      <c r="A8981" s="12" t="s">
        <v>1037</v>
      </c>
      <c r="B8981" s="434">
        <f>SUM(B8979:B8979)</f>
        <v>3.16</v>
      </c>
      <c r="C8981" s="24" t="s">
        <v>216</v>
      </c>
      <c r="D8981" s="41">
        <f>Prec.!C354</f>
        <v>608.125</v>
      </c>
      <c r="E8981" s="31">
        <f t="shared" si="813"/>
        <v>1921.6750000000002</v>
      </c>
      <c r="F8981" s="32"/>
      <c r="G8981" s="15"/>
      <c r="H8981" s="21"/>
      <c r="I8981" s="15"/>
      <c r="J8981" s="15"/>
      <c r="K8981" s="15"/>
      <c r="L8981" s="21"/>
      <c r="M8981" s="15"/>
    </row>
    <row r="8982" spans="1:13" s="166" customFormat="1" ht="12.75" customHeight="1">
      <c r="A8982" s="12" t="s">
        <v>1907</v>
      </c>
      <c r="B8982" s="434">
        <v>6.06</v>
      </c>
      <c r="C8982" s="24" t="s">
        <v>1171</v>
      </c>
      <c r="D8982" s="41">
        <f>D8946*1.2</f>
        <v>840</v>
      </c>
      <c r="E8982" s="31">
        <f t="shared" si="813"/>
        <v>5090.3999999999996</v>
      </c>
      <c r="F8982" s="32"/>
      <c r="G8982" s="15"/>
      <c r="H8982" s="21"/>
      <c r="I8982" s="15"/>
      <c r="J8982" s="15"/>
      <c r="K8982" s="15"/>
      <c r="L8982" s="21"/>
      <c r="M8982" s="15"/>
    </row>
    <row r="8983" spans="1:13" s="166" customFormat="1" ht="12.75" customHeight="1">
      <c r="A8983" s="12" t="s">
        <v>1688</v>
      </c>
      <c r="B8983" s="434">
        <v>1</v>
      </c>
      <c r="C8983" s="24" t="s">
        <v>825</v>
      </c>
      <c r="D8983" s="41">
        <f>D8974</f>
        <v>600.29999999999995</v>
      </c>
      <c r="E8983" s="31">
        <f t="shared" si="813"/>
        <v>600.29999999999995</v>
      </c>
      <c r="F8983" s="32"/>
      <c r="G8983" s="15"/>
      <c r="H8983" s="21"/>
      <c r="I8983" s="15"/>
      <c r="J8983" s="15"/>
      <c r="K8983" s="15"/>
      <c r="L8983" s="21"/>
      <c r="M8983" s="15"/>
    </row>
    <row r="8984" spans="1:13" s="166" customFormat="1" ht="12.75" customHeight="1">
      <c r="A8984" s="12" t="s">
        <v>208</v>
      </c>
      <c r="B8984" s="434">
        <f>SUM(E8978:E8980)</f>
        <v>17683.7</v>
      </c>
      <c r="C8984" s="24" t="s">
        <v>209</v>
      </c>
      <c r="D8984" s="41">
        <f>D8975</f>
        <v>0.02</v>
      </c>
      <c r="E8984" s="31">
        <f t="shared" si="813"/>
        <v>353.67400000000004</v>
      </c>
      <c r="F8984" s="32">
        <f>SUM(E8978:E8984)</f>
        <v>25649.749</v>
      </c>
      <c r="G8984" s="15"/>
      <c r="H8984" s="21"/>
      <c r="I8984" s="15"/>
      <c r="J8984" s="15"/>
      <c r="K8984" s="15"/>
      <c r="L8984" s="21"/>
      <c r="M8984" s="15"/>
    </row>
    <row r="8985" spans="1:13" s="166" customFormat="1" ht="12.75" customHeight="1">
      <c r="A8985" s="12"/>
      <c r="B8985" s="434"/>
      <c r="C8985" s="24"/>
      <c r="D8985" s="41"/>
      <c r="E8985" s="31"/>
      <c r="F8985" s="32"/>
      <c r="G8985" s="15"/>
      <c r="H8985" s="21"/>
      <c r="I8985" s="15"/>
      <c r="J8985" s="15"/>
      <c r="K8985" s="15"/>
      <c r="L8985" s="21"/>
      <c r="M8985" s="15"/>
    </row>
    <row r="8986" spans="1:13" s="166" customFormat="1" ht="12.75" customHeight="1">
      <c r="A8986" s="13" t="s">
        <v>1902</v>
      </c>
      <c r="B8986" s="434"/>
      <c r="C8986" s="24"/>
      <c r="D8986" s="41"/>
      <c r="E8986" s="31"/>
      <c r="F8986" s="32"/>
      <c r="G8986" s="15"/>
      <c r="H8986" s="21"/>
      <c r="I8986" s="15"/>
      <c r="J8986" s="15"/>
      <c r="K8986" s="15"/>
      <c r="L8986" s="21"/>
      <c r="M8986" s="15"/>
    </row>
    <row r="8987" spans="1:13" s="166" customFormat="1" ht="12.75" customHeight="1">
      <c r="A8987" s="12" t="s">
        <v>1681</v>
      </c>
      <c r="B8987" s="434">
        <v>1.05</v>
      </c>
      <c r="C8987" s="24" t="s">
        <v>825</v>
      </c>
      <c r="D8987" s="41">
        <f>D8942</f>
        <v>6850</v>
      </c>
      <c r="E8987" s="31">
        <f t="shared" ref="E8987:E8993" si="815">B8987*D8987</f>
        <v>7192.5</v>
      </c>
      <c r="F8987" s="32"/>
      <c r="G8987" s="15"/>
      <c r="H8987" s="21"/>
      <c r="I8987" s="15"/>
      <c r="J8987" s="15"/>
      <c r="K8987" s="15"/>
      <c r="L8987" s="21"/>
      <c r="M8987" s="15"/>
    </row>
    <row r="8988" spans="1:13" s="166" customFormat="1" ht="12.75" customHeight="1">
      <c r="A8988" s="12" t="s">
        <v>1686</v>
      </c>
      <c r="B8988" s="434">
        <v>4.41</v>
      </c>
      <c r="C8988" s="24" t="s">
        <v>4</v>
      </c>
      <c r="D8988" s="41">
        <f>D8943</f>
        <v>3200</v>
      </c>
      <c r="E8988" s="31">
        <f t="shared" si="815"/>
        <v>14112</v>
      </c>
      <c r="F8988" s="32"/>
      <c r="G8988" s="15"/>
      <c r="H8988" s="21"/>
      <c r="I8988" s="15"/>
      <c r="J8988" s="15"/>
      <c r="K8988" s="15"/>
      <c r="L8988" s="21"/>
      <c r="M8988" s="15"/>
    </row>
    <row r="8989" spans="1:13" s="166" customFormat="1" ht="12.75" customHeight="1">
      <c r="A8989" s="12" t="s">
        <v>1198</v>
      </c>
      <c r="B8989" s="434">
        <f>B8990*2</f>
        <v>8.82</v>
      </c>
      <c r="C8989" s="24" t="s">
        <v>1018</v>
      </c>
      <c r="D8989" s="41">
        <f>D8944</f>
        <v>60</v>
      </c>
      <c r="E8989" s="31">
        <f t="shared" si="815"/>
        <v>529.20000000000005</v>
      </c>
      <c r="F8989" s="32"/>
      <c r="G8989" s="15"/>
      <c r="H8989" s="21"/>
      <c r="I8989" s="15"/>
      <c r="J8989" s="15"/>
      <c r="K8989" s="15"/>
      <c r="L8989" s="21"/>
      <c r="M8989" s="15"/>
    </row>
    <row r="8990" spans="1:13" s="166" customFormat="1" ht="12.75" customHeight="1">
      <c r="A8990" s="12" t="s">
        <v>1037</v>
      </c>
      <c r="B8990" s="434">
        <f>SUM(B8988:B8988)</f>
        <v>4.41</v>
      </c>
      <c r="C8990" s="24" t="s">
        <v>216</v>
      </c>
      <c r="D8990" s="41">
        <f>D8945</f>
        <v>486.5</v>
      </c>
      <c r="E8990" s="31">
        <f t="shared" si="815"/>
        <v>2145.4650000000001</v>
      </c>
      <c r="F8990" s="32"/>
      <c r="G8990" s="15"/>
      <c r="H8990" s="21"/>
      <c r="I8990" s="15"/>
      <c r="J8990" s="15"/>
      <c r="K8990" s="15"/>
      <c r="L8990" s="21"/>
      <c r="M8990" s="15"/>
    </row>
    <row r="8991" spans="1:13" s="166" customFormat="1" ht="12.75" customHeight="1">
      <c r="A8991" s="12" t="s">
        <v>1907</v>
      </c>
      <c r="B8991" s="434">
        <v>6.06</v>
      </c>
      <c r="C8991" s="24" t="s">
        <v>1171</v>
      </c>
      <c r="D8991" s="41">
        <v>700</v>
      </c>
      <c r="E8991" s="31">
        <f t="shared" si="815"/>
        <v>4242</v>
      </c>
      <c r="F8991" s="32"/>
      <c r="G8991" s="15"/>
      <c r="H8991" s="21"/>
      <c r="I8991" s="15"/>
      <c r="J8991" s="15"/>
      <c r="K8991" s="15"/>
      <c r="L8991" s="21"/>
      <c r="M8991" s="15"/>
    </row>
    <row r="8992" spans="1:13" s="166" customFormat="1" ht="12.75" customHeight="1">
      <c r="A8992" s="12" t="s">
        <v>1688</v>
      </c>
      <c r="B8992" s="434">
        <v>1</v>
      </c>
      <c r="C8992" s="24" t="s">
        <v>825</v>
      </c>
      <c r="D8992" s="41">
        <f>D8947</f>
        <v>600.29999999999995</v>
      </c>
      <c r="E8992" s="31">
        <f t="shared" si="815"/>
        <v>600.29999999999995</v>
      </c>
      <c r="F8992" s="32"/>
      <c r="G8992" s="15"/>
      <c r="H8992" s="21"/>
      <c r="I8992" s="15"/>
      <c r="J8992" s="15"/>
      <c r="K8992" s="15"/>
      <c r="L8992" s="21"/>
      <c r="M8992" s="15"/>
    </row>
    <row r="8993" spans="1:13" s="166" customFormat="1" ht="12.75" customHeight="1">
      <c r="A8993" s="12" t="s">
        <v>208</v>
      </c>
      <c r="B8993" s="434">
        <f>SUM(E8987:E8989)</f>
        <v>21833.7</v>
      </c>
      <c r="C8993" s="24" t="s">
        <v>209</v>
      </c>
      <c r="D8993" s="41">
        <f>D8948</f>
        <v>0.02</v>
      </c>
      <c r="E8993" s="31">
        <f t="shared" si="815"/>
        <v>436.67400000000004</v>
      </c>
      <c r="F8993" s="32">
        <f>SUM(E8987:E8993)</f>
        <v>29258.138999999999</v>
      </c>
      <c r="G8993" s="15"/>
      <c r="H8993" s="21"/>
      <c r="I8993" s="15"/>
      <c r="J8993" s="15"/>
      <c r="K8993" s="15"/>
      <c r="L8993" s="21"/>
      <c r="M8993" s="15"/>
    </row>
    <row r="8994" spans="1:13" s="166" customFormat="1" ht="12.75" customHeight="1">
      <c r="A8994" s="12"/>
      <c r="B8994" s="434"/>
      <c r="C8994" s="24"/>
      <c r="D8994" s="41"/>
      <c r="E8994" s="31"/>
      <c r="F8994" s="32"/>
      <c r="G8994" s="15"/>
      <c r="H8994" s="21"/>
      <c r="I8994" s="15"/>
      <c r="J8994" s="15"/>
      <c r="K8994" s="15"/>
      <c r="L8994" s="21"/>
      <c r="M8994" s="15"/>
    </row>
    <row r="8995" spans="1:13" s="166" customFormat="1" ht="12.75" customHeight="1">
      <c r="A8995" s="13" t="s">
        <v>1930</v>
      </c>
      <c r="B8995" s="434"/>
      <c r="C8995" s="24"/>
      <c r="D8995" s="41"/>
      <c r="E8995" s="31"/>
      <c r="F8995" s="32"/>
      <c r="G8995" s="15"/>
      <c r="H8995" s="21"/>
      <c r="I8995" s="15"/>
      <c r="J8995" s="15"/>
      <c r="K8995" s="15"/>
      <c r="L8995" s="21"/>
      <c r="M8995" s="15"/>
    </row>
    <row r="8996" spans="1:13" s="166" customFormat="1" ht="12.75" customHeight="1">
      <c r="A8996" s="12" t="s">
        <v>1681</v>
      </c>
      <c r="B8996" s="434">
        <v>1.05</v>
      </c>
      <c r="C8996" s="24" t="s">
        <v>825</v>
      </c>
      <c r="D8996" s="41">
        <f>D8987</f>
        <v>6850</v>
      </c>
      <c r="E8996" s="31">
        <f t="shared" ref="E8996:E9002" si="816">B8996*D8996</f>
        <v>7192.5</v>
      </c>
      <c r="F8996" s="32"/>
      <c r="G8996" s="15"/>
      <c r="H8996" s="21"/>
      <c r="I8996" s="15"/>
      <c r="J8996" s="15"/>
      <c r="K8996" s="15"/>
      <c r="L8996" s="21"/>
      <c r="M8996" s="15"/>
    </row>
    <row r="8997" spans="1:13" s="166" customFormat="1" ht="12.75" customHeight="1">
      <c r="A8997" s="12" t="s">
        <v>1686</v>
      </c>
      <c r="B8997" s="434">
        <v>4.41</v>
      </c>
      <c r="C8997" s="24" t="s">
        <v>4</v>
      </c>
      <c r="D8997" s="41">
        <f t="shared" ref="D8997:D9002" si="817">D8988</f>
        <v>3200</v>
      </c>
      <c r="E8997" s="31">
        <f t="shared" si="816"/>
        <v>14112</v>
      </c>
      <c r="F8997" s="32"/>
      <c r="G8997" s="15"/>
      <c r="H8997" s="21"/>
      <c r="I8997" s="15"/>
      <c r="J8997" s="15"/>
      <c r="K8997" s="15"/>
      <c r="L8997" s="21"/>
      <c r="M8997" s="15"/>
    </row>
    <row r="8998" spans="1:13" s="166" customFormat="1" ht="12.75" customHeight="1">
      <c r="A8998" s="12" t="s">
        <v>1198</v>
      </c>
      <c r="B8998" s="434">
        <f>B8999*2</f>
        <v>8.82</v>
      </c>
      <c r="C8998" s="24" t="s">
        <v>1018</v>
      </c>
      <c r="D8998" s="41">
        <f t="shared" si="817"/>
        <v>60</v>
      </c>
      <c r="E8998" s="31">
        <f t="shared" si="816"/>
        <v>529.20000000000005</v>
      </c>
      <c r="F8998" s="32"/>
      <c r="G8998" s="15"/>
      <c r="H8998" s="21"/>
      <c r="I8998" s="15"/>
      <c r="J8998" s="15"/>
      <c r="K8998" s="15"/>
      <c r="L8998" s="21"/>
      <c r="M8998" s="15"/>
    </row>
    <row r="8999" spans="1:13" s="166" customFormat="1" ht="12.75" customHeight="1">
      <c r="A8999" s="12" t="s">
        <v>1037</v>
      </c>
      <c r="B8999" s="434">
        <f>SUM(B8997:B8997)</f>
        <v>4.41</v>
      </c>
      <c r="C8999" s="24" t="s">
        <v>216</v>
      </c>
      <c r="D8999" s="41">
        <f>Prec.!C351</f>
        <v>535.15000000000009</v>
      </c>
      <c r="E8999" s="31">
        <f t="shared" si="816"/>
        <v>2360.0115000000005</v>
      </c>
      <c r="F8999" s="32"/>
      <c r="G8999" s="15"/>
      <c r="H8999" s="21"/>
      <c r="I8999" s="15"/>
      <c r="J8999" s="15"/>
      <c r="K8999" s="15"/>
      <c r="L8999" s="21"/>
      <c r="M8999" s="15"/>
    </row>
    <row r="9000" spans="1:13" s="166" customFormat="1" ht="12.75" customHeight="1">
      <c r="A9000" s="12" t="s">
        <v>1907</v>
      </c>
      <c r="B9000" s="434">
        <v>6.06</v>
      </c>
      <c r="C9000" s="24" t="s">
        <v>1171</v>
      </c>
      <c r="D9000" s="41">
        <f>D8991*1.05</f>
        <v>735</v>
      </c>
      <c r="E9000" s="31">
        <f t="shared" si="816"/>
        <v>4454.0999999999995</v>
      </c>
      <c r="F9000" s="32"/>
      <c r="G9000" s="15"/>
      <c r="H9000" s="21"/>
      <c r="I9000" s="15"/>
      <c r="J9000" s="15"/>
      <c r="K9000" s="15"/>
      <c r="L9000" s="21"/>
      <c r="M9000" s="15"/>
    </row>
    <row r="9001" spans="1:13" s="166" customFormat="1" ht="12.75" customHeight="1">
      <c r="A9001" s="12" t="s">
        <v>1688</v>
      </c>
      <c r="B9001" s="434">
        <v>1</v>
      </c>
      <c r="C9001" s="24" t="s">
        <v>825</v>
      </c>
      <c r="D9001" s="41">
        <f t="shared" si="817"/>
        <v>600.29999999999995</v>
      </c>
      <c r="E9001" s="31">
        <f t="shared" si="816"/>
        <v>600.29999999999995</v>
      </c>
      <c r="F9001" s="32"/>
      <c r="G9001" s="15"/>
      <c r="H9001" s="21"/>
      <c r="I9001" s="15"/>
      <c r="J9001" s="15"/>
      <c r="K9001" s="15"/>
      <c r="L9001" s="21"/>
      <c r="M9001" s="15"/>
    </row>
    <row r="9002" spans="1:13" s="166" customFormat="1" ht="12.75" customHeight="1">
      <c r="A9002" s="12" t="s">
        <v>208</v>
      </c>
      <c r="B9002" s="434">
        <f>SUM(E8996:E8998)</f>
        <v>21833.7</v>
      </c>
      <c r="C9002" s="24" t="s">
        <v>209</v>
      </c>
      <c r="D9002" s="41">
        <f t="shared" si="817"/>
        <v>0.02</v>
      </c>
      <c r="E9002" s="31">
        <f t="shared" si="816"/>
        <v>436.67400000000004</v>
      </c>
      <c r="F9002" s="32">
        <f>SUM(E8996:E9002)</f>
        <v>29684.785499999998</v>
      </c>
      <c r="G9002" s="15"/>
      <c r="H9002" s="21"/>
      <c r="I9002" s="15"/>
      <c r="J9002" s="15"/>
      <c r="K9002" s="15"/>
      <c r="L9002" s="21"/>
      <c r="M9002" s="15"/>
    </row>
    <row r="9003" spans="1:13" s="166" customFormat="1" ht="12.75" customHeight="1">
      <c r="A9003" s="12"/>
      <c r="B9003" s="434"/>
      <c r="C9003" s="24"/>
      <c r="D9003" s="41"/>
      <c r="E9003" s="31"/>
      <c r="F9003" s="32"/>
      <c r="G9003" s="15"/>
      <c r="H9003" s="21"/>
      <c r="I9003" s="15"/>
      <c r="J9003" s="15"/>
      <c r="K9003" s="15"/>
      <c r="L9003" s="21"/>
      <c r="M9003" s="15"/>
    </row>
    <row r="9004" spans="1:13" s="166" customFormat="1" ht="12.75" customHeight="1">
      <c r="A9004" s="13" t="s">
        <v>1931</v>
      </c>
      <c r="B9004" s="434"/>
      <c r="C9004" s="24"/>
      <c r="D9004" s="41"/>
      <c r="E9004" s="31"/>
      <c r="F9004" s="32"/>
      <c r="G9004" s="15"/>
      <c r="H9004" s="21"/>
      <c r="I9004" s="15"/>
      <c r="J9004" s="15"/>
      <c r="K9004" s="15"/>
      <c r="L9004" s="21"/>
      <c r="M9004" s="15"/>
    </row>
    <row r="9005" spans="1:13" s="166" customFormat="1" ht="12.75" customHeight="1">
      <c r="A9005" s="12" t="s">
        <v>1681</v>
      </c>
      <c r="B9005" s="434">
        <v>1.05</v>
      </c>
      <c r="C9005" s="24" t="s">
        <v>825</v>
      </c>
      <c r="D9005" s="41">
        <f>D8996</f>
        <v>6850</v>
      </c>
      <c r="E9005" s="31">
        <f t="shared" ref="E9005:E9011" si="818">B9005*D9005</f>
        <v>7192.5</v>
      </c>
      <c r="F9005" s="32"/>
      <c r="G9005" s="15"/>
      <c r="H9005" s="21"/>
      <c r="I9005" s="15"/>
      <c r="J9005" s="15"/>
      <c r="K9005" s="15"/>
      <c r="L9005" s="21"/>
      <c r="M9005" s="15"/>
    </row>
    <row r="9006" spans="1:13" s="166" customFormat="1" ht="12.75" customHeight="1">
      <c r="A9006" s="12" t="s">
        <v>1686</v>
      </c>
      <c r="B9006" s="434">
        <v>4.41</v>
      </c>
      <c r="C9006" s="24" t="s">
        <v>4</v>
      </c>
      <c r="D9006" s="41">
        <f t="shared" ref="D9006:D9011" si="819">D8997</f>
        <v>3200</v>
      </c>
      <c r="E9006" s="31">
        <f t="shared" si="818"/>
        <v>14112</v>
      </c>
      <c r="F9006" s="32"/>
      <c r="G9006" s="15"/>
      <c r="H9006" s="21"/>
      <c r="I9006" s="15"/>
      <c r="J9006" s="15"/>
      <c r="K9006" s="15"/>
      <c r="L9006" s="21"/>
      <c r="M9006" s="15"/>
    </row>
    <row r="9007" spans="1:13" s="166" customFormat="1" ht="12.75" customHeight="1">
      <c r="A9007" s="12" t="s">
        <v>1198</v>
      </c>
      <c r="B9007" s="434">
        <f>B9008*2</f>
        <v>8.82</v>
      </c>
      <c r="C9007" s="24" t="s">
        <v>1018</v>
      </c>
      <c r="D9007" s="41">
        <f t="shared" si="819"/>
        <v>60</v>
      </c>
      <c r="E9007" s="31">
        <f t="shared" si="818"/>
        <v>529.20000000000005</v>
      </c>
      <c r="F9007" s="32"/>
      <c r="G9007" s="15"/>
      <c r="H9007" s="21"/>
      <c r="I9007" s="15"/>
      <c r="J9007" s="15"/>
      <c r="K9007" s="15"/>
      <c r="L9007" s="21"/>
      <c r="M9007" s="15"/>
    </row>
    <row r="9008" spans="1:13" s="166" customFormat="1" ht="12.75" customHeight="1">
      <c r="A9008" s="12" t="s">
        <v>1037</v>
      </c>
      <c r="B9008" s="434">
        <f>SUM(B9006:B9006)</f>
        <v>4.41</v>
      </c>
      <c r="C9008" s="24" t="s">
        <v>216</v>
      </c>
      <c r="D9008" s="41">
        <f>Prec.!C352</f>
        <v>559.47499999999991</v>
      </c>
      <c r="E9008" s="31">
        <f t="shared" si="818"/>
        <v>2467.2847499999998</v>
      </c>
      <c r="F9008" s="32"/>
      <c r="G9008" s="15"/>
      <c r="H9008" s="21"/>
      <c r="I9008" s="15"/>
      <c r="J9008" s="15"/>
      <c r="K9008" s="15"/>
      <c r="L9008" s="21"/>
      <c r="M9008" s="15"/>
    </row>
    <row r="9009" spans="1:13" s="166" customFormat="1" ht="12.75" customHeight="1">
      <c r="A9009" s="12" t="s">
        <v>1907</v>
      </c>
      <c r="B9009" s="434">
        <v>6.06</v>
      </c>
      <c r="C9009" s="24" t="s">
        <v>1171</v>
      </c>
      <c r="D9009" s="41">
        <f>D8991*1.1</f>
        <v>770.00000000000011</v>
      </c>
      <c r="E9009" s="31">
        <f t="shared" si="818"/>
        <v>4666.2000000000007</v>
      </c>
      <c r="F9009" s="32"/>
      <c r="G9009" s="15"/>
      <c r="H9009" s="21"/>
      <c r="I9009" s="15"/>
      <c r="J9009" s="15"/>
      <c r="K9009" s="15"/>
      <c r="L9009" s="21"/>
      <c r="M9009" s="15"/>
    </row>
    <row r="9010" spans="1:13" s="166" customFormat="1" ht="12.75" customHeight="1">
      <c r="A9010" s="12" t="s">
        <v>1688</v>
      </c>
      <c r="B9010" s="434">
        <v>1</v>
      </c>
      <c r="C9010" s="24" t="s">
        <v>825</v>
      </c>
      <c r="D9010" s="41">
        <f t="shared" si="819"/>
        <v>600.29999999999995</v>
      </c>
      <c r="E9010" s="31">
        <f t="shared" si="818"/>
        <v>600.29999999999995</v>
      </c>
      <c r="F9010" s="32"/>
      <c r="G9010" s="15"/>
      <c r="H9010" s="21"/>
      <c r="I9010" s="15"/>
      <c r="J9010" s="15"/>
      <c r="K9010" s="15"/>
      <c r="L9010" s="21"/>
      <c r="M9010" s="15"/>
    </row>
    <row r="9011" spans="1:13" s="166" customFormat="1" ht="12.75" customHeight="1">
      <c r="A9011" s="12" t="s">
        <v>208</v>
      </c>
      <c r="B9011" s="434">
        <f>SUM(E9005:E9007)</f>
        <v>21833.7</v>
      </c>
      <c r="C9011" s="24" t="s">
        <v>209</v>
      </c>
      <c r="D9011" s="41">
        <f t="shared" si="819"/>
        <v>0.02</v>
      </c>
      <c r="E9011" s="31">
        <f t="shared" si="818"/>
        <v>436.67400000000004</v>
      </c>
      <c r="F9011" s="32">
        <f>SUM(E9005:E9011)</f>
        <v>30004.158749999999</v>
      </c>
      <c r="G9011" s="15"/>
      <c r="H9011" s="21"/>
      <c r="I9011" s="15"/>
      <c r="J9011" s="15"/>
      <c r="K9011" s="15"/>
      <c r="L9011" s="21"/>
      <c r="M9011" s="15"/>
    </row>
    <row r="9012" spans="1:13" s="166" customFormat="1" ht="12.75" customHeight="1">
      <c r="A9012" s="12"/>
      <c r="B9012" s="434"/>
      <c r="C9012" s="24"/>
      <c r="D9012" s="41"/>
      <c r="E9012" s="31"/>
      <c r="F9012" s="32"/>
      <c r="G9012" s="15"/>
      <c r="H9012" s="21"/>
      <c r="I9012" s="15"/>
      <c r="J9012" s="15"/>
      <c r="K9012" s="15"/>
      <c r="L9012" s="21"/>
      <c r="M9012" s="15"/>
    </row>
    <row r="9013" spans="1:13" s="166" customFormat="1" ht="12.75" customHeight="1">
      <c r="A9013" s="13" t="s">
        <v>1932</v>
      </c>
      <c r="B9013" s="434"/>
      <c r="C9013" s="24"/>
      <c r="D9013" s="41"/>
      <c r="E9013" s="31"/>
      <c r="F9013" s="32"/>
      <c r="G9013" s="15"/>
      <c r="H9013" s="21"/>
      <c r="I9013" s="15"/>
      <c r="J9013" s="15"/>
      <c r="K9013" s="15"/>
      <c r="L9013" s="21"/>
      <c r="M9013" s="15"/>
    </row>
    <row r="9014" spans="1:13" s="166" customFormat="1" ht="12.75" customHeight="1">
      <c r="A9014" s="12" t="s">
        <v>1681</v>
      </c>
      <c r="B9014" s="434">
        <v>1.05</v>
      </c>
      <c r="C9014" s="24" t="s">
        <v>825</v>
      </c>
      <c r="D9014" s="41">
        <f>D9005</f>
        <v>6850</v>
      </c>
      <c r="E9014" s="31">
        <f t="shared" ref="E9014:E9020" si="820">B9014*D9014</f>
        <v>7192.5</v>
      </c>
      <c r="F9014" s="32"/>
      <c r="G9014" s="15"/>
      <c r="H9014" s="21"/>
      <c r="I9014" s="15"/>
      <c r="J9014" s="15"/>
      <c r="K9014" s="15"/>
      <c r="L9014" s="21"/>
      <c r="M9014" s="15"/>
    </row>
    <row r="9015" spans="1:13" s="166" customFormat="1" ht="12.75" customHeight="1">
      <c r="A9015" s="12" t="s">
        <v>1686</v>
      </c>
      <c r="B9015" s="434">
        <v>4.41</v>
      </c>
      <c r="C9015" s="24" t="s">
        <v>4</v>
      </c>
      <c r="D9015" s="41">
        <f t="shared" ref="D9015:D9020" si="821">D9006</f>
        <v>3200</v>
      </c>
      <c r="E9015" s="31">
        <f t="shared" si="820"/>
        <v>14112</v>
      </c>
      <c r="F9015" s="32"/>
      <c r="G9015" s="15"/>
      <c r="H9015" s="21"/>
      <c r="I9015" s="15"/>
      <c r="J9015" s="15"/>
      <c r="K9015" s="15"/>
      <c r="L9015" s="21"/>
      <c r="M9015" s="15"/>
    </row>
    <row r="9016" spans="1:13" s="166" customFormat="1" ht="12.75" customHeight="1">
      <c r="A9016" s="12" t="s">
        <v>1198</v>
      </c>
      <c r="B9016" s="434">
        <f>B9017*2</f>
        <v>8.82</v>
      </c>
      <c r="C9016" s="24" t="s">
        <v>1018</v>
      </c>
      <c r="D9016" s="41">
        <f t="shared" si="821"/>
        <v>60</v>
      </c>
      <c r="E9016" s="31">
        <f t="shared" si="820"/>
        <v>529.20000000000005</v>
      </c>
      <c r="F9016" s="32"/>
      <c r="G9016" s="15"/>
      <c r="H9016" s="21"/>
      <c r="I9016" s="15"/>
      <c r="J9016" s="15"/>
      <c r="K9016" s="15"/>
      <c r="L9016" s="21"/>
      <c r="M9016" s="15"/>
    </row>
    <row r="9017" spans="1:13" s="166" customFormat="1" ht="12.75" customHeight="1">
      <c r="A9017" s="12" t="s">
        <v>1037</v>
      </c>
      <c r="B9017" s="434">
        <f>SUM(B9015:B9015)</f>
        <v>4.41</v>
      </c>
      <c r="C9017" s="24" t="s">
        <v>216</v>
      </c>
      <c r="D9017" s="41">
        <f>Prec.!C353</f>
        <v>583.79999999999995</v>
      </c>
      <c r="E9017" s="31">
        <f t="shared" si="820"/>
        <v>2574.558</v>
      </c>
      <c r="F9017" s="32"/>
      <c r="G9017" s="15"/>
      <c r="H9017" s="21"/>
      <c r="I9017" s="15"/>
      <c r="J9017" s="15"/>
      <c r="K9017" s="15"/>
      <c r="L9017" s="21"/>
      <c r="M9017" s="15"/>
    </row>
    <row r="9018" spans="1:13" s="166" customFormat="1" ht="12.75" customHeight="1">
      <c r="A9018" s="12" t="s">
        <v>1907</v>
      </c>
      <c r="B9018" s="434">
        <v>6.06</v>
      </c>
      <c r="C9018" s="24" t="s">
        <v>1171</v>
      </c>
      <c r="D9018" s="41">
        <f>D8991*1.15</f>
        <v>804.99999999999989</v>
      </c>
      <c r="E9018" s="31">
        <f t="shared" si="820"/>
        <v>4878.2999999999993</v>
      </c>
      <c r="F9018" s="32"/>
      <c r="G9018" s="15"/>
      <c r="H9018" s="21"/>
      <c r="I9018" s="15"/>
      <c r="J9018" s="15"/>
      <c r="K9018" s="15"/>
      <c r="L9018" s="21"/>
      <c r="M9018" s="15"/>
    </row>
    <row r="9019" spans="1:13" s="166" customFormat="1" ht="12.75" customHeight="1">
      <c r="A9019" s="12" t="s">
        <v>1688</v>
      </c>
      <c r="B9019" s="434">
        <v>1</v>
      </c>
      <c r="C9019" s="24" t="s">
        <v>825</v>
      </c>
      <c r="D9019" s="41">
        <f t="shared" si="821"/>
        <v>600.29999999999995</v>
      </c>
      <c r="E9019" s="31">
        <f t="shared" si="820"/>
        <v>600.29999999999995</v>
      </c>
      <c r="F9019" s="32"/>
      <c r="G9019" s="15"/>
      <c r="H9019" s="21"/>
      <c r="I9019" s="15"/>
      <c r="J9019" s="15"/>
      <c r="K9019" s="15"/>
      <c r="L9019" s="21"/>
      <c r="M9019" s="15"/>
    </row>
    <row r="9020" spans="1:13" s="166" customFormat="1" ht="12.75" customHeight="1">
      <c r="A9020" s="12" t="s">
        <v>208</v>
      </c>
      <c r="B9020" s="434">
        <f>SUM(E9014:E9016)</f>
        <v>21833.7</v>
      </c>
      <c r="C9020" s="24" t="s">
        <v>209</v>
      </c>
      <c r="D9020" s="41">
        <f t="shared" si="821"/>
        <v>0.02</v>
      </c>
      <c r="E9020" s="31">
        <f t="shared" si="820"/>
        <v>436.67400000000004</v>
      </c>
      <c r="F9020" s="32">
        <f>SUM(E9014:E9020)</f>
        <v>30323.531999999999</v>
      </c>
      <c r="G9020" s="15"/>
      <c r="H9020" s="21"/>
      <c r="I9020" s="15"/>
      <c r="J9020" s="15"/>
      <c r="K9020" s="15"/>
      <c r="L9020" s="21"/>
      <c r="M9020" s="15"/>
    </row>
    <row r="9021" spans="1:13" s="166" customFormat="1" ht="12.75" customHeight="1">
      <c r="A9021" s="12"/>
      <c r="B9021" s="434"/>
      <c r="C9021" s="24"/>
      <c r="D9021" s="41"/>
      <c r="E9021" s="31"/>
      <c r="F9021" s="32"/>
      <c r="G9021" s="15"/>
      <c r="H9021" s="21"/>
      <c r="I9021" s="15"/>
      <c r="J9021" s="15"/>
      <c r="K9021" s="15"/>
      <c r="L9021" s="21"/>
      <c r="M9021" s="15"/>
    </row>
    <row r="9022" spans="1:13" s="166" customFormat="1" ht="12.75" customHeight="1">
      <c r="A9022" s="13" t="s">
        <v>1903</v>
      </c>
      <c r="B9022" s="434"/>
      <c r="C9022" s="24"/>
      <c r="D9022" s="41"/>
      <c r="E9022" s="31"/>
      <c r="F9022" s="32"/>
      <c r="G9022" s="15"/>
      <c r="H9022" s="21"/>
      <c r="I9022" s="15"/>
      <c r="J9022" s="15"/>
      <c r="K9022" s="15"/>
      <c r="L9022" s="21"/>
      <c r="M9022" s="15"/>
    </row>
    <row r="9023" spans="1:13" s="166" customFormat="1" ht="12.75" customHeight="1">
      <c r="A9023" s="12" t="s">
        <v>1681</v>
      </c>
      <c r="B9023" s="434">
        <v>1.05</v>
      </c>
      <c r="C9023" s="24" t="s">
        <v>825</v>
      </c>
      <c r="D9023" s="41">
        <f t="shared" ref="D9023:D9029" si="822">D8987</f>
        <v>6850</v>
      </c>
      <c r="E9023" s="31">
        <f t="shared" ref="E9023:E9029" si="823">B9023*D9023</f>
        <v>7192.5</v>
      </c>
      <c r="F9023" s="32"/>
      <c r="G9023" s="15"/>
      <c r="H9023" s="21"/>
      <c r="I9023" s="15"/>
      <c r="J9023" s="15"/>
      <c r="K9023" s="15"/>
      <c r="L9023" s="21"/>
      <c r="M9023" s="15"/>
    </row>
    <row r="9024" spans="1:13" s="166" customFormat="1" ht="12.75" customHeight="1">
      <c r="A9024" s="12" t="s">
        <v>1686</v>
      </c>
      <c r="B9024" s="434">
        <v>4.2</v>
      </c>
      <c r="C9024" s="24" t="s">
        <v>4</v>
      </c>
      <c r="D9024" s="41">
        <f t="shared" si="822"/>
        <v>3200</v>
      </c>
      <c r="E9024" s="31">
        <f t="shared" si="823"/>
        <v>13440</v>
      </c>
      <c r="F9024" s="32"/>
      <c r="G9024" s="15"/>
      <c r="H9024" s="21"/>
      <c r="I9024" s="15"/>
      <c r="J9024" s="15"/>
      <c r="K9024" s="15"/>
      <c r="L9024" s="21"/>
      <c r="M9024" s="15"/>
    </row>
    <row r="9025" spans="1:13" s="166" customFormat="1" ht="12.75" customHeight="1">
      <c r="A9025" s="12" t="s">
        <v>1198</v>
      </c>
      <c r="B9025" s="434">
        <f>B9026*2</f>
        <v>8.4</v>
      </c>
      <c r="C9025" s="24" t="s">
        <v>1018</v>
      </c>
      <c r="D9025" s="41">
        <f t="shared" si="822"/>
        <v>60</v>
      </c>
      <c r="E9025" s="31">
        <f t="shared" si="823"/>
        <v>504</v>
      </c>
      <c r="F9025" s="32"/>
      <c r="G9025" s="15"/>
      <c r="H9025" s="21"/>
      <c r="I9025" s="15"/>
      <c r="J9025" s="15"/>
      <c r="K9025" s="15"/>
      <c r="L9025" s="21"/>
      <c r="M9025" s="15"/>
    </row>
    <row r="9026" spans="1:13" s="166" customFormat="1" ht="12.75" customHeight="1">
      <c r="A9026" s="12" t="s">
        <v>1037</v>
      </c>
      <c r="B9026" s="434">
        <f>SUM(B9024:B9024)</f>
        <v>4.2</v>
      </c>
      <c r="C9026" s="24" t="s">
        <v>216</v>
      </c>
      <c r="D9026" s="41">
        <f t="shared" si="822"/>
        <v>486.5</v>
      </c>
      <c r="E9026" s="31">
        <f t="shared" si="823"/>
        <v>2043.3000000000002</v>
      </c>
      <c r="F9026" s="32"/>
      <c r="G9026" s="15"/>
      <c r="H9026" s="21"/>
      <c r="I9026" s="15"/>
      <c r="J9026" s="15"/>
      <c r="K9026" s="15"/>
      <c r="L9026" s="21"/>
      <c r="M9026" s="15"/>
    </row>
    <row r="9027" spans="1:13" s="166" customFormat="1" ht="12.75" customHeight="1">
      <c r="A9027" s="12" t="s">
        <v>1908</v>
      </c>
      <c r="B9027" s="434">
        <v>8.33</v>
      </c>
      <c r="C9027" s="24" t="s">
        <v>1171</v>
      </c>
      <c r="D9027" s="41">
        <f t="shared" si="822"/>
        <v>700</v>
      </c>
      <c r="E9027" s="31">
        <f t="shared" si="823"/>
        <v>5831</v>
      </c>
      <c r="F9027" s="32"/>
      <c r="G9027" s="15"/>
      <c r="H9027" s="21"/>
      <c r="I9027" s="15"/>
      <c r="J9027" s="15"/>
      <c r="K9027" s="15"/>
      <c r="L9027" s="21"/>
      <c r="M9027" s="15"/>
    </row>
    <row r="9028" spans="1:13" s="166" customFormat="1" ht="12.75" customHeight="1">
      <c r="A9028" s="12" t="s">
        <v>1688</v>
      </c>
      <c r="B9028" s="434">
        <v>1</v>
      </c>
      <c r="C9028" s="24" t="s">
        <v>825</v>
      </c>
      <c r="D9028" s="41">
        <f t="shared" si="822"/>
        <v>600.29999999999995</v>
      </c>
      <c r="E9028" s="31">
        <f t="shared" si="823"/>
        <v>600.29999999999995</v>
      </c>
      <c r="F9028" s="32"/>
      <c r="G9028" s="15"/>
      <c r="H9028" s="21"/>
      <c r="I9028" s="15"/>
      <c r="J9028" s="15"/>
      <c r="K9028" s="15"/>
      <c r="L9028" s="21"/>
      <c r="M9028" s="15"/>
    </row>
    <row r="9029" spans="1:13" s="166" customFormat="1" ht="12.75" customHeight="1">
      <c r="A9029" s="12" t="s">
        <v>208</v>
      </c>
      <c r="B9029" s="434">
        <f>SUM(E9023:E9025)</f>
        <v>21136.5</v>
      </c>
      <c r="C9029" s="24" t="s">
        <v>209</v>
      </c>
      <c r="D9029" s="41">
        <f t="shared" si="822"/>
        <v>0.02</v>
      </c>
      <c r="E9029" s="31">
        <f t="shared" si="823"/>
        <v>422.73</v>
      </c>
      <c r="F9029" s="32">
        <f>SUM(E9023:E9029)</f>
        <v>30033.829999999998</v>
      </c>
      <c r="G9029" s="15"/>
      <c r="H9029" s="21"/>
      <c r="I9029" s="15"/>
      <c r="J9029" s="15"/>
      <c r="K9029" s="15"/>
      <c r="L9029" s="21"/>
      <c r="M9029" s="15"/>
    </row>
    <row r="9030" spans="1:13" s="166" customFormat="1" ht="12.75" customHeight="1">
      <c r="A9030" s="12"/>
      <c r="B9030" s="434"/>
      <c r="C9030" s="24"/>
      <c r="D9030" s="41"/>
      <c r="E9030" s="31"/>
      <c r="F9030" s="32"/>
      <c r="G9030" s="15"/>
      <c r="H9030" s="21"/>
      <c r="I9030" s="15"/>
      <c r="J9030" s="15"/>
      <c r="K9030" s="15"/>
      <c r="L9030" s="21"/>
      <c r="M9030" s="15"/>
    </row>
    <row r="9031" spans="1:13" s="166" customFormat="1" ht="12.75" customHeight="1">
      <c r="A9031" s="13" t="s">
        <v>1933</v>
      </c>
      <c r="B9031" s="434"/>
      <c r="C9031" s="24"/>
      <c r="D9031" s="41"/>
      <c r="E9031" s="31"/>
      <c r="F9031" s="32"/>
      <c r="G9031" s="15"/>
      <c r="H9031" s="21"/>
      <c r="I9031" s="15"/>
      <c r="J9031" s="15"/>
      <c r="K9031" s="15"/>
      <c r="L9031" s="21"/>
      <c r="M9031" s="15"/>
    </row>
    <row r="9032" spans="1:13" s="166" customFormat="1" ht="12.75" customHeight="1">
      <c r="A9032" s="12" t="s">
        <v>1681</v>
      </c>
      <c r="B9032" s="434">
        <v>1.05</v>
      </c>
      <c r="C9032" s="24" t="s">
        <v>825</v>
      </c>
      <c r="D9032" s="41">
        <f>D9023</f>
        <v>6850</v>
      </c>
      <c r="E9032" s="31">
        <f t="shared" ref="E9032:E9038" si="824">B9032*D9032</f>
        <v>7192.5</v>
      </c>
      <c r="F9032" s="32"/>
      <c r="G9032" s="15"/>
      <c r="H9032" s="21"/>
      <c r="I9032" s="15"/>
      <c r="J9032" s="15"/>
      <c r="K9032" s="15"/>
      <c r="L9032" s="21"/>
      <c r="M9032" s="15"/>
    </row>
    <row r="9033" spans="1:13" s="166" customFormat="1" ht="12.75" customHeight="1">
      <c r="A9033" s="12" t="s">
        <v>1686</v>
      </c>
      <c r="B9033" s="434">
        <v>4.2</v>
      </c>
      <c r="C9033" s="24" t="s">
        <v>4</v>
      </c>
      <c r="D9033" s="41">
        <f t="shared" ref="D9033:D9038" si="825">D9024</f>
        <v>3200</v>
      </c>
      <c r="E9033" s="31">
        <f t="shared" si="824"/>
        <v>13440</v>
      </c>
      <c r="F9033" s="32"/>
      <c r="G9033" s="15"/>
      <c r="H9033" s="21"/>
      <c r="I9033" s="15"/>
      <c r="J9033" s="15"/>
      <c r="K9033" s="15"/>
      <c r="L9033" s="21"/>
      <c r="M9033" s="15"/>
    </row>
    <row r="9034" spans="1:13" s="166" customFormat="1" ht="12.75" customHeight="1">
      <c r="A9034" s="12" t="s">
        <v>1198</v>
      </c>
      <c r="B9034" s="434">
        <f>B9035*2</f>
        <v>8.4</v>
      </c>
      <c r="C9034" s="24" t="s">
        <v>1018</v>
      </c>
      <c r="D9034" s="41">
        <f t="shared" si="825"/>
        <v>60</v>
      </c>
      <c r="E9034" s="31">
        <f t="shared" si="824"/>
        <v>504</v>
      </c>
      <c r="F9034" s="32"/>
      <c r="G9034" s="15"/>
      <c r="H9034" s="21"/>
      <c r="I9034" s="15"/>
      <c r="J9034" s="15"/>
      <c r="K9034" s="15"/>
      <c r="L9034" s="21"/>
      <c r="M9034" s="15"/>
    </row>
    <row r="9035" spans="1:13" s="166" customFormat="1" ht="12.75" customHeight="1">
      <c r="A9035" s="12" t="s">
        <v>1037</v>
      </c>
      <c r="B9035" s="434">
        <f>SUM(B9033:B9033)</f>
        <v>4.2</v>
      </c>
      <c r="C9035" s="24" t="s">
        <v>216</v>
      </c>
      <c r="D9035" s="41">
        <f>Prec.!C351</f>
        <v>535.15000000000009</v>
      </c>
      <c r="E9035" s="31">
        <f t="shared" si="824"/>
        <v>2247.6300000000006</v>
      </c>
      <c r="F9035" s="32"/>
      <c r="G9035" s="15"/>
      <c r="H9035" s="21"/>
      <c r="I9035" s="15"/>
      <c r="J9035" s="15"/>
      <c r="K9035" s="15"/>
      <c r="L9035" s="21"/>
      <c r="M9035" s="15"/>
    </row>
    <row r="9036" spans="1:13" s="166" customFormat="1" ht="12.75" customHeight="1">
      <c r="A9036" s="12" t="s">
        <v>1908</v>
      </c>
      <c r="B9036" s="434">
        <v>8.33</v>
      </c>
      <c r="C9036" s="24" t="s">
        <v>1171</v>
      </c>
      <c r="D9036" s="41">
        <f>D9027*1.05</f>
        <v>735</v>
      </c>
      <c r="E9036" s="31">
        <f t="shared" si="824"/>
        <v>6122.55</v>
      </c>
      <c r="F9036" s="32"/>
      <c r="G9036" s="15"/>
      <c r="H9036" s="21"/>
      <c r="I9036" s="15"/>
      <c r="J9036" s="15"/>
      <c r="K9036" s="15"/>
      <c r="L9036" s="21"/>
      <c r="M9036" s="15"/>
    </row>
    <row r="9037" spans="1:13" s="166" customFormat="1" ht="12.75" customHeight="1">
      <c r="A9037" s="12" t="s">
        <v>1688</v>
      </c>
      <c r="B9037" s="434">
        <v>1</v>
      </c>
      <c r="C9037" s="24" t="s">
        <v>825</v>
      </c>
      <c r="D9037" s="41">
        <f t="shared" si="825"/>
        <v>600.29999999999995</v>
      </c>
      <c r="E9037" s="31">
        <f t="shared" si="824"/>
        <v>600.29999999999995</v>
      </c>
      <c r="F9037" s="32"/>
      <c r="G9037" s="15"/>
      <c r="H9037" s="21"/>
      <c r="I9037" s="15"/>
      <c r="J9037" s="15"/>
      <c r="K9037" s="15"/>
      <c r="L9037" s="21"/>
      <c r="M9037" s="15"/>
    </row>
    <row r="9038" spans="1:13" s="166" customFormat="1" ht="12.75" customHeight="1">
      <c r="A9038" s="12" t="s">
        <v>208</v>
      </c>
      <c r="B9038" s="434">
        <f>SUM(E9032:E9034)</f>
        <v>21136.5</v>
      </c>
      <c r="C9038" s="24" t="s">
        <v>209</v>
      </c>
      <c r="D9038" s="41">
        <f t="shared" si="825"/>
        <v>0.02</v>
      </c>
      <c r="E9038" s="31">
        <f t="shared" si="824"/>
        <v>422.73</v>
      </c>
      <c r="F9038" s="32">
        <f>SUM(E9032:E9038)</f>
        <v>30529.71</v>
      </c>
      <c r="G9038" s="15"/>
      <c r="H9038" s="21"/>
      <c r="I9038" s="15"/>
      <c r="J9038" s="15"/>
      <c r="K9038" s="15"/>
      <c r="L9038" s="21"/>
      <c r="M9038" s="15"/>
    </row>
    <row r="9039" spans="1:13" s="166" customFormat="1" ht="12.75" customHeight="1">
      <c r="A9039" s="12"/>
      <c r="B9039" s="434"/>
      <c r="C9039" s="24"/>
      <c r="D9039" s="41"/>
      <c r="E9039" s="31"/>
      <c r="F9039" s="32"/>
      <c r="G9039" s="15"/>
      <c r="H9039" s="21"/>
      <c r="I9039" s="15"/>
      <c r="J9039" s="15"/>
      <c r="K9039" s="15"/>
      <c r="L9039" s="21"/>
      <c r="M9039" s="15"/>
    </row>
    <row r="9040" spans="1:13" s="166" customFormat="1" ht="12.75" customHeight="1">
      <c r="A9040" s="13" t="s">
        <v>1934</v>
      </c>
      <c r="B9040" s="434"/>
      <c r="C9040" s="24"/>
      <c r="D9040" s="41"/>
      <c r="E9040" s="31"/>
      <c r="F9040" s="32"/>
      <c r="G9040" s="15"/>
      <c r="H9040" s="21"/>
      <c r="I9040" s="15"/>
      <c r="J9040" s="15"/>
      <c r="K9040" s="15"/>
      <c r="L9040" s="21"/>
      <c r="M9040" s="15"/>
    </row>
    <row r="9041" spans="1:13" s="166" customFormat="1" ht="12.75" customHeight="1">
      <c r="A9041" s="12" t="s">
        <v>1681</v>
      </c>
      <c r="B9041" s="434">
        <v>1.05</v>
      </c>
      <c r="C9041" s="24" t="s">
        <v>825</v>
      </c>
      <c r="D9041" s="41">
        <f>D9032</f>
        <v>6850</v>
      </c>
      <c r="E9041" s="31">
        <f t="shared" ref="E9041:E9047" si="826">B9041*D9041</f>
        <v>7192.5</v>
      </c>
      <c r="F9041" s="32"/>
      <c r="G9041" s="15"/>
      <c r="H9041" s="21"/>
      <c r="I9041" s="15"/>
      <c r="J9041" s="15"/>
      <c r="K9041" s="15"/>
      <c r="L9041" s="21"/>
      <c r="M9041" s="15"/>
    </row>
    <row r="9042" spans="1:13" s="166" customFormat="1" ht="12.75" customHeight="1">
      <c r="A9042" s="12" t="s">
        <v>1686</v>
      </c>
      <c r="B9042" s="434">
        <v>4.2</v>
      </c>
      <c r="C9042" s="24" t="s">
        <v>4</v>
      </c>
      <c r="D9042" s="41">
        <f t="shared" ref="D9042:D9047" si="827">D9033</f>
        <v>3200</v>
      </c>
      <c r="E9042" s="31">
        <f t="shared" si="826"/>
        <v>13440</v>
      </c>
      <c r="F9042" s="32"/>
      <c r="G9042" s="15"/>
      <c r="H9042" s="21"/>
      <c r="I9042" s="15"/>
      <c r="J9042" s="15"/>
      <c r="K9042" s="15"/>
      <c r="L9042" s="21"/>
      <c r="M9042" s="15"/>
    </row>
    <row r="9043" spans="1:13" s="166" customFormat="1" ht="12.75" customHeight="1">
      <c r="A9043" s="12" t="s">
        <v>1198</v>
      </c>
      <c r="B9043" s="434">
        <f>B9044*2</f>
        <v>8.4</v>
      </c>
      <c r="C9043" s="24" t="s">
        <v>1018</v>
      </c>
      <c r="D9043" s="41">
        <f t="shared" si="827"/>
        <v>60</v>
      </c>
      <c r="E9043" s="31">
        <f t="shared" si="826"/>
        <v>504</v>
      </c>
      <c r="F9043" s="32"/>
      <c r="G9043" s="15"/>
      <c r="H9043" s="21"/>
      <c r="I9043" s="15"/>
      <c r="J9043" s="15"/>
      <c r="K9043" s="15"/>
      <c r="L9043" s="21"/>
      <c r="M9043" s="15"/>
    </row>
    <row r="9044" spans="1:13" s="166" customFormat="1" ht="12.75" customHeight="1">
      <c r="A9044" s="12" t="s">
        <v>1037</v>
      </c>
      <c r="B9044" s="434">
        <f>SUM(B9042:B9042)</f>
        <v>4.2</v>
      </c>
      <c r="C9044" s="24" t="s">
        <v>216</v>
      </c>
      <c r="D9044" s="41">
        <f>Prec.!C352</f>
        <v>559.47499999999991</v>
      </c>
      <c r="E9044" s="31">
        <f t="shared" si="826"/>
        <v>2349.7949999999996</v>
      </c>
      <c r="F9044" s="32"/>
      <c r="G9044" s="15"/>
      <c r="H9044" s="21"/>
      <c r="I9044" s="15"/>
      <c r="J9044" s="15"/>
      <c r="K9044" s="15"/>
      <c r="L9044" s="21"/>
      <c r="M9044" s="15"/>
    </row>
    <row r="9045" spans="1:13" s="166" customFormat="1" ht="12.75" customHeight="1">
      <c r="A9045" s="12" t="s">
        <v>1908</v>
      </c>
      <c r="B9045" s="434">
        <v>8.33</v>
      </c>
      <c r="C9045" s="24" t="s">
        <v>1171</v>
      </c>
      <c r="D9045" s="41">
        <f>D9027*1.1</f>
        <v>770.00000000000011</v>
      </c>
      <c r="E9045" s="31">
        <f t="shared" si="826"/>
        <v>6414.1000000000013</v>
      </c>
      <c r="F9045" s="32"/>
      <c r="G9045" s="15"/>
      <c r="H9045" s="21"/>
      <c r="I9045" s="15"/>
      <c r="J9045" s="15"/>
      <c r="K9045" s="15"/>
      <c r="L9045" s="21"/>
      <c r="M9045" s="15"/>
    </row>
    <row r="9046" spans="1:13" s="166" customFormat="1" ht="12.75" customHeight="1">
      <c r="A9046" s="12" t="s">
        <v>1688</v>
      </c>
      <c r="B9046" s="434">
        <v>1</v>
      </c>
      <c r="C9046" s="24" t="s">
        <v>825</v>
      </c>
      <c r="D9046" s="41">
        <f t="shared" si="827"/>
        <v>600.29999999999995</v>
      </c>
      <c r="E9046" s="31">
        <f t="shared" si="826"/>
        <v>600.29999999999995</v>
      </c>
      <c r="F9046" s="32"/>
      <c r="G9046" s="15"/>
      <c r="H9046" s="21"/>
      <c r="I9046" s="15"/>
      <c r="J9046" s="15"/>
      <c r="K9046" s="15"/>
      <c r="L9046" s="21"/>
      <c r="M9046" s="15"/>
    </row>
    <row r="9047" spans="1:13" s="166" customFormat="1" ht="12.75" customHeight="1">
      <c r="A9047" s="12" t="s">
        <v>208</v>
      </c>
      <c r="B9047" s="434">
        <f>SUM(E9041:E9043)</f>
        <v>21136.5</v>
      </c>
      <c r="C9047" s="24" t="s">
        <v>209</v>
      </c>
      <c r="D9047" s="41">
        <f t="shared" si="827"/>
        <v>0.02</v>
      </c>
      <c r="E9047" s="31">
        <f t="shared" si="826"/>
        <v>422.73</v>
      </c>
      <c r="F9047" s="32">
        <f>SUM(E9041:E9047)</f>
        <v>30923.424999999999</v>
      </c>
      <c r="G9047" s="15"/>
      <c r="H9047" s="21"/>
      <c r="I9047" s="15"/>
      <c r="J9047" s="15"/>
      <c r="K9047" s="15"/>
      <c r="L9047" s="21"/>
      <c r="M9047" s="15"/>
    </row>
    <row r="9048" spans="1:13" s="166" customFormat="1" ht="12.75" customHeight="1">
      <c r="A9048" s="12"/>
      <c r="B9048" s="434"/>
      <c r="C9048" s="24"/>
      <c r="D9048" s="41"/>
      <c r="E9048" s="31"/>
      <c r="F9048" s="32"/>
      <c r="G9048" s="15"/>
      <c r="H9048" s="21"/>
      <c r="I9048" s="15"/>
      <c r="J9048" s="15"/>
      <c r="K9048" s="15"/>
      <c r="L9048" s="21"/>
      <c r="M9048" s="15"/>
    </row>
    <row r="9049" spans="1:13" s="166" customFormat="1" ht="12.75" customHeight="1">
      <c r="A9049" s="13" t="s">
        <v>1935</v>
      </c>
      <c r="B9049" s="434"/>
      <c r="C9049" s="24"/>
      <c r="D9049" s="41"/>
      <c r="E9049" s="31"/>
      <c r="F9049" s="32"/>
      <c r="G9049" s="15"/>
      <c r="H9049" s="21"/>
      <c r="I9049" s="15"/>
      <c r="J9049" s="15"/>
      <c r="K9049" s="15"/>
      <c r="L9049" s="21"/>
      <c r="M9049" s="15"/>
    </row>
    <row r="9050" spans="1:13" s="166" customFormat="1" ht="12.75" customHeight="1">
      <c r="A9050" s="12" t="s">
        <v>1681</v>
      </c>
      <c r="B9050" s="434">
        <v>1.05</v>
      </c>
      <c r="C9050" s="24" t="s">
        <v>825</v>
      </c>
      <c r="D9050" s="41">
        <f>D9041</f>
        <v>6850</v>
      </c>
      <c r="E9050" s="31">
        <f t="shared" ref="E9050:E9056" si="828">B9050*D9050</f>
        <v>7192.5</v>
      </c>
      <c r="F9050" s="32"/>
      <c r="G9050" s="15"/>
      <c r="H9050" s="21"/>
      <c r="I9050" s="15"/>
      <c r="J9050" s="15"/>
      <c r="K9050" s="15"/>
      <c r="L9050" s="21"/>
      <c r="M9050" s="15"/>
    </row>
    <row r="9051" spans="1:13" s="166" customFormat="1" ht="12.75" customHeight="1">
      <c r="A9051" s="12" t="s">
        <v>1686</v>
      </c>
      <c r="B9051" s="434">
        <v>4.2</v>
      </c>
      <c r="C9051" s="24" t="s">
        <v>4</v>
      </c>
      <c r="D9051" s="41">
        <f t="shared" ref="D9051:D9056" si="829">D9042</f>
        <v>3200</v>
      </c>
      <c r="E9051" s="31">
        <f t="shared" si="828"/>
        <v>13440</v>
      </c>
      <c r="F9051" s="32"/>
      <c r="G9051" s="15"/>
      <c r="H9051" s="21"/>
      <c r="I9051" s="15"/>
      <c r="J9051" s="15"/>
      <c r="K9051" s="15"/>
      <c r="L9051" s="21"/>
      <c r="M9051" s="15"/>
    </row>
    <row r="9052" spans="1:13" s="166" customFormat="1" ht="12.75" customHeight="1">
      <c r="A9052" s="12" t="s">
        <v>1198</v>
      </c>
      <c r="B9052" s="434">
        <f>B9053*2</f>
        <v>8.4</v>
      </c>
      <c r="C9052" s="24" t="s">
        <v>1018</v>
      </c>
      <c r="D9052" s="41">
        <f t="shared" si="829"/>
        <v>60</v>
      </c>
      <c r="E9052" s="31">
        <f t="shared" si="828"/>
        <v>504</v>
      </c>
      <c r="F9052" s="32"/>
      <c r="G9052" s="15"/>
      <c r="H9052" s="21"/>
      <c r="I9052" s="15"/>
      <c r="J9052" s="15"/>
      <c r="K9052" s="15"/>
      <c r="L9052" s="21"/>
      <c r="M9052" s="15"/>
    </row>
    <row r="9053" spans="1:13" s="166" customFormat="1" ht="12.75" customHeight="1">
      <c r="A9053" s="12" t="s">
        <v>1037</v>
      </c>
      <c r="B9053" s="434">
        <f>SUM(B9051:B9051)</f>
        <v>4.2</v>
      </c>
      <c r="C9053" s="24" t="s">
        <v>216</v>
      </c>
      <c r="D9053" s="41">
        <f>Prec.!C353</f>
        <v>583.79999999999995</v>
      </c>
      <c r="E9053" s="31">
        <f t="shared" si="828"/>
        <v>2451.96</v>
      </c>
      <c r="F9053" s="32"/>
      <c r="G9053" s="15"/>
      <c r="H9053" s="21"/>
      <c r="I9053" s="15"/>
      <c r="J9053" s="15"/>
      <c r="K9053" s="15"/>
      <c r="L9053" s="21"/>
      <c r="M9053" s="15"/>
    </row>
    <row r="9054" spans="1:13" s="166" customFormat="1" ht="12.75" customHeight="1">
      <c r="A9054" s="12" t="s">
        <v>1908</v>
      </c>
      <c r="B9054" s="434">
        <v>8.33</v>
      </c>
      <c r="C9054" s="24" t="s">
        <v>1171</v>
      </c>
      <c r="D9054" s="41">
        <f>D9027*1.15</f>
        <v>804.99999999999989</v>
      </c>
      <c r="E9054" s="31">
        <f t="shared" si="828"/>
        <v>6705.6499999999987</v>
      </c>
      <c r="F9054" s="32"/>
      <c r="G9054" s="15"/>
      <c r="H9054" s="21"/>
      <c r="I9054" s="15"/>
      <c r="J9054" s="15"/>
      <c r="K9054" s="15"/>
      <c r="L9054" s="21"/>
      <c r="M9054" s="15"/>
    </row>
    <row r="9055" spans="1:13" s="166" customFormat="1" ht="12.75" customHeight="1">
      <c r="A9055" s="12" t="s">
        <v>1688</v>
      </c>
      <c r="B9055" s="434">
        <v>1</v>
      </c>
      <c r="C9055" s="24" t="s">
        <v>825</v>
      </c>
      <c r="D9055" s="41">
        <f t="shared" si="829"/>
        <v>600.29999999999995</v>
      </c>
      <c r="E9055" s="31">
        <f t="shared" si="828"/>
        <v>600.29999999999995</v>
      </c>
      <c r="F9055" s="32"/>
      <c r="G9055" s="15"/>
      <c r="H9055" s="21"/>
      <c r="I9055" s="15"/>
      <c r="J9055" s="15"/>
      <c r="K9055" s="15"/>
      <c r="L9055" s="21"/>
      <c r="M9055" s="15"/>
    </row>
    <row r="9056" spans="1:13" s="166" customFormat="1" ht="12.75" customHeight="1">
      <c r="A9056" s="12" t="s">
        <v>208</v>
      </c>
      <c r="B9056" s="434">
        <f>SUM(E9050:E9052)</f>
        <v>21136.5</v>
      </c>
      <c r="C9056" s="24" t="s">
        <v>209</v>
      </c>
      <c r="D9056" s="41">
        <f t="shared" si="829"/>
        <v>0.02</v>
      </c>
      <c r="E9056" s="31">
        <f t="shared" si="828"/>
        <v>422.73</v>
      </c>
      <c r="F9056" s="32">
        <f>SUM(E9050:E9056)</f>
        <v>31317.139999999996</v>
      </c>
      <c r="G9056" s="15"/>
      <c r="H9056" s="21"/>
      <c r="I9056" s="15"/>
      <c r="J9056" s="15"/>
      <c r="K9056" s="15"/>
      <c r="L9056" s="21"/>
      <c r="M9056" s="15"/>
    </row>
    <row r="9057" spans="1:13" s="166" customFormat="1" ht="12.75" customHeight="1">
      <c r="A9057" s="12"/>
      <c r="B9057" s="434"/>
      <c r="C9057" s="24"/>
      <c r="D9057" s="41"/>
      <c r="E9057" s="31"/>
      <c r="F9057" s="32"/>
      <c r="G9057" s="15"/>
      <c r="H9057" s="21"/>
      <c r="I9057" s="15"/>
      <c r="J9057" s="15"/>
      <c r="K9057" s="15"/>
      <c r="L9057" s="21"/>
      <c r="M9057" s="15"/>
    </row>
    <row r="9058" spans="1:13" s="166" customFormat="1" ht="12.75" customHeight="1">
      <c r="A9058" s="13" t="s">
        <v>1936</v>
      </c>
      <c r="B9058" s="434"/>
      <c r="C9058" s="24"/>
      <c r="D9058" s="41"/>
      <c r="E9058" s="31"/>
      <c r="F9058" s="32"/>
      <c r="G9058" s="15"/>
      <c r="H9058" s="21"/>
      <c r="I9058" s="15"/>
      <c r="J9058" s="15"/>
      <c r="K9058" s="15"/>
      <c r="L9058" s="21"/>
      <c r="M9058" s="15"/>
    </row>
    <row r="9059" spans="1:13" s="166" customFormat="1" ht="12.75" customHeight="1">
      <c r="A9059" s="12" t="s">
        <v>1681</v>
      </c>
      <c r="B9059" s="434">
        <v>1.05</v>
      </c>
      <c r="C9059" s="24" t="s">
        <v>825</v>
      </c>
      <c r="D9059" s="41">
        <f>D9050</f>
        <v>6850</v>
      </c>
      <c r="E9059" s="31">
        <f t="shared" ref="E9059:E9065" si="830">B9059*D9059</f>
        <v>7192.5</v>
      </c>
      <c r="F9059" s="32"/>
      <c r="G9059" s="15"/>
      <c r="H9059" s="21"/>
      <c r="I9059" s="15"/>
      <c r="J9059" s="15"/>
      <c r="K9059" s="15"/>
      <c r="L9059" s="21"/>
      <c r="M9059" s="15"/>
    </row>
    <row r="9060" spans="1:13" s="166" customFormat="1" ht="12.75" customHeight="1">
      <c r="A9060" s="12" t="s">
        <v>1686</v>
      </c>
      <c r="B9060" s="434">
        <v>3.34</v>
      </c>
      <c r="C9060" s="24" t="s">
        <v>4</v>
      </c>
      <c r="D9060" s="41">
        <f t="shared" ref="D9060:D9065" si="831">D9051</f>
        <v>3200</v>
      </c>
      <c r="E9060" s="31">
        <f t="shared" si="830"/>
        <v>10688</v>
      </c>
      <c r="F9060" s="32"/>
      <c r="G9060" s="15"/>
      <c r="H9060" s="21"/>
      <c r="I9060" s="15"/>
      <c r="J9060" s="15"/>
      <c r="K9060" s="15"/>
      <c r="L9060" s="21"/>
      <c r="M9060" s="15"/>
    </row>
    <row r="9061" spans="1:13" s="166" customFormat="1" ht="12.75" customHeight="1">
      <c r="A9061" s="12" t="s">
        <v>1198</v>
      </c>
      <c r="B9061" s="434">
        <f>B9062*2</f>
        <v>6.68</v>
      </c>
      <c r="C9061" s="24" t="s">
        <v>1018</v>
      </c>
      <c r="D9061" s="41">
        <f t="shared" si="831"/>
        <v>60</v>
      </c>
      <c r="E9061" s="31">
        <f t="shared" si="830"/>
        <v>400.79999999999995</v>
      </c>
      <c r="F9061" s="32"/>
      <c r="G9061" s="15"/>
      <c r="H9061" s="21"/>
      <c r="I9061" s="15"/>
      <c r="J9061" s="15"/>
      <c r="K9061" s="15"/>
      <c r="L9061" s="21"/>
      <c r="M9061" s="15"/>
    </row>
    <row r="9062" spans="1:13" s="166" customFormat="1" ht="12.75" customHeight="1">
      <c r="A9062" s="12" t="s">
        <v>1037</v>
      </c>
      <c r="B9062" s="434">
        <f>SUM(B9060:B9060)</f>
        <v>3.34</v>
      </c>
      <c r="C9062" s="24" t="s">
        <v>216</v>
      </c>
      <c r="D9062" s="41">
        <f>Prec.!C354</f>
        <v>608.125</v>
      </c>
      <c r="E9062" s="31">
        <f t="shared" si="830"/>
        <v>2031.1374999999998</v>
      </c>
      <c r="F9062" s="32"/>
      <c r="G9062" s="15"/>
      <c r="H9062" s="21"/>
      <c r="I9062" s="15"/>
      <c r="J9062" s="15"/>
      <c r="K9062" s="15"/>
      <c r="L9062" s="21"/>
      <c r="M9062" s="15"/>
    </row>
    <row r="9063" spans="1:13" s="166" customFormat="1" ht="12.75" customHeight="1">
      <c r="A9063" s="12" t="s">
        <v>1908</v>
      </c>
      <c r="B9063" s="434">
        <v>8.33</v>
      </c>
      <c r="C9063" s="24" t="s">
        <v>1171</v>
      </c>
      <c r="D9063" s="41">
        <f>D9027*1.2</f>
        <v>840</v>
      </c>
      <c r="E9063" s="31">
        <f t="shared" si="830"/>
        <v>6997.2</v>
      </c>
      <c r="F9063" s="32"/>
      <c r="G9063" s="15"/>
      <c r="H9063" s="21"/>
      <c r="I9063" s="15"/>
      <c r="J9063" s="15"/>
      <c r="K9063" s="15"/>
      <c r="L9063" s="21"/>
      <c r="M9063" s="15"/>
    </row>
    <row r="9064" spans="1:13" s="166" customFormat="1" ht="12.75" customHeight="1">
      <c r="A9064" s="12" t="s">
        <v>1688</v>
      </c>
      <c r="B9064" s="434">
        <v>1</v>
      </c>
      <c r="C9064" s="24" t="s">
        <v>825</v>
      </c>
      <c r="D9064" s="41">
        <f t="shared" si="831"/>
        <v>600.29999999999995</v>
      </c>
      <c r="E9064" s="31">
        <f t="shared" si="830"/>
        <v>600.29999999999995</v>
      </c>
      <c r="F9064" s="32"/>
      <c r="G9064" s="15"/>
      <c r="H9064" s="21"/>
      <c r="I9064" s="15"/>
      <c r="J9064" s="15"/>
      <c r="K9064" s="15"/>
      <c r="L9064" s="21"/>
      <c r="M9064" s="15"/>
    </row>
    <row r="9065" spans="1:13" s="166" customFormat="1" ht="12.75" customHeight="1">
      <c r="A9065" s="12" t="s">
        <v>208</v>
      </c>
      <c r="B9065" s="434">
        <f>SUM(E9059:E9061)</f>
        <v>18281.3</v>
      </c>
      <c r="C9065" s="24" t="s">
        <v>209</v>
      </c>
      <c r="D9065" s="41">
        <f t="shared" si="831"/>
        <v>0.02</v>
      </c>
      <c r="E9065" s="31">
        <f t="shared" si="830"/>
        <v>365.62599999999998</v>
      </c>
      <c r="F9065" s="32">
        <f>SUM(E9059:E9065)</f>
        <v>28275.5635</v>
      </c>
      <c r="G9065" s="15"/>
      <c r="H9065" s="21"/>
      <c r="I9065" s="15"/>
      <c r="J9065" s="15"/>
      <c r="K9065" s="15"/>
      <c r="L9065" s="21"/>
      <c r="M9065" s="15"/>
    </row>
    <row r="9066" spans="1:13" s="166" customFormat="1" ht="12.75" customHeight="1">
      <c r="A9066" s="12"/>
      <c r="B9066" s="434"/>
      <c r="C9066" s="24"/>
      <c r="D9066" s="41"/>
      <c r="E9066" s="31"/>
      <c r="F9066" s="32"/>
      <c r="G9066" s="15"/>
      <c r="H9066" s="21"/>
      <c r="I9066" s="15"/>
      <c r="J9066" s="15"/>
      <c r="K9066" s="15"/>
      <c r="L9066" s="21"/>
      <c r="M9066" s="15"/>
    </row>
    <row r="9067" spans="1:13" s="166" customFormat="1" ht="12.75" customHeight="1">
      <c r="A9067" s="13" t="s">
        <v>1904</v>
      </c>
      <c r="B9067" s="434"/>
      <c r="C9067" s="24"/>
      <c r="D9067" s="41"/>
      <c r="E9067" s="31"/>
      <c r="F9067" s="32"/>
      <c r="G9067" s="15"/>
      <c r="H9067" s="21"/>
      <c r="I9067" s="15"/>
      <c r="J9067" s="15"/>
      <c r="K9067" s="15"/>
      <c r="L9067" s="21"/>
      <c r="M9067" s="15"/>
    </row>
    <row r="9068" spans="1:13" s="166" customFormat="1" ht="12.75" customHeight="1">
      <c r="A9068" s="12" t="s">
        <v>1681</v>
      </c>
      <c r="B9068" s="434">
        <v>1.05</v>
      </c>
      <c r="C9068" s="24" t="s">
        <v>825</v>
      </c>
      <c r="D9068" s="41">
        <f t="shared" ref="D9068:D9074" si="832">D9023</f>
        <v>6850</v>
      </c>
      <c r="E9068" s="31">
        <f t="shared" ref="E9068:E9074" si="833">B9068*D9068</f>
        <v>7192.5</v>
      </c>
      <c r="F9068" s="32"/>
      <c r="G9068" s="15"/>
      <c r="H9068" s="21"/>
      <c r="I9068" s="15"/>
      <c r="J9068" s="15"/>
      <c r="K9068" s="15"/>
      <c r="L9068" s="21"/>
      <c r="M9068" s="15"/>
    </row>
    <row r="9069" spans="1:13" s="166" customFormat="1" ht="12.75" customHeight="1">
      <c r="A9069" s="12" t="s">
        <v>1686</v>
      </c>
      <c r="B9069" s="434">
        <v>4.46</v>
      </c>
      <c r="C9069" s="24" t="s">
        <v>4</v>
      </c>
      <c r="D9069" s="41">
        <f t="shared" si="832"/>
        <v>3200</v>
      </c>
      <c r="E9069" s="31">
        <f t="shared" si="833"/>
        <v>14272</v>
      </c>
      <c r="F9069" s="32"/>
      <c r="G9069" s="15"/>
      <c r="H9069" s="21"/>
      <c r="I9069" s="15"/>
      <c r="J9069" s="15"/>
      <c r="K9069" s="15"/>
      <c r="L9069" s="21"/>
      <c r="M9069" s="15"/>
    </row>
    <row r="9070" spans="1:13" s="166" customFormat="1" ht="12.75" customHeight="1">
      <c r="A9070" s="12" t="s">
        <v>1198</v>
      </c>
      <c r="B9070" s="434">
        <f>B9071*2</f>
        <v>8.92</v>
      </c>
      <c r="C9070" s="24" t="s">
        <v>1018</v>
      </c>
      <c r="D9070" s="41">
        <f t="shared" si="832"/>
        <v>60</v>
      </c>
      <c r="E9070" s="31">
        <f t="shared" si="833"/>
        <v>535.20000000000005</v>
      </c>
      <c r="F9070" s="32"/>
      <c r="G9070" s="15"/>
      <c r="H9070" s="21"/>
      <c r="I9070" s="15"/>
      <c r="J9070" s="15"/>
      <c r="K9070" s="15"/>
      <c r="L9070" s="21"/>
      <c r="M9070" s="15"/>
    </row>
    <row r="9071" spans="1:13" s="166" customFormat="1" ht="12.75" customHeight="1">
      <c r="A9071" s="12" t="s">
        <v>1037</v>
      </c>
      <c r="B9071" s="434">
        <f>SUM(B9069:B9069)</f>
        <v>4.46</v>
      </c>
      <c r="C9071" s="24" t="s">
        <v>216</v>
      </c>
      <c r="D9071" s="41">
        <f t="shared" si="832"/>
        <v>486.5</v>
      </c>
      <c r="E9071" s="31">
        <f t="shared" si="833"/>
        <v>2169.79</v>
      </c>
      <c r="F9071" s="32"/>
      <c r="G9071" s="15"/>
      <c r="H9071" s="21"/>
      <c r="I9071" s="15"/>
      <c r="J9071" s="15"/>
      <c r="K9071" s="15"/>
      <c r="L9071" s="21"/>
      <c r="M9071" s="15"/>
    </row>
    <row r="9072" spans="1:13" s="166" customFormat="1" ht="12.75" customHeight="1">
      <c r="A9072" s="12" t="s">
        <v>1906</v>
      </c>
      <c r="B9072" s="434">
        <v>7.25</v>
      </c>
      <c r="C9072" s="24" t="s">
        <v>1171</v>
      </c>
      <c r="D9072" s="41">
        <v>600</v>
      </c>
      <c r="E9072" s="31">
        <f t="shared" si="833"/>
        <v>4350</v>
      </c>
      <c r="F9072" s="32"/>
      <c r="G9072" s="15"/>
      <c r="H9072" s="21"/>
      <c r="I9072" s="15"/>
      <c r="J9072" s="15"/>
      <c r="K9072" s="15"/>
      <c r="L9072" s="21"/>
      <c r="M9072" s="15"/>
    </row>
    <row r="9073" spans="1:13" s="166" customFormat="1" ht="12.75" customHeight="1">
      <c r="A9073" s="12" t="s">
        <v>1688</v>
      </c>
      <c r="B9073" s="434">
        <v>1</v>
      </c>
      <c r="C9073" s="24" t="s">
        <v>825</v>
      </c>
      <c r="D9073" s="41">
        <f t="shared" si="832"/>
        <v>600.29999999999995</v>
      </c>
      <c r="E9073" s="31">
        <f t="shared" si="833"/>
        <v>600.29999999999995</v>
      </c>
      <c r="F9073" s="32"/>
      <c r="G9073" s="15"/>
      <c r="H9073" s="21"/>
      <c r="I9073" s="15"/>
      <c r="J9073" s="15"/>
      <c r="K9073" s="15"/>
      <c r="L9073" s="21"/>
      <c r="M9073" s="15"/>
    </row>
    <row r="9074" spans="1:13" s="166" customFormat="1" ht="12.75" customHeight="1">
      <c r="A9074" s="12" t="s">
        <v>208</v>
      </c>
      <c r="B9074" s="434">
        <f>SUM(E9068:E9070)</f>
        <v>21999.7</v>
      </c>
      <c r="C9074" s="24" t="s">
        <v>209</v>
      </c>
      <c r="D9074" s="41">
        <f t="shared" si="832"/>
        <v>0.02</v>
      </c>
      <c r="E9074" s="31">
        <f t="shared" si="833"/>
        <v>439.99400000000003</v>
      </c>
      <c r="F9074" s="32">
        <f>SUM(E9068:E9074)</f>
        <v>29559.784</v>
      </c>
      <c r="G9074" s="15"/>
      <c r="H9074" s="21"/>
      <c r="I9074" s="15"/>
      <c r="J9074" s="15"/>
      <c r="K9074" s="15"/>
      <c r="L9074" s="21"/>
      <c r="M9074" s="15"/>
    </row>
    <row r="9075" spans="1:13" s="166" customFormat="1" ht="12.75" customHeight="1">
      <c r="A9075" s="12"/>
      <c r="B9075" s="434"/>
      <c r="C9075" s="24"/>
      <c r="D9075" s="41"/>
      <c r="E9075" s="31"/>
      <c r="F9075" s="32"/>
      <c r="G9075" s="15"/>
      <c r="H9075" s="21"/>
      <c r="I9075" s="15"/>
      <c r="J9075" s="15"/>
      <c r="K9075" s="15"/>
      <c r="L9075" s="21"/>
      <c r="M9075" s="15"/>
    </row>
    <row r="9076" spans="1:13" s="166" customFormat="1" ht="12.75" customHeight="1">
      <c r="A9076" s="13" t="s">
        <v>1937</v>
      </c>
      <c r="B9076" s="434"/>
      <c r="C9076" s="24"/>
      <c r="D9076" s="41"/>
      <c r="E9076" s="31"/>
      <c r="F9076" s="32"/>
      <c r="G9076" s="15"/>
      <c r="H9076" s="21"/>
      <c r="I9076" s="15"/>
      <c r="J9076" s="15"/>
      <c r="K9076" s="15"/>
      <c r="L9076" s="21"/>
      <c r="M9076" s="15"/>
    </row>
    <row r="9077" spans="1:13" s="166" customFormat="1" ht="12.75" customHeight="1">
      <c r="A9077" s="12" t="s">
        <v>1681</v>
      </c>
      <c r="B9077" s="434">
        <v>1.05</v>
      </c>
      <c r="C9077" s="24" t="s">
        <v>825</v>
      </c>
      <c r="D9077" s="41">
        <f>D9068</f>
        <v>6850</v>
      </c>
      <c r="E9077" s="31">
        <f t="shared" ref="E9077:E9083" si="834">B9077*D9077</f>
        <v>7192.5</v>
      </c>
      <c r="F9077" s="32"/>
      <c r="G9077" s="15"/>
      <c r="H9077" s="21"/>
      <c r="I9077" s="15"/>
      <c r="J9077" s="15"/>
      <c r="K9077" s="15"/>
      <c r="L9077" s="21"/>
      <c r="M9077" s="15"/>
    </row>
    <row r="9078" spans="1:13" s="166" customFormat="1" ht="12.75" customHeight="1">
      <c r="A9078" s="12" t="s">
        <v>1686</v>
      </c>
      <c r="B9078" s="434">
        <v>4.46</v>
      </c>
      <c r="C9078" s="24" t="s">
        <v>4</v>
      </c>
      <c r="D9078" s="41">
        <f t="shared" ref="D9078:D9083" si="835">D9069</f>
        <v>3200</v>
      </c>
      <c r="E9078" s="31">
        <f t="shared" si="834"/>
        <v>14272</v>
      </c>
      <c r="F9078" s="32"/>
      <c r="G9078" s="15"/>
      <c r="H9078" s="21"/>
      <c r="I9078" s="15"/>
      <c r="J9078" s="15"/>
      <c r="K9078" s="15"/>
      <c r="L9078" s="21"/>
      <c r="M9078" s="15"/>
    </row>
    <row r="9079" spans="1:13" s="166" customFormat="1" ht="12.75" customHeight="1">
      <c r="A9079" s="12" t="s">
        <v>1198</v>
      </c>
      <c r="B9079" s="434">
        <f>B9080*2</f>
        <v>8.92</v>
      </c>
      <c r="C9079" s="24" t="s">
        <v>1018</v>
      </c>
      <c r="D9079" s="41">
        <f t="shared" si="835"/>
        <v>60</v>
      </c>
      <c r="E9079" s="31">
        <f t="shared" si="834"/>
        <v>535.20000000000005</v>
      </c>
      <c r="F9079" s="32"/>
      <c r="G9079" s="15"/>
      <c r="H9079" s="21"/>
      <c r="I9079" s="15"/>
      <c r="J9079" s="15"/>
      <c r="K9079" s="15"/>
      <c r="L9079" s="21"/>
      <c r="M9079" s="15"/>
    </row>
    <row r="9080" spans="1:13" s="166" customFormat="1" ht="12.75" customHeight="1">
      <c r="A9080" s="12" t="s">
        <v>1037</v>
      </c>
      <c r="B9080" s="434">
        <f>SUM(B9078:B9078)</f>
        <v>4.46</v>
      </c>
      <c r="C9080" s="24" t="s">
        <v>216</v>
      </c>
      <c r="D9080" s="41">
        <f>Prec.!C351</f>
        <v>535.15000000000009</v>
      </c>
      <c r="E9080" s="31">
        <f t="shared" si="834"/>
        <v>2386.7690000000002</v>
      </c>
      <c r="F9080" s="32"/>
      <c r="G9080" s="15"/>
      <c r="H9080" s="21"/>
      <c r="I9080" s="15"/>
      <c r="J9080" s="15"/>
      <c r="K9080" s="15"/>
      <c r="L9080" s="21"/>
      <c r="M9080" s="15"/>
    </row>
    <row r="9081" spans="1:13" s="166" customFormat="1" ht="12.75" customHeight="1">
      <c r="A9081" s="12" t="s">
        <v>1906</v>
      </c>
      <c r="B9081" s="434">
        <v>7.25</v>
      </c>
      <c r="C9081" s="24" t="s">
        <v>1171</v>
      </c>
      <c r="D9081" s="41">
        <f>D9072*1.05</f>
        <v>630</v>
      </c>
      <c r="E9081" s="31">
        <f t="shared" si="834"/>
        <v>4567.5</v>
      </c>
      <c r="F9081" s="32"/>
      <c r="G9081" s="15"/>
      <c r="H9081" s="21"/>
      <c r="I9081" s="15"/>
      <c r="J9081" s="15"/>
      <c r="K9081" s="15"/>
      <c r="L9081" s="21"/>
      <c r="M9081" s="15"/>
    </row>
    <row r="9082" spans="1:13" s="166" customFormat="1" ht="12.75" customHeight="1">
      <c r="A9082" s="12" t="s">
        <v>1688</v>
      </c>
      <c r="B9082" s="434">
        <v>1</v>
      </c>
      <c r="C9082" s="24" t="s">
        <v>825</v>
      </c>
      <c r="D9082" s="41">
        <f t="shared" si="835"/>
        <v>600.29999999999995</v>
      </c>
      <c r="E9082" s="31">
        <f t="shared" si="834"/>
        <v>600.29999999999995</v>
      </c>
      <c r="F9082" s="32"/>
      <c r="G9082" s="15"/>
      <c r="H9082" s="21"/>
      <c r="I9082" s="15"/>
      <c r="J9082" s="15"/>
      <c r="K9082" s="15"/>
      <c r="L9082" s="21"/>
      <c r="M9082" s="15"/>
    </row>
    <row r="9083" spans="1:13" s="166" customFormat="1" ht="12.75" customHeight="1">
      <c r="A9083" s="12" t="s">
        <v>208</v>
      </c>
      <c r="B9083" s="434">
        <f>SUM(E9077:E9079)</f>
        <v>21999.7</v>
      </c>
      <c r="C9083" s="24" t="s">
        <v>209</v>
      </c>
      <c r="D9083" s="41">
        <f t="shared" si="835"/>
        <v>0.02</v>
      </c>
      <c r="E9083" s="31">
        <f t="shared" si="834"/>
        <v>439.99400000000003</v>
      </c>
      <c r="F9083" s="32">
        <f>SUM(E9077:E9083)</f>
        <v>29994.262999999999</v>
      </c>
      <c r="G9083" s="15"/>
      <c r="H9083" s="21"/>
      <c r="I9083" s="15"/>
      <c r="J9083" s="15"/>
      <c r="K9083" s="15"/>
      <c r="L9083" s="21"/>
      <c r="M9083" s="15"/>
    </row>
    <row r="9084" spans="1:13" s="166" customFormat="1" ht="12.75" customHeight="1">
      <c r="A9084" s="12"/>
      <c r="B9084" s="434"/>
      <c r="C9084" s="24"/>
      <c r="D9084" s="41"/>
      <c r="E9084" s="31"/>
      <c r="F9084" s="32"/>
      <c r="G9084" s="15"/>
      <c r="H9084" s="21"/>
      <c r="I9084" s="15"/>
      <c r="J9084" s="15"/>
      <c r="K9084" s="15"/>
      <c r="L9084" s="21"/>
      <c r="M9084" s="15"/>
    </row>
    <row r="9085" spans="1:13" s="166" customFormat="1" ht="12.75" customHeight="1">
      <c r="A9085" s="13" t="s">
        <v>1938</v>
      </c>
      <c r="B9085" s="434"/>
      <c r="C9085" s="24"/>
      <c r="D9085" s="41"/>
      <c r="E9085" s="31"/>
      <c r="F9085" s="32"/>
      <c r="G9085" s="15"/>
      <c r="H9085" s="21"/>
      <c r="I9085" s="15"/>
      <c r="J9085" s="15"/>
      <c r="K9085" s="15"/>
      <c r="L9085" s="21"/>
      <c r="M9085" s="15"/>
    </row>
    <row r="9086" spans="1:13" s="166" customFormat="1" ht="12.75" customHeight="1">
      <c r="A9086" s="12" t="s">
        <v>1681</v>
      </c>
      <c r="B9086" s="434">
        <v>1.05</v>
      </c>
      <c r="C9086" s="24" t="s">
        <v>825</v>
      </c>
      <c r="D9086" s="41">
        <f>D9077</f>
        <v>6850</v>
      </c>
      <c r="E9086" s="31">
        <f t="shared" ref="E9086:E9092" si="836">B9086*D9086</f>
        <v>7192.5</v>
      </c>
      <c r="F9086" s="32"/>
      <c r="G9086" s="15"/>
      <c r="H9086" s="21"/>
      <c r="I9086" s="15"/>
      <c r="J9086" s="15"/>
      <c r="K9086" s="15"/>
      <c r="L9086" s="21"/>
      <c r="M9086" s="15"/>
    </row>
    <row r="9087" spans="1:13" s="166" customFormat="1" ht="12.75" customHeight="1">
      <c r="A9087" s="12" t="s">
        <v>1686</v>
      </c>
      <c r="B9087" s="434">
        <v>4.46</v>
      </c>
      <c r="C9087" s="24" t="s">
        <v>4</v>
      </c>
      <c r="D9087" s="41">
        <f t="shared" ref="D9087:D9092" si="837">D9078</f>
        <v>3200</v>
      </c>
      <c r="E9087" s="31">
        <f t="shared" si="836"/>
        <v>14272</v>
      </c>
      <c r="F9087" s="32"/>
      <c r="G9087" s="15"/>
      <c r="H9087" s="21"/>
      <c r="I9087" s="15"/>
      <c r="J9087" s="15"/>
      <c r="K9087" s="15"/>
      <c r="L9087" s="21"/>
      <c r="M9087" s="15"/>
    </row>
    <row r="9088" spans="1:13" s="166" customFormat="1" ht="12.75" customHeight="1">
      <c r="A9088" s="12" t="s">
        <v>1198</v>
      </c>
      <c r="B9088" s="434">
        <f>B9089*2</f>
        <v>8.92</v>
      </c>
      <c r="C9088" s="24" t="s">
        <v>1018</v>
      </c>
      <c r="D9088" s="41">
        <f t="shared" si="837"/>
        <v>60</v>
      </c>
      <c r="E9088" s="31">
        <f t="shared" si="836"/>
        <v>535.20000000000005</v>
      </c>
      <c r="F9088" s="32"/>
      <c r="G9088" s="15"/>
      <c r="H9088" s="21"/>
      <c r="I9088" s="15"/>
      <c r="J9088" s="15"/>
      <c r="K9088" s="15"/>
      <c r="L9088" s="21"/>
      <c r="M9088" s="15"/>
    </row>
    <row r="9089" spans="1:13" s="166" customFormat="1" ht="12.75" customHeight="1">
      <c r="A9089" s="12" t="s">
        <v>1037</v>
      </c>
      <c r="B9089" s="434">
        <f>SUM(B9087:B9087)</f>
        <v>4.46</v>
      </c>
      <c r="C9089" s="24" t="s">
        <v>216</v>
      </c>
      <c r="D9089" s="41">
        <f>Prec.!C352</f>
        <v>559.47499999999991</v>
      </c>
      <c r="E9089" s="31">
        <f t="shared" si="836"/>
        <v>2495.2584999999995</v>
      </c>
      <c r="F9089" s="32"/>
      <c r="G9089" s="15"/>
      <c r="H9089" s="21"/>
      <c r="I9089" s="15"/>
      <c r="J9089" s="15"/>
      <c r="K9089" s="15"/>
      <c r="L9089" s="21"/>
      <c r="M9089" s="15"/>
    </row>
    <row r="9090" spans="1:13" s="166" customFormat="1" ht="12.75" customHeight="1">
      <c r="A9090" s="12" t="s">
        <v>1906</v>
      </c>
      <c r="B9090" s="434">
        <v>7.25</v>
      </c>
      <c r="C9090" s="24" t="s">
        <v>1171</v>
      </c>
      <c r="D9090" s="41">
        <f>D9072*1.1</f>
        <v>660</v>
      </c>
      <c r="E9090" s="31">
        <f t="shared" si="836"/>
        <v>4785</v>
      </c>
      <c r="F9090" s="32"/>
      <c r="G9090" s="15"/>
      <c r="H9090" s="21"/>
      <c r="I9090" s="15"/>
      <c r="J9090" s="15"/>
      <c r="K9090" s="15"/>
      <c r="L9090" s="21"/>
      <c r="M9090" s="15"/>
    </row>
    <row r="9091" spans="1:13" s="166" customFormat="1" ht="12.75" customHeight="1">
      <c r="A9091" s="12" t="s">
        <v>1688</v>
      </c>
      <c r="B9091" s="434">
        <v>1</v>
      </c>
      <c r="C9091" s="24" t="s">
        <v>825</v>
      </c>
      <c r="D9091" s="41">
        <f t="shared" si="837"/>
        <v>600.29999999999995</v>
      </c>
      <c r="E9091" s="31">
        <f t="shared" si="836"/>
        <v>600.29999999999995</v>
      </c>
      <c r="F9091" s="32"/>
      <c r="G9091" s="15"/>
      <c r="H9091" s="21"/>
      <c r="I9091" s="15"/>
      <c r="J9091" s="15"/>
      <c r="K9091" s="15"/>
      <c r="L9091" s="21"/>
      <c r="M9091" s="15"/>
    </row>
    <row r="9092" spans="1:13" s="166" customFormat="1" ht="12.75" customHeight="1">
      <c r="A9092" s="12" t="s">
        <v>208</v>
      </c>
      <c r="B9092" s="434">
        <f>SUM(E9086:E9088)</f>
        <v>21999.7</v>
      </c>
      <c r="C9092" s="24" t="s">
        <v>209</v>
      </c>
      <c r="D9092" s="41">
        <f t="shared" si="837"/>
        <v>0.02</v>
      </c>
      <c r="E9092" s="31">
        <f t="shared" si="836"/>
        <v>439.99400000000003</v>
      </c>
      <c r="F9092" s="32">
        <f>SUM(E9086:E9092)</f>
        <v>30320.252499999999</v>
      </c>
      <c r="G9092" s="15"/>
      <c r="H9092" s="21"/>
      <c r="I9092" s="15"/>
      <c r="J9092" s="15"/>
      <c r="K9092" s="15"/>
      <c r="L9092" s="21"/>
      <c r="M9092" s="15"/>
    </row>
    <row r="9093" spans="1:13" s="166" customFormat="1" ht="12.75" customHeight="1">
      <c r="A9093" s="12"/>
      <c r="B9093" s="434"/>
      <c r="C9093" s="24"/>
      <c r="D9093" s="41"/>
      <c r="E9093" s="31"/>
      <c r="F9093" s="32"/>
      <c r="G9093" s="15"/>
      <c r="H9093" s="21"/>
      <c r="I9093" s="15"/>
      <c r="J9093" s="15"/>
      <c r="K9093" s="15"/>
      <c r="L9093" s="21"/>
      <c r="M9093" s="15"/>
    </row>
    <row r="9094" spans="1:13" s="166" customFormat="1" ht="12.75" customHeight="1">
      <c r="A9094" s="13" t="s">
        <v>1939</v>
      </c>
      <c r="B9094" s="434"/>
      <c r="C9094" s="24"/>
      <c r="D9094" s="41"/>
      <c r="E9094" s="31"/>
      <c r="F9094" s="32"/>
      <c r="G9094" s="15"/>
      <c r="H9094" s="21"/>
      <c r="I9094" s="15"/>
      <c r="J9094" s="15"/>
      <c r="K9094" s="15"/>
      <c r="L9094" s="21"/>
      <c r="M9094" s="15"/>
    </row>
    <row r="9095" spans="1:13" s="166" customFormat="1" ht="12.75" customHeight="1">
      <c r="A9095" s="12" t="s">
        <v>1681</v>
      </c>
      <c r="B9095" s="434">
        <v>1.05</v>
      </c>
      <c r="C9095" s="24" t="s">
        <v>825</v>
      </c>
      <c r="D9095" s="41">
        <f>D9086</f>
        <v>6850</v>
      </c>
      <c r="E9095" s="31">
        <f t="shared" ref="E9095:E9101" si="838">B9095*D9095</f>
        <v>7192.5</v>
      </c>
      <c r="F9095" s="32"/>
      <c r="G9095" s="15"/>
      <c r="H9095" s="21"/>
      <c r="I9095" s="15"/>
      <c r="J9095" s="15"/>
      <c r="K9095" s="15"/>
      <c r="L9095" s="21"/>
      <c r="M9095" s="15"/>
    </row>
    <row r="9096" spans="1:13" s="166" customFormat="1" ht="12.75" customHeight="1">
      <c r="A9096" s="12" t="s">
        <v>1686</v>
      </c>
      <c r="B9096" s="434">
        <v>4.46</v>
      </c>
      <c r="C9096" s="24" t="s">
        <v>4</v>
      </c>
      <c r="D9096" s="41">
        <f t="shared" ref="D9096:D9101" si="839">D9087</f>
        <v>3200</v>
      </c>
      <c r="E9096" s="31">
        <f t="shared" si="838"/>
        <v>14272</v>
      </c>
      <c r="F9096" s="32"/>
      <c r="G9096" s="15"/>
      <c r="H9096" s="21"/>
      <c r="I9096" s="15"/>
      <c r="J9096" s="15"/>
      <c r="K9096" s="15"/>
      <c r="L9096" s="21"/>
      <c r="M9096" s="15"/>
    </row>
    <row r="9097" spans="1:13" s="166" customFormat="1" ht="12.75" customHeight="1">
      <c r="A9097" s="12" t="s">
        <v>1198</v>
      </c>
      <c r="B9097" s="434">
        <f>B9098*2</f>
        <v>8.92</v>
      </c>
      <c r="C9097" s="24" t="s">
        <v>1018</v>
      </c>
      <c r="D9097" s="41">
        <f t="shared" si="839"/>
        <v>60</v>
      </c>
      <c r="E9097" s="31">
        <f t="shared" si="838"/>
        <v>535.20000000000005</v>
      </c>
      <c r="F9097" s="32"/>
      <c r="G9097" s="15"/>
      <c r="H9097" s="21"/>
      <c r="I9097" s="15"/>
      <c r="J9097" s="15"/>
      <c r="K9097" s="15"/>
      <c r="L9097" s="21"/>
      <c r="M9097" s="15"/>
    </row>
    <row r="9098" spans="1:13" s="166" customFormat="1" ht="12.75" customHeight="1">
      <c r="A9098" s="12" t="s">
        <v>1037</v>
      </c>
      <c r="B9098" s="434">
        <f>SUM(B9096:B9096)</f>
        <v>4.46</v>
      </c>
      <c r="C9098" s="24" t="s">
        <v>216</v>
      </c>
      <c r="D9098" s="41">
        <f>Prec.!C353</f>
        <v>583.79999999999995</v>
      </c>
      <c r="E9098" s="31">
        <f t="shared" si="838"/>
        <v>2603.7479999999996</v>
      </c>
      <c r="F9098" s="32"/>
      <c r="G9098" s="15"/>
      <c r="H9098" s="21"/>
      <c r="I9098" s="15"/>
      <c r="J9098" s="15"/>
      <c r="K9098" s="15"/>
      <c r="L9098" s="21"/>
      <c r="M9098" s="15"/>
    </row>
    <row r="9099" spans="1:13" s="166" customFormat="1" ht="12.75" customHeight="1">
      <c r="A9099" s="12" t="s">
        <v>1906</v>
      </c>
      <c r="B9099" s="434">
        <v>7.25</v>
      </c>
      <c r="C9099" s="24" t="s">
        <v>1171</v>
      </c>
      <c r="D9099" s="41">
        <f>D9072*1.15</f>
        <v>690</v>
      </c>
      <c r="E9099" s="31">
        <f t="shared" si="838"/>
        <v>5002.5</v>
      </c>
      <c r="F9099" s="32"/>
      <c r="G9099" s="15"/>
      <c r="H9099" s="21"/>
      <c r="I9099" s="15"/>
      <c r="J9099" s="15"/>
      <c r="K9099" s="15"/>
      <c r="L9099" s="21"/>
      <c r="M9099" s="15"/>
    </row>
    <row r="9100" spans="1:13" s="166" customFormat="1" ht="12.75" customHeight="1">
      <c r="A9100" s="12" t="s">
        <v>1688</v>
      </c>
      <c r="B9100" s="434">
        <v>1</v>
      </c>
      <c r="C9100" s="24" t="s">
        <v>825</v>
      </c>
      <c r="D9100" s="41">
        <f t="shared" si="839"/>
        <v>600.29999999999995</v>
      </c>
      <c r="E9100" s="31">
        <f t="shared" si="838"/>
        <v>600.29999999999995</v>
      </c>
      <c r="F9100" s="32"/>
      <c r="G9100" s="15"/>
      <c r="H9100" s="21"/>
      <c r="I9100" s="15"/>
      <c r="J9100" s="15"/>
      <c r="K9100" s="15"/>
      <c r="L9100" s="21"/>
      <c r="M9100" s="15"/>
    </row>
    <row r="9101" spans="1:13" s="166" customFormat="1" ht="12.75" customHeight="1">
      <c r="A9101" s="12" t="s">
        <v>208</v>
      </c>
      <c r="B9101" s="434">
        <f>SUM(E9095:E9097)</f>
        <v>21999.7</v>
      </c>
      <c r="C9101" s="24" t="s">
        <v>209</v>
      </c>
      <c r="D9101" s="41">
        <f t="shared" si="839"/>
        <v>0.02</v>
      </c>
      <c r="E9101" s="31">
        <f t="shared" si="838"/>
        <v>439.99400000000003</v>
      </c>
      <c r="F9101" s="32">
        <f>SUM(E9095:E9101)</f>
        <v>30646.241999999998</v>
      </c>
      <c r="G9101" s="15"/>
      <c r="H9101" s="21"/>
      <c r="I9101" s="15"/>
      <c r="J9101" s="15"/>
      <c r="K9101" s="15"/>
      <c r="L9101" s="21"/>
      <c r="M9101" s="15"/>
    </row>
    <row r="9102" spans="1:13" s="166" customFormat="1" ht="12.75" customHeight="1">
      <c r="A9102" s="12"/>
      <c r="B9102" s="434"/>
      <c r="C9102" s="24"/>
      <c r="D9102" s="41"/>
      <c r="E9102" s="31"/>
      <c r="F9102" s="32"/>
      <c r="G9102" s="15"/>
      <c r="H9102" s="21"/>
      <c r="I9102" s="15"/>
      <c r="J9102" s="15"/>
      <c r="K9102" s="15"/>
      <c r="L9102" s="21"/>
      <c r="M9102" s="15"/>
    </row>
    <row r="9103" spans="1:13" s="166" customFormat="1" ht="12.75" customHeight="1">
      <c r="A9103" s="13" t="s">
        <v>1940</v>
      </c>
      <c r="B9103" s="434"/>
      <c r="C9103" s="24"/>
      <c r="D9103" s="41"/>
      <c r="E9103" s="31"/>
      <c r="F9103" s="32"/>
      <c r="G9103" s="15"/>
      <c r="H9103" s="21"/>
      <c r="I9103" s="15"/>
      <c r="J9103" s="15"/>
      <c r="K9103" s="15"/>
      <c r="L9103" s="21"/>
      <c r="M9103" s="15"/>
    </row>
    <row r="9104" spans="1:13" s="166" customFormat="1" ht="12.75" customHeight="1">
      <c r="A9104" s="12" t="s">
        <v>1681</v>
      </c>
      <c r="B9104" s="434">
        <v>1.05</v>
      </c>
      <c r="C9104" s="24" t="s">
        <v>825</v>
      </c>
      <c r="D9104" s="41">
        <f>D9095</f>
        <v>6850</v>
      </c>
      <c r="E9104" s="31">
        <f t="shared" ref="E9104:E9110" si="840">B9104*D9104</f>
        <v>7192.5</v>
      </c>
      <c r="F9104" s="32"/>
      <c r="G9104" s="15"/>
      <c r="H9104" s="21"/>
      <c r="I9104" s="15"/>
      <c r="J9104" s="15"/>
      <c r="K9104" s="15"/>
      <c r="L9104" s="21"/>
      <c r="M9104" s="15"/>
    </row>
    <row r="9105" spans="1:13" s="166" customFormat="1" ht="12.75" customHeight="1">
      <c r="A9105" s="12" t="s">
        <v>1686</v>
      </c>
      <c r="B9105" s="434">
        <v>3.34</v>
      </c>
      <c r="C9105" s="24" t="s">
        <v>4</v>
      </c>
      <c r="D9105" s="41">
        <f t="shared" ref="D9105:D9110" si="841">D9096</f>
        <v>3200</v>
      </c>
      <c r="E9105" s="31">
        <f t="shared" si="840"/>
        <v>10688</v>
      </c>
      <c r="F9105" s="32"/>
      <c r="G9105" s="15"/>
      <c r="H9105" s="21"/>
      <c r="I9105" s="15"/>
      <c r="J9105" s="15"/>
      <c r="K9105" s="15"/>
      <c r="L9105" s="21"/>
      <c r="M9105" s="15"/>
    </row>
    <row r="9106" spans="1:13" s="166" customFormat="1" ht="12.75" customHeight="1">
      <c r="A9106" s="12" t="s">
        <v>1198</v>
      </c>
      <c r="B9106" s="434">
        <f>B9107*2</f>
        <v>6.68</v>
      </c>
      <c r="C9106" s="24" t="s">
        <v>1018</v>
      </c>
      <c r="D9106" s="41">
        <f t="shared" si="841"/>
        <v>60</v>
      </c>
      <c r="E9106" s="31">
        <f t="shared" si="840"/>
        <v>400.79999999999995</v>
      </c>
      <c r="F9106" s="32"/>
      <c r="G9106" s="15"/>
      <c r="H9106" s="21"/>
      <c r="I9106" s="15"/>
      <c r="J9106" s="15"/>
      <c r="K9106" s="15"/>
      <c r="L9106" s="21"/>
      <c r="M9106" s="15"/>
    </row>
    <row r="9107" spans="1:13" s="166" customFormat="1" ht="12.75" customHeight="1">
      <c r="A9107" s="12" t="s">
        <v>1037</v>
      </c>
      <c r="B9107" s="434">
        <f>SUM(B9105:B9105)</f>
        <v>3.34</v>
      </c>
      <c r="C9107" s="24" t="s">
        <v>216</v>
      </c>
      <c r="D9107" s="41">
        <f>Prec.!C354</f>
        <v>608.125</v>
      </c>
      <c r="E9107" s="31">
        <f t="shared" si="840"/>
        <v>2031.1374999999998</v>
      </c>
      <c r="F9107" s="32"/>
      <c r="G9107" s="15"/>
      <c r="H9107" s="21"/>
      <c r="I9107" s="15"/>
      <c r="J9107" s="15"/>
      <c r="K9107" s="15"/>
      <c r="L9107" s="21"/>
      <c r="M9107" s="15"/>
    </row>
    <row r="9108" spans="1:13" s="166" customFormat="1" ht="12.75" customHeight="1">
      <c r="A9108" s="12" t="s">
        <v>1906</v>
      </c>
      <c r="B9108" s="434">
        <v>7.25</v>
      </c>
      <c r="C9108" s="24" t="s">
        <v>1171</v>
      </c>
      <c r="D9108" s="41">
        <f>D9072*1.2</f>
        <v>720</v>
      </c>
      <c r="E9108" s="31">
        <f t="shared" si="840"/>
        <v>5220</v>
      </c>
      <c r="F9108" s="32"/>
      <c r="G9108" s="15"/>
      <c r="H9108" s="21"/>
      <c r="I9108" s="15"/>
      <c r="J9108" s="15"/>
      <c r="K9108" s="15"/>
      <c r="L9108" s="21"/>
      <c r="M9108" s="15"/>
    </row>
    <row r="9109" spans="1:13" s="166" customFormat="1" ht="12.75" customHeight="1">
      <c r="A9109" s="12" t="s">
        <v>1688</v>
      </c>
      <c r="B9109" s="434">
        <v>1</v>
      </c>
      <c r="C9109" s="24" t="s">
        <v>825</v>
      </c>
      <c r="D9109" s="41">
        <f t="shared" si="841"/>
        <v>600.29999999999995</v>
      </c>
      <c r="E9109" s="31">
        <f t="shared" si="840"/>
        <v>600.29999999999995</v>
      </c>
      <c r="F9109" s="32"/>
      <c r="G9109" s="15"/>
      <c r="H9109" s="21"/>
      <c r="I9109" s="15"/>
      <c r="J9109" s="15"/>
      <c r="K9109" s="15"/>
      <c r="L9109" s="21"/>
      <c r="M9109" s="15"/>
    </row>
    <row r="9110" spans="1:13" s="166" customFormat="1" ht="12.75" customHeight="1">
      <c r="A9110" s="12" t="s">
        <v>208</v>
      </c>
      <c r="B9110" s="434">
        <f>SUM(E9104:E9106)</f>
        <v>18281.3</v>
      </c>
      <c r="C9110" s="24" t="s">
        <v>209</v>
      </c>
      <c r="D9110" s="41">
        <f t="shared" si="841"/>
        <v>0.02</v>
      </c>
      <c r="E9110" s="31">
        <f t="shared" si="840"/>
        <v>365.62599999999998</v>
      </c>
      <c r="F9110" s="32">
        <f>SUM(E9104:E9110)</f>
        <v>26498.363499999999</v>
      </c>
      <c r="G9110" s="15"/>
      <c r="H9110" s="21"/>
      <c r="I9110" s="15"/>
      <c r="J9110" s="15"/>
      <c r="K9110" s="15"/>
      <c r="L9110" s="21"/>
      <c r="M9110" s="15"/>
    </row>
    <row r="9111" spans="1:13" s="166" customFormat="1" ht="12.75" customHeight="1">
      <c r="A9111" s="12"/>
      <c r="B9111" s="434"/>
      <c r="C9111" s="24"/>
      <c r="D9111" s="41"/>
      <c r="E9111" s="31"/>
      <c r="F9111" s="32"/>
      <c r="G9111" s="15"/>
      <c r="H9111" s="21"/>
      <c r="I9111" s="15"/>
      <c r="J9111" s="15"/>
      <c r="K9111" s="15"/>
      <c r="L9111" s="21"/>
      <c r="M9111" s="15"/>
    </row>
    <row r="9112" spans="1:13" s="166" customFormat="1" ht="12.75" customHeight="1">
      <c r="A9112" s="13" t="s">
        <v>1905</v>
      </c>
      <c r="B9112" s="434"/>
      <c r="C9112" s="24"/>
      <c r="D9112" s="41"/>
      <c r="E9112" s="31"/>
      <c r="F9112" s="32"/>
      <c r="G9112" s="15"/>
      <c r="H9112" s="21"/>
      <c r="I9112" s="15"/>
      <c r="J9112" s="15"/>
      <c r="K9112" s="15"/>
      <c r="L9112" s="21"/>
      <c r="M9112" s="15"/>
    </row>
    <row r="9113" spans="1:13" s="166" customFormat="1" ht="12.75" customHeight="1">
      <c r="A9113" s="12" t="s">
        <v>1681</v>
      </c>
      <c r="B9113" s="434">
        <v>1.05</v>
      </c>
      <c r="C9113" s="24" t="s">
        <v>825</v>
      </c>
      <c r="D9113" s="41">
        <f t="shared" ref="D9113:D9119" si="842">D9068</f>
        <v>6850</v>
      </c>
      <c r="E9113" s="31">
        <f t="shared" ref="E9113:E9119" si="843">B9113*D9113</f>
        <v>7192.5</v>
      </c>
      <c r="F9113" s="32"/>
      <c r="G9113" s="15"/>
      <c r="H9113" s="21"/>
      <c r="I9113" s="15"/>
      <c r="J9113" s="15"/>
      <c r="K9113" s="15"/>
      <c r="L9113" s="21"/>
      <c r="M9113" s="15"/>
    </row>
    <row r="9114" spans="1:13" s="166" customFormat="1" ht="12.75" customHeight="1">
      <c r="A9114" s="12" t="s">
        <v>1686</v>
      </c>
      <c r="B9114" s="434">
        <v>4.32</v>
      </c>
      <c r="C9114" s="24" t="s">
        <v>4</v>
      </c>
      <c r="D9114" s="41">
        <f t="shared" si="842"/>
        <v>3200</v>
      </c>
      <c r="E9114" s="31">
        <f t="shared" si="843"/>
        <v>13824</v>
      </c>
      <c r="F9114" s="32"/>
      <c r="G9114" s="15"/>
      <c r="H9114" s="21"/>
      <c r="I9114" s="15"/>
      <c r="J9114" s="15"/>
      <c r="K9114" s="15"/>
      <c r="L9114" s="21"/>
      <c r="M9114" s="15"/>
    </row>
    <row r="9115" spans="1:13" s="166" customFormat="1" ht="12.75" customHeight="1">
      <c r="A9115" s="12" t="s">
        <v>1198</v>
      </c>
      <c r="B9115" s="434">
        <f>B9116*2</f>
        <v>8.64</v>
      </c>
      <c r="C9115" s="24" t="s">
        <v>1018</v>
      </c>
      <c r="D9115" s="41">
        <f t="shared" si="842"/>
        <v>60</v>
      </c>
      <c r="E9115" s="31">
        <f t="shared" si="843"/>
        <v>518.40000000000009</v>
      </c>
      <c r="F9115" s="32"/>
      <c r="G9115" s="15"/>
      <c r="H9115" s="21"/>
      <c r="I9115" s="15"/>
      <c r="J9115" s="15"/>
      <c r="K9115" s="15"/>
      <c r="L9115" s="21"/>
      <c r="M9115" s="15"/>
    </row>
    <row r="9116" spans="1:13" s="166" customFormat="1" ht="12.75" customHeight="1">
      <c r="A9116" s="12" t="s">
        <v>1037</v>
      </c>
      <c r="B9116" s="434">
        <f>SUM(B9114:B9114)</f>
        <v>4.32</v>
      </c>
      <c r="C9116" s="24" t="s">
        <v>216</v>
      </c>
      <c r="D9116" s="41">
        <f t="shared" si="842"/>
        <v>486.5</v>
      </c>
      <c r="E9116" s="31">
        <f t="shared" si="843"/>
        <v>2101.6800000000003</v>
      </c>
      <c r="F9116" s="32"/>
      <c r="G9116" s="15"/>
      <c r="H9116" s="21"/>
      <c r="I9116" s="15"/>
      <c r="J9116" s="15"/>
      <c r="K9116" s="15"/>
      <c r="L9116" s="21"/>
      <c r="M9116" s="15"/>
    </row>
    <row r="9117" spans="1:13" s="166" customFormat="1" ht="12.75" customHeight="1">
      <c r="A9117" s="12" t="s">
        <v>1906</v>
      </c>
      <c r="B9117" s="434">
        <v>7.25</v>
      </c>
      <c r="C9117" s="24" t="s">
        <v>1171</v>
      </c>
      <c r="D9117" s="41">
        <v>600</v>
      </c>
      <c r="E9117" s="31">
        <f t="shared" si="843"/>
        <v>4350</v>
      </c>
      <c r="F9117" s="32"/>
      <c r="G9117" s="15"/>
      <c r="H9117" s="21"/>
      <c r="I9117" s="15"/>
      <c r="J9117" s="15"/>
      <c r="K9117" s="15"/>
      <c r="L9117" s="21"/>
      <c r="M9117" s="15"/>
    </row>
    <row r="9118" spans="1:13" s="166" customFormat="1" ht="12.75" customHeight="1">
      <c r="A9118" s="12" t="s">
        <v>1688</v>
      </c>
      <c r="B9118" s="434">
        <v>1</v>
      </c>
      <c r="C9118" s="24" t="s">
        <v>825</v>
      </c>
      <c r="D9118" s="41">
        <f t="shared" si="842"/>
        <v>600.29999999999995</v>
      </c>
      <c r="E9118" s="31">
        <f t="shared" si="843"/>
        <v>600.29999999999995</v>
      </c>
      <c r="F9118" s="32"/>
      <c r="G9118" s="15"/>
      <c r="H9118" s="21"/>
      <c r="I9118" s="15"/>
      <c r="J9118" s="15"/>
      <c r="K9118" s="15"/>
      <c r="L9118" s="21"/>
      <c r="M9118" s="15"/>
    </row>
    <row r="9119" spans="1:13" s="166" customFormat="1" ht="12.75" customHeight="1">
      <c r="A9119" s="12" t="s">
        <v>208</v>
      </c>
      <c r="B9119" s="434">
        <f>SUM(E9113:E9115)</f>
        <v>21534.9</v>
      </c>
      <c r="C9119" s="24" t="s">
        <v>209</v>
      </c>
      <c r="D9119" s="41">
        <f t="shared" si="842"/>
        <v>0.02</v>
      </c>
      <c r="E9119" s="31">
        <f t="shared" si="843"/>
        <v>430.69800000000004</v>
      </c>
      <c r="F9119" s="32">
        <f>SUM(E9113:E9119)</f>
        <v>29017.578000000001</v>
      </c>
      <c r="G9119" s="15"/>
      <c r="H9119" s="21"/>
      <c r="I9119" s="15"/>
      <c r="J9119" s="15"/>
      <c r="K9119" s="15"/>
      <c r="L9119" s="21"/>
      <c r="M9119" s="15"/>
    </row>
    <row r="9120" spans="1:13" s="166" customFormat="1" ht="12.75" customHeight="1">
      <c r="A9120" s="12"/>
      <c r="B9120" s="434"/>
      <c r="C9120" s="24"/>
      <c r="D9120" s="41"/>
      <c r="E9120" s="31"/>
      <c r="F9120" s="32"/>
      <c r="G9120" s="15"/>
      <c r="H9120" s="21"/>
      <c r="I9120" s="15"/>
      <c r="J9120" s="15"/>
      <c r="K9120" s="15"/>
      <c r="L9120" s="21"/>
      <c r="M9120" s="15"/>
    </row>
    <row r="9121" spans="1:13" s="166" customFormat="1" ht="12.75" customHeight="1">
      <c r="A9121" s="13" t="s">
        <v>1941</v>
      </c>
      <c r="B9121" s="434"/>
      <c r="C9121" s="24"/>
      <c r="D9121" s="41"/>
      <c r="E9121" s="31"/>
      <c r="F9121" s="32"/>
      <c r="G9121" s="15"/>
      <c r="H9121" s="21"/>
      <c r="I9121" s="15"/>
      <c r="J9121" s="15"/>
      <c r="K9121" s="15"/>
      <c r="L9121" s="21"/>
      <c r="M9121" s="15"/>
    </row>
    <row r="9122" spans="1:13" s="166" customFormat="1" ht="12.75" customHeight="1">
      <c r="A9122" s="12" t="s">
        <v>1681</v>
      </c>
      <c r="B9122" s="434">
        <v>1.05</v>
      </c>
      <c r="C9122" s="24" t="s">
        <v>825</v>
      </c>
      <c r="D9122" s="41">
        <f>D9113</f>
        <v>6850</v>
      </c>
      <c r="E9122" s="31">
        <f t="shared" ref="E9122:E9128" si="844">B9122*D9122</f>
        <v>7192.5</v>
      </c>
      <c r="F9122" s="32"/>
      <c r="G9122" s="15"/>
      <c r="H9122" s="21"/>
      <c r="I9122" s="15"/>
      <c r="J9122" s="15"/>
      <c r="K9122" s="15"/>
      <c r="L9122" s="21"/>
      <c r="M9122" s="15"/>
    </row>
    <row r="9123" spans="1:13" s="166" customFormat="1" ht="12.75" customHeight="1">
      <c r="A9123" s="12" t="s">
        <v>1686</v>
      </c>
      <c r="B9123" s="434">
        <v>4.32</v>
      </c>
      <c r="C9123" s="24" t="s">
        <v>4</v>
      </c>
      <c r="D9123" s="41">
        <f t="shared" ref="D9123:D9128" si="845">D9114</f>
        <v>3200</v>
      </c>
      <c r="E9123" s="31">
        <f t="shared" si="844"/>
        <v>13824</v>
      </c>
      <c r="F9123" s="32"/>
      <c r="G9123" s="15"/>
      <c r="H9123" s="21"/>
      <c r="I9123" s="15"/>
      <c r="J9123" s="15"/>
      <c r="K9123" s="15"/>
      <c r="L9123" s="21"/>
      <c r="M9123" s="15"/>
    </row>
    <row r="9124" spans="1:13" s="166" customFormat="1" ht="12.75" customHeight="1">
      <c r="A9124" s="12" t="s">
        <v>1198</v>
      </c>
      <c r="B9124" s="434">
        <f>B9125*2</f>
        <v>8.64</v>
      </c>
      <c r="C9124" s="24" t="s">
        <v>1018</v>
      </c>
      <c r="D9124" s="41">
        <f t="shared" si="845"/>
        <v>60</v>
      </c>
      <c r="E9124" s="31">
        <f t="shared" si="844"/>
        <v>518.40000000000009</v>
      </c>
      <c r="F9124" s="32"/>
      <c r="G9124" s="15"/>
      <c r="H9124" s="21"/>
      <c r="I9124" s="15"/>
      <c r="J9124" s="15"/>
      <c r="K9124" s="15"/>
      <c r="L9124" s="21"/>
      <c r="M9124" s="15"/>
    </row>
    <row r="9125" spans="1:13" s="166" customFormat="1" ht="12.75" customHeight="1">
      <c r="A9125" s="12" t="s">
        <v>1037</v>
      </c>
      <c r="B9125" s="434">
        <f>SUM(B9123:B9123)</f>
        <v>4.32</v>
      </c>
      <c r="C9125" s="24" t="s">
        <v>216</v>
      </c>
      <c r="D9125" s="41">
        <f>Prec.!C351</f>
        <v>535.15000000000009</v>
      </c>
      <c r="E9125" s="31">
        <f t="shared" si="844"/>
        <v>2311.8480000000004</v>
      </c>
      <c r="F9125" s="32"/>
      <c r="G9125" s="15"/>
      <c r="H9125" s="21"/>
      <c r="I9125" s="15"/>
      <c r="J9125" s="15"/>
      <c r="K9125" s="15"/>
      <c r="L9125" s="21"/>
      <c r="M9125" s="15"/>
    </row>
    <row r="9126" spans="1:13" s="166" customFormat="1" ht="12.75" customHeight="1">
      <c r="A9126" s="12" t="s">
        <v>1906</v>
      </c>
      <c r="B9126" s="434">
        <v>7.25</v>
      </c>
      <c r="C9126" s="24" t="s">
        <v>1171</v>
      </c>
      <c r="D9126" s="41">
        <f>D9117*1.05</f>
        <v>630</v>
      </c>
      <c r="E9126" s="31">
        <f t="shared" si="844"/>
        <v>4567.5</v>
      </c>
      <c r="F9126" s="32"/>
      <c r="G9126" s="15"/>
      <c r="H9126" s="21"/>
      <c r="I9126" s="15"/>
      <c r="J9126" s="15"/>
      <c r="K9126" s="15"/>
      <c r="L9126" s="21"/>
      <c r="M9126" s="15"/>
    </row>
    <row r="9127" spans="1:13" s="166" customFormat="1" ht="12.75" customHeight="1">
      <c r="A9127" s="12" t="s">
        <v>1688</v>
      </c>
      <c r="B9127" s="434">
        <v>1</v>
      </c>
      <c r="C9127" s="24" t="s">
        <v>825</v>
      </c>
      <c r="D9127" s="41">
        <f t="shared" si="845"/>
        <v>600.29999999999995</v>
      </c>
      <c r="E9127" s="31">
        <f t="shared" si="844"/>
        <v>600.29999999999995</v>
      </c>
      <c r="F9127" s="32"/>
      <c r="G9127" s="15"/>
      <c r="H9127" s="21"/>
      <c r="I9127" s="15"/>
      <c r="J9127" s="15"/>
      <c r="K9127" s="15"/>
      <c r="L9127" s="21"/>
      <c r="M9127" s="15"/>
    </row>
    <row r="9128" spans="1:13" s="166" customFormat="1" ht="12.75" customHeight="1">
      <c r="A9128" s="12" t="s">
        <v>208</v>
      </c>
      <c r="B9128" s="434">
        <f>SUM(E9122:E9124)</f>
        <v>21534.9</v>
      </c>
      <c r="C9128" s="24" t="s">
        <v>209</v>
      </c>
      <c r="D9128" s="41">
        <f t="shared" si="845"/>
        <v>0.02</v>
      </c>
      <c r="E9128" s="31">
        <f t="shared" si="844"/>
        <v>430.69800000000004</v>
      </c>
      <c r="F9128" s="32">
        <f>SUM(E9122:E9128)</f>
        <v>29445.246000000003</v>
      </c>
      <c r="G9128" s="15"/>
      <c r="H9128" s="21"/>
      <c r="I9128" s="15"/>
      <c r="J9128" s="15"/>
      <c r="K9128" s="15"/>
      <c r="L9128" s="21"/>
      <c r="M9128" s="15"/>
    </row>
    <row r="9129" spans="1:13" s="166" customFormat="1" ht="12.75" customHeight="1">
      <c r="A9129" s="12"/>
      <c r="B9129" s="434"/>
      <c r="C9129" s="24"/>
      <c r="D9129" s="41"/>
      <c r="E9129" s="31"/>
      <c r="F9129" s="32"/>
      <c r="G9129" s="15"/>
      <c r="H9129" s="21"/>
      <c r="I9129" s="15"/>
      <c r="J9129" s="15"/>
      <c r="K9129" s="15"/>
      <c r="L9129" s="21"/>
      <c r="M9129" s="15"/>
    </row>
    <row r="9130" spans="1:13" s="166" customFormat="1" ht="12.75" customHeight="1">
      <c r="A9130" s="13" t="s">
        <v>1942</v>
      </c>
      <c r="B9130" s="434"/>
      <c r="C9130" s="24"/>
      <c r="D9130" s="41"/>
      <c r="E9130" s="31"/>
      <c r="F9130" s="32"/>
      <c r="G9130" s="15"/>
      <c r="H9130" s="21"/>
      <c r="I9130" s="15"/>
      <c r="J9130" s="15"/>
      <c r="K9130" s="15"/>
      <c r="L9130" s="21"/>
      <c r="M9130" s="15"/>
    </row>
    <row r="9131" spans="1:13" s="166" customFormat="1" ht="12.75" customHeight="1">
      <c r="A9131" s="12" t="s">
        <v>1681</v>
      </c>
      <c r="B9131" s="434">
        <v>1.05</v>
      </c>
      <c r="C9131" s="24" t="s">
        <v>825</v>
      </c>
      <c r="D9131" s="41">
        <f>D9122</f>
        <v>6850</v>
      </c>
      <c r="E9131" s="31">
        <f t="shared" ref="E9131:E9137" si="846">B9131*D9131</f>
        <v>7192.5</v>
      </c>
      <c r="F9131" s="32"/>
      <c r="G9131" s="15"/>
      <c r="H9131" s="21"/>
      <c r="I9131" s="15"/>
      <c r="J9131" s="15"/>
      <c r="K9131" s="15"/>
      <c r="L9131" s="21"/>
      <c r="M9131" s="15"/>
    </row>
    <row r="9132" spans="1:13" s="166" customFormat="1" ht="12.75" customHeight="1">
      <c r="A9132" s="12" t="s">
        <v>1686</v>
      </c>
      <c r="B9132" s="434">
        <v>4.32</v>
      </c>
      <c r="C9132" s="24" t="s">
        <v>4</v>
      </c>
      <c r="D9132" s="41">
        <f t="shared" ref="D9132:D9137" si="847">D9123</f>
        <v>3200</v>
      </c>
      <c r="E9132" s="31">
        <f t="shared" si="846"/>
        <v>13824</v>
      </c>
      <c r="F9132" s="32"/>
      <c r="G9132" s="15"/>
      <c r="H9132" s="21"/>
      <c r="I9132" s="15"/>
      <c r="J9132" s="15"/>
      <c r="K9132" s="15"/>
      <c r="L9132" s="21"/>
      <c r="M9132" s="15"/>
    </row>
    <row r="9133" spans="1:13" s="166" customFormat="1" ht="12.75" customHeight="1">
      <c r="A9133" s="12" t="s">
        <v>1198</v>
      </c>
      <c r="B9133" s="434">
        <f>B9134*2</f>
        <v>8.64</v>
      </c>
      <c r="C9133" s="24" t="s">
        <v>1018</v>
      </c>
      <c r="D9133" s="41">
        <f t="shared" si="847"/>
        <v>60</v>
      </c>
      <c r="E9133" s="31">
        <f t="shared" si="846"/>
        <v>518.40000000000009</v>
      </c>
      <c r="F9133" s="32"/>
      <c r="G9133" s="15"/>
      <c r="H9133" s="21"/>
      <c r="I9133" s="15"/>
      <c r="J9133" s="15"/>
      <c r="K9133" s="15"/>
      <c r="L9133" s="21"/>
      <c r="M9133" s="15"/>
    </row>
    <row r="9134" spans="1:13" s="166" customFormat="1" ht="12.75" customHeight="1">
      <c r="A9134" s="12" t="s">
        <v>1037</v>
      </c>
      <c r="B9134" s="434">
        <f>SUM(B9132:B9132)</f>
        <v>4.32</v>
      </c>
      <c r="C9134" s="24" t="s">
        <v>216</v>
      </c>
      <c r="D9134" s="41">
        <f>Prec.!C352</f>
        <v>559.47499999999991</v>
      </c>
      <c r="E9134" s="31">
        <f t="shared" si="846"/>
        <v>2416.9319999999998</v>
      </c>
      <c r="F9134" s="32"/>
      <c r="G9134" s="15"/>
      <c r="H9134" s="21"/>
      <c r="I9134" s="15"/>
      <c r="J9134" s="15"/>
      <c r="K9134" s="15"/>
      <c r="L9134" s="21"/>
      <c r="M9134" s="15"/>
    </row>
    <row r="9135" spans="1:13" s="166" customFormat="1" ht="12.75" customHeight="1">
      <c r="A9135" s="12" t="s">
        <v>1906</v>
      </c>
      <c r="B9135" s="434">
        <v>7.25</v>
      </c>
      <c r="C9135" s="24" t="s">
        <v>1171</v>
      </c>
      <c r="D9135" s="41">
        <f>D9117*1.1</f>
        <v>660</v>
      </c>
      <c r="E9135" s="31">
        <f t="shared" si="846"/>
        <v>4785</v>
      </c>
      <c r="F9135" s="32"/>
      <c r="G9135" s="15"/>
      <c r="H9135" s="21"/>
      <c r="I9135" s="15"/>
      <c r="J9135" s="15"/>
      <c r="K9135" s="15"/>
      <c r="L9135" s="21"/>
      <c r="M9135" s="15"/>
    </row>
    <row r="9136" spans="1:13" s="166" customFormat="1" ht="12.75" customHeight="1">
      <c r="A9136" s="12" t="s">
        <v>1688</v>
      </c>
      <c r="B9136" s="434">
        <v>1</v>
      </c>
      <c r="C9136" s="24" t="s">
        <v>825</v>
      </c>
      <c r="D9136" s="41">
        <f t="shared" si="847"/>
        <v>600.29999999999995</v>
      </c>
      <c r="E9136" s="31">
        <f t="shared" si="846"/>
        <v>600.29999999999995</v>
      </c>
      <c r="F9136" s="32"/>
      <c r="G9136" s="15"/>
      <c r="H9136" s="21"/>
      <c r="I9136" s="15"/>
      <c r="J9136" s="15"/>
      <c r="K9136" s="15"/>
      <c r="L9136" s="21"/>
      <c r="M9136" s="15"/>
    </row>
    <row r="9137" spans="1:13" s="166" customFormat="1" ht="12.75" customHeight="1">
      <c r="A9137" s="12" t="s">
        <v>208</v>
      </c>
      <c r="B9137" s="434">
        <f>SUM(E9131:E9133)</f>
        <v>21534.9</v>
      </c>
      <c r="C9137" s="24" t="s">
        <v>209</v>
      </c>
      <c r="D9137" s="41">
        <f t="shared" si="847"/>
        <v>0.02</v>
      </c>
      <c r="E9137" s="31">
        <f t="shared" si="846"/>
        <v>430.69800000000004</v>
      </c>
      <c r="F9137" s="32">
        <f>SUM(E9131:E9137)</f>
        <v>29767.83</v>
      </c>
      <c r="G9137" s="15"/>
      <c r="H9137" s="21"/>
      <c r="I9137" s="15"/>
      <c r="J9137" s="15"/>
      <c r="K9137" s="15"/>
      <c r="L9137" s="21"/>
      <c r="M9137" s="15"/>
    </row>
    <row r="9138" spans="1:13" s="166" customFormat="1" ht="12.75" customHeight="1">
      <c r="A9138" s="12"/>
      <c r="B9138" s="434"/>
      <c r="C9138" s="24"/>
      <c r="D9138" s="41"/>
      <c r="E9138" s="31"/>
      <c r="F9138" s="32"/>
      <c r="G9138" s="15"/>
      <c r="H9138" s="21"/>
      <c r="I9138" s="15"/>
      <c r="J9138" s="15"/>
      <c r="K9138" s="15"/>
      <c r="L9138" s="21"/>
      <c r="M9138" s="15"/>
    </row>
    <row r="9139" spans="1:13" s="166" customFormat="1" ht="12.75" customHeight="1">
      <c r="A9139" s="13" t="s">
        <v>1943</v>
      </c>
      <c r="B9139" s="434"/>
      <c r="C9139" s="24"/>
      <c r="D9139" s="41"/>
      <c r="E9139" s="31"/>
      <c r="F9139" s="32"/>
      <c r="G9139" s="15"/>
      <c r="H9139" s="21"/>
      <c r="I9139" s="15"/>
      <c r="J9139" s="15"/>
      <c r="K9139" s="15"/>
      <c r="L9139" s="21"/>
      <c r="M9139" s="15"/>
    </row>
    <row r="9140" spans="1:13" s="166" customFormat="1" ht="12.75" customHeight="1">
      <c r="A9140" s="12" t="s">
        <v>1681</v>
      </c>
      <c r="B9140" s="434">
        <v>1.05</v>
      </c>
      <c r="C9140" s="24" t="s">
        <v>825</v>
      </c>
      <c r="D9140" s="41">
        <f>D9131</f>
        <v>6850</v>
      </c>
      <c r="E9140" s="31">
        <f t="shared" ref="E9140:E9146" si="848">B9140*D9140</f>
        <v>7192.5</v>
      </c>
      <c r="F9140" s="32"/>
      <c r="G9140" s="15"/>
      <c r="H9140" s="21"/>
      <c r="I9140" s="15"/>
      <c r="J9140" s="15"/>
      <c r="K9140" s="15"/>
      <c r="L9140" s="21"/>
      <c r="M9140" s="15"/>
    </row>
    <row r="9141" spans="1:13" s="166" customFormat="1" ht="12.75" customHeight="1">
      <c r="A9141" s="12" t="s">
        <v>1686</v>
      </c>
      <c r="B9141" s="434">
        <v>4.32</v>
      </c>
      <c r="C9141" s="24" t="s">
        <v>4</v>
      </c>
      <c r="D9141" s="41">
        <f t="shared" ref="D9141:D9146" si="849">D9132</f>
        <v>3200</v>
      </c>
      <c r="E9141" s="31">
        <f t="shared" si="848"/>
        <v>13824</v>
      </c>
      <c r="F9141" s="32"/>
      <c r="G9141" s="15"/>
      <c r="H9141" s="21"/>
      <c r="I9141" s="15"/>
      <c r="J9141" s="15"/>
      <c r="K9141" s="15"/>
      <c r="L9141" s="21"/>
      <c r="M9141" s="15"/>
    </row>
    <row r="9142" spans="1:13" s="166" customFormat="1" ht="12.75" customHeight="1">
      <c r="A9142" s="12" t="s">
        <v>1198</v>
      </c>
      <c r="B9142" s="434">
        <f>B9143*2</f>
        <v>8.64</v>
      </c>
      <c r="C9142" s="24" t="s">
        <v>1018</v>
      </c>
      <c r="D9142" s="41">
        <f t="shared" si="849"/>
        <v>60</v>
      </c>
      <c r="E9142" s="31">
        <f t="shared" si="848"/>
        <v>518.40000000000009</v>
      </c>
      <c r="F9142" s="32"/>
      <c r="G9142" s="15"/>
      <c r="H9142" s="21"/>
      <c r="I9142" s="15"/>
      <c r="J9142" s="15"/>
      <c r="K9142" s="15"/>
      <c r="L9142" s="21"/>
      <c r="M9142" s="15"/>
    </row>
    <row r="9143" spans="1:13" s="166" customFormat="1" ht="12.75" customHeight="1">
      <c r="A9143" s="12" t="s">
        <v>1037</v>
      </c>
      <c r="B9143" s="434">
        <f>SUM(B9141:B9141)</f>
        <v>4.32</v>
      </c>
      <c r="C9143" s="24" t="s">
        <v>216</v>
      </c>
      <c r="D9143" s="41">
        <f>Prec.!C353</f>
        <v>583.79999999999995</v>
      </c>
      <c r="E9143" s="31">
        <f t="shared" si="848"/>
        <v>2522.0160000000001</v>
      </c>
      <c r="F9143" s="32"/>
      <c r="G9143" s="15"/>
      <c r="H9143" s="21"/>
      <c r="I9143" s="15"/>
      <c r="J9143" s="15"/>
      <c r="K9143" s="15"/>
      <c r="L9143" s="21"/>
      <c r="M9143" s="15"/>
    </row>
    <row r="9144" spans="1:13" s="166" customFormat="1" ht="12.75" customHeight="1">
      <c r="A9144" s="12" t="s">
        <v>1906</v>
      </c>
      <c r="B9144" s="434">
        <v>7.25</v>
      </c>
      <c r="C9144" s="24" t="s">
        <v>1171</v>
      </c>
      <c r="D9144" s="41">
        <f>D9117*1.15</f>
        <v>690</v>
      </c>
      <c r="E9144" s="31">
        <f t="shared" si="848"/>
        <v>5002.5</v>
      </c>
      <c r="F9144" s="32"/>
      <c r="G9144" s="15"/>
      <c r="H9144" s="21"/>
      <c r="I9144" s="15"/>
      <c r="J9144" s="15"/>
      <c r="K9144" s="15"/>
      <c r="L9144" s="21"/>
      <c r="M9144" s="15"/>
    </row>
    <row r="9145" spans="1:13" s="166" customFormat="1" ht="12.75" customHeight="1">
      <c r="A9145" s="12" t="s">
        <v>1688</v>
      </c>
      <c r="B9145" s="434">
        <v>1</v>
      </c>
      <c r="C9145" s="24" t="s">
        <v>825</v>
      </c>
      <c r="D9145" s="41">
        <f t="shared" si="849"/>
        <v>600.29999999999995</v>
      </c>
      <c r="E9145" s="31">
        <f t="shared" si="848"/>
        <v>600.29999999999995</v>
      </c>
      <c r="F9145" s="32"/>
      <c r="G9145" s="15"/>
      <c r="H9145" s="21"/>
      <c r="I9145" s="15"/>
      <c r="J9145" s="15"/>
      <c r="K9145" s="15"/>
      <c r="L9145" s="21"/>
      <c r="M9145" s="15"/>
    </row>
    <row r="9146" spans="1:13" s="166" customFormat="1" ht="12.75" customHeight="1">
      <c r="A9146" s="12" t="s">
        <v>208</v>
      </c>
      <c r="B9146" s="434">
        <f>SUM(E9140:E9142)</f>
        <v>21534.9</v>
      </c>
      <c r="C9146" s="24" t="s">
        <v>209</v>
      </c>
      <c r="D9146" s="41">
        <f t="shared" si="849"/>
        <v>0.02</v>
      </c>
      <c r="E9146" s="31">
        <f t="shared" si="848"/>
        <v>430.69800000000004</v>
      </c>
      <c r="F9146" s="32">
        <f>SUM(E9140:E9146)</f>
        <v>30090.414000000001</v>
      </c>
      <c r="G9146" s="15"/>
      <c r="H9146" s="21"/>
      <c r="I9146" s="15"/>
      <c r="J9146" s="15"/>
      <c r="K9146" s="15"/>
      <c r="L9146" s="21"/>
      <c r="M9146" s="15"/>
    </row>
    <row r="9147" spans="1:13" s="166" customFormat="1" ht="12.75" customHeight="1">
      <c r="A9147" s="12"/>
      <c r="B9147" s="434"/>
      <c r="C9147" s="24"/>
      <c r="D9147" s="41"/>
      <c r="E9147" s="31"/>
      <c r="F9147" s="32"/>
      <c r="G9147" s="15"/>
      <c r="H9147" s="21"/>
      <c r="I9147" s="15"/>
      <c r="J9147" s="15"/>
      <c r="K9147" s="15"/>
      <c r="L9147" s="21"/>
      <c r="M9147" s="15"/>
    </row>
    <row r="9148" spans="1:13" s="166" customFormat="1" ht="12.75" customHeight="1">
      <c r="A9148" s="13" t="s">
        <v>1690</v>
      </c>
      <c r="B9148" s="434"/>
      <c r="C9148" s="24"/>
      <c r="D9148" s="41"/>
      <c r="E9148" s="31"/>
      <c r="F9148" s="32"/>
      <c r="G9148" s="15"/>
      <c r="H9148" s="21"/>
      <c r="I9148" s="15"/>
      <c r="J9148" s="15"/>
      <c r="K9148" s="15"/>
      <c r="L9148" s="21"/>
      <c r="M9148" s="15"/>
    </row>
    <row r="9149" spans="1:13" s="166" customFormat="1" ht="12.75" customHeight="1">
      <c r="A9149" s="12" t="s">
        <v>1681</v>
      </c>
      <c r="B9149" s="434">
        <v>1.05</v>
      </c>
      <c r="C9149" s="24" t="s">
        <v>825</v>
      </c>
      <c r="D9149" s="41">
        <f>Prec.!C36</f>
        <v>6850</v>
      </c>
      <c r="E9149" s="31">
        <f t="shared" ref="E9149:E9155" si="850">B9149*D9149</f>
        <v>7192.5</v>
      </c>
      <c r="F9149" s="32"/>
      <c r="G9149" s="15"/>
      <c r="H9149" s="21"/>
      <c r="I9149" s="15"/>
      <c r="J9149" s="15"/>
      <c r="K9149" s="15"/>
      <c r="L9149" s="21"/>
      <c r="M9149" s="15"/>
    </row>
    <row r="9150" spans="1:13" s="166" customFormat="1" ht="12.75" customHeight="1">
      <c r="A9150" s="12" t="s">
        <v>1683</v>
      </c>
      <c r="B9150" s="434">
        <v>4.0999999999999996</v>
      </c>
      <c r="C9150" s="24" t="s">
        <v>4</v>
      </c>
      <c r="D9150" s="41">
        <f>D8384</f>
        <v>3200</v>
      </c>
      <c r="E9150" s="31">
        <f t="shared" si="850"/>
        <v>13119.999999999998</v>
      </c>
      <c r="F9150" s="32"/>
      <c r="G9150" s="15"/>
      <c r="H9150" s="21"/>
      <c r="I9150" s="15"/>
      <c r="J9150" s="15"/>
      <c r="K9150" s="15"/>
      <c r="L9150" s="21"/>
      <c r="M9150" s="15"/>
    </row>
    <row r="9151" spans="1:13" s="166" customFormat="1" ht="12.75" customHeight="1">
      <c r="A9151" s="12" t="s">
        <v>1198</v>
      </c>
      <c r="B9151" s="434">
        <f>B9150*2</f>
        <v>8.1999999999999993</v>
      </c>
      <c r="C9151" s="24" t="s">
        <v>1018</v>
      </c>
      <c r="D9151" s="41">
        <f>D8386</f>
        <v>60</v>
      </c>
      <c r="E9151" s="31">
        <f t="shared" si="850"/>
        <v>491.99999999999994</v>
      </c>
      <c r="F9151" s="32"/>
      <c r="G9151" s="15"/>
      <c r="H9151" s="21"/>
      <c r="I9151" s="15"/>
      <c r="J9151" s="15"/>
      <c r="K9151" s="15"/>
      <c r="L9151" s="21"/>
      <c r="M9151" s="15"/>
    </row>
    <row r="9152" spans="1:13" s="166" customFormat="1" ht="12.75" customHeight="1">
      <c r="A9152" s="12" t="s">
        <v>1037</v>
      </c>
      <c r="B9152" s="434">
        <f>B9153</f>
        <v>33.33</v>
      </c>
      <c r="C9152" s="24" t="s">
        <v>1171</v>
      </c>
      <c r="D9152" s="41">
        <f>Prec.!C358</f>
        <v>107.87</v>
      </c>
      <c r="E9152" s="31">
        <f t="shared" si="850"/>
        <v>3595.3071</v>
      </c>
      <c r="F9152" s="32"/>
      <c r="G9152" s="15"/>
      <c r="H9152" s="21"/>
      <c r="I9152" s="15"/>
      <c r="J9152" s="15"/>
      <c r="K9152" s="15"/>
      <c r="L9152" s="21"/>
      <c r="M9152" s="15"/>
    </row>
    <row r="9153" spans="1:13" s="166" customFormat="1" ht="12.75" customHeight="1">
      <c r="A9153" s="12" t="s">
        <v>1685</v>
      </c>
      <c r="B9153" s="434">
        <v>33.33</v>
      </c>
      <c r="C9153" s="24" t="s">
        <v>1171</v>
      </c>
      <c r="D9153" s="41">
        <v>250</v>
      </c>
      <c r="E9153" s="31">
        <f t="shared" si="850"/>
        <v>8332.5</v>
      </c>
      <c r="F9153" s="32"/>
      <c r="G9153" s="15"/>
      <c r="H9153" s="21"/>
      <c r="I9153" s="15"/>
      <c r="J9153" s="15"/>
      <c r="K9153" s="15"/>
      <c r="L9153" s="21"/>
      <c r="M9153" s="15"/>
    </row>
    <row r="9154" spans="1:13" s="166" customFormat="1" ht="12.75" customHeight="1">
      <c r="A9154" s="12" t="s">
        <v>1684</v>
      </c>
      <c r="B9154" s="434">
        <v>1</v>
      </c>
      <c r="C9154" s="24" t="s">
        <v>825</v>
      </c>
      <c r="D9154" s="41">
        <f>Prec.!C675</f>
        <v>600.29999999999995</v>
      </c>
      <c r="E9154" s="31">
        <f t="shared" si="850"/>
        <v>600.29999999999995</v>
      </c>
      <c r="F9154" s="32"/>
      <c r="G9154" s="15"/>
      <c r="H9154" s="21"/>
      <c r="I9154" s="15"/>
      <c r="J9154" s="15"/>
      <c r="K9154" s="15"/>
      <c r="L9154" s="21"/>
      <c r="M9154" s="15"/>
    </row>
    <row r="9155" spans="1:13" s="166" customFormat="1" ht="12.75" customHeight="1">
      <c r="A9155" s="12" t="s">
        <v>208</v>
      </c>
      <c r="B9155" s="434">
        <f>SUM(E9149:E9151)</f>
        <v>20804.5</v>
      </c>
      <c r="C9155" s="24" t="s">
        <v>209</v>
      </c>
      <c r="D9155" s="41">
        <v>0.02</v>
      </c>
      <c r="E9155" s="31">
        <f t="shared" si="850"/>
        <v>416.09000000000003</v>
      </c>
      <c r="F9155" s="32">
        <f>SUM(E9149:E9155)</f>
        <v>33748.697099999998</v>
      </c>
      <c r="G9155" s="15"/>
      <c r="H9155" s="21"/>
      <c r="I9155" s="15"/>
      <c r="J9155" s="15"/>
      <c r="K9155" s="15"/>
      <c r="L9155" s="21"/>
      <c r="M9155" s="15"/>
    </row>
    <row r="9156" spans="1:13" s="166" customFormat="1" ht="12.75" customHeight="1">
      <c r="A9156" s="12"/>
      <c r="B9156" s="434"/>
      <c r="C9156" s="24"/>
      <c r="D9156" s="41"/>
      <c r="E9156" s="31"/>
      <c r="F9156" s="32"/>
      <c r="G9156" s="15"/>
      <c r="H9156" s="21"/>
      <c r="I9156" s="15"/>
      <c r="J9156" s="15"/>
      <c r="K9156" s="15"/>
      <c r="L9156" s="21"/>
      <c r="M9156" s="15"/>
    </row>
    <row r="9157" spans="1:13" s="166" customFormat="1" ht="12.75" customHeight="1">
      <c r="A9157" s="13" t="s">
        <v>1691</v>
      </c>
      <c r="B9157" s="434"/>
      <c r="C9157" s="24"/>
      <c r="D9157" s="41"/>
      <c r="E9157" s="31"/>
      <c r="F9157" s="32"/>
      <c r="G9157" s="15"/>
      <c r="H9157" s="21"/>
      <c r="I9157" s="15"/>
      <c r="J9157" s="15"/>
      <c r="K9157" s="15"/>
      <c r="L9157" s="21"/>
      <c r="M9157" s="15"/>
    </row>
    <row r="9158" spans="1:13" s="166" customFormat="1" ht="12.75" customHeight="1">
      <c r="A9158" s="12" t="s">
        <v>1681</v>
      </c>
      <c r="B9158" s="434">
        <v>1.05</v>
      </c>
      <c r="C9158" s="24" t="s">
        <v>825</v>
      </c>
      <c r="D9158" s="41">
        <f>D9149</f>
        <v>6850</v>
      </c>
      <c r="E9158" s="31">
        <f t="shared" ref="E9158:E9164" si="851">B9158*D9158</f>
        <v>7192.5</v>
      </c>
      <c r="F9158" s="32"/>
      <c r="G9158" s="15"/>
      <c r="H9158" s="21"/>
      <c r="I9158" s="15"/>
      <c r="J9158" s="15"/>
      <c r="K9158" s="15"/>
      <c r="L9158" s="21"/>
      <c r="M9158" s="15"/>
    </row>
    <row r="9159" spans="1:13" s="166" customFormat="1" ht="12.75" customHeight="1">
      <c r="A9159" s="12" t="s">
        <v>1683</v>
      </c>
      <c r="B9159" s="434">
        <v>4.5599999999999996</v>
      </c>
      <c r="C9159" s="24" t="s">
        <v>4</v>
      </c>
      <c r="D9159" s="41">
        <f t="shared" ref="D9159:D9164" si="852">D9150</f>
        <v>3200</v>
      </c>
      <c r="E9159" s="31">
        <f t="shared" si="851"/>
        <v>14591.999999999998</v>
      </c>
      <c r="F9159" s="32"/>
      <c r="G9159" s="15"/>
      <c r="H9159" s="21"/>
      <c r="I9159" s="15"/>
      <c r="J9159" s="15"/>
      <c r="K9159" s="15"/>
      <c r="L9159" s="21"/>
      <c r="M9159" s="15"/>
    </row>
    <row r="9160" spans="1:13" s="166" customFormat="1" ht="12.75" customHeight="1">
      <c r="A9160" s="12" t="s">
        <v>1198</v>
      </c>
      <c r="B9160" s="434">
        <f>B9159*2</f>
        <v>9.1199999999999992</v>
      </c>
      <c r="C9160" s="24" t="s">
        <v>1018</v>
      </c>
      <c r="D9160" s="41">
        <f t="shared" si="852"/>
        <v>60</v>
      </c>
      <c r="E9160" s="31">
        <f t="shared" si="851"/>
        <v>547.19999999999993</v>
      </c>
      <c r="F9160" s="32"/>
      <c r="G9160" s="15"/>
      <c r="H9160" s="21"/>
      <c r="I9160" s="15"/>
      <c r="J9160" s="15"/>
      <c r="K9160" s="15"/>
      <c r="L9160" s="21"/>
      <c r="M9160" s="15"/>
    </row>
    <row r="9161" spans="1:13" s="166" customFormat="1" ht="12.75" customHeight="1">
      <c r="A9161" s="12" t="s">
        <v>1037</v>
      </c>
      <c r="B9161" s="434">
        <f>B9162</f>
        <v>33.33</v>
      </c>
      <c r="C9161" s="24" t="s">
        <v>1171</v>
      </c>
      <c r="D9161" s="41">
        <f t="shared" si="852"/>
        <v>107.87</v>
      </c>
      <c r="E9161" s="31">
        <f t="shared" si="851"/>
        <v>3595.3071</v>
      </c>
      <c r="F9161" s="32"/>
      <c r="G9161" s="15"/>
      <c r="H9161" s="21"/>
      <c r="I9161" s="15"/>
      <c r="J9161" s="15"/>
      <c r="K9161" s="15"/>
      <c r="L9161" s="21"/>
      <c r="M9161" s="15"/>
    </row>
    <row r="9162" spans="1:13" s="166" customFormat="1" ht="12.75" customHeight="1">
      <c r="A9162" s="12" t="s">
        <v>1685</v>
      </c>
      <c r="B9162" s="434">
        <v>33.33</v>
      </c>
      <c r="C9162" s="24" t="s">
        <v>1171</v>
      </c>
      <c r="D9162" s="41">
        <f t="shared" si="852"/>
        <v>250</v>
      </c>
      <c r="E9162" s="31">
        <f t="shared" si="851"/>
        <v>8332.5</v>
      </c>
      <c r="F9162" s="32"/>
      <c r="G9162" s="15"/>
      <c r="H9162" s="21"/>
      <c r="I9162" s="15"/>
      <c r="J9162" s="15"/>
      <c r="K9162" s="15"/>
      <c r="L9162" s="21"/>
      <c r="M9162" s="15"/>
    </row>
    <row r="9163" spans="1:13" s="166" customFormat="1" ht="12.75" customHeight="1">
      <c r="A9163" s="12" t="s">
        <v>1684</v>
      </c>
      <c r="B9163" s="434">
        <v>1</v>
      </c>
      <c r="C9163" s="24" t="s">
        <v>825</v>
      </c>
      <c r="D9163" s="41">
        <f t="shared" si="852"/>
        <v>600.29999999999995</v>
      </c>
      <c r="E9163" s="31">
        <f t="shared" si="851"/>
        <v>600.29999999999995</v>
      </c>
      <c r="F9163" s="32"/>
      <c r="G9163" s="15"/>
      <c r="H9163" s="21"/>
      <c r="I9163" s="15"/>
      <c r="J9163" s="15"/>
      <c r="K9163" s="15"/>
      <c r="L9163" s="21"/>
      <c r="M9163" s="15"/>
    </row>
    <row r="9164" spans="1:13" s="166" customFormat="1" ht="12.75" customHeight="1">
      <c r="A9164" s="12" t="s">
        <v>208</v>
      </c>
      <c r="B9164" s="434">
        <f>SUM(E9158:E9160)</f>
        <v>22331.7</v>
      </c>
      <c r="C9164" s="24" t="s">
        <v>209</v>
      </c>
      <c r="D9164" s="41">
        <f t="shared" si="852"/>
        <v>0.02</v>
      </c>
      <c r="E9164" s="31">
        <f t="shared" si="851"/>
        <v>446.63400000000001</v>
      </c>
      <c r="F9164" s="32">
        <f>SUM(E9158:E9164)</f>
        <v>35306.441100000004</v>
      </c>
      <c r="G9164" s="15"/>
      <c r="H9164" s="21"/>
      <c r="I9164" s="15"/>
      <c r="J9164" s="15"/>
      <c r="K9164" s="15"/>
      <c r="L9164" s="21"/>
      <c r="M9164" s="15"/>
    </row>
    <row r="9165" spans="1:13" s="166" customFormat="1" ht="12.75" customHeight="1">
      <c r="A9165" s="12"/>
      <c r="B9165" s="434"/>
      <c r="C9165" s="24"/>
      <c r="D9165" s="41"/>
      <c r="E9165" s="31"/>
      <c r="F9165" s="32"/>
      <c r="G9165" s="15"/>
      <c r="H9165" s="21"/>
      <c r="I9165" s="15"/>
      <c r="J9165" s="15"/>
      <c r="K9165" s="15"/>
      <c r="L9165" s="21"/>
      <c r="M9165" s="15"/>
    </row>
    <row r="9166" spans="1:13" s="166" customFormat="1" ht="12.75" customHeight="1">
      <c r="A9166" s="13" t="s">
        <v>1859</v>
      </c>
      <c r="B9166" s="434"/>
      <c r="C9166" s="24"/>
      <c r="D9166" s="41"/>
      <c r="E9166" s="31"/>
      <c r="F9166" s="32"/>
      <c r="G9166" s="15"/>
      <c r="H9166" s="21"/>
      <c r="I9166" s="15"/>
      <c r="J9166" s="15"/>
      <c r="K9166" s="15"/>
      <c r="L9166" s="21"/>
      <c r="M9166" s="15"/>
    </row>
    <row r="9167" spans="1:13" s="166" customFormat="1" ht="12.75" customHeight="1">
      <c r="A9167" s="12" t="s">
        <v>1681</v>
      </c>
      <c r="B9167" s="434">
        <v>1.05</v>
      </c>
      <c r="C9167" s="24" t="s">
        <v>825</v>
      </c>
      <c r="D9167" s="41">
        <f>D9158</f>
        <v>6850</v>
      </c>
      <c r="E9167" s="31">
        <f t="shared" ref="E9167:E9173" si="853">B9167*D9167</f>
        <v>7192.5</v>
      </c>
      <c r="F9167" s="32"/>
      <c r="G9167" s="15"/>
      <c r="H9167" s="21"/>
      <c r="I9167" s="15"/>
      <c r="J9167" s="15"/>
      <c r="K9167" s="15"/>
      <c r="L9167" s="21"/>
      <c r="M9167" s="15"/>
    </row>
    <row r="9168" spans="1:13" s="166" customFormat="1" ht="12.75" customHeight="1">
      <c r="A9168" s="12" t="s">
        <v>1683</v>
      </c>
      <c r="B9168" s="434">
        <v>2.73</v>
      </c>
      <c r="C9168" s="24" t="s">
        <v>4</v>
      </c>
      <c r="D9168" s="41">
        <f t="shared" ref="D9168:D9173" si="854">D9159</f>
        <v>3200</v>
      </c>
      <c r="E9168" s="31">
        <f t="shared" si="853"/>
        <v>8736</v>
      </c>
      <c r="F9168" s="32"/>
      <c r="G9168" s="15"/>
      <c r="H9168" s="21"/>
      <c r="I9168" s="15"/>
      <c r="J9168" s="15"/>
      <c r="K9168" s="15"/>
      <c r="L9168" s="21"/>
      <c r="M9168" s="15"/>
    </row>
    <row r="9169" spans="1:13" s="166" customFormat="1" ht="12.75" customHeight="1">
      <c r="A9169" s="12" t="s">
        <v>1198</v>
      </c>
      <c r="B9169" s="434">
        <f>B9168*2</f>
        <v>5.46</v>
      </c>
      <c r="C9169" s="24" t="s">
        <v>1018</v>
      </c>
      <c r="D9169" s="41">
        <f t="shared" si="854"/>
        <v>60</v>
      </c>
      <c r="E9169" s="31">
        <f t="shared" si="853"/>
        <v>327.60000000000002</v>
      </c>
      <c r="F9169" s="32"/>
      <c r="G9169" s="15"/>
      <c r="H9169" s="21"/>
      <c r="I9169" s="15"/>
      <c r="J9169" s="15"/>
      <c r="K9169" s="15"/>
      <c r="L9169" s="21"/>
      <c r="M9169" s="15"/>
    </row>
    <row r="9170" spans="1:13" s="166" customFormat="1" ht="12.75" customHeight="1">
      <c r="A9170" s="12" t="s">
        <v>1037</v>
      </c>
      <c r="B9170" s="434">
        <f>B9168</f>
        <v>2.73</v>
      </c>
      <c r="C9170" s="24" t="s">
        <v>4</v>
      </c>
      <c r="D9170" s="41">
        <f>Prec.!C350</f>
        <v>486.5</v>
      </c>
      <c r="E9170" s="31">
        <f t="shared" si="853"/>
        <v>1328.145</v>
      </c>
      <c r="F9170" s="32"/>
      <c r="G9170" s="15"/>
      <c r="H9170" s="21"/>
      <c r="I9170" s="15"/>
      <c r="J9170" s="15"/>
      <c r="K9170" s="15"/>
      <c r="L9170" s="21"/>
      <c r="M9170" s="15"/>
    </row>
    <row r="9171" spans="1:13" s="166" customFormat="1" ht="12.75" customHeight="1">
      <c r="A9171" s="12" t="s">
        <v>1865</v>
      </c>
      <c r="B9171" s="434">
        <v>11.11</v>
      </c>
      <c r="C9171" s="24" t="s">
        <v>1171</v>
      </c>
      <c r="D9171" s="41">
        <v>700</v>
      </c>
      <c r="E9171" s="31">
        <f t="shared" si="853"/>
        <v>7777</v>
      </c>
      <c r="F9171" s="32"/>
      <c r="G9171" s="15"/>
      <c r="H9171" s="21"/>
      <c r="I9171" s="15"/>
      <c r="J9171" s="15"/>
      <c r="K9171" s="15"/>
      <c r="L9171" s="21"/>
      <c r="M9171" s="15"/>
    </row>
    <row r="9172" spans="1:13" s="166" customFormat="1" ht="12.75" customHeight="1">
      <c r="A9172" s="12" t="s">
        <v>1684</v>
      </c>
      <c r="B9172" s="434">
        <v>1</v>
      </c>
      <c r="C9172" s="24" t="s">
        <v>825</v>
      </c>
      <c r="D9172" s="41">
        <f t="shared" si="854"/>
        <v>600.29999999999995</v>
      </c>
      <c r="E9172" s="31">
        <f t="shared" si="853"/>
        <v>600.29999999999995</v>
      </c>
      <c r="F9172" s="32"/>
      <c r="G9172" s="15"/>
      <c r="H9172" s="21"/>
      <c r="I9172" s="15"/>
      <c r="J9172" s="15"/>
      <c r="K9172" s="15"/>
      <c r="L9172" s="21"/>
      <c r="M9172" s="15"/>
    </row>
    <row r="9173" spans="1:13" s="166" customFormat="1" ht="12.75" customHeight="1">
      <c r="A9173" s="12" t="s">
        <v>208</v>
      </c>
      <c r="B9173" s="434">
        <f>SUM(E9167:E9169)</f>
        <v>16256.1</v>
      </c>
      <c r="C9173" s="24" t="s">
        <v>209</v>
      </c>
      <c r="D9173" s="41">
        <f t="shared" si="854"/>
        <v>0.02</v>
      </c>
      <c r="E9173" s="31">
        <f t="shared" si="853"/>
        <v>325.12200000000001</v>
      </c>
      <c r="F9173" s="32">
        <f>SUM(E9167:E9173)</f>
        <v>26286.666999999998</v>
      </c>
      <c r="G9173" s="15"/>
      <c r="H9173" s="21"/>
      <c r="I9173" s="15"/>
      <c r="J9173" s="15"/>
      <c r="K9173" s="15"/>
      <c r="L9173" s="21"/>
      <c r="M9173" s="15"/>
    </row>
    <row r="9174" spans="1:13" s="166" customFormat="1" ht="12.75" customHeight="1">
      <c r="A9174" s="12"/>
      <c r="B9174" s="434"/>
      <c r="C9174" s="24"/>
      <c r="D9174" s="41"/>
      <c r="E9174" s="31"/>
      <c r="F9174" s="32"/>
      <c r="G9174" s="15"/>
      <c r="H9174" s="21"/>
      <c r="I9174" s="15"/>
      <c r="J9174" s="15"/>
      <c r="K9174" s="15"/>
      <c r="L9174" s="21"/>
      <c r="M9174" s="15"/>
    </row>
    <row r="9175" spans="1:13" s="166" customFormat="1" ht="12.75" customHeight="1">
      <c r="A9175" s="13" t="s">
        <v>1860</v>
      </c>
      <c r="B9175" s="434"/>
      <c r="C9175" s="24"/>
      <c r="D9175" s="41"/>
      <c r="E9175" s="31"/>
      <c r="F9175" s="32"/>
      <c r="G9175" s="15"/>
      <c r="H9175" s="21"/>
      <c r="I9175" s="15"/>
      <c r="J9175" s="15"/>
      <c r="K9175" s="15"/>
      <c r="L9175" s="21"/>
      <c r="M9175" s="15"/>
    </row>
    <row r="9176" spans="1:13" s="166" customFormat="1" ht="12.75" customHeight="1">
      <c r="A9176" s="12" t="s">
        <v>1681</v>
      </c>
      <c r="B9176" s="434">
        <v>1.05</v>
      </c>
      <c r="C9176" s="24" t="s">
        <v>825</v>
      </c>
      <c r="D9176" s="41">
        <f>D9167</f>
        <v>6850</v>
      </c>
      <c r="E9176" s="31">
        <f t="shared" ref="E9176:E9182" si="855">B9176*D9176</f>
        <v>7192.5</v>
      </c>
      <c r="F9176" s="32"/>
      <c r="G9176" s="15"/>
      <c r="H9176" s="21"/>
      <c r="I9176" s="15"/>
      <c r="J9176" s="15"/>
      <c r="K9176" s="15"/>
      <c r="L9176" s="21"/>
      <c r="M9176" s="15"/>
    </row>
    <row r="9177" spans="1:13" s="166" customFormat="1" ht="12.75" customHeight="1">
      <c r="A9177" s="12" t="s">
        <v>1683</v>
      </c>
      <c r="B9177" s="434">
        <v>2.83</v>
      </c>
      <c r="C9177" s="24" t="s">
        <v>4</v>
      </c>
      <c r="D9177" s="41">
        <f t="shared" ref="D9177:D9182" si="856">D9168</f>
        <v>3200</v>
      </c>
      <c r="E9177" s="31">
        <f t="shared" si="855"/>
        <v>9056</v>
      </c>
      <c r="F9177" s="32"/>
      <c r="G9177" s="15"/>
      <c r="H9177" s="21"/>
      <c r="I9177" s="15"/>
      <c r="J9177" s="15"/>
      <c r="K9177" s="15"/>
      <c r="L9177" s="21"/>
      <c r="M9177" s="15"/>
    </row>
    <row r="9178" spans="1:13" s="166" customFormat="1" ht="12.75" customHeight="1">
      <c r="A9178" s="12" t="s">
        <v>1198</v>
      </c>
      <c r="B9178" s="434">
        <f>B9177*2</f>
        <v>5.66</v>
      </c>
      <c r="C9178" s="24" t="s">
        <v>1018</v>
      </c>
      <c r="D9178" s="41">
        <f>D9169</f>
        <v>60</v>
      </c>
      <c r="E9178" s="31">
        <f t="shared" si="855"/>
        <v>339.6</v>
      </c>
      <c r="F9178" s="32"/>
      <c r="G9178" s="15"/>
      <c r="H9178" s="21"/>
      <c r="I9178" s="15"/>
      <c r="J9178" s="15"/>
      <c r="K9178" s="15"/>
      <c r="L9178" s="21"/>
      <c r="M9178" s="15"/>
    </row>
    <row r="9179" spans="1:13" s="166" customFormat="1" ht="12.75" customHeight="1">
      <c r="A9179" s="12" t="s">
        <v>1037</v>
      </c>
      <c r="B9179" s="434">
        <f>B9177</f>
        <v>2.83</v>
      </c>
      <c r="C9179" s="24" t="s">
        <v>4</v>
      </c>
      <c r="D9179" s="41">
        <f>D9170</f>
        <v>486.5</v>
      </c>
      <c r="E9179" s="31">
        <f t="shared" si="855"/>
        <v>1376.7950000000001</v>
      </c>
      <c r="F9179" s="32"/>
      <c r="G9179" s="15"/>
      <c r="H9179" s="21"/>
      <c r="I9179" s="15"/>
      <c r="J9179" s="15"/>
      <c r="K9179" s="15"/>
      <c r="L9179" s="21"/>
      <c r="M9179" s="15"/>
    </row>
    <row r="9180" spans="1:13" s="166" customFormat="1" ht="12.75" customHeight="1">
      <c r="A9180" s="12" t="s">
        <v>1865</v>
      </c>
      <c r="B9180" s="434">
        <v>11.11</v>
      </c>
      <c r="C9180" s="24" t="s">
        <v>1171</v>
      </c>
      <c r="D9180" s="41">
        <v>700</v>
      </c>
      <c r="E9180" s="31">
        <f t="shared" si="855"/>
        <v>7777</v>
      </c>
      <c r="F9180" s="32"/>
      <c r="G9180" s="15"/>
      <c r="H9180" s="21"/>
      <c r="I9180" s="15"/>
      <c r="J9180" s="15"/>
      <c r="K9180" s="15"/>
      <c r="L9180" s="21"/>
      <c r="M9180" s="15"/>
    </row>
    <row r="9181" spans="1:13" s="166" customFormat="1" ht="12.75" customHeight="1">
      <c r="A9181" s="12" t="s">
        <v>1684</v>
      </c>
      <c r="B9181" s="434">
        <v>1</v>
      </c>
      <c r="C9181" s="24" t="s">
        <v>825</v>
      </c>
      <c r="D9181" s="41">
        <f t="shared" si="856"/>
        <v>600.29999999999995</v>
      </c>
      <c r="E9181" s="31">
        <f t="shared" si="855"/>
        <v>600.29999999999995</v>
      </c>
      <c r="F9181" s="32"/>
      <c r="G9181" s="15"/>
      <c r="H9181" s="21"/>
      <c r="I9181" s="15"/>
      <c r="J9181" s="15"/>
      <c r="K9181" s="15"/>
      <c r="L9181" s="21"/>
      <c r="M9181" s="15"/>
    </row>
    <row r="9182" spans="1:13" s="166" customFormat="1" ht="12.75" customHeight="1">
      <c r="A9182" s="12" t="s">
        <v>208</v>
      </c>
      <c r="B9182" s="434">
        <f>SUM(E9176:E9178)</f>
        <v>16588.099999999999</v>
      </c>
      <c r="C9182" s="24" t="s">
        <v>209</v>
      </c>
      <c r="D9182" s="41">
        <f t="shared" si="856"/>
        <v>0.02</v>
      </c>
      <c r="E9182" s="31">
        <f t="shared" si="855"/>
        <v>331.762</v>
      </c>
      <c r="F9182" s="32">
        <f>SUM(E9176:E9182)</f>
        <v>26673.956999999995</v>
      </c>
      <c r="G9182" s="15"/>
      <c r="H9182" s="21"/>
      <c r="I9182" s="15"/>
      <c r="J9182" s="15"/>
      <c r="K9182" s="15"/>
      <c r="L9182" s="21"/>
      <c r="M9182" s="15"/>
    </row>
    <row r="9183" spans="1:13" s="166" customFormat="1" ht="12.75" customHeight="1">
      <c r="A9183" s="12"/>
      <c r="B9183" s="434"/>
      <c r="C9183" s="24"/>
      <c r="D9183" s="41"/>
      <c r="E9183" s="31"/>
      <c r="F9183" s="32"/>
      <c r="G9183" s="15"/>
      <c r="H9183" s="21"/>
      <c r="I9183" s="15"/>
      <c r="J9183" s="15"/>
      <c r="K9183" s="15"/>
      <c r="L9183" s="21"/>
      <c r="M9183" s="15"/>
    </row>
    <row r="9184" spans="1:13" s="166" customFormat="1" ht="12.75" customHeight="1">
      <c r="A9184" s="13" t="s">
        <v>1861</v>
      </c>
      <c r="B9184" s="434"/>
      <c r="C9184" s="24"/>
      <c r="D9184" s="41"/>
      <c r="E9184" s="31"/>
      <c r="F9184" s="32"/>
      <c r="G9184" s="15"/>
      <c r="H9184" s="21"/>
      <c r="I9184" s="15"/>
      <c r="J9184" s="15"/>
      <c r="K9184" s="15"/>
      <c r="L9184" s="21"/>
      <c r="M9184" s="15"/>
    </row>
    <row r="9185" spans="1:13" s="166" customFormat="1" ht="12.75" customHeight="1">
      <c r="A9185" s="12" t="s">
        <v>1681</v>
      </c>
      <c r="B9185" s="434">
        <v>1.05</v>
      </c>
      <c r="C9185" s="24" t="s">
        <v>825</v>
      </c>
      <c r="D9185" s="41">
        <f>D9176</f>
        <v>6850</v>
      </c>
      <c r="E9185" s="31">
        <f t="shared" ref="E9185:E9191" si="857">B9185*D9185</f>
        <v>7192.5</v>
      </c>
      <c r="F9185" s="32"/>
      <c r="G9185" s="15"/>
      <c r="H9185" s="21"/>
      <c r="I9185" s="15"/>
      <c r="J9185" s="15"/>
      <c r="K9185" s="15"/>
      <c r="L9185" s="21"/>
      <c r="M9185" s="15"/>
    </row>
    <row r="9186" spans="1:13" s="166" customFormat="1" ht="12.75" customHeight="1">
      <c r="A9186" s="12" t="s">
        <v>1683</v>
      </c>
      <c r="B9186" s="434">
        <v>3.63</v>
      </c>
      <c r="C9186" s="24" t="s">
        <v>4</v>
      </c>
      <c r="D9186" s="41">
        <f t="shared" ref="D9186:D9191" si="858">D9177</f>
        <v>3200</v>
      </c>
      <c r="E9186" s="31">
        <f t="shared" si="857"/>
        <v>11616</v>
      </c>
      <c r="F9186" s="32"/>
      <c r="G9186" s="15"/>
      <c r="H9186" s="21"/>
      <c r="I9186" s="15"/>
      <c r="J9186" s="15"/>
      <c r="K9186" s="15"/>
      <c r="L9186" s="21"/>
      <c r="M9186" s="15"/>
    </row>
    <row r="9187" spans="1:13" s="166" customFormat="1" ht="12.75" customHeight="1">
      <c r="A9187" s="12" t="s">
        <v>1198</v>
      </c>
      <c r="B9187" s="434">
        <f>B9186*2</f>
        <v>7.26</v>
      </c>
      <c r="C9187" s="24" t="s">
        <v>1018</v>
      </c>
      <c r="D9187" s="41">
        <f t="shared" si="858"/>
        <v>60</v>
      </c>
      <c r="E9187" s="31">
        <f t="shared" si="857"/>
        <v>435.59999999999997</v>
      </c>
      <c r="F9187" s="32"/>
      <c r="G9187" s="15"/>
      <c r="H9187" s="21"/>
      <c r="I9187" s="15"/>
      <c r="J9187" s="15"/>
      <c r="K9187" s="15"/>
      <c r="L9187" s="21"/>
      <c r="M9187" s="15"/>
    </row>
    <row r="9188" spans="1:13" s="166" customFormat="1" ht="12.75" customHeight="1">
      <c r="A9188" s="12" t="s">
        <v>1037</v>
      </c>
      <c r="B9188" s="434">
        <v>16.670000000000002</v>
      </c>
      <c r="C9188" s="24" t="s">
        <v>1171</v>
      </c>
      <c r="D9188" s="41">
        <f>Prec.!C358</f>
        <v>107.87</v>
      </c>
      <c r="E9188" s="31">
        <f t="shared" si="857"/>
        <v>1798.1929000000002</v>
      </c>
      <c r="F9188" s="32"/>
      <c r="G9188" s="15"/>
      <c r="H9188" s="21"/>
      <c r="I9188" s="15"/>
      <c r="J9188" s="15"/>
      <c r="K9188" s="15"/>
      <c r="L9188" s="21"/>
      <c r="M9188" s="15"/>
    </row>
    <row r="9189" spans="1:13" s="166" customFormat="1" ht="12.75" customHeight="1">
      <c r="A9189" s="12" t="s">
        <v>1866</v>
      </c>
      <c r="B9189" s="434">
        <v>16.670000000000002</v>
      </c>
      <c r="C9189" s="24" t="s">
        <v>1171</v>
      </c>
      <c r="D9189" s="41">
        <v>300</v>
      </c>
      <c r="E9189" s="31">
        <f t="shared" si="857"/>
        <v>5001.0000000000009</v>
      </c>
      <c r="F9189" s="32"/>
      <c r="G9189" s="15"/>
      <c r="H9189" s="21"/>
      <c r="I9189" s="15"/>
      <c r="J9189" s="15"/>
      <c r="K9189" s="15"/>
      <c r="L9189" s="21"/>
      <c r="M9189" s="15"/>
    </row>
    <row r="9190" spans="1:13" s="166" customFormat="1" ht="12.75" customHeight="1">
      <c r="A9190" s="12" t="s">
        <v>1684</v>
      </c>
      <c r="B9190" s="434">
        <v>1</v>
      </c>
      <c r="C9190" s="24" t="s">
        <v>825</v>
      </c>
      <c r="D9190" s="41">
        <f t="shared" si="858"/>
        <v>600.29999999999995</v>
      </c>
      <c r="E9190" s="31">
        <f t="shared" si="857"/>
        <v>600.29999999999995</v>
      </c>
      <c r="F9190" s="32"/>
      <c r="G9190" s="15"/>
      <c r="H9190" s="21"/>
      <c r="I9190" s="15"/>
      <c r="J9190" s="15"/>
      <c r="K9190" s="15"/>
      <c r="L9190" s="21"/>
      <c r="M9190" s="15"/>
    </row>
    <row r="9191" spans="1:13" s="166" customFormat="1" ht="12.75" customHeight="1">
      <c r="A9191" s="12" t="s">
        <v>208</v>
      </c>
      <c r="B9191" s="434">
        <f>SUM(E9185:E9187)</f>
        <v>19244.099999999999</v>
      </c>
      <c r="C9191" s="24" t="s">
        <v>209</v>
      </c>
      <c r="D9191" s="41">
        <f t="shared" si="858"/>
        <v>0.02</v>
      </c>
      <c r="E9191" s="31">
        <f t="shared" si="857"/>
        <v>384.88200000000001</v>
      </c>
      <c r="F9191" s="32">
        <f>SUM(E9185:E9191)</f>
        <v>27028.474900000001</v>
      </c>
      <c r="G9191" s="15"/>
      <c r="H9191" s="21"/>
      <c r="I9191" s="15"/>
      <c r="J9191" s="15"/>
      <c r="K9191" s="15"/>
      <c r="L9191" s="21"/>
      <c r="M9191" s="15"/>
    </row>
    <row r="9192" spans="1:13" s="166" customFormat="1" ht="12.75" customHeight="1">
      <c r="A9192" s="12"/>
      <c r="B9192" s="434"/>
      <c r="C9192" s="24"/>
      <c r="D9192" s="41"/>
      <c r="E9192" s="31"/>
      <c r="F9192" s="32"/>
      <c r="G9192" s="15"/>
      <c r="H9192" s="21"/>
      <c r="I9192" s="15"/>
      <c r="J9192" s="15"/>
      <c r="K9192" s="15"/>
      <c r="L9192" s="21"/>
      <c r="M9192" s="15"/>
    </row>
    <row r="9193" spans="1:13" s="166" customFormat="1" ht="12.75" customHeight="1">
      <c r="A9193" s="13" t="s">
        <v>1862</v>
      </c>
      <c r="B9193" s="434"/>
      <c r="C9193" s="24"/>
      <c r="D9193" s="41"/>
      <c r="E9193" s="31"/>
      <c r="F9193" s="32"/>
      <c r="G9193" s="15"/>
      <c r="H9193" s="21"/>
      <c r="I9193" s="15"/>
      <c r="J9193" s="15"/>
      <c r="K9193" s="15"/>
      <c r="L9193" s="21"/>
      <c r="M9193" s="15"/>
    </row>
    <row r="9194" spans="1:13" s="166" customFormat="1" ht="12.75" customHeight="1">
      <c r="A9194" s="12" t="s">
        <v>1681</v>
      </c>
      <c r="B9194" s="434">
        <v>1.05</v>
      </c>
      <c r="C9194" s="24" t="s">
        <v>825</v>
      </c>
      <c r="D9194" s="41">
        <f>D9185</f>
        <v>6850</v>
      </c>
      <c r="E9194" s="31">
        <f t="shared" ref="E9194:E9200" si="859">B9194*D9194</f>
        <v>7192.5</v>
      </c>
      <c r="F9194" s="32"/>
      <c r="G9194" s="15"/>
      <c r="H9194" s="21"/>
      <c r="I9194" s="15"/>
      <c r="J9194" s="15"/>
      <c r="K9194" s="15"/>
      <c r="L9194" s="21"/>
      <c r="M9194" s="15"/>
    </row>
    <row r="9195" spans="1:13" s="166" customFormat="1" ht="12.75" customHeight="1">
      <c r="A9195" s="12" t="s">
        <v>1683</v>
      </c>
      <c r="B9195" s="434">
        <v>2.82</v>
      </c>
      <c r="C9195" s="24" t="s">
        <v>4</v>
      </c>
      <c r="D9195" s="41">
        <f t="shared" ref="D9195" si="860">D9186</f>
        <v>3200</v>
      </c>
      <c r="E9195" s="31">
        <f t="shared" si="859"/>
        <v>9024</v>
      </c>
      <c r="F9195" s="32"/>
      <c r="G9195" s="15"/>
      <c r="H9195" s="21"/>
      <c r="I9195" s="15"/>
      <c r="J9195" s="15"/>
      <c r="K9195" s="15"/>
      <c r="L9195" s="21"/>
      <c r="M9195" s="15"/>
    </row>
    <row r="9196" spans="1:13" s="166" customFormat="1" ht="12.75" customHeight="1">
      <c r="A9196" s="12" t="s">
        <v>1198</v>
      </c>
      <c r="B9196" s="434">
        <f>B9195*2</f>
        <v>5.64</v>
      </c>
      <c r="C9196" s="24" t="s">
        <v>1018</v>
      </c>
      <c r="D9196" s="41">
        <f>D9187</f>
        <v>60</v>
      </c>
      <c r="E9196" s="31">
        <f t="shared" si="859"/>
        <v>338.4</v>
      </c>
      <c r="F9196" s="32"/>
      <c r="G9196" s="15"/>
      <c r="H9196" s="21"/>
      <c r="I9196" s="15"/>
      <c r="J9196" s="15"/>
      <c r="K9196" s="15"/>
      <c r="L9196" s="21"/>
      <c r="M9196" s="15"/>
    </row>
    <row r="9197" spans="1:13" s="166" customFormat="1" ht="12.75" customHeight="1">
      <c r="A9197" s="12" t="s">
        <v>1037</v>
      </c>
      <c r="B9197" s="434">
        <v>16.670000000000002</v>
      </c>
      <c r="C9197" s="24" t="s">
        <v>1171</v>
      </c>
      <c r="D9197" s="41">
        <f t="shared" ref="D9197:D9200" si="861">D9188</f>
        <v>107.87</v>
      </c>
      <c r="E9197" s="31">
        <f t="shared" si="859"/>
        <v>1798.1929000000002</v>
      </c>
      <c r="F9197" s="32"/>
      <c r="G9197" s="15"/>
      <c r="H9197" s="21"/>
      <c r="I9197" s="15"/>
      <c r="J9197" s="15"/>
      <c r="K9197" s="15"/>
      <c r="L9197" s="21"/>
      <c r="M9197" s="15"/>
    </row>
    <row r="9198" spans="1:13" s="166" customFormat="1" ht="12.75" customHeight="1">
      <c r="A9198" s="12" t="s">
        <v>1866</v>
      </c>
      <c r="B9198" s="434">
        <v>16.670000000000002</v>
      </c>
      <c r="C9198" s="24" t="s">
        <v>1171</v>
      </c>
      <c r="D9198" s="41">
        <v>300</v>
      </c>
      <c r="E9198" s="31">
        <f t="shared" si="859"/>
        <v>5001.0000000000009</v>
      </c>
      <c r="F9198" s="32"/>
      <c r="G9198" s="15"/>
      <c r="H9198" s="21"/>
      <c r="I9198" s="15"/>
      <c r="J9198" s="15"/>
      <c r="K9198" s="15"/>
      <c r="L9198" s="21"/>
      <c r="M9198" s="15"/>
    </row>
    <row r="9199" spans="1:13" s="166" customFormat="1" ht="12.75" customHeight="1">
      <c r="A9199" s="12" t="s">
        <v>1684</v>
      </c>
      <c r="B9199" s="434">
        <v>1</v>
      </c>
      <c r="C9199" s="24" t="s">
        <v>825</v>
      </c>
      <c r="D9199" s="41">
        <f t="shared" si="861"/>
        <v>600.29999999999995</v>
      </c>
      <c r="E9199" s="31">
        <f t="shared" si="859"/>
        <v>600.29999999999995</v>
      </c>
      <c r="F9199" s="32"/>
      <c r="G9199" s="15"/>
      <c r="H9199" s="21"/>
      <c r="I9199" s="15"/>
      <c r="J9199" s="15"/>
      <c r="K9199" s="15"/>
      <c r="L9199" s="21"/>
      <c r="M9199" s="15"/>
    </row>
    <row r="9200" spans="1:13" s="166" customFormat="1" ht="12.75" customHeight="1">
      <c r="A9200" s="12" t="s">
        <v>208</v>
      </c>
      <c r="B9200" s="434">
        <f>SUM(E9194:E9196)</f>
        <v>16554.900000000001</v>
      </c>
      <c r="C9200" s="24" t="s">
        <v>209</v>
      </c>
      <c r="D9200" s="41">
        <f t="shared" si="861"/>
        <v>0.02</v>
      </c>
      <c r="E9200" s="31">
        <f t="shared" si="859"/>
        <v>331.09800000000001</v>
      </c>
      <c r="F9200" s="32">
        <f>SUM(E9194:E9200)</f>
        <v>24285.490900000004</v>
      </c>
      <c r="G9200" s="15"/>
      <c r="H9200" s="21"/>
      <c r="I9200" s="15"/>
      <c r="J9200" s="15"/>
      <c r="K9200" s="15"/>
      <c r="L9200" s="21"/>
      <c r="M9200" s="15"/>
    </row>
    <row r="9201" spans="1:13" s="166" customFormat="1" ht="12.75" customHeight="1">
      <c r="A9201" s="12"/>
      <c r="B9201" s="434"/>
      <c r="C9201" s="24"/>
      <c r="D9201" s="41"/>
      <c r="E9201" s="31"/>
      <c r="F9201" s="32"/>
      <c r="G9201" s="15"/>
      <c r="H9201" s="21"/>
      <c r="I9201" s="15"/>
      <c r="J9201" s="15"/>
      <c r="K9201" s="15"/>
      <c r="L9201" s="21"/>
      <c r="M9201" s="15"/>
    </row>
    <row r="9202" spans="1:13" s="166" customFormat="1" ht="12.75" customHeight="1">
      <c r="A9202" s="13" t="s">
        <v>1863</v>
      </c>
      <c r="B9202" s="434"/>
      <c r="C9202" s="24"/>
      <c r="D9202" s="41"/>
      <c r="E9202" s="31"/>
      <c r="F9202" s="32"/>
      <c r="G9202" s="15"/>
      <c r="H9202" s="21"/>
      <c r="I9202" s="15"/>
      <c r="J9202" s="15"/>
      <c r="K9202" s="15"/>
      <c r="L9202" s="21"/>
      <c r="M9202" s="15"/>
    </row>
    <row r="9203" spans="1:13" s="166" customFormat="1" ht="12.75" customHeight="1">
      <c r="A9203" s="12" t="s">
        <v>1681</v>
      </c>
      <c r="B9203" s="434">
        <v>1.05</v>
      </c>
      <c r="C9203" s="24" t="s">
        <v>825</v>
      </c>
      <c r="D9203" s="41">
        <f>D9194</f>
        <v>6850</v>
      </c>
      <c r="E9203" s="31">
        <f t="shared" ref="E9203:E9209" si="862">B9203*D9203</f>
        <v>7192.5</v>
      </c>
      <c r="F9203" s="32"/>
      <c r="G9203" s="15"/>
      <c r="H9203" s="21"/>
      <c r="I9203" s="15"/>
      <c r="J9203" s="15"/>
      <c r="K9203" s="15"/>
      <c r="L9203" s="21"/>
      <c r="M9203" s="15"/>
    </row>
    <row r="9204" spans="1:13" s="166" customFormat="1" ht="12.75" customHeight="1">
      <c r="A9204" s="12" t="s">
        <v>1683</v>
      </c>
      <c r="B9204" s="434">
        <v>4.62</v>
      </c>
      <c r="C9204" s="24" t="s">
        <v>4</v>
      </c>
      <c r="D9204" s="41">
        <f t="shared" ref="D9204" si="863">D9195</f>
        <v>3200</v>
      </c>
      <c r="E9204" s="31">
        <f t="shared" si="862"/>
        <v>14784</v>
      </c>
      <c r="F9204" s="32"/>
      <c r="G9204" s="15"/>
      <c r="H9204" s="21"/>
      <c r="I9204" s="15"/>
      <c r="J9204" s="15"/>
      <c r="K9204" s="15"/>
      <c r="L9204" s="21"/>
      <c r="M9204" s="15"/>
    </row>
    <row r="9205" spans="1:13" s="166" customFormat="1" ht="12.75" customHeight="1">
      <c r="A9205" s="12" t="s">
        <v>1198</v>
      </c>
      <c r="B9205" s="434">
        <f>B9204*2</f>
        <v>9.24</v>
      </c>
      <c r="C9205" s="24" t="s">
        <v>1018</v>
      </c>
      <c r="D9205" s="41">
        <f>D9196</f>
        <v>60</v>
      </c>
      <c r="E9205" s="31">
        <f t="shared" si="862"/>
        <v>554.4</v>
      </c>
      <c r="F9205" s="32"/>
      <c r="G9205" s="15"/>
      <c r="H9205" s="21"/>
      <c r="I9205" s="15"/>
      <c r="J9205" s="15"/>
      <c r="K9205" s="15"/>
      <c r="L9205" s="21"/>
      <c r="M9205" s="15"/>
    </row>
    <row r="9206" spans="1:13" s="166" customFormat="1" ht="12.75" customHeight="1">
      <c r="A9206" s="12" t="s">
        <v>1037</v>
      </c>
      <c r="B9206" s="434">
        <v>33.33</v>
      </c>
      <c r="C9206" s="24" t="s">
        <v>1171</v>
      </c>
      <c r="D9206" s="41">
        <f t="shared" ref="D9206:D9209" si="864">D9197</f>
        <v>107.87</v>
      </c>
      <c r="E9206" s="31">
        <f t="shared" si="862"/>
        <v>3595.3071</v>
      </c>
      <c r="F9206" s="32"/>
      <c r="G9206" s="15"/>
      <c r="H9206" s="21"/>
      <c r="I9206" s="15"/>
      <c r="J9206" s="15"/>
      <c r="K9206" s="15"/>
      <c r="L9206" s="21"/>
      <c r="M9206" s="15"/>
    </row>
    <row r="9207" spans="1:13" s="166" customFormat="1" ht="12.75" customHeight="1">
      <c r="A9207" s="12" t="s">
        <v>1685</v>
      </c>
      <c r="B9207" s="434">
        <v>33.33</v>
      </c>
      <c r="C9207" s="24" t="s">
        <v>1171</v>
      </c>
      <c r="D9207" s="41">
        <v>300</v>
      </c>
      <c r="E9207" s="31">
        <f t="shared" si="862"/>
        <v>9999</v>
      </c>
      <c r="F9207" s="32"/>
      <c r="G9207" s="15"/>
      <c r="H9207" s="21"/>
      <c r="I9207" s="15"/>
      <c r="J9207" s="15"/>
      <c r="K9207" s="15"/>
      <c r="L9207" s="21"/>
      <c r="M9207" s="15"/>
    </row>
    <row r="9208" spans="1:13" s="166" customFormat="1" ht="12.75" customHeight="1">
      <c r="A9208" s="12" t="s">
        <v>1684</v>
      </c>
      <c r="B9208" s="434">
        <v>1</v>
      </c>
      <c r="C9208" s="24" t="s">
        <v>825</v>
      </c>
      <c r="D9208" s="41">
        <f t="shared" si="864"/>
        <v>600.29999999999995</v>
      </c>
      <c r="E9208" s="31">
        <f t="shared" si="862"/>
        <v>600.29999999999995</v>
      </c>
      <c r="F9208" s="32"/>
      <c r="G9208" s="15"/>
      <c r="H9208" s="21"/>
      <c r="I9208" s="15"/>
      <c r="J9208" s="15"/>
      <c r="K9208" s="15"/>
      <c r="L9208" s="21"/>
      <c r="M9208" s="15"/>
    </row>
    <row r="9209" spans="1:13" s="166" customFormat="1" ht="12.75" customHeight="1">
      <c r="A9209" s="12" t="s">
        <v>208</v>
      </c>
      <c r="B9209" s="434">
        <f>SUM(E9203:E9205)</f>
        <v>22530.9</v>
      </c>
      <c r="C9209" s="24" t="s">
        <v>209</v>
      </c>
      <c r="D9209" s="41">
        <f t="shared" si="864"/>
        <v>0.02</v>
      </c>
      <c r="E9209" s="31">
        <f t="shared" si="862"/>
        <v>450.61800000000005</v>
      </c>
      <c r="F9209" s="32">
        <f>SUM(E9203:E9209)</f>
        <v>37176.125100000005</v>
      </c>
      <c r="G9209" s="15"/>
      <c r="H9209" s="21"/>
      <c r="I9209" s="15"/>
      <c r="J9209" s="15"/>
      <c r="K9209" s="15"/>
      <c r="L9209" s="21"/>
      <c r="M9209" s="15"/>
    </row>
    <row r="9210" spans="1:13" s="166" customFormat="1" ht="12.75" customHeight="1">
      <c r="A9210" s="12"/>
      <c r="B9210" s="434"/>
      <c r="C9210" s="24"/>
      <c r="D9210" s="41"/>
      <c r="E9210" s="31"/>
      <c r="F9210" s="32"/>
      <c r="G9210" s="15"/>
      <c r="H9210" s="21"/>
      <c r="I9210" s="15"/>
      <c r="J9210" s="15"/>
      <c r="K9210" s="15"/>
      <c r="L9210" s="21"/>
      <c r="M9210" s="15"/>
    </row>
    <row r="9211" spans="1:13" s="166" customFormat="1" ht="12.75" customHeight="1">
      <c r="A9211" s="13" t="s">
        <v>1864</v>
      </c>
      <c r="B9211" s="434"/>
      <c r="C9211" s="24"/>
      <c r="D9211" s="41"/>
      <c r="E9211" s="31"/>
      <c r="F9211" s="32"/>
      <c r="G9211" s="15"/>
      <c r="H9211" s="21"/>
      <c r="I9211" s="15"/>
      <c r="J9211" s="15"/>
      <c r="K9211" s="15"/>
      <c r="L9211" s="21"/>
      <c r="M9211" s="15"/>
    </row>
    <row r="9212" spans="1:13" s="166" customFormat="1" ht="12.75" customHeight="1">
      <c r="A9212" s="12" t="s">
        <v>1681</v>
      </c>
      <c r="B9212" s="434">
        <v>1.05</v>
      </c>
      <c r="C9212" s="24" t="s">
        <v>825</v>
      </c>
      <c r="D9212" s="41">
        <f>D9203</f>
        <v>6850</v>
      </c>
      <c r="E9212" s="31">
        <f t="shared" ref="E9212:E9218" si="865">B9212*D9212</f>
        <v>7192.5</v>
      </c>
      <c r="F9212" s="32"/>
      <c r="G9212" s="15"/>
      <c r="H9212" s="21"/>
      <c r="I9212" s="15"/>
      <c r="J9212" s="15"/>
      <c r="K9212" s="15"/>
      <c r="L9212" s="21"/>
      <c r="M9212" s="15"/>
    </row>
    <row r="9213" spans="1:13" s="166" customFormat="1" ht="12.75" customHeight="1">
      <c r="A9213" s="12" t="s">
        <v>1683</v>
      </c>
      <c r="B9213" s="434">
        <v>3.55</v>
      </c>
      <c r="C9213" s="24" t="s">
        <v>4</v>
      </c>
      <c r="D9213" s="41">
        <f t="shared" ref="D9213" si="866">D9204</f>
        <v>3200</v>
      </c>
      <c r="E9213" s="31">
        <f t="shared" si="865"/>
        <v>11360</v>
      </c>
      <c r="F9213" s="32"/>
      <c r="G9213" s="15"/>
      <c r="H9213" s="21"/>
      <c r="I9213" s="15"/>
      <c r="J9213" s="15"/>
      <c r="K9213" s="15"/>
      <c r="L9213" s="21"/>
      <c r="M9213" s="15"/>
    </row>
    <row r="9214" spans="1:13" s="166" customFormat="1" ht="12.75" customHeight="1">
      <c r="A9214" s="12" t="s">
        <v>1198</v>
      </c>
      <c r="B9214" s="434">
        <f>B9213*2</f>
        <v>7.1</v>
      </c>
      <c r="C9214" s="24" t="s">
        <v>1018</v>
      </c>
      <c r="D9214" s="41">
        <f>D9205</f>
        <v>60</v>
      </c>
      <c r="E9214" s="31">
        <f t="shared" si="865"/>
        <v>426</v>
      </c>
      <c r="F9214" s="32"/>
      <c r="G9214" s="15"/>
      <c r="H9214" s="21"/>
      <c r="I9214" s="15"/>
      <c r="J9214" s="15"/>
      <c r="K9214" s="15"/>
      <c r="L9214" s="21"/>
      <c r="M9214" s="15"/>
    </row>
    <row r="9215" spans="1:13" s="166" customFormat="1" ht="12.75" customHeight="1">
      <c r="A9215" s="12" t="s">
        <v>1037</v>
      </c>
      <c r="B9215" s="434">
        <v>33.33</v>
      </c>
      <c r="C9215" s="24" t="s">
        <v>1171</v>
      </c>
      <c r="D9215" s="41">
        <f t="shared" ref="D9215:D9218" si="867">D9206</f>
        <v>107.87</v>
      </c>
      <c r="E9215" s="31">
        <f t="shared" si="865"/>
        <v>3595.3071</v>
      </c>
      <c r="F9215" s="32"/>
      <c r="G9215" s="15"/>
      <c r="H9215" s="21"/>
      <c r="I9215" s="15"/>
      <c r="J9215" s="15"/>
      <c r="K9215" s="15"/>
      <c r="L9215" s="21"/>
      <c r="M9215" s="15"/>
    </row>
    <row r="9216" spans="1:13" s="166" customFormat="1" ht="12.75" customHeight="1">
      <c r="A9216" s="12" t="s">
        <v>1685</v>
      </c>
      <c r="B9216" s="434">
        <v>33.33</v>
      </c>
      <c r="C9216" s="24" t="s">
        <v>1171</v>
      </c>
      <c r="D9216" s="41">
        <v>250</v>
      </c>
      <c r="E9216" s="31">
        <f t="shared" si="865"/>
        <v>8332.5</v>
      </c>
      <c r="F9216" s="32"/>
      <c r="G9216" s="15"/>
      <c r="H9216" s="21"/>
      <c r="I9216" s="15"/>
      <c r="J9216" s="15"/>
      <c r="K9216" s="15"/>
      <c r="L9216" s="21"/>
      <c r="M9216" s="15"/>
    </row>
    <row r="9217" spans="1:13" s="166" customFormat="1" ht="12.75" customHeight="1">
      <c r="A9217" s="12" t="s">
        <v>1867</v>
      </c>
      <c r="B9217" s="434">
        <v>1</v>
      </c>
      <c r="C9217" s="24" t="s">
        <v>825</v>
      </c>
      <c r="D9217" s="41">
        <f t="shared" si="867"/>
        <v>600.29999999999995</v>
      </c>
      <c r="E9217" s="31">
        <f t="shared" si="865"/>
        <v>600.29999999999995</v>
      </c>
      <c r="F9217" s="32"/>
      <c r="G9217" s="15"/>
      <c r="H9217" s="21"/>
      <c r="I9217" s="15"/>
      <c r="J9217" s="15"/>
      <c r="K9217" s="15"/>
      <c r="L9217" s="21"/>
      <c r="M9217" s="15"/>
    </row>
    <row r="9218" spans="1:13" s="166" customFormat="1" ht="12.75" customHeight="1">
      <c r="A9218" s="12" t="s">
        <v>208</v>
      </c>
      <c r="B9218" s="434">
        <f>SUM(E9212:E9214)</f>
        <v>18978.5</v>
      </c>
      <c r="C9218" s="24" t="s">
        <v>209</v>
      </c>
      <c r="D9218" s="41">
        <f t="shared" si="867"/>
        <v>0.02</v>
      </c>
      <c r="E9218" s="31">
        <f t="shared" si="865"/>
        <v>379.57</v>
      </c>
      <c r="F9218" s="32">
        <f>SUM(E9212:E9218)</f>
        <v>31886.177099999997</v>
      </c>
      <c r="G9218" s="15"/>
      <c r="H9218" s="21"/>
      <c r="I9218" s="15"/>
      <c r="J9218" s="15"/>
      <c r="K9218" s="15"/>
      <c r="L9218" s="21"/>
      <c r="M9218" s="15"/>
    </row>
    <row r="9219" spans="1:13" s="166" customFormat="1" ht="12.75" customHeight="1">
      <c r="A9219" s="12"/>
      <c r="B9219" s="434"/>
      <c r="C9219" s="24"/>
      <c r="D9219" s="41"/>
      <c r="E9219" s="31"/>
      <c r="F9219" s="32"/>
      <c r="G9219" s="15"/>
      <c r="H9219" s="21"/>
      <c r="I9219" s="15"/>
      <c r="J9219" s="15"/>
      <c r="K9219" s="15"/>
      <c r="L9219" s="21"/>
      <c r="M9219" s="15"/>
    </row>
    <row r="9220" spans="1:13" s="166" customFormat="1" ht="12.75" customHeight="1">
      <c r="A9220" s="13" t="s">
        <v>1952</v>
      </c>
      <c r="B9220" s="434"/>
      <c r="C9220" s="24"/>
      <c r="D9220" s="41"/>
      <c r="E9220" s="31"/>
      <c r="F9220" s="32"/>
      <c r="G9220" s="15"/>
      <c r="H9220" s="21"/>
      <c r="I9220" s="15"/>
      <c r="J9220" s="15"/>
      <c r="K9220" s="15"/>
      <c r="L9220" s="21"/>
      <c r="M9220" s="15"/>
    </row>
    <row r="9221" spans="1:13" s="166" customFormat="1" ht="12.75" customHeight="1">
      <c r="A9221" s="12" t="s">
        <v>1681</v>
      </c>
      <c r="B9221" s="434">
        <v>1.05</v>
      </c>
      <c r="C9221" s="24" t="s">
        <v>825</v>
      </c>
      <c r="D9221" s="41">
        <f>D9167</f>
        <v>6850</v>
      </c>
      <c r="E9221" s="31">
        <f t="shared" ref="E9221:E9227" si="868">B9221*D9221</f>
        <v>7192.5</v>
      </c>
      <c r="F9221" s="32"/>
      <c r="G9221" s="15"/>
      <c r="H9221" s="21"/>
      <c r="I9221" s="15"/>
      <c r="J9221" s="15"/>
      <c r="K9221" s="15"/>
      <c r="L9221" s="21"/>
      <c r="M9221" s="15"/>
    </row>
    <row r="9222" spans="1:13" s="166" customFormat="1" ht="12.75" customHeight="1">
      <c r="A9222" s="12" t="s">
        <v>1683</v>
      </c>
      <c r="B9222" s="434">
        <v>5.45</v>
      </c>
      <c r="C9222" s="24" t="s">
        <v>4</v>
      </c>
      <c r="D9222" s="41">
        <f t="shared" ref="D9222:D9224" si="869">D9168</f>
        <v>3200</v>
      </c>
      <c r="E9222" s="31">
        <f t="shared" si="868"/>
        <v>17440</v>
      </c>
      <c r="F9222" s="32"/>
      <c r="G9222" s="15"/>
      <c r="H9222" s="21"/>
      <c r="I9222" s="15"/>
      <c r="J9222" s="15"/>
      <c r="K9222" s="15"/>
      <c r="L9222" s="21"/>
      <c r="M9222" s="15"/>
    </row>
    <row r="9223" spans="1:13" s="166" customFormat="1" ht="12.75" customHeight="1">
      <c r="A9223" s="12" t="s">
        <v>1198</v>
      </c>
      <c r="B9223" s="434">
        <f>B9222*2</f>
        <v>10.9</v>
      </c>
      <c r="C9223" s="24" t="s">
        <v>1018</v>
      </c>
      <c r="D9223" s="41">
        <f t="shared" si="869"/>
        <v>60</v>
      </c>
      <c r="E9223" s="31">
        <f t="shared" si="868"/>
        <v>654</v>
      </c>
      <c r="F9223" s="32"/>
      <c r="G9223" s="15"/>
      <c r="H9223" s="21"/>
      <c r="I9223" s="15"/>
      <c r="J9223" s="15"/>
      <c r="K9223" s="15"/>
      <c r="L9223" s="21"/>
      <c r="M9223" s="15"/>
    </row>
    <row r="9224" spans="1:13" s="166" customFormat="1" ht="12.75" customHeight="1">
      <c r="A9224" s="12" t="s">
        <v>1037</v>
      </c>
      <c r="B9224" s="434">
        <f>B9222</f>
        <v>5.45</v>
      </c>
      <c r="C9224" s="24" t="s">
        <v>4</v>
      </c>
      <c r="D9224" s="41">
        <f t="shared" si="869"/>
        <v>486.5</v>
      </c>
      <c r="E9224" s="31">
        <f t="shared" si="868"/>
        <v>2651.4250000000002</v>
      </c>
      <c r="F9224" s="32"/>
      <c r="G9224" s="15"/>
      <c r="H9224" s="21"/>
      <c r="I9224" s="15"/>
      <c r="J9224" s="15"/>
      <c r="K9224" s="15"/>
      <c r="L9224" s="21"/>
      <c r="M9224" s="15"/>
    </row>
    <row r="9225" spans="1:13" s="166" customFormat="1" ht="12.75" customHeight="1">
      <c r="A9225" s="12" t="s">
        <v>1908</v>
      </c>
      <c r="B9225" s="434">
        <v>8.33</v>
      </c>
      <c r="C9225" s="24" t="s">
        <v>1171</v>
      </c>
      <c r="D9225" s="41">
        <v>500</v>
      </c>
      <c r="E9225" s="31">
        <f t="shared" si="868"/>
        <v>4165</v>
      </c>
      <c r="F9225" s="32"/>
      <c r="G9225" s="15"/>
      <c r="H9225" s="21"/>
      <c r="I9225" s="15"/>
      <c r="J9225" s="15"/>
      <c r="K9225" s="15"/>
      <c r="L9225" s="21"/>
      <c r="M9225" s="15"/>
    </row>
    <row r="9226" spans="1:13" s="166" customFormat="1" ht="12.75" customHeight="1">
      <c r="A9226" s="12" t="s">
        <v>1684</v>
      </c>
      <c r="B9226" s="434">
        <v>1</v>
      </c>
      <c r="C9226" s="24" t="s">
        <v>825</v>
      </c>
      <c r="D9226" s="41">
        <f>D9181</f>
        <v>600.29999999999995</v>
      </c>
      <c r="E9226" s="31">
        <f t="shared" si="868"/>
        <v>600.29999999999995</v>
      </c>
      <c r="F9226" s="32"/>
      <c r="G9226" s="15"/>
      <c r="H9226" s="21"/>
      <c r="I9226" s="15"/>
      <c r="J9226" s="15"/>
      <c r="K9226" s="15"/>
      <c r="L9226" s="21"/>
      <c r="M9226" s="15"/>
    </row>
    <row r="9227" spans="1:13" s="166" customFormat="1" ht="12.75" customHeight="1">
      <c r="A9227" s="12" t="s">
        <v>208</v>
      </c>
      <c r="B9227" s="434">
        <f>SUM(E9221:E9223)</f>
        <v>25286.5</v>
      </c>
      <c r="C9227" s="24" t="s">
        <v>209</v>
      </c>
      <c r="D9227" s="41">
        <f t="shared" ref="D9227" si="870">D9218</f>
        <v>0.02</v>
      </c>
      <c r="E9227" s="31">
        <f t="shared" si="868"/>
        <v>505.73</v>
      </c>
      <c r="F9227" s="32">
        <f>SUM(E9221:E9227)</f>
        <v>33208.955000000002</v>
      </c>
      <c r="G9227" s="15"/>
      <c r="H9227" s="21"/>
      <c r="I9227" s="15"/>
      <c r="J9227" s="15"/>
      <c r="K9227" s="15"/>
      <c r="L9227" s="21"/>
      <c r="M9227" s="15"/>
    </row>
    <row r="9228" spans="1:13" s="166" customFormat="1" ht="12.75" customHeight="1">
      <c r="A9228" s="12"/>
      <c r="B9228" s="434"/>
      <c r="C9228" s="24"/>
      <c r="D9228" s="41"/>
      <c r="E9228" s="31"/>
      <c r="F9228" s="32"/>
      <c r="G9228" s="15"/>
      <c r="H9228" s="21"/>
      <c r="I9228" s="15"/>
      <c r="J9228" s="15"/>
      <c r="K9228" s="15"/>
      <c r="L9228" s="21"/>
      <c r="M9228" s="15"/>
    </row>
    <row r="9229" spans="1:13" s="166" customFormat="1" ht="12.75" customHeight="1">
      <c r="A9229" s="13" t="s">
        <v>1953</v>
      </c>
      <c r="B9229" s="434"/>
      <c r="C9229" s="24"/>
      <c r="D9229" s="41"/>
      <c r="E9229" s="31"/>
      <c r="F9229" s="32"/>
      <c r="G9229" s="15"/>
      <c r="H9229" s="21"/>
      <c r="I9229" s="15"/>
      <c r="J9229" s="15"/>
      <c r="K9229" s="15"/>
      <c r="L9229" s="21"/>
      <c r="M9229" s="15"/>
    </row>
    <row r="9230" spans="1:13" s="166" customFormat="1" ht="12.75" customHeight="1">
      <c r="A9230" s="12" t="s">
        <v>1681</v>
      </c>
      <c r="B9230" s="434">
        <v>1.05</v>
      </c>
      <c r="C9230" s="24" t="s">
        <v>825</v>
      </c>
      <c r="D9230" s="41">
        <f>D9221</f>
        <v>6850</v>
      </c>
      <c r="E9230" s="31">
        <f t="shared" ref="E9230:E9236" si="871">B9230*D9230</f>
        <v>7192.5</v>
      </c>
      <c r="F9230" s="32"/>
      <c r="G9230" s="15"/>
      <c r="H9230" s="21"/>
      <c r="I9230" s="15"/>
      <c r="J9230" s="15"/>
      <c r="K9230" s="15"/>
      <c r="L9230" s="21"/>
      <c r="M9230" s="15"/>
    </row>
    <row r="9231" spans="1:13" s="166" customFormat="1" ht="12.75" customHeight="1">
      <c r="A9231" s="12" t="s">
        <v>1683</v>
      </c>
      <c r="B9231" s="434">
        <v>4.46</v>
      </c>
      <c r="C9231" s="24" t="s">
        <v>4</v>
      </c>
      <c r="D9231" s="41">
        <f t="shared" ref="D9231:D9236" si="872">D9222</f>
        <v>3200</v>
      </c>
      <c r="E9231" s="31">
        <f t="shared" si="871"/>
        <v>14272</v>
      </c>
      <c r="F9231" s="32"/>
      <c r="G9231" s="15"/>
      <c r="H9231" s="21"/>
      <c r="I9231" s="15"/>
      <c r="J9231" s="15"/>
      <c r="K9231" s="15"/>
      <c r="L9231" s="21"/>
      <c r="M9231" s="15"/>
    </row>
    <row r="9232" spans="1:13" s="166" customFormat="1" ht="12.75" customHeight="1">
      <c r="A9232" s="12" t="s">
        <v>1198</v>
      </c>
      <c r="B9232" s="434">
        <f>B9231*2</f>
        <v>8.92</v>
      </c>
      <c r="C9232" s="24" t="s">
        <v>1018</v>
      </c>
      <c r="D9232" s="41">
        <f>D9223</f>
        <v>60</v>
      </c>
      <c r="E9232" s="31">
        <f t="shared" si="871"/>
        <v>535.20000000000005</v>
      </c>
      <c r="F9232" s="32"/>
      <c r="G9232" s="15"/>
      <c r="H9232" s="21"/>
      <c r="I9232" s="15"/>
      <c r="J9232" s="15"/>
      <c r="K9232" s="15"/>
      <c r="L9232" s="21"/>
      <c r="M9232" s="15"/>
    </row>
    <row r="9233" spans="1:13" s="166" customFormat="1" ht="12.75" customHeight="1">
      <c r="A9233" s="12" t="s">
        <v>1037</v>
      </c>
      <c r="B9233" s="434">
        <f>B9231</f>
        <v>4.46</v>
      </c>
      <c r="C9233" s="24" t="s">
        <v>4</v>
      </c>
      <c r="D9233" s="41">
        <f>D9224</f>
        <v>486.5</v>
      </c>
      <c r="E9233" s="31">
        <f t="shared" si="871"/>
        <v>2169.79</v>
      </c>
      <c r="F9233" s="32"/>
      <c r="G9233" s="15"/>
      <c r="H9233" s="21"/>
      <c r="I9233" s="15"/>
      <c r="J9233" s="15"/>
      <c r="K9233" s="15"/>
      <c r="L9233" s="21"/>
      <c r="M9233" s="15"/>
    </row>
    <row r="9234" spans="1:13" s="166" customFormat="1" ht="12.75" customHeight="1">
      <c r="A9234" s="12" t="s">
        <v>1908</v>
      </c>
      <c r="B9234" s="434">
        <v>8.33</v>
      </c>
      <c r="C9234" s="24" t="s">
        <v>1171</v>
      </c>
      <c r="D9234" s="41">
        <v>500</v>
      </c>
      <c r="E9234" s="31">
        <f t="shared" si="871"/>
        <v>4165</v>
      </c>
      <c r="F9234" s="32"/>
      <c r="G9234" s="15"/>
      <c r="H9234" s="21"/>
      <c r="I9234" s="15"/>
      <c r="J9234" s="15"/>
      <c r="K9234" s="15"/>
      <c r="L9234" s="21"/>
      <c r="M9234" s="15"/>
    </row>
    <row r="9235" spans="1:13" s="166" customFormat="1" ht="12.75" customHeight="1">
      <c r="A9235" s="12" t="s">
        <v>1684</v>
      </c>
      <c r="B9235" s="434">
        <v>1</v>
      </c>
      <c r="C9235" s="24" t="s">
        <v>825</v>
      </c>
      <c r="D9235" s="41">
        <f t="shared" si="872"/>
        <v>600.29999999999995</v>
      </c>
      <c r="E9235" s="31">
        <f t="shared" si="871"/>
        <v>600.29999999999995</v>
      </c>
      <c r="F9235" s="32"/>
      <c r="G9235" s="15"/>
      <c r="H9235" s="21"/>
      <c r="I9235" s="15"/>
      <c r="J9235" s="15"/>
      <c r="K9235" s="15"/>
      <c r="L9235" s="21"/>
      <c r="M9235" s="15"/>
    </row>
    <row r="9236" spans="1:13" s="166" customFormat="1" ht="12.75" customHeight="1">
      <c r="A9236" s="12" t="s">
        <v>208</v>
      </c>
      <c r="B9236" s="434">
        <f>SUM(E9230:E9232)</f>
        <v>21999.7</v>
      </c>
      <c r="C9236" s="24" t="s">
        <v>209</v>
      </c>
      <c r="D9236" s="41">
        <f t="shared" si="872"/>
        <v>0.02</v>
      </c>
      <c r="E9236" s="31">
        <f t="shared" si="871"/>
        <v>439.99400000000003</v>
      </c>
      <c r="F9236" s="32">
        <f>SUM(E9230:E9236)</f>
        <v>29374.784</v>
      </c>
      <c r="G9236" s="15"/>
      <c r="H9236" s="21"/>
      <c r="I9236" s="15"/>
      <c r="J9236" s="15"/>
      <c r="K9236" s="15"/>
      <c r="L9236" s="21"/>
      <c r="M9236" s="15"/>
    </row>
    <row r="9237" spans="1:13" s="166" customFormat="1" ht="12.75" customHeight="1">
      <c r="A9237" s="12"/>
      <c r="B9237" s="434"/>
      <c r="C9237" s="24"/>
      <c r="D9237" s="41"/>
      <c r="E9237" s="31"/>
      <c r="F9237" s="32"/>
      <c r="G9237" s="15"/>
      <c r="H9237" s="21"/>
      <c r="I9237" s="15"/>
      <c r="J9237" s="15"/>
      <c r="K9237" s="15"/>
      <c r="L9237" s="21"/>
      <c r="M9237" s="15"/>
    </row>
    <row r="9238" spans="1:13" s="166" customFormat="1" ht="12.75" customHeight="1">
      <c r="A9238" s="13" t="s">
        <v>1954</v>
      </c>
      <c r="B9238" s="434"/>
      <c r="C9238" s="24"/>
      <c r="D9238" s="41"/>
      <c r="E9238" s="31"/>
      <c r="F9238" s="32"/>
      <c r="G9238" s="15"/>
      <c r="H9238" s="21"/>
      <c r="I9238" s="15"/>
      <c r="J9238" s="15"/>
      <c r="K9238" s="15"/>
      <c r="L9238" s="21"/>
      <c r="M9238" s="15"/>
    </row>
    <row r="9239" spans="1:13" s="166" customFormat="1" ht="12.75" customHeight="1">
      <c r="A9239" s="12" t="s">
        <v>1681</v>
      </c>
      <c r="B9239" s="434">
        <v>1.05</v>
      </c>
      <c r="C9239" s="24" t="s">
        <v>825</v>
      </c>
      <c r="D9239" s="41">
        <f>D9230</f>
        <v>6850</v>
      </c>
      <c r="E9239" s="31">
        <f t="shared" ref="E9239:E9245" si="873">B9239*D9239</f>
        <v>7192.5</v>
      </c>
      <c r="F9239" s="32"/>
      <c r="G9239" s="15"/>
      <c r="H9239" s="21"/>
      <c r="I9239" s="15"/>
      <c r="J9239" s="15"/>
      <c r="K9239" s="15"/>
      <c r="L9239" s="21"/>
      <c r="M9239" s="15"/>
    </row>
    <row r="9240" spans="1:13" s="166" customFormat="1" ht="12.75" customHeight="1">
      <c r="A9240" s="12" t="s">
        <v>1683</v>
      </c>
      <c r="B9240" s="434">
        <v>2.96</v>
      </c>
      <c r="C9240" s="24" t="s">
        <v>4</v>
      </c>
      <c r="D9240" s="41">
        <f t="shared" ref="D9240:D9245" si="874">D9231</f>
        <v>3200</v>
      </c>
      <c r="E9240" s="31">
        <f t="shared" si="873"/>
        <v>9472</v>
      </c>
      <c r="F9240" s="32"/>
      <c r="G9240" s="15"/>
      <c r="H9240" s="21"/>
      <c r="I9240" s="15"/>
      <c r="J9240" s="15"/>
      <c r="K9240" s="15"/>
      <c r="L9240" s="21"/>
      <c r="M9240" s="15"/>
    </row>
    <row r="9241" spans="1:13" s="166" customFormat="1" ht="12.75" customHeight="1">
      <c r="A9241" s="12" t="s">
        <v>1198</v>
      </c>
      <c r="B9241" s="434">
        <f>B9240*2</f>
        <v>5.92</v>
      </c>
      <c r="C9241" s="24" t="s">
        <v>1018</v>
      </c>
      <c r="D9241" s="41">
        <f t="shared" si="874"/>
        <v>60</v>
      </c>
      <c r="E9241" s="31">
        <f t="shared" si="873"/>
        <v>355.2</v>
      </c>
      <c r="F9241" s="32"/>
      <c r="G9241" s="15"/>
      <c r="H9241" s="21"/>
      <c r="I9241" s="15"/>
      <c r="J9241" s="15"/>
      <c r="K9241" s="15"/>
      <c r="L9241" s="21"/>
      <c r="M9241" s="15"/>
    </row>
    <row r="9242" spans="1:13" s="166" customFormat="1" ht="12.75" customHeight="1">
      <c r="A9242" s="12" t="s">
        <v>1037</v>
      </c>
      <c r="B9242" s="434">
        <f>B9240</f>
        <v>2.96</v>
      </c>
      <c r="C9242" s="24" t="s">
        <v>4</v>
      </c>
      <c r="D9242" s="41">
        <f t="shared" si="874"/>
        <v>486.5</v>
      </c>
      <c r="E9242" s="31">
        <f t="shared" si="873"/>
        <v>1440.04</v>
      </c>
      <c r="F9242" s="32"/>
      <c r="G9242" s="15"/>
      <c r="H9242" s="21"/>
      <c r="I9242" s="15"/>
      <c r="J9242" s="15"/>
      <c r="K9242" s="15"/>
      <c r="L9242" s="21"/>
      <c r="M9242" s="15"/>
    </row>
    <row r="9243" spans="1:13" s="166" customFormat="1" ht="12.75" customHeight="1">
      <c r="A9243" s="12" t="s">
        <v>1908</v>
      </c>
      <c r="B9243" s="434">
        <v>8.33</v>
      </c>
      <c r="C9243" s="24" t="s">
        <v>1171</v>
      </c>
      <c r="D9243" s="41">
        <f t="shared" si="874"/>
        <v>500</v>
      </c>
      <c r="E9243" s="31">
        <f t="shared" si="873"/>
        <v>4165</v>
      </c>
      <c r="F9243" s="32"/>
      <c r="G9243" s="15"/>
      <c r="H9243" s="21"/>
      <c r="I9243" s="15"/>
      <c r="J9243" s="15"/>
      <c r="K9243" s="15"/>
      <c r="L9243" s="21"/>
      <c r="M9243" s="15"/>
    </row>
    <row r="9244" spans="1:13" s="166" customFormat="1" ht="12.75" customHeight="1">
      <c r="A9244" s="12" t="s">
        <v>1684</v>
      </c>
      <c r="B9244" s="434">
        <v>1</v>
      </c>
      <c r="C9244" s="24" t="s">
        <v>825</v>
      </c>
      <c r="D9244" s="41">
        <f t="shared" si="874"/>
        <v>600.29999999999995</v>
      </c>
      <c r="E9244" s="31">
        <f t="shared" si="873"/>
        <v>600.29999999999995</v>
      </c>
      <c r="F9244" s="32"/>
      <c r="G9244" s="15"/>
      <c r="H9244" s="21"/>
      <c r="I9244" s="15"/>
      <c r="J9244" s="15"/>
      <c r="K9244" s="15"/>
      <c r="L9244" s="21"/>
      <c r="M9244" s="15"/>
    </row>
    <row r="9245" spans="1:13" s="166" customFormat="1" ht="12.75" customHeight="1">
      <c r="A9245" s="12" t="s">
        <v>208</v>
      </c>
      <c r="B9245" s="434">
        <f>SUM(E9239:E9241)</f>
        <v>17019.7</v>
      </c>
      <c r="C9245" s="24" t="s">
        <v>209</v>
      </c>
      <c r="D9245" s="41">
        <f t="shared" si="874"/>
        <v>0.02</v>
      </c>
      <c r="E9245" s="31">
        <f t="shared" si="873"/>
        <v>340.39400000000001</v>
      </c>
      <c r="F9245" s="32">
        <f>SUM(E9239:E9245)</f>
        <v>23565.434000000001</v>
      </c>
      <c r="G9245" s="15"/>
      <c r="H9245" s="21"/>
      <c r="I9245" s="15"/>
      <c r="J9245" s="15"/>
      <c r="K9245" s="15"/>
      <c r="L9245" s="21"/>
      <c r="M9245" s="15"/>
    </row>
    <row r="9246" spans="1:13" s="166" customFormat="1" ht="12.75" customHeight="1">
      <c r="A9246" s="12"/>
      <c r="B9246" s="434"/>
      <c r="C9246" s="24"/>
      <c r="D9246" s="41"/>
      <c r="E9246" s="31"/>
      <c r="F9246" s="32"/>
      <c r="G9246" s="15"/>
      <c r="H9246" s="21"/>
      <c r="I9246" s="15"/>
      <c r="J9246" s="15"/>
      <c r="K9246" s="15"/>
      <c r="L9246" s="21"/>
      <c r="M9246" s="15"/>
    </row>
    <row r="9247" spans="1:13" s="166" customFormat="1" ht="12.75" customHeight="1">
      <c r="A9247" s="13" t="s">
        <v>1955</v>
      </c>
      <c r="B9247" s="434"/>
      <c r="C9247" s="24"/>
      <c r="D9247" s="41"/>
      <c r="E9247" s="31"/>
      <c r="F9247" s="32"/>
      <c r="G9247" s="15"/>
      <c r="H9247" s="21"/>
      <c r="I9247" s="15"/>
      <c r="J9247" s="15"/>
      <c r="K9247" s="15"/>
      <c r="L9247" s="21"/>
      <c r="M9247" s="15"/>
    </row>
    <row r="9248" spans="1:13" s="166" customFormat="1" ht="12.75" customHeight="1">
      <c r="A9248" s="12" t="s">
        <v>1681</v>
      </c>
      <c r="B9248" s="434">
        <v>1.05</v>
      </c>
      <c r="C9248" s="24" t="s">
        <v>825</v>
      </c>
      <c r="D9248" s="41">
        <f>D9239</f>
        <v>6850</v>
      </c>
      <c r="E9248" s="31">
        <f t="shared" ref="E9248:E9254" si="875">B9248*D9248</f>
        <v>7192.5</v>
      </c>
      <c r="F9248" s="32"/>
      <c r="G9248" s="15"/>
      <c r="H9248" s="21"/>
      <c r="I9248" s="15"/>
      <c r="J9248" s="15"/>
      <c r="K9248" s="15"/>
      <c r="L9248" s="21"/>
      <c r="M9248" s="15"/>
    </row>
    <row r="9249" spans="1:13" s="166" customFormat="1" ht="12.75" customHeight="1">
      <c r="A9249" s="12" t="s">
        <v>1683</v>
      </c>
      <c r="B9249" s="434">
        <v>4.47</v>
      </c>
      <c r="C9249" s="24" t="s">
        <v>4</v>
      </c>
      <c r="D9249" s="41">
        <f t="shared" ref="D9249:D9254" si="876">D9240</f>
        <v>3200</v>
      </c>
      <c r="E9249" s="31">
        <f t="shared" si="875"/>
        <v>14304</v>
      </c>
      <c r="F9249" s="32"/>
      <c r="G9249" s="15"/>
      <c r="H9249" s="21"/>
      <c r="I9249" s="15"/>
      <c r="J9249" s="15"/>
      <c r="K9249" s="15"/>
      <c r="L9249" s="21"/>
      <c r="M9249" s="15"/>
    </row>
    <row r="9250" spans="1:13" s="166" customFormat="1" ht="12.75" customHeight="1">
      <c r="A9250" s="12" t="s">
        <v>1198</v>
      </c>
      <c r="B9250" s="434">
        <f>B9249*2</f>
        <v>8.94</v>
      </c>
      <c r="C9250" s="24" t="s">
        <v>1018</v>
      </c>
      <c r="D9250" s="41">
        <f t="shared" si="876"/>
        <v>60</v>
      </c>
      <c r="E9250" s="31">
        <f t="shared" si="875"/>
        <v>536.4</v>
      </c>
      <c r="F9250" s="32"/>
      <c r="G9250" s="15"/>
      <c r="H9250" s="21"/>
      <c r="I9250" s="15"/>
      <c r="J9250" s="15"/>
      <c r="K9250" s="15"/>
      <c r="L9250" s="21"/>
      <c r="M9250" s="15"/>
    </row>
    <row r="9251" spans="1:13" s="166" customFormat="1" ht="12.75" customHeight="1">
      <c r="A9251" s="12" t="s">
        <v>1037</v>
      </c>
      <c r="B9251" s="434">
        <f>B9249</f>
        <v>4.47</v>
      </c>
      <c r="C9251" s="24" t="s">
        <v>4</v>
      </c>
      <c r="D9251" s="41">
        <f t="shared" si="876"/>
        <v>486.5</v>
      </c>
      <c r="E9251" s="31">
        <f t="shared" si="875"/>
        <v>2174.6549999999997</v>
      </c>
      <c r="F9251" s="32"/>
      <c r="G9251" s="15"/>
      <c r="H9251" s="21"/>
      <c r="I9251" s="15"/>
      <c r="J9251" s="15"/>
      <c r="K9251" s="15"/>
      <c r="L9251" s="21"/>
      <c r="M9251" s="15"/>
    </row>
    <row r="9252" spans="1:13" s="166" customFormat="1" ht="12.75" customHeight="1">
      <c r="A9252" s="12" t="s">
        <v>1908</v>
      </c>
      <c r="B9252" s="434">
        <v>8.33</v>
      </c>
      <c r="C9252" s="24" t="s">
        <v>1171</v>
      </c>
      <c r="D9252" s="41">
        <f t="shared" si="876"/>
        <v>500</v>
      </c>
      <c r="E9252" s="31">
        <f t="shared" si="875"/>
        <v>4165</v>
      </c>
      <c r="F9252" s="32"/>
      <c r="G9252" s="15"/>
      <c r="H9252" s="21"/>
      <c r="I9252" s="15"/>
      <c r="J9252" s="15"/>
      <c r="K9252" s="15"/>
      <c r="L9252" s="21"/>
      <c r="M9252" s="15"/>
    </row>
    <row r="9253" spans="1:13" s="166" customFormat="1" ht="12.75" customHeight="1">
      <c r="A9253" s="12" t="s">
        <v>1684</v>
      </c>
      <c r="B9253" s="434">
        <v>1</v>
      </c>
      <c r="C9253" s="24" t="s">
        <v>825</v>
      </c>
      <c r="D9253" s="41">
        <f t="shared" si="876"/>
        <v>600.29999999999995</v>
      </c>
      <c r="E9253" s="31">
        <f t="shared" si="875"/>
        <v>600.29999999999995</v>
      </c>
      <c r="F9253" s="32"/>
      <c r="G9253" s="15"/>
      <c r="H9253" s="21"/>
      <c r="I9253" s="15"/>
      <c r="J9253" s="15"/>
      <c r="K9253" s="15"/>
      <c r="L9253" s="21"/>
      <c r="M9253" s="15"/>
    </row>
    <row r="9254" spans="1:13" s="166" customFormat="1" ht="12.75" customHeight="1">
      <c r="A9254" s="12" t="s">
        <v>208</v>
      </c>
      <c r="B9254" s="434">
        <f>SUM(E9248:E9250)</f>
        <v>22032.9</v>
      </c>
      <c r="C9254" s="24" t="s">
        <v>209</v>
      </c>
      <c r="D9254" s="41">
        <f t="shared" si="876"/>
        <v>0.02</v>
      </c>
      <c r="E9254" s="31">
        <f t="shared" si="875"/>
        <v>440.65800000000002</v>
      </c>
      <c r="F9254" s="32">
        <f>SUM(E9248:E9254)</f>
        <v>29413.512999999999</v>
      </c>
      <c r="G9254" s="15"/>
      <c r="H9254" s="21"/>
      <c r="I9254" s="15"/>
      <c r="J9254" s="15"/>
      <c r="K9254" s="15"/>
      <c r="L9254" s="21"/>
      <c r="M9254" s="15"/>
    </row>
    <row r="9255" spans="1:13" s="166" customFormat="1" ht="12.75" customHeight="1">
      <c r="A9255" s="12"/>
      <c r="B9255" s="434"/>
      <c r="C9255" s="24"/>
      <c r="D9255" s="41"/>
      <c r="E9255" s="31"/>
      <c r="F9255" s="32"/>
      <c r="G9255" s="15"/>
      <c r="H9255" s="21"/>
      <c r="I9255" s="15"/>
      <c r="J9255" s="15"/>
      <c r="K9255" s="15"/>
      <c r="L9255" s="21"/>
      <c r="M9255" s="15"/>
    </row>
    <row r="9256" spans="1:13" s="166" customFormat="1" ht="12.75" customHeight="1">
      <c r="A9256" s="13" t="s">
        <v>1956</v>
      </c>
      <c r="B9256" s="434"/>
      <c r="C9256" s="24"/>
      <c r="D9256" s="41"/>
      <c r="E9256" s="31"/>
      <c r="F9256" s="32"/>
      <c r="G9256" s="15"/>
      <c r="H9256" s="21"/>
      <c r="I9256" s="15"/>
      <c r="J9256" s="15"/>
      <c r="K9256" s="15"/>
      <c r="L9256" s="21"/>
      <c r="M9256" s="15"/>
    </row>
    <row r="9257" spans="1:13" s="166" customFormat="1" ht="12.75" customHeight="1">
      <c r="A9257" s="12" t="s">
        <v>1681</v>
      </c>
      <c r="B9257" s="434">
        <v>1.05</v>
      </c>
      <c r="C9257" s="24" t="s">
        <v>825</v>
      </c>
      <c r="D9257" s="41">
        <f>D9248</f>
        <v>6850</v>
      </c>
      <c r="E9257" s="31">
        <f t="shared" ref="E9257:E9263" si="877">B9257*D9257</f>
        <v>7192.5</v>
      </c>
      <c r="F9257" s="32"/>
      <c r="G9257" s="15"/>
      <c r="H9257" s="21"/>
      <c r="I9257" s="15"/>
      <c r="J9257" s="15"/>
      <c r="K9257" s="15"/>
      <c r="L9257" s="21"/>
      <c r="M9257" s="15"/>
    </row>
    <row r="9258" spans="1:13" s="166" customFormat="1" ht="12.75" customHeight="1">
      <c r="A9258" s="12" t="s">
        <v>1683</v>
      </c>
      <c r="B9258" s="434">
        <v>4.2</v>
      </c>
      <c r="C9258" s="24" t="s">
        <v>4</v>
      </c>
      <c r="D9258" s="41">
        <f t="shared" ref="D9258:D9263" si="878">D9249</f>
        <v>3200</v>
      </c>
      <c r="E9258" s="31">
        <f t="shared" si="877"/>
        <v>13440</v>
      </c>
      <c r="F9258" s="32"/>
      <c r="G9258" s="15"/>
      <c r="H9258" s="21"/>
      <c r="I9258" s="15"/>
      <c r="J9258" s="15"/>
      <c r="K9258" s="15"/>
      <c r="L9258" s="21"/>
      <c r="M9258" s="15"/>
    </row>
    <row r="9259" spans="1:13" s="166" customFormat="1" ht="12.75" customHeight="1">
      <c r="A9259" s="12" t="s">
        <v>1198</v>
      </c>
      <c r="B9259" s="434">
        <f>B9258*2</f>
        <v>8.4</v>
      </c>
      <c r="C9259" s="24" t="s">
        <v>1018</v>
      </c>
      <c r="D9259" s="41">
        <f t="shared" si="878"/>
        <v>60</v>
      </c>
      <c r="E9259" s="31">
        <f t="shared" si="877"/>
        <v>504</v>
      </c>
      <c r="F9259" s="32"/>
      <c r="G9259" s="15"/>
      <c r="H9259" s="21"/>
      <c r="I9259" s="15"/>
      <c r="J9259" s="15"/>
      <c r="K9259" s="15"/>
      <c r="L9259" s="21"/>
      <c r="M9259" s="15"/>
    </row>
    <row r="9260" spans="1:13" s="166" customFormat="1" ht="12.75" customHeight="1">
      <c r="A9260" s="12" t="s">
        <v>1037</v>
      </c>
      <c r="B9260" s="434">
        <f>B9258</f>
        <v>4.2</v>
      </c>
      <c r="C9260" s="24" t="s">
        <v>4</v>
      </c>
      <c r="D9260" s="41">
        <f t="shared" si="878"/>
        <v>486.5</v>
      </c>
      <c r="E9260" s="31">
        <f t="shared" si="877"/>
        <v>2043.3000000000002</v>
      </c>
      <c r="F9260" s="32"/>
      <c r="G9260" s="15"/>
      <c r="H9260" s="21"/>
      <c r="I9260" s="15"/>
      <c r="J9260" s="15"/>
      <c r="K9260" s="15"/>
      <c r="L9260" s="21"/>
      <c r="M9260" s="15"/>
    </row>
    <row r="9261" spans="1:13" s="166" customFormat="1" ht="12.75" customHeight="1">
      <c r="A9261" s="12" t="s">
        <v>1908</v>
      </c>
      <c r="B9261" s="434">
        <v>8.33</v>
      </c>
      <c r="C9261" s="24" t="s">
        <v>1171</v>
      </c>
      <c r="D9261" s="41">
        <f t="shared" si="878"/>
        <v>500</v>
      </c>
      <c r="E9261" s="31">
        <f t="shared" si="877"/>
        <v>4165</v>
      </c>
      <c r="F9261" s="32"/>
      <c r="G9261" s="15"/>
      <c r="H9261" s="21"/>
      <c r="I9261" s="15"/>
      <c r="J9261" s="15"/>
      <c r="K9261" s="15"/>
      <c r="L9261" s="21"/>
      <c r="M9261" s="15"/>
    </row>
    <row r="9262" spans="1:13" s="166" customFormat="1" ht="12.75" customHeight="1">
      <c r="A9262" s="12" t="s">
        <v>1684</v>
      </c>
      <c r="B9262" s="434">
        <v>1</v>
      </c>
      <c r="C9262" s="24" t="s">
        <v>825</v>
      </c>
      <c r="D9262" s="41">
        <f t="shared" si="878"/>
        <v>600.29999999999995</v>
      </c>
      <c r="E9262" s="31">
        <f t="shared" si="877"/>
        <v>600.29999999999995</v>
      </c>
      <c r="F9262" s="32"/>
      <c r="G9262" s="15"/>
      <c r="H9262" s="21"/>
      <c r="I9262" s="15"/>
      <c r="J9262" s="15"/>
      <c r="K9262" s="15"/>
      <c r="L9262" s="21"/>
      <c r="M9262" s="15"/>
    </row>
    <row r="9263" spans="1:13" s="166" customFormat="1" ht="12.75" customHeight="1">
      <c r="A9263" s="12" t="s">
        <v>208</v>
      </c>
      <c r="B9263" s="434">
        <f>SUM(E9257:E9259)</f>
        <v>21136.5</v>
      </c>
      <c r="C9263" s="24" t="s">
        <v>209</v>
      </c>
      <c r="D9263" s="41">
        <f t="shared" si="878"/>
        <v>0.02</v>
      </c>
      <c r="E9263" s="31">
        <f t="shared" si="877"/>
        <v>422.73</v>
      </c>
      <c r="F9263" s="32">
        <f>SUM(E9257:E9263)</f>
        <v>28367.829999999998</v>
      </c>
      <c r="G9263" s="15"/>
      <c r="H9263" s="21"/>
      <c r="I9263" s="15"/>
      <c r="J9263" s="15"/>
      <c r="K9263" s="15"/>
      <c r="L9263" s="21"/>
      <c r="M9263" s="15"/>
    </row>
    <row r="9264" spans="1:13" s="166" customFormat="1" ht="12.75" customHeight="1">
      <c r="A9264" s="12"/>
      <c r="B9264" s="434"/>
      <c r="C9264" s="24"/>
      <c r="D9264" s="41"/>
      <c r="E9264" s="31"/>
      <c r="F9264" s="32"/>
      <c r="G9264" s="15"/>
      <c r="H9264" s="21"/>
      <c r="I9264" s="15"/>
      <c r="J9264" s="15"/>
      <c r="K9264" s="15"/>
      <c r="L9264" s="21"/>
      <c r="M9264" s="15"/>
    </row>
    <row r="9265" spans="1:13" s="166" customFormat="1" ht="12.75" customHeight="1">
      <c r="A9265" s="13" t="s">
        <v>1957</v>
      </c>
      <c r="B9265" s="434"/>
      <c r="C9265" s="24"/>
      <c r="D9265" s="41"/>
      <c r="E9265" s="31"/>
      <c r="F9265" s="32"/>
      <c r="G9265" s="15"/>
      <c r="H9265" s="21"/>
      <c r="I9265" s="15"/>
      <c r="J9265" s="15"/>
      <c r="K9265" s="15"/>
      <c r="L9265" s="21"/>
      <c r="M9265" s="15"/>
    </row>
    <row r="9266" spans="1:13" s="166" customFormat="1" ht="12.75" customHeight="1">
      <c r="A9266" s="12" t="s">
        <v>1681</v>
      </c>
      <c r="B9266" s="434">
        <v>1.05</v>
      </c>
      <c r="C9266" s="24" t="s">
        <v>825</v>
      </c>
      <c r="D9266" s="41">
        <f>D9257</f>
        <v>6850</v>
      </c>
      <c r="E9266" s="31">
        <f t="shared" ref="E9266:E9272" si="879">B9266*D9266</f>
        <v>7192.5</v>
      </c>
      <c r="F9266" s="32"/>
      <c r="G9266" s="15"/>
      <c r="H9266" s="21"/>
      <c r="I9266" s="15"/>
      <c r="J9266" s="15"/>
      <c r="K9266" s="15"/>
      <c r="L9266" s="21"/>
      <c r="M9266" s="15"/>
    </row>
    <row r="9267" spans="1:13" s="166" customFormat="1" ht="12.75" customHeight="1">
      <c r="A9267" s="12" t="s">
        <v>1683</v>
      </c>
      <c r="B9267" s="434">
        <v>3.69</v>
      </c>
      <c r="C9267" s="24" t="s">
        <v>4</v>
      </c>
      <c r="D9267" s="41">
        <f t="shared" ref="D9267:D9272" si="880">D9258</f>
        <v>3200</v>
      </c>
      <c r="E9267" s="31">
        <f t="shared" si="879"/>
        <v>11808</v>
      </c>
      <c r="F9267" s="32"/>
      <c r="G9267" s="15"/>
      <c r="H9267" s="21"/>
      <c r="I9267" s="15"/>
      <c r="J9267" s="15"/>
      <c r="K9267" s="15"/>
      <c r="L9267" s="21"/>
      <c r="M9267" s="15"/>
    </row>
    <row r="9268" spans="1:13" s="166" customFormat="1" ht="12.75" customHeight="1">
      <c r="A9268" s="12" t="s">
        <v>1198</v>
      </c>
      <c r="B9268" s="434">
        <f>B9267*2</f>
        <v>7.38</v>
      </c>
      <c r="C9268" s="24" t="s">
        <v>1018</v>
      </c>
      <c r="D9268" s="41">
        <f t="shared" si="880"/>
        <v>60</v>
      </c>
      <c r="E9268" s="31">
        <f t="shared" si="879"/>
        <v>442.8</v>
      </c>
      <c r="F9268" s="32"/>
      <c r="G9268" s="15"/>
      <c r="H9268" s="21"/>
      <c r="I9268" s="15"/>
      <c r="J9268" s="15"/>
      <c r="K9268" s="15"/>
      <c r="L9268" s="21"/>
      <c r="M9268" s="15"/>
    </row>
    <row r="9269" spans="1:13" s="166" customFormat="1" ht="12.75" customHeight="1">
      <c r="A9269" s="12" t="s">
        <v>1037</v>
      </c>
      <c r="B9269" s="434">
        <f>B9267</f>
        <v>3.69</v>
      </c>
      <c r="C9269" s="24" t="s">
        <v>4</v>
      </c>
      <c r="D9269" s="41">
        <f t="shared" si="880"/>
        <v>486.5</v>
      </c>
      <c r="E9269" s="31">
        <f t="shared" si="879"/>
        <v>1795.1849999999999</v>
      </c>
      <c r="F9269" s="32"/>
      <c r="G9269" s="15"/>
      <c r="H9269" s="21"/>
      <c r="I9269" s="15"/>
      <c r="J9269" s="15"/>
      <c r="K9269" s="15"/>
      <c r="L9269" s="21"/>
      <c r="M9269" s="15"/>
    </row>
    <row r="9270" spans="1:13" s="166" customFormat="1" ht="12.75" customHeight="1">
      <c r="A9270" s="12" t="s">
        <v>1908</v>
      </c>
      <c r="B9270" s="434">
        <v>8.33</v>
      </c>
      <c r="C9270" s="24" t="s">
        <v>1171</v>
      </c>
      <c r="D9270" s="41">
        <f>D9261</f>
        <v>500</v>
      </c>
      <c r="E9270" s="31">
        <f t="shared" si="879"/>
        <v>4165</v>
      </c>
      <c r="F9270" s="32"/>
      <c r="G9270" s="15"/>
      <c r="H9270" s="21"/>
      <c r="I9270" s="15"/>
      <c r="J9270" s="15"/>
      <c r="K9270" s="15"/>
      <c r="L9270" s="21"/>
      <c r="M9270" s="15"/>
    </row>
    <row r="9271" spans="1:13" s="166" customFormat="1" ht="12.75" customHeight="1">
      <c r="A9271" s="12" t="s">
        <v>1684</v>
      </c>
      <c r="B9271" s="434">
        <v>1</v>
      </c>
      <c r="C9271" s="24" t="s">
        <v>825</v>
      </c>
      <c r="D9271" s="41">
        <f t="shared" si="880"/>
        <v>600.29999999999995</v>
      </c>
      <c r="E9271" s="31">
        <f t="shared" si="879"/>
        <v>600.29999999999995</v>
      </c>
      <c r="F9271" s="32"/>
      <c r="G9271" s="15"/>
      <c r="H9271" s="21"/>
      <c r="I9271" s="15"/>
      <c r="J9271" s="15"/>
      <c r="K9271" s="15"/>
      <c r="L9271" s="21"/>
      <c r="M9271" s="15"/>
    </row>
    <row r="9272" spans="1:13" s="166" customFormat="1" ht="12.75" customHeight="1">
      <c r="A9272" s="12" t="s">
        <v>208</v>
      </c>
      <c r="B9272" s="434">
        <f>SUM(E9266:E9268)</f>
        <v>19443.3</v>
      </c>
      <c r="C9272" s="24" t="s">
        <v>209</v>
      </c>
      <c r="D9272" s="41">
        <f t="shared" si="880"/>
        <v>0.02</v>
      </c>
      <c r="E9272" s="31">
        <f t="shared" si="879"/>
        <v>388.86599999999999</v>
      </c>
      <c r="F9272" s="32">
        <f>SUM(E9266:E9272)</f>
        <v>26392.650999999998</v>
      </c>
      <c r="G9272" s="15"/>
      <c r="H9272" s="21"/>
      <c r="I9272" s="15"/>
      <c r="J9272" s="15"/>
      <c r="K9272" s="15"/>
      <c r="L9272" s="21"/>
      <c r="M9272" s="15"/>
    </row>
    <row r="9273" spans="1:13" s="166" customFormat="1" ht="12.75" customHeight="1">
      <c r="A9273" s="12"/>
      <c r="B9273" s="434"/>
      <c r="C9273" s="24"/>
      <c r="D9273" s="41"/>
      <c r="E9273" s="31"/>
      <c r="F9273" s="32"/>
      <c r="G9273" s="15"/>
      <c r="H9273" s="21"/>
      <c r="I9273" s="15"/>
      <c r="J9273" s="15"/>
      <c r="K9273" s="15"/>
      <c r="L9273" s="21"/>
      <c r="M9273" s="15"/>
    </row>
    <row r="9274" spans="1:13" s="166" customFormat="1" ht="12.75" customHeight="1">
      <c r="A9274" s="13" t="s">
        <v>1958</v>
      </c>
      <c r="B9274" s="434"/>
      <c r="C9274" s="24"/>
      <c r="D9274" s="41"/>
      <c r="E9274" s="31"/>
      <c r="F9274" s="32"/>
      <c r="G9274" s="15"/>
      <c r="H9274" s="21"/>
      <c r="I9274" s="15"/>
      <c r="J9274" s="15"/>
      <c r="K9274" s="15"/>
      <c r="L9274" s="21"/>
      <c r="M9274" s="15"/>
    </row>
    <row r="9275" spans="1:13" s="166" customFormat="1" ht="12.75" customHeight="1">
      <c r="A9275" s="12" t="s">
        <v>1681</v>
      </c>
      <c r="B9275" s="434">
        <v>1.05</v>
      </c>
      <c r="C9275" s="24" t="s">
        <v>825</v>
      </c>
      <c r="D9275" s="41">
        <f>D9266</f>
        <v>6850</v>
      </c>
      <c r="E9275" s="31">
        <f t="shared" ref="E9275:E9281" si="881">B9275*D9275</f>
        <v>7192.5</v>
      </c>
      <c r="F9275" s="32"/>
      <c r="G9275" s="15"/>
      <c r="H9275" s="21"/>
      <c r="I9275" s="15"/>
      <c r="J9275" s="15"/>
      <c r="K9275" s="15"/>
      <c r="L9275" s="21"/>
      <c r="M9275" s="15"/>
    </row>
    <row r="9276" spans="1:13" s="166" customFormat="1" ht="12.75" customHeight="1">
      <c r="A9276" s="12" t="s">
        <v>1683</v>
      </c>
      <c r="B9276" s="434">
        <v>3.96</v>
      </c>
      <c r="C9276" s="24" t="s">
        <v>4</v>
      </c>
      <c r="D9276" s="41">
        <f t="shared" ref="D9276:D9281" si="882">D9267</f>
        <v>3200</v>
      </c>
      <c r="E9276" s="31">
        <f t="shared" si="881"/>
        <v>12672</v>
      </c>
      <c r="F9276" s="32"/>
      <c r="G9276" s="15"/>
      <c r="H9276" s="21"/>
      <c r="I9276" s="15"/>
      <c r="J9276" s="15"/>
      <c r="K9276" s="15"/>
      <c r="L9276" s="21"/>
      <c r="M9276" s="15"/>
    </row>
    <row r="9277" spans="1:13" s="166" customFormat="1" ht="12.75" customHeight="1">
      <c r="A9277" s="12" t="s">
        <v>1198</v>
      </c>
      <c r="B9277" s="434">
        <f>B9276*2</f>
        <v>7.92</v>
      </c>
      <c r="C9277" s="24" t="s">
        <v>1018</v>
      </c>
      <c r="D9277" s="41">
        <f t="shared" si="882"/>
        <v>60</v>
      </c>
      <c r="E9277" s="31">
        <f t="shared" si="881"/>
        <v>475.2</v>
      </c>
      <c r="F9277" s="32"/>
      <c r="G9277" s="15"/>
      <c r="H9277" s="21"/>
      <c r="I9277" s="15"/>
      <c r="J9277" s="15"/>
      <c r="K9277" s="15"/>
      <c r="L9277" s="21"/>
      <c r="M9277" s="15"/>
    </row>
    <row r="9278" spans="1:13" s="166" customFormat="1" ht="12.75" customHeight="1">
      <c r="A9278" s="12" t="s">
        <v>1037</v>
      </c>
      <c r="B9278" s="434">
        <f>B9276</f>
        <v>3.96</v>
      </c>
      <c r="C9278" s="24" t="s">
        <v>4</v>
      </c>
      <c r="D9278" s="41">
        <f t="shared" si="882"/>
        <v>486.5</v>
      </c>
      <c r="E9278" s="31">
        <f t="shared" si="881"/>
        <v>1926.54</v>
      </c>
      <c r="F9278" s="32"/>
      <c r="G9278" s="15"/>
      <c r="H9278" s="21"/>
      <c r="I9278" s="15"/>
      <c r="J9278" s="15"/>
      <c r="K9278" s="15"/>
      <c r="L9278" s="21"/>
      <c r="M9278" s="15"/>
    </row>
    <row r="9279" spans="1:13" s="166" customFormat="1" ht="12.75" customHeight="1">
      <c r="A9279" s="12" t="s">
        <v>1908</v>
      </c>
      <c r="B9279" s="434">
        <v>8.33</v>
      </c>
      <c r="C9279" s="24" t="s">
        <v>1171</v>
      </c>
      <c r="D9279" s="41">
        <f>D9270</f>
        <v>500</v>
      </c>
      <c r="E9279" s="31">
        <f t="shared" si="881"/>
        <v>4165</v>
      </c>
      <c r="F9279" s="32"/>
      <c r="G9279" s="15"/>
      <c r="H9279" s="21"/>
      <c r="I9279" s="15"/>
      <c r="J9279" s="15"/>
      <c r="K9279" s="15"/>
      <c r="L9279" s="21"/>
      <c r="M9279" s="15"/>
    </row>
    <row r="9280" spans="1:13" s="166" customFormat="1" ht="12.75" customHeight="1">
      <c r="A9280" s="12" t="s">
        <v>1684</v>
      </c>
      <c r="B9280" s="434">
        <v>1</v>
      </c>
      <c r="C9280" s="24" t="s">
        <v>825</v>
      </c>
      <c r="D9280" s="41">
        <f t="shared" si="882"/>
        <v>600.29999999999995</v>
      </c>
      <c r="E9280" s="31">
        <f t="shared" si="881"/>
        <v>600.29999999999995</v>
      </c>
      <c r="F9280" s="32"/>
      <c r="G9280" s="15"/>
      <c r="H9280" s="21"/>
      <c r="I9280" s="15"/>
      <c r="J9280" s="15"/>
      <c r="K9280" s="15"/>
      <c r="L9280" s="21"/>
      <c r="M9280" s="15"/>
    </row>
    <row r="9281" spans="1:13" s="166" customFormat="1" ht="12.75" customHeight="1">
      <c r="A9281" s="12" t="s">
        <v>208</v>
      </c>
      <c r="B9281" s="434">
        <f>SUM(E9275:E9277)</f>
        <v>20339.7</v>
      </c>
      <c r="C9281" s="24" t="s">
        <v>209</v>
      </c>
      <c r="D9281" s="41">
        <f t="shared" si="882"/>
        <v>0.02</v>
      </c>
      <c r="E9281" s="31">
        <f t="shared" si="881"/>
        <v>406.79400000000004</v>
      </c>
      <c r="F9281" s="32">
        <f>SUM(E9275:E9281)</f>
        <v>27438.334000000003</v>
      </c>
      <c r="G9281" s="15"/>
      <c r="H9281" s="21"/>
      <c r="I9281" s="15"/>
      <c r="J9281" s="15"/>
      <c r="K9281" s="15"/>
      <c r="L9281" s="21"/>
      <c r="M9281" s="15"/>
    </row>
    <row r="9282" spans="1:13" s="166" customFormat="1" ht="12.75" customHeight="1">
      <c r="A9282" s="12"/>
      <c r="B9282" s="434"/>
      <c r="C9282" s="24"/>
      <c r="D9282" s="41"/>
      <c r="E9282" s="31"/>
      <c r="F9282" s="32"/>
      <c r="G9282" s="15"/>
      <c r="H9282" s="21"/>
      <c r="I9282" s="15"/>
      <c r="J9282" s="15"/>
      <c r="K9282" s="15"/>
      <c r="L9282" s="21"/>
      <c r="M9282" s="15"/>
    </row>
    <row r="9283" spans="1:13" s="166" customFormat="1" ht="12.75" customHeight="1">
      <c r="A9283" s="13" t="s">
        <v>1963</v>
      </c>
      <c r="B9283" s="434"/>
      <c r="C9283" s="24"/>
      <c r="D9283" s="41"/>
      <c r="E9283" s="31"/>
      <c r="F9283" s="32"/>
      <c r="G9283" s="15"/>
      <c r="H9283" s="21"/>
      <c r="I9283" s="15"/>
      <c r="J9283" s="15"/>
      <c r="K9283" s="15"/>
      <c r="L9283" s="21"/>
      <c r="M9283" s="15"/>
    </row>
    <row r="9284" spans="1:13" s="166" customFormat="1" ht="12.75" customHeight="1">
      <c r="A9284" s="12" t="s">
        <v>1681</v>
      </c>
      <c r="B9284" s="434">
        <v>1.05</v>
      </c>
      <c r="C9284" s="24" t="s">
        <v>825</v>
      </c>
      <c r="D9284" s="41">
        <f>D9275</f>
        <v>6850</v>
      </c>
      <c r="E9284" s="31">
        <f t="shared" ref="E9284:E9290" si="883">B9284*D9284</f>
        <v>7192.5</v>
      </c>
      <c r="F9284" s="32"/>
      <c r="G9284" s="15"/>
      <c r="H9284" s="21"/>
      <c r="I9284" s="15"/>
      <c r="J9284" s="15"/>
      <c r="K9284" s="15"/>
      <c r="L9284" s="21"/>
      <c r="M9284" s="15"/>
    </row>
    <row r="9285" spans="1:13" s="166" customFormat="1" ht="12.75" customHeight="1">
      <c r="A9285" s="12" t="s">
        <v>1683</v>
      </c>
      <c r="B9285" s="434">
        <v>3.51</v>
      </c>
      <c r="C9285" s="24" t="s">
        <v>4</v>
      </c>
      <c r="D9285" s="41">
        <f t="shared" ref="D9285:D9286" si="884">D9276</f>
        <v>3200</v>
      </c>
      <c r="E9285" s="31">
        <f t="shared" si="883"/>
        <v>11232</v>
      </c>
      <c r="F9285" s="32"/>
      <c r="G9285" s="15"/>
      <c r="H9285" s="21"/>
      <c r="I9285" s="15"/>
      <c r="J9285" s="15"/>
      <c r="K9285" s="15"/>
      <c r="L9285" s="21"/>
      <c r="M9285" s="15"/>
    </row>
    <row r="9286" spans="1:13" s="166" customFormat="1" ht="12.75" customHeight="1">
      <c r="A9286" s="12" t="s">
        <v>1198</v>
      </c>
      <c r="B9286" s="434">
        <f>B9285*2</f>
        <v>7.02</v>
      </c>
      <c r="C9286" s="24" t="s">
        <v>1018</v>
      </c>
      <c r="D9286" s="41">
        <f t="shared" si="884"/>
        <v>60</v>
      </c>
      <c r="E9286" s="31">
        <f t="shared" si="883"/>
        <v>421.2</v>
      </c>
      <c r="F9286" s="32"/>
      <c r="G9286" s="15"/>
      <c r="H9286" s="21"/>
      <c r="I9286" s="15"/>
      <c r="J9286" s="15"/>
      <c r="K9286" s="15"/>
      <c r="L9286" s="21"/>
      <c r="M9286" s="15"/>
    </row>
    <row r="9287" spans="1:13" s="166" customFormat="1" ht="12.75" customHeight="1">
      <c r="A9287" s="12" t="s">
        <v>1037</v>
      </c>
      <c r="B9287" s="434">
        <v>33.33</v>
      </c>
      <c r="C9287" s="24" t="s">
        <v>1171</v>
      </c>
      <c r="D9287" s="41">
        <v>94.62</v>
      </c>
      <c r="E9287" s="31">
        <f t="shared" si="883"/>
        <v>3153.6846</v>
      </c>
      <c r="F9287" s="32"/>
      <c r="G9287" s="15"/>
      <c r="H9287" s="21"/>
      <c r="I9287" s="15"/>
      <c r="J9287" s="15"/>
      <c r="K9287" s="15"/>
      <c r="L9287" s="21"/>
      <c r="M9287" s="15"/>
    </row>
    <row r="9288" spans="1:13" s="166" customFormat="1" ht="12.75" customHeight="1">
      <c r="A9288" s="12" t="s">
        <v>1685</v>
      </c>
      <c r="B9288" s="434">
        <v>33.33</v>
      </c>
      <c r="C9288" s="24" t="s">
        <v>1171</v>
      </c>
      <c r="D9288" s="41">
        <v>300</v>
      </c>
      <c r="E9288" s="31">
        <f t="shared" si="883"/>
        <v>9999</v>
      </c>
      <c r="F9288" s="32"/>
      <c r="G9288" s="15"/>
      <c r="H9288" s="21"/>
      <c r="I9288" s="15"/>
      <c r="J9288" s="15"/>
      <c r="K9288" s="15"/>
      <c r="L9288" s="21"/>
      <c r="M9288" s="15"/>
    </row>
    <row r="9289" spans="1:13" s="166" customFormat="1" ht="12.75" customHeight="1">
      <c r="A9289" s="12" t="s">
        <v>1684</v>
      </c>
      <c r="B9289" s="434">
        <v>1</v>
      </c>
      <c r="C9289" s="24" t="s">
        <v>825</v>
      </c>
      <c r="D9289" s="41">
        <f>D9280</f>
        <v>600.29999999999995</v>
      </c>
      <c r="E9289" s="31">
        <f t="shared" si="883"/>
        <v>600.29999999999995</v>
      </c>
      <c r="F9289" s="32"/>
      <c r="G9289" s="15"/>
      <c r="H9289" s="21"/>
      <c r="I9289" s="15"/>
      <c r="J9289" s="15"/>
      <c r="K9289" s="15"/>
      <c r="L9289" s="21"/>
      <c r="M9289" s="15"/>
    </row>
    <row r="9290" spans="1:13" s="166" customFormat="1" ht="12.75" customHeight="1">
      <c r="A9290" s="12" t="s">
        <v>208</v>
      </c>
      <c r="B9290" s="434">
        <f>SUM(E9284:E9286)</f>
        <v>18845.7</v>
      </c>
      <c r="C9290" s="24" t="s">
        <v>209</v>
      </c>
      <c r="D9290" s="41">
        <f t="shared" ref="D9290" si="885">D9281</f>
        <v>0.02</v>
      </c>
      <c r="E9290" s="31">
        <f t="shared" si="883"/>
        <v>376.91400000000004</v>
      </c>
      <c r="F9290" s="32">
        <f>SUM(E9284:E9290)</f>
        <v>32975.598599999998</v>
      </c>
      <c r="G9290" s="15"/>
      <c r="H9290" s="21"/>
      <c r="I9290" s="15"/>
      <c r="J9290" s="15"/>
      <c r="K9290" s="15"/>
      <c r="L9290" s="21"/>
      <c r="M9290" s="15"/>
    </row>
    <row r="9291" spans="1:13" s="166" customFormat="1" ht="12.75" customHeight="1">
      <c r="A9291" s="12"/>
      <c r="B9291" s="434"/>
      <c r="C9291" s="24"/>
      <c r="D9291" s="41"/>
      <c r="E9291" s="31"/>
      <c r="F9291" s="32"/>
      <c r="G9291" s="15"/>
      <c r="H9291" s="21"/>
      <c r="I9291" s="15"/>
      <c r="J9291" s="15"/>
      <c r="K9291" s="15"/>
      <c r="L9291" s="21"/>
      <c r="M9291" s="15"/>
    </row>
    <row r="9292" spans="1:13" s="166" customFormat="1" ht="12.75" customHeight="1">
      <c r="A9292" s="13" t="s">
        <v>1966</v>
      </c>
      <c r="B9292" s="434"/>
      <c r="C9292" s="24"/>
      <c r="D9292" s="41"/>
      <c r="E9292" s="31"/>
      <c r="F9292" s="32"/>
      <c r="G9292" s="15"/>
      <c r="H9292" s="21"/>
      <c r="I9292" s="15"/>
      <c r="J9292" s="15"/>
      <c r="K9292" s="15"/>
      <c r="L9292" s="21"/>
      <c r="M9292" s="15"/>
    </row>
    <row r="9293" spans="1:13" s="166" customFormat="1" ht="12.75" customHeight="1">
      <c r="A9293" s="12" t="s">
        <v>1681</v>
      </c>
      <c r="B9293" s="434">
        <v>1.05</v>
      </c>
      <c r="C9293" s="24" t="s">
        <v>825</v>
      </c>
      <c r="D9293" s="41">
        <f>D9284</f>
        <v>6850</v>
      </c>
      <c r="E9293" s="31">
        <f t="shared" ref="E9293:E9299" si="886">B9293*D9293</f>
        <v>7192.5</v>
      </c>
      <c r="F9293" s="32"/>
      <c r="G9293" s="15"/>
      <c r="H9293" s="21"/>
      <c r="I9293" s="15"/>
      <c r="J9293" s="15"/>
      <c r="K9293" s="15"/>
      <c r="L9293" s="21"/>
      <c r="M9293" s="15"/>
    </row>
    <row r="9294" spans="1:13" s="166" customFormat="1" ht="12.75" customHeight="1">
      <c r="A9294" s="12" t="s">
        <v>1683</v>
      </c>
      <c r="B9294" s="434">
        <v>4.57</v>
      </c>
      <c r="C9294" s="24" t="s">
        <v>4</v>
      </c>
      <c r="D9294" s="41">
        <f t="shared" ref="D9294" si="887">D9285</f>
        <v>3200</v>
      </c>
      <c r="E9294" s="31">
        <f t="shared" si="886"/>
        <v>14624</v>
      </c>
      <c r="F9294" s="32"/>
      <c r="G9294" s="15"/>
      <c r="H9294" s="21"/>
      <c r="I9294" s="15"/>
      <c r="J9294" s="15"/>
      <c r="K9294" s="15"/>
      <c r="L9294" s="21"/>
      <c r="M9294" s="15"/>
    </row>
    <row r="9295" spans="1:13" s="166" customFormat="1" ht="12.75" customHeight="1">
      <c r="A9295" s="12" t="s">
        <v>1198</v>
      </c>
      <c r="B9295" s="434">
        <f>B9294*2</f>
        <v>9.14</v>
      </c>
      <c r="C9295" s="24" t="s">
        <v>1018</v>
      </c>
      <c r="D9295" s="41">
        <f>D9286</f>
        <v>60</v>
      </c>
      <c r="E9295" s="31">
        <f t="shared" si="886"/>
        <v>548.40000000000009</v>
      </c>
      <c r="F9295" s="32"/>
      <c r="G9295" s="15"/>
      <c r="H9295" s="21"/>
      <c r="I9295" s="15"/>
      <c r="J9295" s="15"/>
      <c r="K9295" s="15"/>
      <c r="L9295" s="21"/>
      <c r="M9295" s="15"/>
    </row>
    <row r="9296" spans="1:13" s="166" customFormat="1" ht="12.75" customHeight="1">
      <c r="A9296" s="12" t="s">
        <v>1037</v>
      </c>
      <c r="B9296" s="434">
        <v>33.33</v>
      </c>
      <c r="C9296" s="24" t="s">
        <v>1171</v>
      </c>
      <c r="D9296" s="41">
        <f>D9287</f>
        <v>94.62</v>
      </c>
      <c r="E9296" s="31">
        <f t="shared" si="886"/>
        <v>3153.6846</v>
      </c>
      <c r="F9296" s="32"/>
      <c r="G9296" s="15"/>
      <c r="H9296" s="21"/>
      <c r="I9296" s="15"/>
      <c r="J9296" s="15"/>
      <c r="K9296" s="15"/>
      <c r="L9296" s="21"/>
      <c r="M9296" s="15"/>
    </row>
    <row r="9297" spans="1:13" s="166" customFormat="1" ht="12.75" customHeight="1">
      <c r="A9297" s="12" t="s">
        <v>1685</v>
      </c>
      <c r="B9297" s="434">
        <v>33.33</v>
      </c>
      <c r="C9297" s="24" t="s">
        <v>1171</v>
      </c>
      <c r="D9297" s="41">
        <v>300</v>
      </c>
      <c r="E9297" s="31">
        <f t="shared" si="886"/>
        <v>9999</v>
      </c>
      <c r="F9297" s="32"/>
      <c r="G9297" s="15"/>
      <c r="H9297" s="21"/>
      <c r="I9297" s="15"/>
      <c r="J9297" s="15"/>
      <c r="K9297" s="15"/>
      <c r="L9297" s="21"/>
      <c r="M9297" s="15"/>
    </row>
    <row r="9298" spans="1:13" s="166" customFormat="1" ht="12.75" customHeight="1">
      <c r="A9298" s="12" t="s">
        <v>1684</v>
      </c>
      <c r="B9298" s="434">
        <v>1</v>
      </c>
      <c r="C9298" s="24" t="s">
        <v>825</v>
      </c>
      <c r="D9298" s="41">
        <f>D9289</f>
        <v>600.29999999999995</v>
      </c>
      <c r="E9298" s="31">
        <f t="shared" si="886"/>
        <v>600.29999999999995</v>
      </c>
      <c r="F9298" s="32"/>
      <c r="G9298" s="15"/>
      <c r="H9298" s="21"/>
      <c r="I9298" s="15"/>
      <c r="J9298" s="15"/>
      <c r="K9298" s="15"/>
      <c r="L9298" s="21"/>
      <c r="M9298" s="15"/>
    </row>
    <row r="9299" spans="1:13" s="166" customFormat="1" ht="12.75" customHeight="1">
      <c r="A9299" s="12" t="s">
        <v>208</v>
      </c>
      <c r="B9299" s="434">
        <f>SUM(E9293:E9295)</f>
        <v>22364.9</v>
      </c>
      <c r="C9299" s="24" t="s">
        <v>209</v>
      </c>
      <c r="D9299" s="41">
        <f t="shared" ref="D9299" si="888">D9290</f>
        <v>0.02</v>
      </c>
      <c r="E9299" s="31">
        <f t="shared" si="886"/>
        <v>447.29800000000006</v>
      </c>
      <c r="F9299" s="32">
        <f>SUM(E9293:E9299)</f>
        <v>36565.182600000007</v>
      </c>
      <c r="G9299" s="15"/>
      <c r="H9299" s="21"/>
      <c r="I9299" s="15"/>
      <c r="J9299" s="15"/>
      <c r="K9299" s="15"/>
      <c r="L9299" s="21"/>
      <c r="M9299" s="15"/>
    </row>
    <row r="9300" spans="1:13" s="166" customFormat="1" ht="12.75" customHeight="1">
      <c r="A9300" s="12"/>
      <c r="B9300" s="434"/>
      <c r="C9300" s="24"/>
      <c r="D9300" s="41"/>
      <c r="E9300" s="31"/>
      <c r="F9300" s="32"/>
      <c r="G9300" s="15"/>
      <c r="H9300" s="21"/>
      <c r="I9300" s="15"/>
      <c r="J9300" s="15"/>
      <c r="K9300" s="15"/>
      <c r="L9300" s="21"/>
      <c r="M9300" s="15"/>
    </row>
    <row r="9301" spans="1:13" s="166" customFormat="1" ht="12.75" customHeight="1">
      <c r="A9301" s="12"/>
      <c r="B9301" s="434"/>
      <c r="C9301" s="24"/>
      <c r="D9301" s="41"/>
      <c r="E9301" s="31"/>
      <c r="F9301" s="32"/>
      <c r="G9301" s="15"/>
      <c r="H9301" s="21"/>
      <c r="I9301" s="15"/>
      <c r="J9301" s="15"/>
      <c r="K9301" s="15"/>
      <c r="L9301" s="21"/>
      <c r="M9301" s="15"/>
    </row>
    <row r="9302" spans="1:13" s="166" customFormat="1" ht="12.75" customHeight="1">
      <c r="A9302" s="12"/>
      <c r="B9302" s="434"/>
      <c r="C9302" s="24"/>
      <c r="D9302" s="41"/>
      <c r="E9302" s="31"/>
      <c r="F9302" s="32"/>
      <c r="G9302" s="15"/>
      <c r="H9302" s="21"/>
      <c r="I9302" s="15"/>
      <c r="J9302" s="15"/>
      <c r="K9302" s="15"/>
      <c r="L9302" s="21"/>
      <c r="M9302" s="15"/>
    </row>
    <row r="9303" spans="1:13" s="166" customFormat="1" ht="12.75" customHeight="1">
      <c r="A9303" s="12"/>
      <c r="B9303" s="434"/>
      <c r="C9303" s="24"/>
      <c r="D9303" s="41"/>
      <c r="E9303" s="31"/>
      <c r="F9303" s="32"/>
      <c r="G9303" s="15"/>
      <c r="H9303" s="21"/>
      <c r="I9303" s="15"/>
      <c r="J9303" s="15"/>
      <c r="K9303" s="15"/>
      <c r="L9303" s="21"/>
      <c r="M9303" s="15"/>
    </row>
    <row r="9304" spans="1:13" s="166" customFormat="1" ht="12.75" customHeight="1">
      <c r="A9304" s="12"/>
      <c r="B9304" s="434"/>
      <c r="C9304" s="24"/>
      <c r="D9304" s="41"/>
      <c r="E9304" s="31"/>
      <c r="F9304" s="32"/>
      <c r="G9304" s="15"/>
      <c r="H9304" s="21"/>
      <c r="I9304" s="15"/>
      <c r="J9304" s="15"/>
      <c r="K9304" s="15"/>
      <c r="L9304" s="21"/>
      <c r="M9304" s="15"/>
    </row>
    <row r="9305" spans="1:13" s="166" customFormat="1" ht="12.75" customHeight="1">
      <c r="A9305" s="12"/>
      <c r="B9305" s="434"/>
      <c r="C9305" s="24"/>
      <c r="D9305" s="41"/>
      <c r="E9305" s="31"/>
      <c r="F9305" s="32"/>
      <c r="G9305" s="15"/>
      <c r="H9305" s="21"/>
      <c r="I9305" s="15"/>
      <c r="J9305" s="15"/>
      <c r="K9305" s="15"/>
      <c r="L9305" s="21"/>
      <c r="M9305" s="15"/>
    </row>
    <row r="9306" spans="1:13" s="166" customFormat="1" ht="12.75" customHeight="1">
      <c r="A9306" s="12"/>
      <c r="B9306" s="434"/>
      <c r="C9306" s="24"/>
      <c r="D9306" s="41"/>
      <c r="E9306" s="31"/>
      <c r="F9306" s="32"/>
      <c r="G9306" s="15"/>
      <c r="H9306" s="21"/>
      <c r="I9306" s="15"/>
      <c r="J9306" s="15"/>
      <c r="K9306" s="15"/>
      <c r="L9306" s="21"/>
      <c r="M9306" s="15"/>
    </row>
    <row r="9307" spans="1:13" s="166" customFormat="1" ht="12.75" customHeight="1">
      <c r="A9307" s="12"/>
      <c r="B9307" s="434"/>
      <c r="C9307" s="24"/>
      <c r="D9307" s="41"/>
      <c r="E9307" s="31"/>
      <c r="F9307" s="32"/>
      <c r="G9307" s="15"/>
      <c r="H9307" s="21"/>
      <c r="I9307" s="15"/>
      <c r="J9307" s="15"/>
      <c r="K9307" s="15"/>
      <c r="L9307" s="21"/>
      <c r="M9307" s="15"/>
    </row>
    <row r="9308" spans="1:13" s="166" customFormat="1" ht="12.75" customHeight="1">
      <c r="A9308" s="12"/>
      <c r="B9308" s="434"/>
      <c r="C9308" s="24"/>
      <c r="D9308" s="41"/>
      <c r="E9308" s="31"/>
      <c r="F9308" s="32"/>
      <c r="G9308" s="15"/>
      <c r="H9308" s="21"/>
      <c r="I9308" s="15"/>
      <c r="J9308" s="15"/>
      <c r="K9308" s="15"/>
      <c r="L9308" s="21"/>
      <c r="M9308" s="15"/>
    </row>
    <row r="9309" spans="1:13" ht="12.75" customHeight="1">
      <c r="A9309" s="13" t="s">
        <v>155</v>
      </c>
      <c r="B9309" s="434"/>
      <c r="C9309" s="24"/>
      <c r="D9309" s="41"/>
      <c r="E9309" s="31"/>
      <c r="F9309" s="32"/>
    </row>
    <row r="9310" spans="1:13" ht="12.75" customHeight="1">
      <c r="A9310" s="12" t="s">
        <v>355</v>
      </c>
      <c r="B9310" s="434">
        <v>1.05</v>
      </c>
      <c r="C9310" s="24" t="s">
        <v>825</v>
      </c>
      <c r="D9310" s="41">
        <f>horm.ymez.!C17</f>
        <v>5459</v>
      </c>
      <c r="E9310" s="31">
        <f t="shared" ref="E9310:E9318" si="889">B9310*D9310</f>
        <v>5731.95</v>
      </c>
      <c r="F9310" s="32"/>
    </row>
    <row r="9311" spans="1:13" ht="12.75" customHeight="1">
      <c r="A9311" s="12" t="s">
        <v>1197</v>
      </c>
      <c r="B9311" s="434">
        <v>0.33600000000000002</v>
      </c>
      <c r="C9311" s="24" t="s">
        <v>4</v>
      </c>
      <c r="D9311" s="41">
        <f>Prec.!C53</f>
        <v>3200</v>
      </c>
      <c r="E9311" s="31">
        <f t="shared" si="889"/>
        <v>1075.2</v>
      </c>
      <c r="F9311" s="32"/>
    </row>
    <row r="9312" spans="1:13" ht="12.75" customHeight="1">
      <c r="A9312" s="12" t="s">
        <v>173</v>
      </c>
      <c r="B9312" s="434">
        <v>1.512</v>
      </c>
      <c r="C9312" s="24" t="s">
        <v>4</v>
      </c>
      <c r="D9312" s="41">
        <f>D8201</f>
        <v>3200</v>
      </c>
      <c r="E9312" s="31">
        <f t="shared" si="889"/>
        <v>4838.3999999999996</v>
      </c>
      <c r="F9312" s="32"/>
    </row>
    <row r="9313" spans="1:13" ht="12.75" customHeight="1">
      <c r="A9313" s="12" t="s">
        <v>578</v>
      </c>
      <c r="B9313" s="434">
        <v>1.3859999999999999</v>
      </c>
      <c r="C9313" s="24" t="s">
        <v>4</v>
      </c>
      <c r="D9313" s="41">
        <f>D9312</f>
        <v>3200</v>
      </c>
      <c r="E9313" s="31">
        <f t="shared" si="889"/>
        <v>4435.2</v>
      </c>
      <c r="F9313" s="32"/>
    </row>
    <row r="9314" spans="1:13" ht="12.75" customHeight="1">
      <c r="A9314" s="12" t="s">
        <v>1198</v>
      </c>
      <c r="B9314" s="434">
        <f>B9316*2</f>
        <v>6.468</v>
      </c>
      <c r="C9314" s="24" t="s">
        <v>1204</v>
      </c>
      <c r="D9314" s="41">
        <f>D8386</f>
        <v>60</v>
      </c>
      <c r="E9314" s="31">
        <f t="shared" si="889"/>
        <v>388.08</v>
      </c>
      <c r="F9314" s="32"/>
    </row>
    <row r="9315" spans="1:13" ht="12.75" customHeight="1">
      <c r="A9315" s="12" t="s">
        <v>653</v>
      </c>
      <c r="B9315" s="434">
        <v>25</v>
      </c>
      <c r="C9315" s="24" t="s">
        <v>1171</v>
      </c>
      <c r="D9315" s="41">
        <v>280</v>
      </c>
      <c r="E9315" s="31">
        <f t="shared" si="889"/>
        <v>7000</v>
      </c>
      <c r="F9315" s="32"/>
    </row>
    <row r="9316" spans="1:13" ht="12.75" customHeight="1">
      <c r="A9316" s="12" t="s">
        <v>1037</v>
      </c>
      <c r="B9316" s="434">
        <f>SUM(B9311:B9313)</f>
        <v>3.234</v>
      </c>
      <c r="C9316" s="24" t="s">
        <v>4</v>
      </c>
      <c r="D9316" s="41">
        <f>D8387</f>
        <v>0</v>
      </c>
      <c r="E9316" s="31">
        <f t="shared" si="889"/>
        <v>0</v>
      </c>
      <c r="F9316" s="32"/>
    </row>
    <row r="9317" spans="1:13" ht="12.75" customHeight="1">
      <c r="A9317" s="12" t="s">
        <v>519</v>
      </c>
      <c r="B9317" s="434">
        <v>1.05</v>
      </c>
      <c r="C9317" s="24" t="s">
        <v>825</v>
      </c>
      <c r="D9317" s="41">
        <f>D8389</f>
        <v>606.97</v>
      </c>
      <c r="E9317" s="31">
        <f t="shared" si="889"/>
        <v>637.31850000000009</v>
      </c>
      <c r="F9317" s="32"/>
    </row>
    <row r="9318" spans="1:13" ht="12.75" customHeight="1">
      <c r="A9318" s="12" t="s">
        <v>208</v>
      </c>
      <c r="B9318" s="434">
        <f>SUM(E9310:E9317)</f>
        <v>24106.148500000003</v>
      </c>
      <c r="C9318" s="24" t="s">
        <v>209</v>
      </c>
      <c r="D9318" s="41">
        <f>D8390</f>
        <v>1.4999999999999999E-2</v>
      </c>
      <c r="E9318" s="31">
        <f t="shared" si="889"/>
        <v>361.59222750000004</v>
      </c>
      <c r="F9318" s="32">
        <f>SUM(E9310:E9318)</f>
        <v>24467.740727500004</v>
      </c>
    </row>
    <row r="9319" spans="1:13" ht="12.75" customHeight="1">
      <c r="A9319" s="12"/>
      <c r="B9319" s="434"/>
      <c r="C9319" s="24"/>
      <c r="D9319" s="41"/>
      <c r="E9319" s="31"/>
      <c r="F9319" s="32"/>
    </row>
    <row r="9320" spans="1:13" s="166" customFormat="1" ht="12.75" customHeight="1">
      <c r="A9320" s="13" t="s">
        <v>1987</v>
      </c>
      <c r="B9320" s="434"/>
      <c r="C9320" s="24"/>
      <c r="D9320" s="41"/>
      <c r="E9320" s="31"/>
      <c r="F9320" s="32"/>
      <c r="G9320" s="15"/>
      <c r="H9320" s="21"/>
      <c r="I9320" s="15"/>
      <c r="J9320" s="15"/>
      <c r="K9320" s="15"/>
      <c r="L9320" s="21"/>
      <c r="M9320" s="15"/>
    </row>
    <row r="9321" spans="1:13" s="166" customFormat="1" ht="12.75" customHeight="1">
      <c r="A9321" s="12" t="s">
        <v>1909</v>
      </c>
      <c r="B9321" s="434">
        <v>1.05</v>
      </c>
      <c r="C9321" s="24" t="s">
        <v>825</v>
      </c>
      <c r="D9321" s="41">
        <f>Prec.!C36</f>
        <v>6850</v>
      </c>
      <c r="E9321" s="31">
        <f t="shared" ref="E9321:E9327" si="890">B9321*D9321</f>
        <v>7192.5</v>
      </c>
      <c r="F9321" s="32"/>
      <c r="G9321" s="15"/>
      <c r="H9321" s="21"/>
      <c r="I9321" s="15"/>
      <c r="J9321" s="15"/>
      <c r="K9321" s="15"/>
      <c r="L9321" s="21"/>
      <c r="M9321" s="15"/>
    </row>
    <row r="9322" spans="1:13" s="166" customFormat="1" ht="12.75" customHeight="1">
      <c r="A9322" s="12" t="s">
        <v>1683</v>
      </c>
      <c r="B9322" s="434">
        <v>3.81</v>
      </c>
      <c r="C9322" s="24" t="s">
        <v>4</v>
      </c>
      <c r="D9322" s="41">
        <f>D9311</f>
        <v>3200</v>
      </c>
      <c r="E9322" s="31">
        <f t="shared" si="890"/>
        <v>12192</v>
      </c>
      <c r="F9322" s="32"/>
      <c r="G9322" s="15"/>
      <c r="H9322" s="21"/>
      <c r="I9322" s="15"/>
      <c r="J9322" s="15"/>
      <c r="K9322" s="15"/>
      <c r="L9322" s="21"/>
      <c r="M9322" s="15"/>
    </row>
    <row r="9323" spans="1:13" s="166" customFormat="1" ht="12.75" customHeight="1">
      <c r="A9323" s="12" t="s">
        <v>1198</v>
      </c>
      <c r="B9323" s="434">
        <f>B9325*2</f>
        <v>7.62</v>
      </c>
      <c r="C9323" s="24" t="s">
        <v>1204</v>
      </c>
      <c r="D9323" s="41">
        <f>D9314</f>
        <v>60</v>
      </c>
      <c r="E9323" s="31">
        <f t="shared" si="890"/>
        <v>457.2</v>
      </c>
      <c r="F9323" s="32"/>
      <c r="G9323" s="15"/>
      <c r="H9323" s="21"/>
      <c r="I9323" s="15"/>
      <c r="J9323" s="15"/>
      <c r="K9323" s="15"/>
      <c r="L9323" s="21"/>
      <c r="M9323" s="15"/>
    </row>
    <row r="9324" spans="1:13" s="166" customFormat="1" ht="12.75" customHeight="1">
      <c r="A9324" s="12" t="s">
        <v>1988</v>
      </c>
      <c r="B9324" s="434">
        <v>5</v>
      </c>
      <c r="C9324" s="24" t="s">
        <v>1171</v>
      </c>
      <c r="D9324" s="41">
        <v>425</v>
      </c>
      <c r="E9324" s="31">
        <f t="shared" si="890"/>
        <v>2125</v>
      </c>
      <c r="F9324" s="32"/>
      <c r="G9324" s="15"/>
      <c r="H9324" s="21"/>
      <c r="I9324" s="15"/>
      <c r="J9324" s="15"/>
      <c r="K9324" s="15"/>
      <c r="L9324" s="21"/>
      <c r="M9324" s="15"/>
    </row>
    <row r="9325" spans="1:13" s="166" customFormat="1" ht="12.75" customHeight="1">
      <c r="A9325" s="12" t="s">
        <v>1037</v>
      </c>
      <c r="B9325" s="434">
        <f>SUM(B9322:B9322)</f>
        <v>3.81</v>
      </c>
      <c r="C9325" s="24" t="s">
        <v>4</v>
      </c>
      <c r="D9325" s="41">
        <f>Prec.!C350</f>
        <v>486.5</v>
      </c>
      <c r="E9325" s="31">
        <f t="shared" si="890"/>
        <v>1853.5650000000001</v>
      </c>
      <c r="F9325" s="32"/>
      <c r="G9325" s="15"/>
      <c r="H9325" s="21"/>
      <c r="I9325" s="15"/>
      <c r="J9325" s="15"/>
      <c r="K9325" s="15"/>
      <c r="L9325" s="21"/>
      <c r="M9325" s="15"/>
    </row>
    <row r="9326" spans="1:13" s="166" customFormat="1" ht="12.75" customHeight="1">
      <c r="A9326" s="12" t="s">
        <v>1910</v>
      </c>
      <c r="B9326" s="434">
        <v>1</v>
      </c>
      <c r="C9326" s="24" t="s">
        <v>825</v>
      </c>
      <c r="D9326" s="41">
        <f>Prec.!C675</f>
        <v>600.29999999999995</v>
      </c>
      <c r="E9326" s="31">
        <f t="shared" si="890"/>
        <v>600.29999999999995</v>
      </c>
      <c r="F9326" s="32"/>
      <c r="G9326" s="15"/>
      <c r="H9326" s="21"/>
      <c r="I9326" s="15"/>
      <c r="J9326" s="15"/>
      <c r="K9326" s="15"/>
      <c r="L9326" s="21"/>
      <c r="M9326" s="15"/>
    </row>
    <row r="9327" spans="1:13" s="166" customFormat="1" ht="12.75" customHeight="1">
      <c r="A9327" s="12" t="s">
        <v>208</v>
      </c>
      <c r="B9327" s="434">
        <f>SUM(E9321:E9324)</f>
        <v>21966.7</v>
      </c>
      <c r="C9327" s="24" t="s">
        <v>209</v>
      </c>
      <c r="D9327" s="41">
        <v>0.02</v>
      </c>
      <c r="E9327" s="31">
        <f t="shared" si="890"/>
        <v>439.334</v>
      </c>
      <c r="F9327" s="32">
        <f>SUM(E9321:E9327)</f>
        <v>24859.898999999998</v>
      </c>
      <c r="G9327" s="15"/>
      <c r="H9327" s="21"/>
      <c r="I9327" s="15"/>
      <c r="J9327" s="15"/>
      <c r="K9327" s="15"/>
      <c r="L9327" s="21"/>
      <c r="M9327" s="15"/>
    </row>
    <row r="9328" spans="1:13" s="166" customFormat="1" ht="12.75" customHeight="1">
      <c r="A9328" s="12"/>
      <c r="B9328" s="434"/>
      <c r="C9328" s="24"/>
      <c r="D9328" s="41"/>
      <c r="E9328" s="31"/>
      <c r="F9328" s="32"/>
      <c r="G9328" s="15"/>
      <c r="H9328" s="21"/>
      <c r="I9328" s="15"/>
      <c r="J9328" s="15"/>
      <c r="K9328" s="15"/>
      <c r="L9328" s="21"/>
      <c r="M9328" s="15"/>
    </row>
    <row r="9329" spans="1:13" s="166" customFormat="1" ht="12.75" customHeight="1">
      <c r="A9329" s="13" t="s">
        <v>2003</v>
      </c>
      <c r="B9329" s="434"/>
      <c r="C9329" s="24"/>
      <c r="D9329" s="41"/>
      <c r="E9329" s="31"/>
      <c r="F9329" s="32"/>
      <c r="G9329" s="15"/>
      <c r="H9329" s="21"/>
      <c r="I9329" s="15"/>
      <c r="J9329" s="15"/>
      <c r="K9329" s="15"/>
      <c r="L9329" s="21"/>
      <c r="M9329" s="15"/>
    </row>
    <row r="9330" spans="1:13" s="166" customFormat="1" ht="12.75" customHeight="1">
      <c r="A9330" s="12" t="s">
        <v>1909</v>
      </c>
      <c r="B9330" s="434">
        <v>1.05</v>
      </c>
      <c r="C9330" s="24" t="s">
        <v>825</v>
      </c>
      <c r="D9330" s="41">
        <f>D9321</f>
        <v>6850</v>
      </c>
      <c r="E9330" s="31">
        <f t="shared" ref="E9330:E9336" si="891">B9330*D9330</f>
        <v>7192.5</v>
      </c>
      <c r="F9330" s="32"/>
      <c r="G9330" s="15"/>
      <c r="H9330" s="21"/>
      <c r="I9330" s="15"/>
      <c r="J9330" s="15"/>
      <c r="K9330" s="15"/>
      <c r="L9330" s="21"/>
      <c r="M9330" s="15"/>
    </row>
    <row r="9331" spans="1:13" s="166" customFormat="1" ht="12.75" customHeight="1">
      <c r="A9331" s="12" t="s">
        <v>1683</v>
      </c>
      <c r="B9331" s="434">
        <v>1.08</v>
      </c>
      <c r="C9331" s="24" t="s">
        <v>4</v>
      </c>
      <c r="D9331" s="41">
        <f t="shared" ref="D9331:D9336" si="892">D9322</f>
        <v>3200</v>
      </c>
      <c r="E9331" s="31">
        <f t="shared" si="891"/>
        <v>3456</v>
      </c>
      <c r="F9331" s="32"/>
      <c r="G9331" s="15"/>
      <c r="H9331" s="21"/>
      <c r="I9331" s="15"/>
      <c r="J9331" s="15"/>
      <c r="K9331" s="15"/>
      <c r="L9331" s="21"/>
      <c r="M9331" s="15"/>
    </row>
    <row r="9332" spans="1:13" s="166" customFormat="1" ht="12.75" customHeight="1">
      <c r="A9332" s="12" t="s">
        <v>1198</v>
      </c>
      <c r="B9332" s="434">
        <f>B9334*2</f>
        <v>2.16</v>
      </c>
      <c r="C9332" s="24" t="s">
        <v>1204</v>
      </c>
      <c r="D9332" s="41">
        <f t="shared" si="892"/>
        <v>60</v>
      </c>
      <c r="E9332" s="31">
        <f t="shared" si="891"/>
        <v>129.60000000000002</v>
      </c>
      <c r="F9332" s="32"/>
      <c r="G9332" s="15"/>
      <c r="H9332" s="21"/>
      <c r="I9332" s="15"/>
      <c r="J9332" s="15"/>
      <c r="K9332" s="15"/>
      <c r="L9332" s="21"/>
      <c r="M9332" s="15"/>
    </row>
    <row r="9333" spans="1:13" s="166" customFormat="1" ht="12.75" customHeight="1">
      <c r="A9333" s="12" t="s">
        <v>2017</v>
      </c>
      <c r="B9333" s="434">
        <v>4</v>
      </c>
      <c r="C9333" s="24" t="s">
        <v>1171</v>
      </c>
      <c r="D9333" s="41">
        <f t="shared" si="892"/>
        <v>425</v>
      </c>
      <c r="E9333" s="31">
        <f t="shared" si="891"/>
        <v>1700</v>
      </c>
      <c r="F9333" s="32"/>
      <c r="G9333" s="15"/>
      <c r="H9333" s="21"/>
      <c r="I9333" s="15"/>
      <c r="J9333" s="15"/>
      <c r="K9333" s="15"/>
      <c r="L9333" s="21"/>
      <c r="M9333" s="15"/>
    </row>
    <row r="9334" spans="1:13" s="166" customFormat="1" ht="12.75" customHeight="1">
      <c r="A9334" s="12" t="s">
        <v>1037</v>
      </c>
      <c r="B9334" s="434">
        <f>SUM(B9331:B9331)</f>
        <v>1.08</v>
      </c>
      <c r="C9334" s="24" t="s">
        <v>4</v>
      </c>
      <c r="D9334" s="41">
        <f t="shared" si="892"/>
        <v>486.5</v>
      </c>
      <c r="E9334" s="31">
        <f t="shared" si="891"/>
        <v>525.42000000000007</v>
      </c>
      <c r="F9334" s="32"/>
      <c r="G9334" s="15"/>
      <c r="H9334" s="21"/>
      <c r="I9334" s="15"/>
      <c r="J9334" s="15"/>
      <c r="K9334" s="15"/>
      <c r="L9334" s="21"/>
      <c r="M9334" s="15"/>
    </row>
    <row r="9335" spans="1:13" s="166" customFormat="1" ht="12.75" customHeight="1">
      <c r="A9335" s="12" t="s">
        <v>1910</v>
      </c>
      <c r="B9335" s="434">
        <v>1</v>
      </c>
      <c r="C9335" s="24" t="s">
        <v>825</v>
      </c>
      <c r="D9335" s="41">
        <f t="shared" si="892"/>
        <v>600.29999999999995</v>
      </c>
      <c r="E9335" s="31">
        <f t="shared" si="891"/>
        <v>600.29999999999995</v>
      </c>
      <c r="F9335" s="32"/>
      <c r="G9335" s="15"/>
      <c r="H9335" s="21"/>
      <c r="I9335" s="15"/>
      <c r="J9335" s="15"/>
      <c r="K9335" s="15"/>
      <c r="L9335" s="21"/>
      <c r="M9335" s="15"/>
    </row>
    <row r="9336" spans="1:13" s="166" customFormat="1" ht="12.75" customHeight="1">
      <c r="A9336" s="12" t="s">
        <v>208</v>
      </c>
      <c r="B9336" s="434">
        <f>SUM(E9330:E9333)</f>
        <v>12478.1</v>
      </c>
      <c r="C9336" s="24" t="s">
        <v>209</v>
      </c>
      <c r="D9336" s="41">
        <f t="shared" si="892"/>
        <v>0.02</v>
      </c>
      <c r="E9336" s="31">
        <f t="shared" si="891"/>
        <v>249.56200000000001</v>
      </c>
      <c r="F9336" s="32">
        <f>SUM(E9330:E9336)</f>
        <v>13853.382</v>
      </c>
      <c r="G9336" s="15"/>
      <c r="H9336" s="21"/>
      <c r="I9336" s="15"/>
      <c r="J9336" s="15"/>
      <c r="K9336" s="15"/>
      <c r="L9336" s="21"/>
      <c r="M9336" s="15"/>
    </row>
    <row r="9337" spans="1:13" s="166" customFormat="1" ht="12.75" customHeight="1">
      <c r="B9337" s="38"/>
      <c r="C9337" s="165"/>
      <c r="D9337" s="36"/>
      <c r="E9337" s="25"/>
      <c r="F9337" s="26"/>
      <c r="G9337" s="15"/>
      <c r="H9337" s="21"/>
      <c r="I9337" s="15"/>
      <c r="J9337" s="15"/>
      <c r="K9337" s="15"/>
      <c r="L9337" s="21"/>
      <c r="M9337" s="15"/>
    </row>
    <row r="9338" spans="1:13" s="166" customFormat="1" ht="12.75" customHeight="1">
      <c r="B9338" s="38"/>
      <c r="C9338" s="165"/>
      <c r="D9338" s="36"/>
      <c r="E9338" s="25"/>
      <c r="F9338" s="26"/>
      <c r="G9338" s="15"/>
      <c r="H9338" s="21"/>
      <c r="I9338" s="15"/>
      <c r="J9338" s="15"/>
      <c r="K9338" s="15"/>
      <c r="L9338" s="21"/>
      <c r="M9338" s="15"/>
    </row>
    <row r="9339" spans="1:13" s="166" customFormat="1" ht="12.75" customHeight="1">
      <c r="B9339" s="38"/>
      <c r="C9339" s="165"/>
      <c r="D9339" s="36"/>
      <c r="E9339" s="25"/>
      <c r="F9339" s="26"/>
      <c r="G9339" s="15"/>
      <c r="H9339" s="21"/>
      <c r="I9339" s="15"/>
      <c r="J9339" s="15"/>
      <c r="K9339" s="15"/>
      <c r="L9339" s="21"/>
      <c r="M9339" s="15"/>
    </row>
    <row r="9340" spans="1:13" s="166" customFormat="1" ht="12.75" customHeight="1">
      <c r="A9340" s="13" t="s">
        <v>2018</v>
      </c>
      <c r="B9340" s="434"/>
      <c r="C9340" s="24"/>
      <c r="D9340" s="41"/>
      <c r="E9340" s="31"/>
      <c r="F9340" s="32"/>
      <c r="G9340" s="15"/>
      <c r="H9340" s="21"/>
      <c r="I9340" s="15"/>
      <c r="J9340" s="15"/>
      <c r="K9340" s="15"/>
      <c r="L9340" s="21"/>
      <c r="M9340" s="15"/>
    </row>
    <row r="9341" spans="1:13" s="166" customFormat="1" ht="12.75" customHeight="1">
      <c r="A9341" s="12" t="s">
        <v>1909</v>
      </c>
      <c r="B9341" s="434">
        <v>1.05</v>
      </c>
      <c r="C9341" s="24" t="s">
        <v>825</v>
      </c>
      <c r="D9341" s="41">
        <f>D9321</f>
        <v>6850</v>
      </c>
      <c r="E9341" s="31">
        <f t="shared" ref="E9341:E9347" si="893">B9341*D9341</f>
        <v>7192.5</v>
      </c>
      <c r="F9341" s="32"/>
      <c r="G9341" s="15"/>
      <c r="H9341" s="21"/>
      <c r="I9341" s="15"/>
      <c r="J9341" s="15"/>
      <c r="K9341" s="15"/>
      <c r="L9341" s="21"/>
      <c r="M9341" s="15"/>
    </row>
    <row r="9342" spans="1:13" s="166" customFormat="1" ht="12.75" customHeight="1">
      <c r="A9342" s="12" t="s">
        <v>1683</v>
      </c>
      <c r="B9342" s="434">
        <v>6.67</v>
      </c>
      <c r="C9342" s="24" t="s">
        <v>4</v>
      </c>
      <c r="D9342" s="41">
        <f>D9322</f>
        <v>3200</v>
      </c>
      <c r="E9342" s="31">
        <f t="shared" si="893"/>
        <v>21344</v>
      </c>
      <c r="F9342" s="32"/>
      <c r="G9342" s="15"/>
      <c r="H9342" s="21"/>
      <c r="I9342" s="15"/>
      <c r="J9342" s="15"/>
      <c r="K9342" s="15"/>
      <c r="L9342" s="21"/>
      <c r="M9342" s="15"/>
    </row>
    <row r="9343" spans="1:13" s="166" customFormat="1" ht="12.75" customHeight="1">
      <c r="A9343" s="12" t="s">
        <v>1198</v>
      </c>
      <c r="B9343" s="434">
        <f>B9345*2</f>
        <v>13.34</v>
      </c>
      <c r="C9343" s="24" t="s">
        <v>1204</v>
      </c>
      <c r="D9343" s="41">
        <f>D9323</f>
        <v>60</v>
      </c>
      <c r="E9343" s="31">
        <f t="shared" si="893"/>
        <v>800.4</v>
      </c>
      <c r="F9343" s="32"/>
      <c r="G9343" s="15"/>
      <c r="H9343" s="21"/>
      <c r="I9343" s="15"/>
      <c r="J9343" s="15"/>
      <c r="K9343" s="15"/>
      <c r="L9343" s="21"/>
      <c r="M9343" s="15"/>
    </row>
    <row r="9344" spans="1:13" s="166" customFormat="1" ht="12.75" customHeight="1">
      <c r="A9344" s="12" t="s">
        <v>2019</v>
      </c>
      <c r="B9344" s="434">
        <v>16</v>
      </c>
      <c r="C9344" s="24" t="s">
        <v>1171</v>
      </c>
      <c r="D9344" s="41">
        <v>500</v>
      </c>
      <c r="E9344" s="31">
        <f t="shared" si="893"/>
        <v>8000</v>
      </c>
      <c r="F9344" s="32"/>
      <c r="G9344" s="15"/>
      <c r="H9344" s="21"/>
      <c r="I9344" s="15"/>
      <c r="J9344" s="15"/>
      <c r="K9344" s="15"/>
      <c r="L9344" s="21"/>
      <c r="M9344" s="15"/>
    </row>
    <row r="9345" spans="1:13" s="166" customFormat="1" ht="12.75" customHeight="1">
      <c r="A9345" s="12" t="s">
        <v>1037</v>
      </c>
      <c r="B9345" s="434">
        <f>SUM(B9342:B9342)</f>
        <v>6.67</v>
      </c>
      <c r="C9345" s="24" t="s">
        <v>4</v>
      </c>
      <c r="D9345" s="41">
        <f>D9325</f>
        <v>486.5</v>
      </c>
      <c r="E9345" s="31">
        <f t="shared" si="893"/>
        <v>3244.9549999999999</v>
      </c>
      <c r="F9345" s="32"/>
      <c r="G9345" s="15"/>
      <c r="H9345" s="21"/>
      <c r="I9345" s="15"/>
      <c r="J9345" s="15"/>
      <c r="K9345" s="15"/>
      <c r="L9345" s="21"/>
      <c r="M9345" s="15"/>
    </row>
    <row r="9346" spans="1:13" s="166" customFormat="1" ht="12.75" customHeight="1">
      <c r="A9346" s="12" t="s">
        <v>1910</v>
      </c>
      <c r="B9346" s="434">
        <v>1</v>
      </c>
      <c r="C9346" s="24" t="s">
        <v>825</v>
      </c>
      <c r="D9346" s="41">
        <f>D9326</f>
        <v>600.29999999999995</v>
      </c>
      <c r="E9346" s="31">
        <f t="shared" si="893"/>
        <v>600.29999999999995</v>
      </c>
      <c r="F9346" s="32"/>
      <c r="G9346" s="15"/>
      <c r="H9346" s="21"/>
      <c r="I9346" s="15"/>
      <c r="J9346" s="15"/>
      <c r="K9346" s="15"/>
      <c r="L9346" s="21"/>
      <c r="M9346" s="15"/>
    </row>
    <row r="9347" spans="1:13" s="166" customFormat="1" ht="12.75" customHeight="1">
      <c r="A9347" s="12" t="s">
        <v>208</v>
      </c>
      <c r="B9347" s="434">
        <f>SUM(E9341:E9344)</f>
        <v>37336.9</v>
      </c>
      <c r="C9347" s="24" t="s">
        <v>209</v>
      </c>
      <c r="D9347" s="41">
        <f>D9327</f>
        <v>0.02</v>
      </c>
      <c r="E9347" s="31">
        <f t="shared" si="893"/>
        <v>746.73800000000006</v>
      </c>
      <c r="F9347" s="32">
        <f>SUM(E9341:E9347)</f>
        <v>41928.893000000004</v>
      </c>
      <c r="G9347" s="15"/>
      <c r="H9347" s="21"/>
      <c r="I9347" s="15"/>
      <c r="J9347" s="15"/>
      <c r="K9347" s="15"/>
      <c r="L9347" s="21"/>
      <c r="M9347" s="15"/>
    </row>
    <row r="9348" spans="1:13" s="166" customFormat="1" ht="12.75" customHeight="1">
      <c r="A9348" s="12"/>
      <c r="B9348" s="434"/>
      <c r="C9348" s="24"/>
      <c r="D9348" s="41"/>
      <c r="E9348" s="31"/>
      <c r="F9348" s="32"/>
      <c r="G9348" s="15"/>
      <c r="H9348" s="21"/>
      <c r="I9348" s="15"/>
      <c r="J9348" s="15"/>
      <c r="K9348" s="15"/>
      <c r="L9348" s="21"/>
      <c r="M9348" s="15"/>
    </row>
    <row r="9349" spans="1:13" s="166" customFormat="1" ht="12.75" customHeight="1">
      <c r="A9349" s="12"/>
      <c r="B9349" s="434"/>
      <c r="C9349" s="24"/>
      <c r="D9349" s="41"/>
      <c r="E9349" s="31"/>
      <c r="F9349" s="32"/>
      <c r="G9349" s="15"/>
      <c r="H9349" s="21"/>
      <c r="I9349" s="15"/>
      <c r="J9349" s="15"/>
      <c r="K9349" s="15"/>
      <c r="L9349" s="21"/>
      <c r="M9349" s="15"/>
    </row>
    <row r="9350" spans="1:13" s="166" customFormat="1" ht="12.75" customHeight="1">
      <c r="A9350" s="698" t="s">
        <v>4421</v>
      </c>
      <c r="B9350" s="699"/>
      <c r="C9350" s="700"/>
      <c r="D9350" s="701"/>
      <c r="E9350" s="702"/>
      <c r="F9350" s="703"/>
      <c r="G9350" s="15"/>
      <c r="H9350" s="21"/>
      <c r="I9350" s="15"/>
      <c r="J9350" s="15"/>
      <c r="K9350" s="15"/>
      <c r="L9350" s="21"/>
      <c r="M9350" s="15"/>
    </row>
    <row r="9351" spans="1:13" s="166" customFormat="1" ht="12.75" customHeight="1">
      <c r="A9351" s="704" t="s">
        <v>1909</v>
      </c>
      <c r="B9351" s="699">
        <v>1.05</v>
      </c>
      <c r="C9351" s="700" t="s">
        <v>825</v>
      </c>
      <c r="D9351" s="701">
        <f>Prec.!C36</f>
        <v>6850</v>
      </c>
      <c r="E9351" s="702">
        <f t="shared" ref="E9351:E9358" si="894">B9351*D9351</f>
        <v>7192.5</v>
      </c>
      <c r="F9351" s="703"/>
      <c r="G9351" s="15"/>
      <c r="H9351" s="21"/>
      <c r="I9351" s="15"/>
      <c r="J9351" s="15"/>
      <c r="K9351" s="15"/>
      <c r="L9351" s="21"/>
      <c r="M9351" s="15"/>
    </row>
    <row r="9352" spans="1:13" s="166" customFormat="1" ht="12.75" customHeight="1">
      <c r="A9352" s="704" t="s">
        <v>1683</v>
      </c>
      <c r="B9352" s="699">
        <v>4.2</v>
      </c>
      <c r="C9352" s="700" t="s">
        <v>4</v>
      </c>
      <c r="D9352" s="701">
        <f t="shared" ref="D9352:D9353" si="895">D9342</f>
        <v>3200</v>
      </c>
      <c r="E9352" s="702">
        <f t="shared" si="894"/>
        <v>13440</v>
      </c>
      <c r="F9352" s="703"/>
      <c r="G9352" s="15"/>
      <c r="H9352" s="21"/>
      <c r="I9352" s="15"/>
      <c r="J9352" s="15"/>
      <c r="K9352" s="15"/>
      <c r="L9352" s="21"/>
      <c r="M9352" s="15"/>
    </row>
    <row r="9353" spans="1:13" s="166" customFormat="1" ht="12.75" customHeight="1">
      <c r="A9353" s="704" t="s">
        <v>1198</v>
      </c>
      <c r="B9353" s="699">
        <f>B9356*2</f>
        <v>8.4</v>
      </c>
      <c r="C9353" s="700" t="s">
        <v>1204</v>
      </c>
      <c r="D9353" s="701">
        <f t="shared" si="895"/>
        <v>60</v>
      </c>
      <c r="E9353" s="702">
        <f t="shared" si="894"/>
        <v>504</v>
      </c>
      <c r="F9353" s="703"/>
      <c r="G9353" s="15"/>
      <c r="H9353" s="21"/>
      <c r="I9353" s="15"/>
      <c r="J9353" s="15"/>
      <c r="K9353" s="15"/>
      <c r="L9353" s="21"/>
      <c r="M9353" s="15"/>
    </row>
    <row r="9354" spans="1:13" s="166" customFormat="1" ht="12.75" customHeight="1">
      <c r="A9354" s="704" t="s">
        <v>1694</v>
      </c>
      <c r="B9354" s="699">
        <v>16.670000000000002</v>
      </c>
      <c r="C9354" s="700" t="s">
        <v>1171</v>
      </c>
      <c r="D9354" s="701">
        <v>165.66</v>
      </c>
      <c r="E9354" s="702">
        <f t="shared" si="894"/>
        <v>2761.5522000000001</v>
      </c>
      <c r="F9354" s="703"/>
      <c r="G9354" s="15"/>
      <c r="H9354" s="21"/>
      <c r="I9354" s="15"/>
      <c r="J9354" s="15"/>
      <c r="K9354" s="15"/>
      <c r="L9354" s="21"/>
      <c r="M9354" s="15"/>
    </row>
    <row r="9355" spans="1:13" s="166" customFormat="1" ht="12.75" customHeight="1">
      <c r="A9355" s="704" t="s">
        <v>4383</v>
      </c>
      <c r="B9355" s="699">
        <f>(0.2+0.3)*2*B9354</f>
        <v>16.670000000000002</v>
      </c>
      <c r="C9355" s="700" t="s">
        <v>1333</v>
      </c>
      <c r="D9355" s="701">
        <v>28.72</v>
      </c>
      <c r="E9355" s="702">
        <f t="shared" si="894"/>
        <v>478.76240000000001</v>
      </c>
      <c r="F9355" s="703"/>
      <c r="G9355" s="15"/>
      <c r="H9355" s="21"/>
      <c r="I9355" s="15"/>
      <c r="J9355" s="15"/>
      <c r="K9355" s="15"/>
      <c r="L9355" s="21"/>
      <c r="M9355" s="15"/>
    </row>
    <row r="9356" spans="1:13" s="166" customFormat="1" ht="12.75" customHeight="1">
      <c r="A9356" s="704" t="s">
        <v>1037</v>
      </c>
      <c r="B9356" s="699">
        <f>SUM(B9352:B9352)</f>
        <v>4.2</v>
      </c>
      <c r="C9356" s="700" t="s">
        <v>4</v>
      </c>
      <c r="D9356" s="701">
        <f>D9345</f>
        <v>486.5</v>
      </c>
      <c r="E9356" s="702">
        <f t="shared" si="894"/>
        <v>2043.3000000000002</v>
      </c>
      <c r="F9356" s="703"/>
      <c r="G9356" s="15"/>
      <c r="H9356" s="21"/>
      <c r="I9356" s="15"/>
      <c r="J9356" s="15"/>
      <c r="K9356" s="15"/>
      <c r="L9356" s="21"/>
      <c r="M9356" s="15"/>
    </row>
    <row r="9357" spans="1:13" s="166" customFormat="1" ht="12.75" customHeight="1">
      <c r="A9357" s="704" t="s">
        <v>1910</v>
      </c>
      <c r="B9357" s="699">
        <v>1</v>
      </c>
      <c r="C9357" s="700" t="s">
        <v>825</v>
      </c>
      <c r="D9357" s="701">
        <f>D9346</f>
        <v>600.29999999999995</v>
      </c>
      <c r="E9357" s="702"/>
      <c r="F9357" s="703"/>
      <c r="G9357" s="15"/>
      <c r="H9357" s="21"/>
      <c r="I9357" s="15"/>
      <c r="J9357" s="15"/>
      <c r="K9357" s="15"/>
      <c r="L9357" s="21"/>
      <c r="M9357" s="15"/>
    </row>
    <row r="9358" spans="1:13" s="166" customFormat="1" ht="12.75" customHeight="1">
      <c r="A9358" s="704" t="s">
        <v>208</v>
      </c>
      <c r="B9358" s="699">
        <f>SUM(E9351:E9354)</f>
        <v>23898.052199999998</v>
      </c>
      <c r="C9358" s="700" t="s">
        <v>209</v>
      </c>
      <c r="D9358" s="701">
        <f>D9347</f>
        <v>0.02</v>
      </c>
      <c r="E9358" s="702">
        <f t="shared" si="894"/>
        <v>477.96104399999996</v>
      </c>
      <c r="F9358" s="703">
        <f>SUM(E9351:E9358)</f>
        <v>26898.075643999997</v>
      </c>
      <c r="G9358" s="15"/>
      <c r="H9358" s="21"/>
      <c r="I9358" s="15"/>
      <c r="J9358" s="15"/>
      <c r="K9358" s="15"/>
      <c r="L9358" s="21"/>
      <c r="M9358" s="15"/>
    </row>
    <row r="9359" spans="1:13" s="166" customFormat="1" ht="12.75" customHeight="1">
      <c r="A9359" s="12"/>
      <c r="B9359" s="434"/>
      <c r="C9359" s="24"/>
      <c r="D9359" s="41"/>
      <c r="E9359" s="31"/>
      <c r="F9359" s="32"/>
      <c r="G9359" s="15"/>
      <c r="H9359" s="21"/>
      <c r="I9359" s="15"/>
      <c r="J9359" s="15"/>
      <c r="K9359" s="15"/>
      <c r="L9359" s="21"/>
      <c r="M9359" s="15"/>
    </row>
    <row r="9360" spans="1:13" s="166" customFormat="1" ht="12.75" customHeight="1">
      <c r="A9360" s="12"/>
      <c r="B9360" s="434"/>
      <c r="C9360" s="24"/>
      <c r="D9360" s="41"/>
      <c r="E9360" s="31"/>
      <c r="F9360" s="32"/>
      <c r="G9360" s="15"/>
      <c r="H9360" s="21"/>
      <c r="I9360" s="15"/>
      <c r="J9360" s="15"/>
      <c r="K9360" s="15"/>
      <c r="L9360" s="21"/>
      <c r="M9360" s="15"/>
    </row>
    <row r="9361" spans="1:13" s="166" customFormat="1" ht="12.75" customHeight="1">
      <c r="A9361" s="716" t="s">
        <v>4405</v>
      </c>
      <c r="B9361" s="717"/>
      <c r="C9361" s="718"/>
      <c r="D9361" s="719"/>
      <c r="E9361" s="720"/>
      <c r="F9361" s="721"/>
      <c r="G9361" s="15"/>
      <c r="H9361" s="21"/>
      <c r="I9361" s="15"/>
      <c r="J9361" s="15"/>
      <c r="K9361" s="15"/>
      <c r="L9361" s="21"/>
      <c r="M9361" s="15"/>
    </row>
    <row r="9362" spans="1:13" s="166" customFormat="1" ht="12.75" customHeight="1">
      <c r="A9362" s="722" t="s">
        <v>4381</v>
      </c>
      <c r="B9362" s="717">
        <v>1.05</v>
      </c>
      <c r="C9362" s="718" t="s">
        <v>825</v>
      </c>
      <c r="D9362" s="719">
        <f>D9351</f>
        <v>6850</v>
      </c>
      <c r="E9362" s="720">
        <f t="shared" ref="E9362:E9367" si="896">B9362*D9362</f>
        <v>7192.5</v>
      </c>
      <c r="F9362" s="721"/>
      <c r="G9362" s="15"/>
      <c r="H9362" s="21"/>
      <c r="I9362" s="15"/>
      <c r="J9362" s="15"/>
      <c r="K9362" s="15"/>
      <c r="L9362" s="21"/>
      <c r="M9362" s="15"/>
    </row>
    <row r="9363" spans="1:13" s="166" customFormat="1" ht="12.75" customHeight="1">
      <c r="A9363" s="722" t="s">
        <v>1683</v>
      </c>
      <c r="B9363" s="717">
        <v>4.67</v>
      </c>
      <c r="C9363" s="718" t="s">
        <v>4</v>
      </c>
      <c r="D9363" s="719">
        <f t="shared" ref="D9363:D9369" si="897">D9352</f>
        <v>3200</v>
      </c>
      <c r="E9363" s="720">
        <f t="shared" si="896"/>
        <v>14944</v>
      </c>
      <c r="F9363" s="721"/>
      <c r="G9363" s="15"/>
      <c r="H9363" s="21"/>
      <c r="I9363" s="15"/>
      <c r="J9363" s="15"/>
      <c r="K9363" s="15"/>
      <c r="L9363" s="21"/>
      <c r="M9363" s="15"/>
    </row>
    <row r="9364" spans="1:13" s="166" customFormat="1" ht="12.75" customHeight="1">
      <c r="A9364" s="722" t="s">
        <v>1198</v>
      </c>
      <c r="B9364" s="717">
        <f>B9367*2</f>
        <v>9.34</v>
      </c>
      <c r="C9364" s="718" t="s">
        <v>1204</v>
      </c>
      <c r="D9364" s="719">
        <f t="shared" si="897"/>
        <v>60</v>
      </c>
      <c r="E9364" s="720">
        <f t="shared" si="896"/>
        <v>560.4</v>
      </c>
      <c r="F9364" s="721"/>
      <c r="G9364" s="15"/>
      <c r="H9364" s="21"/>
      <c r="I9364" s="15"/>
      <c r="J9364" s="15"/>
      <c r="K9364" s="15"/>
      <c r="L9364" s="21"/>
      <c r="M9364" s="15"/>
    </row>
    <row r="9365" spans="1:13" s="166" customFormat="1" ht="12.75" customHeight="1">
      <c r="A9365" s="722" t="s">
        <v>4382</v>
      </c>
      <c r="B9365" s="717">
        <v>4</v>
      </c>
      <c r="C9365" s="718" t="s">
        <v>1171</v>
      </c>
      <c r="D9365" s="719">
        <v>218.67</v>
      </c>
      <c r="E9365" s="720">
        <f t="shared" si="896"/>
        <v>874.68</v>
      </c>
      <c r="F9365" s="721"/>
      <c r="G9365" s="15"/>
      <c r="H9365" s="21"/>
      <c r="I9365" s="15"/>
      <c r="J9365" s="15"/>
      <c r="K9365" s="15"/>
      <c r="L9365" s="21"/>
      <c r="M9365" s="15"/>
    </row>
    <row r="9366" spans="1:13" s="166" customFormat="1" ht="12.75" customHeight="1">
      <c r="A9366" s="722" t="s">
        <v>4383</v>
      </c>
      <c r="B9366" s="717">
        <f>(0.5+0.5)*2*B9365</f>
        <v>8</v>
      </c>
      <c r="C9366" s="718" t="s">
        <v>1333</v>
      </c>
      <c r="D9366" s="719">
        <v>28.72</v>
      </c>
      <c r="E9366" s="720">
        <f t="shared" si="896"/>
        <v>229.76</v>
      </c>
      <c r="F9366" s="721"/>
      <c r="G9366" s="15"/>
      <c r="H9366" s="21"/>
      <c r="I9366" s="15"/>
      <c r="J9366" s="15"/>
      <c r="K9366" s="15"/>
      <c r="L9366" s="21"/>
      <c r="M9366" s="15"/>
    </row>
    <row r="9367" spans="1:13" s="166" customFormat="1" ht="12.75" customHeight="1">
      <c r="A9367" s="722" t="s">
        <v>1037</v>
      </c>
      <c r="B9367" s="717">
        <f>SUM(B9363:B9363)</f>
        <v>4.67</v>
      </c>
      <c r="C9367" s="718" t="s">
        <v>4</v>
      </c>
      <c r="D9367" s="719">
        <f t="shared" si="897"/>
        <v>486.5</v>
      </c>
      <c r="E9367" s="720">
        <f t="shared" si="896"/>
        <v>2271.9549999999999</v>
      </c>
      <c r="F9367" s="721"/>
      <c r="G9367" s="15"/>
      <c r="H9367" s="21"/>
      <c r="I9367" s="15"/>
      <c r="J9367" s="15"/>
      <c r="K9367" s="15"/>
      <c r="L9367" s="21"/>
      <c r="M9367" s="15"/>
    </row>
    <row r="9368" spans="1:13" s="166" customFormat="1" ht="12.75" customHeight="1">
      <c r="A9368" s="722" t="s">
        <v>1910</v>
      </c>
      <c r="B9368" s="717">
        <v>1</v>
      </c>
      <c r="C9368" s="718" t="s">
        <v>825</v>
      </c>
      <c r="D9368" s="719">
        <f t="shared" si="897"/>
        <v>600.29999999999995</v>
      </c>
      <c r="E9368" s="720"/>
      <c r="F9368" s="721"/>
      <c r="G9368" s="15"/>
      <c r="H9368" s="21"/>
      <c r="I9368" s="15"/>
      <c r="J9368" s="15"/>
      <c r="K9368" s="15"/>
      <c r="L9368" s="21"/>
      <c r="M9368" s="15"/>
    </row>
    <row r="9369" spans="1:13" s="166" customFormat="1" ht="12.75" customHeight="1">
      <c r="A9369" s="722" t="s">
        <v>208</v>
      </c>
      <c r="B9369" s="717">
        <f>SUM(E9362:E9365)</f>
        <v>23571.58</v>
      </c>
      <c r="C9369" s="718" t="s">
        <v>209</v>
      </c>
      <c r="D9369" s="719">
        <f t="shared" si="897"/>
        <v>0.02</v>
      </c>
      <c r="E9369" s="720">
        <f>B9369*D9369</f>
        <v>471.43160000000006</v>
      </c>
      <c r="F9369" s="721">
        <f>SUM(E9362:E9369)</f>
        <v>26544.726599999998</v>
      </c>
      <c r="G9369" s="15"/>
      <c r="H9369" s="21"/>
      <c r="I9369" s="15"/>
      <c r="J9369" s="15"/>
      <c r="K9369" s="15"/>
      <c r="L9369" s="21"/>
      <c r="M9369" s="15"/>
    </row>
    <row r="9370" spans="1:13" s="166" customFormat="1" ht="12.75" customHeight="1">
      <c r="A9370" s="12"/>
      <c r="B9370" s="434"/>
      <c r="C9370" s="24"/>
      <c r="D9370" s="41"/>
      <c r="E9370" s="31"/>
      <c r="F9370" s="32"/>
      <c r="G9370" s="15"/>
      <c r="H9370" s="21"/>
      <c r="I9370" s="15"/>
      <c r="J9370" s="15"/>
      <c r="K9370" s="15"/>
      <c r="L9370" s="21"/>
      <c r="M9370" s="15"/>
    </row>
    <row r="9371" spans="1:13" s="166" customFormat="1" ht="12.75" customHeight="1">
      <c r="A9371" s="698" t="s">
        <v>4413</v>
      </c>
      <c r="B9371" s="699"/>
      <c r="C9371" s="700"/>
      <c r="D9371" s="701"/>
      <c r="E9371" s="702"/>
      <c r="F9371" s="703"/>
      <c r="G9371" s="15"/>
      <c r="H9371" s="21"/>
      <c r="I9371" s="15"/>
      <c r="J9371" s="15"/>
      <c r="K9371" s="15"/>
      <c r="L9371" s="21"/>
      <c r="M9371" s="15"/>
    </row>
    <row r="9372" spans="1:13" s="166" customFormat="1" ht="12.75" customHeight="1">
      <c r="A9372" s="704" t="s">
        <v>4381</v>
      </c>
      <c r="B9372" s="699">
        <v>1.05</v>
      </c>
      <c r="C9372" s="700" t="s">
        <v>825</v>
      </c>
      <c r="D9372" s="701">
        <f>D9362</f>
        <v>6850</v>
      </c>
      <c r="E9372" s="702">
        <f t="shared" ref="E9372:E9377" si="898">B9372*D9372</f>
        <v>7192.5</v>
      </c>
      <c r="F9372" s="703"/>
      <c r="G9372" s="15"/>
      <c r="H9372" s="21"/>
      <c r="I9372" s="15"/>
      <c r="J9372" s="15"/>
      <c r="K9372" s="15"/>
      <c r="L9372" s="21"/>
      <c r="M9372" s="15"/>
    </row>
    <row r="9373" spans="1:13" s="166" customFormat="1" ht="12.75" customHeight="1">
      <c r="A9373" s="704" t="s">
        <v>1683</v>
      </c>
      <c r="B9373" s="699">
        <v>4.2</v>
      </c>
      <c r="C9373" s="700" t="s">
        <v>4</v>
      </c>
      <c r="D9373" s="701">
        <f t="shared" ref="D9373:D9379" si="899">D9363</f>
        <v>3200</v>
      </c>
      <c r="E9373" s="702">
        <f t="shared" si="898"/>
        <v>13440</v>
      </c>
      <c r="F9373" s="703"/>
      <c r="G9373" s="15"/>
      <c r="H9373" s="21"/>
      <c r="I9373" s="15"/>
      <c r="J9373" s="15"/>
      <c r="K9373" s="15"/>
      <c r="L9373" s="21"/>
      <c r="M9373" s="15"/>
    </row>
    <row r="9374" spans="1:13" s="166" customFormat="1" ht="12.75" customHeight="1">
      <c r="A9374" s="704" t="s">
        <v>1198</v>
      </c>
      <c r="B9374" s="699">
        <f>B9377*2</f>
        <v>8.4</v>
      </c>
      <c r="C9374" s="700" t="s">
        <v>1204</v>
      </c>
      <c r="D9374" s="701">
        <f t="shared" si="899"/>
        <v>60</v>
      </c>
      <c r="E9374" s="702">
        <f t="shared" si="898"/>
        <v>504</v>
      </c>
      <c r="F9374" s="703"/>
      <c r="G9374" s="15"/>
      <c r="H9374" s="21"/>
      <c r="I9374" s="15"/>
      <c r="J9374" s="15"/>
      <c r="K9374" s="15"/>
      <c r="L9374" s="21"/>
      <c r="M9374" s="15"/>
    </row>
    <row r="9375" spans="1:13" s="166" customFormat="1" ht="12.75" customHeight="1">
      <c r="A9375" s="704" t="s">
        <v>4382</v>
      </c>
      <c r="B9375" s="699">
        <v>4</v>
      </c>
      <c r="C9375" s="700" t="s">
        <v>1171</v>
      </c>
      <c r="D9375" s="701">
        <f t="shared" si="899"/>
        <v>218.67</v>
      </c>
      <c r="E9375" s="702">
        <f t="shared" si="898"/>
        <v>874.68</v>
      </c>
      <c r="F9375" s="703"/>
      <c r="G9375" s="15"/>
      <c r="H9375" s="21"/>
      <c r="I9375" s="15"/>
      <c r="J9375" s="15"/>
      <c r="K9375" s="15"/>
      <c r="L9375" s="21"/>
      <c r="M9375" s="15"/>
    </row>
    <row r="9376" spans="1:13" s="166" customFormat="1" ht="12.75" customHeight="1">
      <c r="A9376" s="704" t="s">
        <v>4383</v>
      </c>
      <c r="B9376" s="699">
        <f>(0.5+0.5)*2*B9375</f>
        <v>8</v>
      </c>
      <c r="C9376" s="700" t="s">
        <v>1333</v>
      </c>
      <c r="D9376" s="701">
        <f t="shared" si="899"/>
        <v>28.72</v>
      </c>
      <c r="E9376" s="702">
        <f t="shared" si="898"/>
        <v>229.76</v>
      </c>
      <c r="F9376" s="703"/>
      <c r="G9376" s="15"/>
      <c r="H9376" s="21"/>
      <c r="I9376" s="15"/>
      <c r="J9376" s="15"/>
      <c r="K9376" s="15"/>
      <c r="L9376" s="21"/>
      <c r="M9376" s="15"/>
    </row>
    <row r="9377" spans="1:13" s="166" customFormat="1" ht="12.75" customHeight="1">
      <c r="A9377" s="704" t="s">
        <v>1037</v>
      </c>
      <c r="B9377" s="699">
        <f>SUM(B9373:B9373)</f>
        <v>4.2</v>
      </c>
      <c r="C9377" s="700" t="s">
        <v>4</v>
      </c>
      <c r="D9377" s="701">
        <f t="shared" si="899"/>
        <v>486.5</v>
      </c>
      <c r="E9377" s="702">
        <f t="shared" si="898"/>
        <v>2043.3000000000002</v>
      </c>
      <c r="F9377" s="703"/>
      <c r="G9377" s="15"/>
      <c r="H9377" s="21"/>
      <c r="I9377" s="15"/>
      <c r="J9377" s="15"/>
      <c r="K9377" s="15"/>
      <c r="L9377" s="21"/>
      <c r="M9377" s="15"/>
    </row>
    <row r="9378" spans="1:13" s="166" customFormat="1" ht="12.75" customHeight="1">
      <c r="A9378" s="704" t="s">
        <v>1910</v>
      </c>
      <c r="B9378" s="699">
        <v>1</v>
      </c>
      <c r="C9378" s="700" t="s">
        <v>825</v>
      </c>
      <c r="D9378" s="701">
        <f t="shared" si="899"/>
        <v>600.29999999999995</v>
      </c>
      <c r="E9378" s="702"/>
      <c r="F9378" s="703"/>
      <c r="G9378" s="15"/>
      <c r="H9378" s="21"/>
      <c r="I9378" s="15"/>
      <c r="J9378" s="15"/>
      <c r="K9378" s="15"/>
      <c r="L9378" s="21"/>
      <c r="M9378" s="15"/>
    </row>
    <row r="9379" spans="1:13" s="166" customFormat="1" ht="12.75" customHeight="1">
      <c r="A9379" s="704" t="s">
        <v>208</v>
      </c>
      <c r="B9379" s="699">
        <f>SUM(E9372:E9375)</f>
        <v>22011.18</v>
      </c>
      <c r="C9379" s="700" t="s">
        <v>209</v>
      </c>
      <c r="D9379" s="701">
        <f t="shared" si="899"/>
        <v>0.02</v>
      </c>
      <c r="E9379" s="702">
        <f>B9379*D9379</f>
        <v>440.22360000000003</v>
      </c>
      <c r="F9379" s="703">
        <f>SUM(E9372:E9379)</f>
        <v>24724.463599999999</v>
      </c>
      <c r="G9379" s="15"/>
      <c r="H9379" s="21"/>
      <c r="I9379" s="15"/>
      <c r="J9379" s="15"/>
      <c r="K9379" s="15"/>
      <c r="L9379" s="21"/>
      <c r="M9379" s="15"/>
    </row>
    <row r="9380" spans="1:13" s="166" customFormat="1" ht="12.75" customHeight="1">
      <c r="A9380" s="12"/>
      <c r="B9380" s="434"/>
      <c r="C9380" s="24"/>
      <c r="D9380" s="41"/>
      <c r="E9380" s="31"/>
      <c r="F9380" s="32"/>
      <c r="G9380" s="15"/>
      <c r="H9380" s="21"/>
      <c r="I9380" s="15"/>
      <c r="J9380" s="15"/>
      <c r="K9380" s="15"/>
      <c r="L9380" s="21"/>
      <c r="M9380" s="15"/>
    </row>
    <row r="9381" spans="1:13" s="166" customFormat="1" ht="12.75" customHeight="1">
      <c r="A9381" s="698" t="s">
        <v>4403</v>
      </c>
      <c r="B9381" s="699"/>
      <c r="C9381" s="700"/>
      <c r="D9381" s="701"/>
      <c r="E9381" s="702"/>
      <c r="F9381" s="703"/>
      <c r="G9381" s="15"/>
      <c r="H9381" s="21"/>
      <c r="I9381" s="15"/>
      <c r="J9381" s="15"/>
      <c r="K9381" s="15"/>
      <c r="L9381" s="21"/>
      <c r="M9381" s="15"/>
    </row>
    <row r="9382" spans="1:13" s="166" customFormat="1" ht="12.75" customHeight="1">
      <c r="A9382" s="704" t="s">
        <v>4381</v>
      </c>
      <c r="B9382" s="699">
        <v>1.05</v>
      </c>
      <c r="C9382" s="700" t="s">
        <v>825</v>
      </c>
      <c r="D9382" s="701">
        <f t="shared" ref="D9382:D9389" si="900">D9362</f>
        <v>6850</v>
      </c>
      <c r="E9382" s="702">
        <f t="shared" ref="E9382:E9386" si="901">B9382*D9382</f>
        <v>7192.5</v>
      </c>
      <c r="F9382" s="703"/>
      <c r="G9382" s="15"/>
      <c r="H9382" s="21"/>
      <c r="I9382" s="15"/>
      <c r="J9382" s="15"/>
      <c r="K9382" s="15"/>
      <c r="L9382" s="21"/>
      <c r="M9382" s="15"/>
    </row>
    <row r="9383" spans="1:13" s="166" customFormat="1" ht="12.75" customHeight="1">
      <c r="A9383" s="704" t="s">
        <v>1683</v>
      </c>
      <c r="B9383" s="699">
        <v>6.22</v>
      </c>
      <c r="C9383" s="700" t="s">
        <v>4</v>
      </c>
      <c r="D9383" s="701">
        <f t="shared" si="900"/>
        <v>3200</v>
      </c>
      <c r="E9383" s="702">
        <f t="shared" si="901"/>
        <v>19904</v>
      </c>
      <c r="F9383" s="703"/>
      <c r="G9383" s="15"/>
      <c r="H9383" s="21"/>
      <c r="I9383" s="15"/>
      <c r="J9383" s="15"/>
      <c r="K9383" s="15"/>
      <c r="L9383" s="21"/>
      <c r="M9383" s="15"/>
    </row>
    <row r="9384" spans="1:13" s="166" customFormat="1" ht="12.75" customHeight="1">
      <c r="A9384" s="704" t="s">
        <v>1198</v>
      </c>
      <c r="B9384" s="699">
        <f>B9387*2</f>
        <v>12.44</v>
      </c>
      <c r="C9384" s="700" t="s">
        <v>1204</v>
      </c>
      <c r="D9384" s="701">
        <f t="shared" si="900"/>
        <v>60</v>
      </c>
      <c r="E9384" s="702">
        <f t="shared" si="901"/>
        <v>746.4</v>
      </c>
      <c r="F9384" s="703"/>
      <c r="G9384" s="15"/>
      <c r="H9384" s="21"/>
      <c r="I9384" s="15"/>
      <c r="J9384" s="15"/>
      <c r="K9384" s="15"/>
      <c r="L9384" s="21"/>
      <c r="M9384" s="15"/>
    </row>
    <row r="9385" spans="1:13" s="166" customFormat="1" ht="12.75" customHeight="1">
      <c r="A9385" s="704" t="s">
        <v>4382</v>
      </c>
      <c r="B9385" s="699">
        <v>4</v>
      </c>
      <c r="C9385" s="700" t="s">
        <v>1171</v>
      </c>
      <c r="D9385" s="701">
        <f t="shared" si="900"/>
        <v>218.67</v>
      </c>
      <c r="E9385" s="702">
        <f t="shared" si="901"/>
        <v>874.68</v>
      </c>
      <c r="F9385" s="703"/>
      <c r="G9385" s="15"/>
      <c r="H9385" s="21"/>
      <c r="I9385" s="15"/>
      <c r="J9385" s="15"/>
      <c r="K9385" s="15"/>
      <c r="L9385" s="21"/>
      <c r="M9385" s="15"/>
    </row>
    <row r="9386" spans="1:13" s="166" customFormat="1" ht="12.75" customHeight="1">
      <c r="A9386" s="704" t="s">
        <v>4383</v>
      </c>
      <c r="B9386" s="699">
        <f>(0.5+0.5)*2*B9385</f>
        <v>8</v>
      </c>
      <c r="C9386" s="700" t="s">
        <v>1333</v>
      </c>
      <c r="D9386" s="701">
        <f t="shared" si="900"/>
        <v>28.72</v>
      </c>
      <c r="E9386" s="702">
        <f t="shared" si="901"/>
        <v>229.76</v>
      </c>
      <c r="F9386" s="703"/>
      <c r="G9386" s="15"/>
      <c r="H9386" s="21"/>
      <c r="I9386" s="15"/>
      <c r="J9386" s="15"/>
      <c r="K9386" s="15"/>
      <c r="L9386" s="21"/>
      <c r="M9386" s="15"/>
    </row>
    <row r="9387" spans="1:13" s="166" customFormat="1" ht="12.75" customHeight="1">
      <c r="A9387" s="704" t="s">
        <v>1037</v>
      </c>
      <c r="B9387" s="699">
        <f>SUM(B9383:B9383)</f>
        <v>6.22</v>
      </c>
      <c r="C9387" s="700" t="s">
        <v>4</v>
      </c>
      <c r="D9387" s="701">
        <f t="shared" si="900"/>
        <v>486.5</v>
      </c>
      <c r="E9387" s="702">
        <f t="shared" ref="E9387:E9389" si="902">B9387*D9387</f>
        <v>3026.0299999999997</v>
      </c>
      <c r="F9387" s="703"/>
      <c r="G9387" s="15"/>
      <c r="H9387" s="21"/>
      <c r="I9387" s="15"/>
      <c r="J9387" s="15"/>
      <c r="K9387" s="15"/>
      <c r="L9387" s="21"/>
      <c r="M9387" s="15"/>
    </row>
    <row r="9388" spans="1:13" s="166" customFormat="1" ht="12.75" customHeight="1">
      <c r="A9388" s="704" t="s">
        <v>1910</v>
      </c>
      <c r="B9388" s="699">
        <v>1</v>
      </c>
      <c r="C9388" s="700" t="s">
        <v>825</v>
      </c>
      <c r="D9388" s="701">
        <f t="shared" si="900"/>
        <v>600.29999999999995</v>
      </c>
      <c r="E9388" s="702"/>
      <c r="F9388" s="703"/>
      <c r="G9388" s="15"/>
      <c r="H9388" s="21"/>
      <c r="I9388" s="15"/>
      <c r="J9388" s="15"/>
      <c r="K9388" s="15"/>
      <c r="L9388" s="21"/>
      <c r="M9388" s="15"/>
    </row>
    <row r="9389" spans="1:13" s="166" customFormat="1" ht="12.75" customHeight="1">
      <c r="A9389" s="704" t="s">
        <v>208</v>
      </c>
      <c r="B9389" s="699">
        <f>SUM(E9382:E9385)</f>
        <v>28717.58</v>
      </c>
      <c r="C9389" s="700" t="s">
        <v>209</v>
      </c>
      <c r="D9389" s="701">
        <f t="shared" si="900"/>
        <v>0.02</v>
      </c>
      <c r="E9389" s="702">
        <f t="shared" si="902"/>
        <v>574.35160000000008</v>
      </c>
      <c r="F9389" s="703">
        <f>SUM(E9382:E9389)</f>
        <v>32547.721600000001</v>
      </c>
      <c r="G9389" s="15"/>
      <c r="H9389" s="21"/>
      <c r="I9389" s="15"/>
      <c r="J9389" s="15"/>
      <c r="K9389" s="15"/>
      <c r="L9389" s="21"/>
      <c r="M9389" s="15"/>
    </row>
    <row r="9390" spans="1:13" s="166" customFormat="1" ht="12.75" customHeight="1">
      <c r="A9390" s="12"/>
      <c r="B9390" s="434"/>
      <c r="C9390" s="24"/>
      <c r="D9390" s="41"/>
      <c r="E9390" s="31"/>
      <c r="F9390" s="32"/>
      <c r="G9390" s="15"/>
      <c r="H9390" s="21"/>
      <c r="I9390" s="15"/>
      <c r="J9390" s="15"/>
      <c r="K9390" s="15"/>
      <c r="L9390" s="21"/>
      <c r="M9390" s="15"/>
    </row>
    <row r="9391" spans="1:13" s="166" customFormat="1" ht="12.75" customHeight="1">
      <c r="A9391" s="698" t="s">
        <v>4414</v>
      </c>
      <c r="B9391" s="699"/>
      <c r="C9391" s="700"/>
      <c r="D9391" s="701"/>
      <c r="E9391" s="702"/>
      <c r="F9391" s="703"/>
      <c r="G9391" s="15"/>
      <c r="H9391" s="21"/>
      <c r="I9391" s="15"/>
      <c r="J9391" s="15"/>
      <c r="K9391" s="15"/>
      <c r="L9391" s="21"/>
      <c r="M9391" s="15"/>
    </row>
    <row r="9392" spans="1:13" s="166" customFormat="1" ht="12.75" customHeight="1">
      <c r="A9392" s="704" t="s">
        <v>4381</v>
      </c>
      <c r="B9392" s="699">
        <v>1.05</v>
      </c>
      <c r="C9392" s="700" t="s">
        <v>825</v>
      </c>
      <c r="D9392" s="701">
        <f>D9382</f>
        <v>6850</v>
      </c>
      <c r="E9392" s="702">
        <f t="shared" ref="E9392:E9397" si="903">B9392*D9392</f>
        <v>7192.5</v>
      </c>
      <c r="F9392" s="703"/>
      <c r="G9392" s="15"/>
      <c r="H9392" s="21"/>
      <c r="I9392" s="15"/>
      <c r="J9392" s="15"/>
      <c r="K9392" s="15"/>
      <c r="L9392" s="21"/>
      <c r="M9392" s="15"/>
    </row>
    <row r="9393" spans="1:13" s="166" customFormat="1" ht="12.75" customHeight="1">
      <c r="A9393" s="704" t="s">
        <v>1683</v>
      </c>
      <c r="B9393" s="699">
        <v>5.59</v>
      </c>
      <c r="C9393" s="700" t="s">
        <v>4</v>
      </c>
      <c r="D9393" s="701">
        <f t="shared" ref="D9393:D9399" si="904">D9383</f>
        <v>3200</v>
      </c>
      <c r="E9393" s="702">
        <f t="shared" si="903"/>
        <v>17888</v>
      </c>
      <c r="F9393" s="703"/>
      <c r="G9393" s="15"/>
      <c r="H9393" s="21"/>
      <c r="I9393" s="15"/>
      <c r="J9393" s="15"/>
      <c r="K9393" s="15"/>
      <c r="L9393" s="21"/>
      <c r="M9393" s="15"/>
    </row>
    <row r="9394" spans="1:13" s="166" customFormat="1" ht="12.75" customHeight="1">
      <c r="A9394" s="704" t="s">
        <v>1198</v>
      </c>
      <c r="B9394" s="699">
        <f>B9397*2</f>
        <v>11.18</v>
      </c>
      <c r="C9394" s="700" t="s">
        <v>1204</v>
      </c>
      <c r="D9394" s="701">
        <f t="shared" si="904"/>
        <v>60</v>
      </c>
      <c r="E9394" s="702">
        <f t="shared" si="903"/>
        <v>670.8</v>
      </c>
      <c r="F9394" s="703"/>
      <c r="G9394" s="15"/>
      <c r="H9394" s="21"/>
      <c r="I9394" s="15"/>
      <c r="J9394" s="15"/>
      <c r="K9394" s="15"/>
      <c r="L9394" s="21"/>
      <c r="M9394" s="15"/>
    </row>
    <row r="9395" spans="1:13" s="166" customFormat="1" ht="12.75" customHeight="1">
      <c r="A9395" s="704" t="s">
        <v>4382</v>
      </c>
      <c r="B9395" s="699">
        <v>4</v>
      </c>
      <c r="C9395" s="700" t="s">
        <v>1171</v>
      </c>
      <c r="D9395" s="701">
        <f t="shared" si="904"/>
        <v>218.67</v>
      </c>
      <c r="E9395" s="702">
        <f t="shared" si="903"/>
        <v>874.68</v>
      </c>
      <c r="F9395" s="703"/>
      <c r="G9395" s="15"/>
      <c r="H9395" s="21"/>
      <c r="I9395" s="15"/>
      <c r="J9395" s="15"/>
      <c r="K9395" s="15"/>
      <c r="L9395" s="21"/>
      <c r="M9395" s="15"/>
    </row>
    <row r="9396" spans="1:13" s="166" customFormat="1" ht="12.75" customHeight="1">
      <c r="A9396" s="704" t="s">
        <v>4383</v>
      </c>
      <c r="B9396" s="699">
        <f>(0.5+0.5)*2*B9395</f>
        <v>8</v>
      </c>
      <c r="C9396" s="700" t="s">
        <v>1333</v>
      </c>
      <c r="D9396" s="701">
        <f t="shared" si="904"/>
        <v>28.72</v>
      </c>
      <c r="E9396" s="702">
        <f t="shared" si="903"/>
        <v>229.76</v>
      </c>
      <c r="F9396" s="703"/>
      <c r="G9396" s="15"/>
      <c r="H9396" s="21"/>
      <c r="I9396" s="15"/>
      <c r="J9396" s="15"/>
      <c r="K9396" s="15"/>
      <c r="L9396" s="21"/>
      <c r="M9396" s="15"/>
    </row>
    <row r="9397" spans="1:13" s="166" customFormat="1" ht="12.75" customHeight="1">
      <c r="A9397" s="704" t="s">
        <v>1037</v>
      </c>
      <c r="B9397" s="699">
        <f>SUM(B9393:B9393)</f>
        <v>5.59</v>
      </c>
      <c r="C9397" s="700" t="s">
        <v>4</v>
      </c>
      <c r="D9397" s="701">
        <f t="shared" si="904"/>
        <v>486.5</v>
      </c>
      <c r="E9397" s="702">
        <f t="shared" si="903"/>
        <v>2719.5349999999999</v>
      </c>
      <c r="F9397" s="703"/>
      <c r="G9397" s="15"/>
      <c r="H9397" s="21"/>
      <c r="I9397" s="15"/>
      <c r="J9397" s="15"/>
      <c r="K9397" s="15"/>
      <c r="L9397" s="21"/>
      <c r="M9397" s="15"/>
    </row>
    <row r="9398" spans="1:13" s="166" customFormat="1" ht="12.75" customHeight="1">
      <c r="A9398" s="704" t="s">
        <v>1910</v>
      </c>
      <c r="B9398" s="699">
        <v>1</v>
      </c>
      <c r="C9398" s="700" t="s">
        <v>825</v>
      </c>
      <c r="D9398" s="701">
        <f t="shared" si="904"/>
        <v>600.29999999999995</v>
      </c>
      <c r="E9398" s="702"/>
      <c r="F9398" s="703"/>
      <c r="G9398" s="15"/>
      <c r="H9398" s="21"/>
      <c r="I9398" s="15"/>
      <c r="J9398" s="15"/>
      <c r="K9398" s="15"/>
      <c r="L9398" s="21"/>
      <c r="M9398" s="15"/>
    </row>
    <row r="9399" spans="1:13" s="166" customFormat="1" ht="12.75" customHeight="1">
      <c r="A9399" s="704" t="s">
        <v>208</v>
      </c>
      <c r="B9399" s="699">
        <f>SUM(E9392:E9395)</f>
        <v>26625.98</v>
      </c>
      <c r="C9399" s="700" t="s">
        <v>209</v>
      </c>
      <c r="D9399" s="701">
        <f t="shared" si="904"/>
        <v>0.02</v>
      </c>
      <c r="E9399" s="702">
        <f t="shared" ref="E9399" si="905">B9399*D9399</f>
        <v>532.51959999999997</v>
      </c>
      <c r="F9399" s="703">
        <f>SUM(E9392:E9399)</f>
        <v>30107.794599999997</v>
      </c>
      <c r="G9399" s="15"/>
      <c r="H9399" s="21"/>
      <c r="I9399" s="15"/>
      <c r="J9399" s="15"/>
      <c r="K9399" s="15"/>
      <c r="L9399" s="21"/>
      <c r="M9399" s="15"/>
    </row>
    <row r="9400" spans="1:13" s="166" customFormat="1" ht="12.75" customHeight="1">
      <c r="A9400" s="12"/>
      <c r="B9400" s="434"/>
      <c r="C9400" s="24"/>
      <c r="D9400" s="41"/>
      <c r="E9400" s="31"/>
      <c r="F9400" s="32"/>
      <c r="G9400" s="15"/>
      <c r="H9400" s="21"/>
      <c r="I9400" s="15"/>
      <c r="J9400" s="15"/>
      <c r="K9400" s="15"/>
      <c r="L9400" s="21"/>
      <c r="M9400" s="15"/>
    </row>
    <row r="9401" spans="1:13" s="166" customFormat="1" ht="12.75" customHeight="1">
      <c r="A9401" s="698" t="s">
        <v>4404</v>
      </c>
      <c r="B9401" s="699"/>
      <c r="C9401" s="700"/>
      <c r="D9401" s="701"/>
      <c r="E9401" s="702"/>
      <c r="F9401" s="703"/>
      <c r="G9401" s="15"/>
      <c r="H9401" s="21"/>
      <c r="I9401" s="15"/>
      <c r="J9401" s="15"/>
      <c r="K9401" s="15"/>
      <c r="L9401" s="21"/>
      <c r="M9401" s="15"/>
    </row>
    <row r="9402" spans="1:13" s="166" customFormat="1" ht="12.75" customHeight="1">
      <c r="A9402" s="704" t="s">
        <v>4381</v>
      </c>
      <c r="B9402" s="699">
        <v>1.05</v>
      </c>
      <c r="C9402" s="700" t="s">
        <v>825</v>
      </c>
      <c r="D9402" s="701">
        <f t="shared" ref="D9402:D9409" si="906">D9382</f>
        <v>6850</v>
      </c>
      <c r="E9402" s="702">
        <f t="shared" ref="E9402:E9407" si="907">B9402*D9402</f>
        <v>7192.5</v>
      </c>
      <c r="F9402" s="703"/>
      <c r="G9402" s="15"/>
      <c r="H9402" s="21"/>
      <c r="I9402" s="15"/>
      <c r="J9402" s="15"/>
      <c r="K9402" s="15"/>
      <c r="L9402" s="21"/>
      <c r="M9402" s="15"/>
    </row>
    <row r="9403" spans="1:13" s="166" customFormat="1" ht="12.75" customHeight="1">
      <c r="A9403" s="704" t="s">
        <v>1683</v>
      </c>
      <c r="B9403" s="699">
        <v>7.04</v>
      </c>
      <c r="C9403" s="700" t="s">
        <v>4</v>
      </c>
      <c r="D9403" s="701">
        <f t="shared" si="906"/>
        <v>3200</v>
      </c>
      <c r="E9403" s="702">
        <f t="shared" si="907"/>
        <v>22528</v>
      </c>
      <c r="F9403" s="703"/>
      <c r="G9403" s="15"/>
      <c r="H9403" s="21"/>
      <c r="I9403" s="15"/>
      <c r="J9403" s="15"/>
      <c r="K9403" s="15"/>
      <c r="L9403" s="21"/>
      <c r="M9403" s="15"/>
    </row>
    <row r="9404" spans="1:13" s="166" customFormat="1" ht="12.75" customHeight="1">
      <c r="A9404" s="704" t="s">
        <v>1198</v>
      </c>
      <c r="B9404" s="699">
        <f>B9407*2</f>
        <v>14.08</v>
      </c>
      <c r="C9404" s="700" t="s">
        <v>1204</v>
      </c>
      <c r="D9404" s="701">
        <f t="shared" si="906"/>
        <v>60</v>
      </c>
      <c r="E9404" s="702">
        <f t="shared" si="907"/>
        <v>844.8</v>
      </c>
      <c r="F9404" s="703"/>
      <c r="G9404" s="15"/>
      <c r="H9404" s="21"/>
      <c r="I9404" s="15"/>
      <c r="J9404" s="15"/>
      <c r="K9404" s="15"/>
      <c r="L9404" s="21"/>
      <c r="M9404" s="15"/>
    </row>
    <row r="9405" spans="1:13" s="166" customFormat="1" ht="12.75" customHeight="1">
      <c r="A9405" s="704" t="s">
        <v>4382</v>
      </c>
      <c r="B9405" s="699">
        <v>4</v>
      </c>
      <c r="C9405" s="700" t="s">
        <v>1171</v>
      </c>
      <c r="D9405" s="701">
        <f t="shared" si="906"/>
        <v>218.67</v>
      </c>
      <c r="E9405" s="702">
        <f t="shared" si="907"/>
        <v>874.68</v>
      </c>
      <c r="F9405" s="703"/>
      <c r="G9405" s="15"/>
      <c r="H9405" s="21"/>
      <c r="I9405" s="15"/>
      <c r="J9405" s="15"/>
      <c r="K9405" s="15"/>
      <c r="L9405" s="21"/>
      <c r="M9405" s="15"/>
    </row>
    <row r="9406" spans="1:13" s="166" customFormat="1" ht="12.75" customHeight="1">
      <c r="A9406" s="704" t="s">
        <v>4383</v>
      </c>
      <c r="B9406" s="699">
        <f>(0.5+0.5)*2*B9405</f>
        <v>8</v>
      </c>
      <c r="C9406" s="700" t="s">
        <v>1333</v>
      </c>
      <c r="D9406" s="701">
        <f t="shared" si="906"/>
        <v>28.72</v>
      </c>
      <c r="E9406" s="702">
        <f t="shared" si="907"/>
        <v>229.76</v>
      </c>
      <c r="F9406" s="703"/>
      <c r="G9406" s="15"/>
      <c r="H9406" s="21"/>
      <c r="I9406" s="15"/>
      <c r="J9406" s="15"/>
      <c r="K9406" s="15"/>
      <c r="L9406" s="21"/>
      <c r="M9406" s="15"/>
    </row>
    <row r="9407" spans="1:13" s="166" customFormat="1" ht="12.75" customHeight="1">
      <c r="A9407" s="704" t="s">
        <v>1037</v>
      </c>
      <c r="B9407" s="699">
        <f>SUM(B9403:B9403)</f>
        <v>7.04</v>
      </c>
      <c r="C9407" s="700" t="s">
        <v>4</v>
      </c>
      <c r="D9407" s="701">
        <f t="shared" si="906"/>
        <v>486.5</v>
      </c>
      <c r="E9407" s="702">
        <f t="shared" si="907"/>
        <v>3424.96</v>
      </c>
      <c r="F9407" s="703"/>
      <c r="G9407" s="15"/>
      <c r="H9407" s="21"/>
      <c r="I9407" s="15"/>
      <c r="J9407" s="15"/>
      <c r="K9407" s="15"/>
      <c r="L9407" s="21"/>
      <c r="M9407" s="15"/>
    </row>
    <row r="9408" spans="1:13" s="166" customFormat="1" ht="12.75" customHeight="1">
      <c r="A9408" s="704" t="s">
        <v>1910</v>
      </c>
      <c r="B9408" s="699">
        <v>1</v>
      </c>
      <c r="C9408" s="700" t="s">
        <v>825</v>
      </c>
      <c r="D9408" s="701">
        <f t="shared" si="906"/>
        <v>600.29999999999995</v>
      </c>
      <c r="E9408" s="702"/>
      <c r="F9408" s="703"/>
      <c r="G9408" s="15"/>
      <c r="H9408" s="21"/>
      <c r="I9408" s="15"/>
      <c r="J9408" s="15"/>
      <c r="K9408" s="15"/>
      <c r="L9408" s="21"/>
      <c r="M9408" s="15"/>
    </row>
    <row r="9409" spans="1:13" s="166" customFormat="1" ht="12.75" customHeight="1">
      <c r="A9409" s="704" t="s">
        <v>208</v>
      </c>
      <c r="B9409" s="699">
        <f>SUM(E9402:E9405)</f>
        <v>31439.98</v>
      </c>
      <c r="C9409" s="700" t="s">
        <v>209</v>
      </c>
      <c r="D9409" s="701">
        <f t="shared" si="906"/>
        <v>0.02</v>
      </c>
      <c r="E9409" s="702">
        <f t="shared" ref="E9409" si="908">B9409*D9409</f>
        <v>628.79960000000005</v>
      </c>
      <c r="F9409" s="703">
        <f>SUM(E9402:E9409)</f>
        <v>35723.499599999996</v>
      </c>
      <c r="G9409" s="15"/>
      <c r="H9409" s="21"/>
      <c r="I9409" s="15"/>
      <c r="J9409" s="15"/>
      <c r="K9409" s="15"/>
      <c r="L9409" s="21"/>
      <c r="M9409" s="15"/>
    </row>
    <row r="9410" spans="1:13" s="166" customFormat="1" ht="12.75" customHeight="1">
      <c r="A9410" s="12"/>
      <c r="B9410" s="434"/>
      <c r="C9410" s="24"/>
      <c r="D9410" s="41"/>
      <c r="E9410" s="31"/>
      <c r="F9410" s="32"/>
      <c r="G9410" s="15"/>
      <c r="H9410" s="21"/>
      <c r="I9410" s="15"/>
      <c r="J9410" s="15"/>
      <c r="K9410" s="15"/>
      <c r="L9410" s="21"/>
      <c r="M9410" s="15"/>
    </row>
    <row r="9411" spans="1:13" s="166" customFormat="1" ht="12.75" customHeight="1">
      <c r="A9411" s="545" t="s">
        <v>4205</v>
      </c>
      <c r="B9411" s="564"/>
      <c r="C9411" s="547"/>
      <c r="D9411" s="563"/>
      <c r="E9411" s="552"/>
      <c r="F9411" s="553"/>
      <c r="G9411" s="15"/>
      <c r="H9411" s="21"/>
      <c r="I9411" s="15"/>
      <c r="J9411" s="15"/>
      <c r="K9411" s="15"/>
      <c r="L9411" s="21"/>
      <c r="M9411" s="15"/>
    </row>
    <row r="9412" spans="1:13" s="166" customFormat="1" ht="12.75" customHeight="1">
      <c r="A9412" s="551" t="s">
        <v>1909</v>
      </c>
      <c r="B9412" s="564">
        <v>1.05</v>
      </c>
      <c r="C9412" s="547" t="s">
        <v>825</v>
      </c>
      <c r="D9412" s="563">
        <f>D9362</f>
        <v>6850</v>
      </c>
      <c r="E9412" s="552">
        <f t="shared" ref="E9412:E9418" si="909">B9412*D9412</f>
        <v>7192.5</v>
      </c>
      <c r="F9412" s="553"/>
      <c r="G9412" s="15"/>
      <c r="H9412" s="21"/>
      <c r="I9412" s="15"/>
      <c r="J9412" s="15"/>
      <c r="K9412" s="15"/>
      <c r="L9412" s="21"/>
      <c r="M9412" s="15"/>
    </row>
    <row r="9413" spans="1:13" s="166" customFormat="1" ht="12.75" customHeight="1">
      <c r="A9413" s="551" t="s">
        <v>1683</v>
      </c>
      <c r="B9413" s="564">
        <v>3.99</v>
      </c>
      <c r="C9413" s="547" t="s">
        <v>4</v>
      </c>
      <c r="D9413" s="563">
        <f>D9363</f>
        <v>3200</v>
      </c>
      <c r="E9413" s="552">
        <f t="shared" si="909"/>
        <v>12768</v>
      </c>
      <c r="F9413" s="553"/>
      <c r="G9413" s="15"/>
      <c r="H9413" s="21"/>
      <c r="I9413" s="15"/>
      <c r="J9413" s="15"/>
      <c r="K9413" s="15"/>
      <c r="L9413" s="21"/>
      <c r="M9413" s="15"/>
    </row>
    <row r="9414" spans="1:13" s="166" customFormat="1" ht="12.75" customHeight="1">
      <c r="A9414" s="551" t="s">
        <v>1198</v>
      </c>
      <c r="B9414" s="564">
        <f>B9416*2</f>
        <v>7.98</v>
      </c>
      <c r="C9414" s="547" t="s">
        <v>1204</v>
      </c>
      <c r="D9414" s="563">
        <f>D9364</f>
        <v>60</v>
      </c>
      <c r="E9414" s="552">
        <f t="shared" si="909"/>
        <v>478.8</v>
      </c>
      <c r="F9414" s="553"/>
      <c r="G9414" s="15"/>
      <c r="H9414" s="21"/>
      <c r="I9414" s="15"/>
      <c r="J9414" s="15"/>
      <c r="K9414" s="15"/>
      <c r="L9414" s="21"/>
      <c r="M9414" s="15"/>
    </row>
    <row r="9415" spans="1:13" s="166" customFormat="1" ht="12.75" customHeight="1">
      <c r="A9415" s="551" t="s">
        <v>1694</v>
      </c>
      <c r="B9415" s="564">
        <v>16.670000000000002</v>
      </c>
      <c r="C9415" s="547" t="s">
        <v>1171</v>
      </c>
      <c r="D9415" s="563">
        <f>D9365</f>
        <v>218.67</v>
      </c>
      <c r="E9415" s="552">
        <f t="shared" si="909"/>
        <v>3645.2289000000001</v>
      </c>
      <c r="F9415" s="553"/>
      <c r="G9415" s="15"/>
      <c r="H9415" s="21"/>
      <c r="I9415" s="15"/>
      <c r="J9415" s="15"/>
      <c r="K9415" s="15"/>
      <c r="L9415" s="21"/>
      <c r="M9415" s="15"/>
    </row>
    <row r="9416" spans="1:13" s="166" customFormat="1" ht="12.75" customHeight="1">
      <c r="A9416" s="551" t="s">
        <v>1037</v>
      </c>
      <c r="B9416" s="564">
        <f>SUM(B9413:B9413)</f>
        <v>3.99</v>
      </c>
      <c r="C9416" s="547" t="s">
        <v>4</v>
      </c>
      <c r="D9416" s="563">
        <f>D9367</f>
        <v>486.5</v>
      </c>
      <c r="E9416" s="552">
        <f t="shared" si="909"/>
        <v>1941.135</v>
      </c>
      <c r="F9416" s="553"/>
      <c r="G9416" s="15"/>
      <c r="H9416" s="21"/>
      <c r="I9416" s="15"/>
      <c r="J9416" s="15"/>
      <c r="K9416" s="15"/>
      <c r="L9416" s="21"/>
      <c r="M9416" s="15"/>
    </row>
    <row r="9417" spans="1:13" s="166" customFormat="1" ht="12.75" customHeight="1">
      <c r="A9417" s="551" t="s">
        <v>1910</v>
      </c>
      <c r="B9417" s="564">
        <v>1</v>
      </c>
      <c r="C9417" s="547" t="s">
        <v>825</v>
      </c>
      <c r="D9417" s="563">
        <f>D9368</f>
        <v>600.29999999999995</v>
      </c>
      <c r="E9417" s="552">
        <f t="shared" si="909"/>
        <v>600.29999999999995</v>
      </c>
      <c r="F9417" s="553"/>
      <c r="G9417" s="15"/>
      <c r="H9417" s="21"/>
      <c r="I9417" s="15"/>
      <c r="J9417" s="15"/>
      <c r="K9417" s="15"/>
      <c r="L9417" s="21"/>
      <c r="M9417" s="15"/>
    </row>
    <row r="9418" spans="1:13" s="166" customFormat="1" ht="12.75" customHeight="1">
      <c r="A9418" s="551" t="s">
        <v>208</v>
      </c>
      <c r="B9418" s="564">
        <f>SUM(E9412:E9415)</f>
        <v>24084.528899999998</v>
      </c>
      <c r="C9418" s="547" t="s">
        <v>209</v>
      </c>
      <c r="D9418" s="563">
        <f>D9369</f>
        <v>0.02</v>
      </c>
      <c r="E9418" s="552">
        <f t="shared" si="909"/>
        <v>481.69057799999996</v>
      </c>
      <c r="F9418" s="553">
        <f>SUM(E9412:E9418)</f>
        <v>27107.654477999997</v>
      </c>
      <c r="G9418" s="15"/>
      <c r="H9418" s="21"/>
      <c r="I9418" s="15"/>
      <c r="J9418" s="15"/>
      <c r="K9418" s="15"/>
      <c r="L9418" s="21"/>
      <c r="M9418" s="15"/>
    </row>
    <row r="9419" spans="1:13" s="166" customFormat="1" ht="12.75" customHeight="1">
      <c r="A9419" s="12"/>
      <c r="B9419" s="434"/>
      <c r="C9419" s="24"/>
      <c r="D9419" s="41"/>
      <c r="E9419" s="31"/>
      <c r="F9419" s="32"/>
      <c r="G9419" s="15"/>
      <c r="H9419" s="21"/>
      <c r="I9419" s="15"/>
      <c r="J9419" s="15"/>
      <c r="K9419" s="15"/>
      <c r="L9419" s="21"/>
      <c r="M9419" s="15"/>
    </row>
    <row r="9420" spans="1:13" s="166" customFormat="1" ht="12.75" customHeight="1">
      <c r="A9420" s="513" t="s">
        <v>4190</v>
      </c>
      <c r="B9420" s="543"/>
      <c r="C9420" s="511"/>
      <c r="D9420" s="521"/>
      <c r="E9420" s="508"/>
      <c r="F9420" s="509"/>
      <c r="G9420" s="15"/>
      <c r="H9420" s="21"/>
      <c r="I9420" s="15"/>
      <c r="J9420" s="15"/>
      <c r="K9420" s="15"/>
      <c r="L9420" s="21"/>
      <c r="M9420" s="15"/>
    </row>
    <row r="9421" spans="1:13" s="166" customFormat="1" ht="12.75" customHeight="1">
      <c r="A9421" s="512" t="s">
        <v>1909</v>
      </c>
      <c r="B9421" s="543">
        <v>1.05</v>
      </c>
      <c r="C9421" s="511" t="s">
        <v>825</v>
      </c>
      <c r="D9421" s="521">
        <f>D9362</f>
        <v>6850</v>
      </c>
      <c r="E9421" s="508">
        <f t="shared" ref="E9421:E9427" si="910">B9421*D9421</f>
        <v>7192.5</v>
      </c>
      <c r="F9421" s="509"/>
      <c r="G9421" s="15"/>
      <c r="H9421" s="21"/>
      <c r="I9421" s="15"/>
      <c r="J9421" s="15"/>
      <c r="K9421" s="15"/>
      <c r="L9421" s="21"/>
      <c r="M9421" s="15"/>
    </row>
    <row r="9422" spans="1:13" s="166" customFormat="1" ht="12.75" customHeight="1">
      <c r="A9422" s="512" t="s">
        <v>1683</v>
      </c>
      <c r="B9422" s="543">
        <v>4.0199999999999996</v>
      </c>
      <c r="C9422" s="511" t="s">
        <v>4</v>
      </c>
      <c r="D9422" s="521">
        <f>D9363</f>
        <v>3200</v>
      </c>
      <c r="E9422" s="508">
        <f t="shared" si="910"/>
        <v>12863.999999999998</v>
      </c>
      <c r="F9422" s="509"/>
      <c r="G9422" s="15"/>
      <c r="H9422" s="21"/>
      <c r="I9422" s="15"/>
      <c r="J9422" s="15"/>
      <c r="K9422" s="15"/>
      <c r="L9422" s="21"/>
      <c r="M9422" s="15"/>
    </row>
    <row r="9423" spans="1:13" s="166" customFormat="1" ht="12.75" customHeight="1">
      <c r="A9423" s="512" t="s">
        <v>1198</v>
      </c>
      <c r="B9423" s="543">
        <f>B9425*2</f>
        <v>8.0399999999999991</v>
      </c>
      <c r="C9423" s="511" t="s">
        <v>1204</v>
      </c>
      <c r="D9423" s="521">
        <f>D9364</f>
        <v>60</v>
      </c>
      <c r="E9423" s="508">
        <f t="shared" si="910"/>
        <v>482.4</v>
      </c>
      <c r="F9423" s="509"/>
      <c r="G9423" s="15"/>
      <c r="H9423" s="21"/>
      <c r="I9423" s="15"/>
      <c r="J9423" s="15"/>
      <c r="K9423" s="15"/>
      <c r="L9423" s="21"/>
      <c r="M9423" s="15"/>
    </row>
    <row r="9424" spans="1:13" s="166" customFormat="1" ht="12.75" customHeight="1">
      <c r="A9424" s="512" t="s">
        <v>4193</v>
      </c>
      <c r="B9424" s="543">
        <v>2.56</v>
      </c>
      <c r="C9424" s="511" t="s">
        <v>1171</v>
      </c>
      <c r="D9424" s="521">
        <f>D9354*1.05</f>
        <v>173.94300000000001</v>
      </c>
      <c r="E9424" s="508">
        <f t="shared" si="910"/>
        <v>445.29408000000006</v>
      </c>
      <c r="F9424" s="509"/>
      <c r="G9424" s="15"/>
      <c r="H9424" s="21"/>
      <c r="I9424" s="15"/>
      <c r="J9424" s="15"/>
      <c r="K9424" s="15"/>
      <c r="L9424" s="21"/>
      <c r="M9424" s="15"/>
    </row>
    <row r="9425" spans="1:13" s="166" customFormat="1" ht="12.75" customHeight="1">
      <c r="A9425" s="512" t="s">
        <v>1037</v>
      </c>
      <c r="B9425" s="543">
        <f>SUM(B9422:B9422)</f>
        <v>4.0199999999999996</v>
      </c>
      <c r="C9425" s="511" t="s">
        <v>4</v>
      </c>
      <c r="D9425" s="521">
        <f>Prec.!C351</f>
        <v>535.15000000000009</v>
      </c>
      <c r="E9425" s="508">
        <f t="shared" si="910"/>
        <v>2151.3030000000003</v>
      </c>
      <c r="F9425" s="509"/>
      <c r="G9425" s="15"/>
      <c r="H9425" s="21"/>
      <c r="I9425" s="15"/>
      <c r="J9425" s="15"/>
      <c r="K9425" s="15"/>
      <c r="L9425" s="21"/>
      <c r="M9425" s="15"/>
    </row>
    <row r="9426" spans="1:13" s="166" customFormat="1" ht="12.75" customHeight="1">
      <c r="A9426" s="512" t="s">
        <v>1910</v>
      </c>
      <c r="B9426" s="543">
        <v>1</v>
      </c>
      <c r="C9426" s="511" t="s">
        <v>825</v>
      </c>
      <c r="D9426" s="521">
        <f>D9368</f>
        <v>600.29999999999995</v>
      </c>
      <c r="E9426" s="508">
        <f t="shared" si="910"/>
        <v>600.29999999999995</v>
      </c>
      <c r="F9426" s="509"/>
      <c r="G9426" s="15"/>
      <c r="H9426" s="21"/>
      <c r="I9426" s="15"/>
      <c r="J9426" s="15"/>
      <c r="K9426" s="15"/>
      <c r="L9426" s="21"/>
      <c r="M9426" s="15"/>
    </row>
    <row r="9427" spans="1:13" s="166" customFormat="1" ht="12.75" customHeight="1">
      <c r="A9427" s="512" t="s">
        <v>208</v>
      </c>
      <c r="B9427" s="543">
        <f>SUM(E9421:E9424)</f>
        <v>20984.194080000001</v>
      </c>
      <c r="C9427" s="511" t="s">
        <v>209</v>
      </c>
      <c r="D9427" s="521">
        <f>D9369</f>
        <v>0.02</v>
      </c>
      <c r="E9427" s="508">
        <f t="shared" si="910"/>
        <v>419.68388160000001</v>
      </c>
      <c r="F9427" s="509">
        <f>SUM(E9421:E9427)</f>
        <v>24155.480961600002</v>
      </c>
      <c r="G9427" s="15"/>
      <c r="H9427" s="21"/>
      <c r="I9427" s="15"/>
      <c r="J9427" s="15"/>
      <c r="K9427" s="15"/>
      <c r="L9427" s="21"/>
      <c r="M9427" s="15"/>
    </row>
    <row r="9428" spans="1:13" s="166" customFormat="1" ht="12.75" customHeight="1">
      <c r="A9428" s="12"/>
      <c r="B9428" s="434"/>
      <c r="C9428" s="24"/>
      <c r="D9428" s="41"/>
      <c r="E9428" s="31"/>
      <c r="F9428" s="32"/>
      <c r="G9428" s="15"/>
      <c r="H9428" s="21"/>
      <c r="I9428" s="15"/>
      <c r="J9428" s="15"/>
      <c r="K9428" s="15"/>
      <c r="L9428" s="21"/>
      <c r="M9428" s="15"/>
    </row>
    <row r="9429" spans="1:13" s="166" customFormat="1" ht="12.75" customHeight="1">
      <c r="A9429" s="513" t="s">
        <v>4191</v>
      </c>
      <c r="B9429" s="543"/>
      <c r="C9429" s="511"/>
      <c r="D9429" s="521"/>
      <c r="E9429" s="508"/>
      <c r="F9429" s="509"/>
      <c r="G9429" s="15"/>
      <c r="H9429" s="21"/>
      <c r="I9429" s="15"/>
      <c r="J9429" s="15"/>
      <c r="K9429" s="15"/>
      <c r="L9429" s="21"/>
      <c r="M9429" s="15"/>
    </row>
    <row r="9430" spans="1:13" s="166" customFormat="1" ht="12.75" customHeight="1">
      <c r="A9430" s="512" t="s">
        <v>1909</v>
      </c>
      <c r="B9430" s="543">
        <v>1.05</v>
      </c>
      <c r="C9430" s="511" t="s">
        <v>825</v>
      </c>
      <c r="D9430" s="521">
        <f>D9421</f>
        <v>6850</v>
      </c>
      <c r="E9430" s="508">
        <f t="shared" ref="E9430:E9436" si="911">B9430*D9430</f>
        <v>7192.5</v>
      </c>
      <c r="F9430" s="509"/>
      <c r="G9430" s="15"/>
      <c r="H9430" s="21"/>
      <c r="I9430" s="15"/>
      <c r="J9430" s="15"/>
      <c r="K9430" s="15"/>
      <c r="L9430" s="21"/>
      <c r="M9430" s="15"/>
    </row>
    <row r="9431" spans="1:13" s="166" customFormat="1" ht="12.75" customHeight="1">
      <c r="A9431" s="512" t="s">
        <v>1683</v>
      </c>
      <c r="B9431" s="543">
        <v>10.28</v>
      </c>
      <c r="C9431" s="511" t="s">
        <v>4</v>
      </c>
      <c r="D9431" s="521">
        <f t="shared" ref="D9431:D9436" si="912">D9422</f>
        <v>3200</v>
      </c>
      <c r="E9431" s="508">
        <f t="shared" si="911"/>
        <v>32896</v>
      </c>
      <c r="F9431" s="509"/>
      <c r="G9431" s="15"/>
      <c r="H9431" s="21"/>
      <c r="I9431" s="15"/>
      <c r="J9431" s="15"/>
      <c r="K9431" s="15"/>
      <c r="L9431" s="21"/>
      <c r="M9431" s="15"/>
    </row>
    <row r="9432" spans="1:13" s="166" customFormat="1" ht="12.75" customHeight="1">
      <c r="A9432" s="512" t="s">
        <v>1198</v>
      </c>
      <c r="B9432" s="543">
        <f>B9434*2</f>
        <v>20.56</v>
      </c>
      <c r="C9432" s="511" t="s">
        <v>1204</v>
      </c>
      <c r="D9432" s="521">
        <f t="shared" si="912"/>
        <v>60</v>
      </c>
      <c r="E9432" s="508">
        <f t="shared" si="911"/>
        <v>1233.5999999999999</v>
      </c>
      <c r="F9432" s="509"/>
      <c r="G9432" s="15"/>
      <c r="H9432" s="21"/>
      <c r="I9432" s="15"/>
      <c r="J9432" s="15"/>
      <c r="K9432" s="15"/>
      <c r="L9432" s="21"/>
      <c r="M9432" s="15"/>
    </row>
    <row r="9433" spans="1:13" s="166" customFormat="1" ht="12.75" customHeight="1">
      <c r="A9433" s="512" t="s">
        <v>1689</v>
      </c>
      <c r="B9433" s="543">
        <v>22.22</v>
      </c>
      <c r="C9433" s="511" t="s">
        <v>1171</v>
      </c>
      <c r="D9433" s="521">
        <f t="shared" si="912"/>
        <v>173.94300000000001</v>
      </c>
      <c r="E9433" s="508">
        <f t="shared" si="911"/>
        <v>3865.0134600000001</v>
      </c>
      <c r="F9433" s="509"/>
      <c r="G9433" s="15"/>
      <c r="H9433" s="21"/>
      <c r="I9433" s="15"/>
      <c r="J9433" s="15"/>
      <c r="K9433" s="15"/>
      <c r="L9433" s="21"/>
      <c r="M9433" s="15"/>
    </row>
    <row r="9434" spans="1:13" s="166" customFormat="1" ht="12.75" customHeight="1">
      <c r="A9434" s="512" t="s">
        <v>1037</v>
      </c>
      <c r="B9434" s="543">
        <f>SUM(B9431:B9431)</f>
        <v>10.28</v>
      </c>
      <c r="C9434" s="511" t="s">
        <v>4</v>
      </c>
      <c r="D9434" s="521">
        <f t="shared" si="912"/>
        <v>535.15000000000009</v>
      </c>
      <c r="E9434" s="508">
        <f t="shared" si="911"/>
        <v>5501.3420000000006</v>
      </c>
      <c r="F9434" s="509"/>
      <c r="G9434" s="15"/>
      <c r="H9434" s="21"/>
      <c r="I9434" s="15"/>
      <c r="J9434" s="15"/>
      <c r="K9434" s="15"/>
      <c r="L9434" s="21"/>
      <c r="M9434" s="15"/>
    </row>
    <row r="9435" spans="1:13" s="166" customFormat="1" ht="12.75" customHeight="1">
      <c r="A9435" s="512" t="s">
        <v>1910</v>
      </c>
      <c r="B9435" s="543">
        <v>1</v>
      </c>
      <c r="C9435" s="511" t="s">
        <v>825</v>
      </c>
      <c r="D9435" s="521">
        <f t="shared" si="912"/>
        <v>600.29999999999995</v>
      </c>
      <c r="E9435" s="508">
        <f t="shared" si="911"/>
        <v>600.29999999999995</v>
      </c>
      <c r="F9435" s="509"/>
      <c r="G9435" s="15"/>
      <c r="H9435" s="21"/>
      <c r="I9435" s="15"/>
      <c r="J9435" s="15"/>
      <c r="K9435" s="15"/>
      <c r="L9435" s="21"/>
      <c r="M9435" s="15"/>
    </row>
    <row r="9436" spans="1:13" s="166" customFormat="1" ht="12.75" customHeight="1">
      <c r="A9436" s="512" t="s">
        <v>208</v>
      </c>
      <c r="B9436" s="543">
        <f>SUM(E9430:E9433)</f>
        <v>45187.11346</v>
      </c>
      <c r="C9436" s="511" t="s">
        <v>209</v>
      </c>
      <c r="D9436" s="521">
        <f t="shared" si="912"/>
        <v>0.02</v>
      </c>
      <c r="E9436" s="508">
        <f t="shared" si="911"/>
        <v>903.74226920000001</v>
      </c>
      <c r="F9436" s="509">
        <f>SUM(E9430:E9436)</f>
        <v>52192.497729199997</v>
      </c>
      <c r="G9436" s="15"/>
      <c r="H9436" s="21"/>
      <c r="I9436" s="15"/>
      <c r="J9436" s="15"/>
      <c r="K9436" s="15"/>
      <c r="L9436" s="21"/>
      <c r="M9436" s="15"/>
    </row>
    <row r="9437" spans="1:13" s="166" customFormat="1" ht="12.75" customHeight="1">
      <c r="A9437" s="12"/>
      <c r="B9437" s="434"/>
      <c r="C9437" s="24"/>
      <c r="D9437" s="41"/>
      <c r="E9437" s="31"/>
      <c r="F9437" s="32"/>
      <c r="G9437" s="15"/>
      <c r="H9437" s="21"/>
      <c r="I9437" s="15"/>
      <c r="J9437" s="15"/>
      <c r="K9437" s="15"/>
      <c r="L9437" s="21"/>
      <c r="M9437" s="15"/>
    </row>
    <row r="9438" spans="1:13" s="166" customFormat="1" ht="12.75" customHeight="1">
      <c r="A9438" s="513" t="s">
        <v>4192</v>
      </c>
      <c r="B9438" s="543"/>
      <c r="C9438" s="511"/>
      <c r="D9438" s="521"/>
      <c r="E9438" s="508"/>
      <c r="F9438" s="509"/>
      <c r="G9438" s="15"/>
      <c r="H9438" s="21"/>
      <c r="I9438" s="15"/>
      <c r="J9438" s="15"/>
      <c r="K9438" s="15"/>
      <c r="L9438" s="21"/>
      <c r="M9438" s="15"/>
    </row>
    <row r="9439" spans="1:13" s="166" customFormat="1" ht="12.75" customHeight="1">
      <c r="A9439" s="512" t="s">
        <v>1909</v>
      </c>
      <c r="B9439" s="543">
        <v>1.05</v>
      </c>
      <c r="C9439" s="511" t="s">
        <v>825</v>
      </c>
      <c r="D9439" s="521">
        <f>D9421</f>
        <v>6850</v>
      </c>
      <c r="E9439" s="508">
        <f t="shared" ref="E9439:E9445" si="913">B9439*D9439</f>
        <v>7192.5</v>
      </c>
      <c r="F9439" s="509"/>
      <c r="G9439" s="15"/>
      <c r="H9439" s="21"/>
      <c r="I9439" s="15"/>
      <c r="J9439" s="15"/>
      <c r="K9439" s="15"/>
      <c r="L9439" s="21"/>
      <c r="M9439" s="15"/>
    </row>
    <row r="9440" spans="1:13" s="166" customFormat="1" ht="12.75" customHeight="1">
      <c r="A9440" s="512" t="s">
        <v>1683</v>
      </c>
      <c r="B9440" s="543">
        <v>4.0199999999999996</v>
      </c>
      <c r="C9440" s="511" t="s">
        <v>4</v>
      </c>
      <c r="D9440" s="521">
        <f>D9422</f>
        <v>3200</v>
      </c>
      <c r="E9440" s="508">
        <f t="shared" si="913"/>
        <v>12863.999999999998</v>
      </c>
      <c r="F9440" s="509"/>
      <c r="G9440" s="15"/>
      <c r="H9440" s="21"/>
      <c r="I9440" s="15"/>
      <c r="J9440" s="15"/>
      <c r="K9440" s="15"/>
      <c r="L9440" s="21"/>
      <c r="M9440" s="15"/>
    </row>
    <row r="9441" spans="1:13" s="166" customFormat="1" ht="12.75" customHeight="1">
      <c r="A9441" s="512" t="s">
        <v>1198</v>
      </c>
      <c r="B9441" s="543">
        <f>B9443*2</f>
        <v>8.0399999999999991</v>
      </c>
      <c r="C9441" s="511" t="s">
        <v>1204</v>
      </c>
      <c r="D9441" s="521">
        <f>D9423</f>
        <v>60</v>
      </c>
      <c r="E9441" s="508">
        <f t="shared" si="913"/>
        <v>482.4</v>
      </c>
      <c r="F9441" s="509"/>
      <c r="G9441" s="15"/>
      <c r="H9441" s="21"/>
      <c r="I9441" s="15"/>
      <c r="J9441" s="15"/>
      <c r="K9441" s="15"/>
      <c r="L9441" s="21"/>
      <c r="M9441" s="15"/>
    </row>
    <row r="9442" spans="1:13" s="166" customFormat="1" ht="12.75" customHeight="1">
      <c r="A9442" s="512" t="s">
        <v>4193</v>
      </c>
      <c r="B9442" s="543">
        <v>2.56</v>
      </c>
      <c r="C9442" s="511" t="s">
        <v>1171</v>
      </c>
      <c r="D9442" s="521">
        <f>D9365*1.1</f>
        <v>240.53700000000001</v>
      </c>
      <c r="E9442" s="508">
        <f t="shared" si="913"/>
        <v>615.77472</v>
      </c>
      <c r="F9442" s="509"/>
      <c r="G9442" s="15"/>
      <c r="H9442" s="21"/>
      <c r="I9442" s="15"/>
      <c r="J9442" s="15"/>
      <c r="K9442" s="15"/>
      <c r="L9442" s="21"/>
      <c r="M9442" s="15"/>
    </row>
    <row r="9443" spans="1:13" s="166" customFormat="1" ht="12.75" customHeight="1">
      <c r="A9443" s="512" t="s">
        <v>1037</v>
      </c>
      <c r="B9443" s="543">
        <f>SUM(B9440:B9440)</f>
        <v>4.0199999999999996</v>
      </c>
      <c r="C9443" s="511" t="s">
        <v>4</v>
      </c>
      <c r="D9443" s="521">
        <f>Prec.!C352</f>
        <v>559.47499999999991</v>
      </c>
      <c r="E9443" s="508">
        <f t="shared" si="913"/>
        <v>2249.0894999999996</v>
      </c>
      <c r="F9443" s="509"/>
      <c r="G9443" s="15"/>
      <c r="H9443" s="21"/>
      <c r="I9443" s="15"/>
      <c r="J9443" s="15"/>
      <c r="K9443" s="15"/>
      <c r="L9443" s="21"/>
      <c r="M9443" s="15"/>
    </row>
    <row r="9444" spans="1:13" s="166" customFormat="1" ht="12.75" customHeight="1">
      <c r="A9444" s="512" t="s">
        <v>1910</v>
      </c>
      <c r="B9444" s="543">
        <v>1</v>
      </c>
      <c r="C9444" s="511" t="s">
        <v>825</v>
      </c>
      <c r="D9444" s="521">
        <f>D9426</f>
        <v>600.29999999999995</v>
      </c>
      <c r="E9444" s="508">
        <f t="shared" si="913"/>
        <v>600.29999999999995</v>
      </c>
      <c r="F9444" s="509"/>
      <c r="G9444" s="15"/>
      <c r="H9444" s="21"/>
      <c r="I9444" s="15"/>
      <c r="J9444" s="15"/>
      <c r="K9444" s="15"/>
      <c r="L9444" s="21"/>
      <c r="M9444" s="15"/>
    </row>
    <row r="9445" spans="1:13" s="166" customFormat="1" ht="12.75" customHeight="1">
      <c r="A9445" s="512" t="s">
        <v>208</v>
      </c>
      <c r="B9445" s="543">
        <f>SUM(E9439:E9442)</f>
        <v>21154.674720000003</v>
      </c>
      <c r="C9445" s="511" t="s">
        <v>209</v>
      </c>
      <c r="D9445" s="521">
        <f>D9427</f>
        <v>0.02</v>
      </c>
      <c r="E9445" s="508">
        <f t="shared" si="913"/>
        <v>423.09349440000005</v>
      </c>
      <c r="F9445" s="509">
        <f>SUM(E9439:E9445)</f>
        <v>24427.1577144</v>
      </c>
      <c r="G9445" s="15"/>
      <c r="H9445" s="21"/>
      <c r="I9445" s="15"/>
      <c r="J9445" s="15"/>
      <c r="K9445" s="15"/>
      <c r="L9445" s="21"/>
      <c r="M9445" s="15"/>
    </row>
    <row r="9446" spans="1:13" s="166" customFormat="1" ht="12.75" customHeight="1">
      <c r="A9446" s="12"/>
      <c r="B9446" s="434"/>
      <c r="C9446" s="24"/>
      <c r="D9446" s="41"/>
      <c r="E9446" s="31"/>
      <c r="F9446" s="32"/>
      <c r="G9446" s="15"/>
      <c r="H9446" s="21"/>
      <c r="I9446" s="15"/>
      <c r="J9446" s="15"/>
      <c r="K9446" s="15"/>
      <c r="L9446" s="21"/>
      <c r="M9446" s="15"/>
    </row>
    <row r="9447" spans="1:13" s="166" customFormat="1" ht="12.75" customHeight="1">
      <c r="A9447" s="13" t="s">
        <v>1944</v>
      </c>
      <c r="B9447" s="434"/>
      <c r="C9447" s="24"/>
      <c r="D9447" s="41"/>
      <c r="E9447" s="31"/>
      <c r="F9447" s="32"/>
      <c r="G9447" s="15"/>
      <c r="H9447" s="21"/>
      <c r="I9447" s="15"/>
      <c r="J9447" s="15"/>
      <c r="K9447" s="15"/>
      <c r="L9447" s="21"/>
      <c r="M9447" s="15"/>
    </row>
    <row r="9448" spans="1:13" s="166" customFormat="1" ht="12.75" customHeight="1">
      <c r="A9448" s="12" t="s">
        <v>1909</v>
      </c>
      <c r="B9448" s="434">
        <v>1.05</v>
      </c>
      <c r="C9448" s="24" t="s">
        <v>825</v>
      </c>
      <c r="D9448" s="41">
        <f>D9439</f>
        <v>6850</v>
      </c>
      <c r="E9448" s="31">
        <f t="shared" ref="E9448:E9454" si="914">B9448*D9448</f>
        <v>7192.5</v>
      </c>
      <c r="F9448" s="32"/>
      <c r="G9448" s="15"/>
      <c r="H9448" s="21"/>
      <c r="I9448" s="15"/>
      <c r="J9448" s="15"/>
      <c r="K9448" s="15"/>
      <c r="L9448" s="21"/>
      <c r="M9448" s="15"/>
    </row>
    <row r="9449" spans="1:13" s="166" customFormat="1" ht="12.75" customHeight="1">
      <c r="A9449" s="12" t="s">
        <v>1683</v>
      </c>
      <c r="B9449" s="434">
        <v>7.07</v>
      </c>
      <c r="C9449" s="24" t="s">
        <v>4</v>
      </c>
      <c r="D9449" s="41">
        <f t="shared" ref="D9449:D9454" si="915">D9440</f>
        <v>3200</v>
      </c>
      <c r="E9449" s="31">
        <f t="shared" si="914"/>
        <v>22624</v>
      </c>
      <c r="F9449" s="32"/>
      <c r="G9449" s="15"/>
      <c r="H9449" s="21"/>
      <c r="I9449" s="15"/>
      <c r="J9449" s="15"/>
      <c r="K9449" s="15"/>
      <c r="L9449" s="21"/>
      <c r="M9449" s="15"/>
    </row>
    <row r="9450" spans="1:13" s="166" customFormat="1" ht="12.75" customHeight="1">
      <c r="A9450" s="12" t="s">
        <v>1198</v>
      </c>
      <c r="B9450" s="434">
        <f>B9452*2</f>
        <v>14.14</v>
      </c>
      <c r="C9450" s="24" t="s">
        <v>1204</v>
      </c>
      <c r="D9450" s="41">
        <f t="shared" si="915"/>
        <v>60</v>
      </c>
      <c r="E9450" s="31">
        <f t="shared" si="914"/>
        <v>848.40000000000009</v>
      </c>
      <c r="F9450" s="32"/>
      <c r="G9450" s="15"/>
      <c r="H9450" s="21"/>
      <c r="I9450" s="15"/>
      <c r="J9450" s="15"/>
      <c r="K9450" s="15"/>
      <c r="L9450" s="21"/>
      <c r="M9450" s="15"/>
    </row>
    <row r="9451" spans="1:13" s="166" customFormat="1" ht="12.75" customHeight="1">
      <c r="A9451" s="12" t="s">
        <v>1912</v>
      </c>
      <c r="B9451" s="434">
        <v>2.08</v>
      </c>
      <c r="C9451" s="24" t="s">
        <v>1171</v>
      </c>
      <c r="D9451" s="41">
        <f>D9424*1.15</f>
        <v>200.03444999999999</v>
      </c>
      <c r="E9451" s="31">
        <f t="shared" si="914"/>
        <v>416.07165600000002</v>
      </c>
      <c r="F9451" s="32"/>
      <c r="G9451" s="15"/>
      <c r="H9451" s="21"/>
      <c r="I9451" s="15"/>
      <c r="J9451" s="15"/>
      <c r="K9451" s="15"/>
      <c r="L9451" s="21"/>
      <c r="M9451" s="15"/>
    </row>
    <row r="9452" spans="1:13" s="166" customFormat="1" ht="12.75" customHeight="1">
      <c r="A9452" s="12" t="s">
        <v>1037</v>
      </c>
      <c r="B9452" s="434">
        <f>SUM(B9449:B9449)</f>
        <v>7.07</v>
      </c>
      <c r="C9452" s="24" t="s">
        <v>4</v>
      </c>
      <c r="D9452" s="41">
        <f>Prec.!C353</f>
        <v>583.79999999999995</v>
      </c>
      <c r="E9452" s="31">
        <f t="shared" si="914"/>
        <v>4127.4659999999994</v>
      </c>
      <c r="F9452" s="32"/>
      <c r="G9452" s="15"/>
      <c r="H9452" s="21"/>
      <c r="I9452" s="15"/>
      <c r="J9452" s="15"/>
      <c r="K9452" s="15"/>
      <c r="L9452" s="21"/>
      <c r="M9452" s="15"/>
    </row>
    <row r="9453" spans="1:13" s="166" customFormat="1" ht="12.75" customHeight="1">
      <c r="A9453" s="12" t="s">
        <v>1910</v>
      </c>
      <c r="B9453" s="434">
        <v>1</v>
      </c>
      <c r="C9453" s="24" t="s">
        <v>825</v>
      </c>
      <c r="D9453" s="41">
        <f t="shared" si="915"/>
        <v>600.29999999999995</v>
      </c>
      <c r="E9453" s="31">
        <f t="shared" si="914"/>
        <v>600.29999999999995</v>
      </c>
      <c r="F9453" s="32"/>
      <c r="G9453" s="15"/>
      <c r="H9453" s="21"/>
      <c r="I9453" s="15"/>
      <c r="J9453" s="15"/>
      <c r="K9453" s="15"/>
      <c r="L9453" s="21"/>
      <c r="M9453" s="15"/>
    </row>
    <row r="9454" spans="1:13" s="166" customFormat="1" ht="12.75" customHeight="1">
      <c r="A9454" s="12" t="s">
        <v>208</v>
      </c>
      <c r="B9454" s="434">
        <f>SUM(E9448:E9451)</f>
        <v>31080.971656000002</v>
      </c>
      <c r="C9454" s="24" t="s">
        <v>209</v>
      </c>
      <c r="D9454" s="41">
        <f t="shared" si="915"/>
        <v>0.02</v>
      </c>
      <c r="E9454" s="31">
        <f t="shared" si="914"/>
        <v>621.61943312000005</v>
      </c>
      <c r="F9454" s="32">
        <f>SUM(E9448:E9454)</f>
        <v>36430.357089120007</v>
      </c>
      <c r="G9454" s="15"/>
      <c r="H9454" s="21"/>
      <c r="I9454" s="15"/>
      <c r="J9454" s="15"/>
      <c r="K9454" s="15"/>
      <c r="L9454" s="21"/>
      <c r="M9454" s="15"/>
    </row>
    <row r="9455" spans="1:13" s="166" customFormat="1" ht="12.75" customHeight="1">
      <c r="A9455" s="12"/>
      <c r="B9455" s="434"/>
      <c r="C9455" s="24"/>
      <c r="D9455" s="41"/>
      <c r="E9455" s="31"/>
      <c r="F9455" s="32"/>
      <c r="G9455" s="15"/>
      <c r="H9455" s="21"/>
      <c r="I9455" s="15"/>
      <c r="J9455" s="15"/>
      <c r="K9455" s="15"/>
      <c r="L9455" s="21"/>
      <c r="M9455" s="15"/>
    </row>
    <row r="9456" spans="1:13" s="166" customFormat="1" ht="12.75" customHeight="1">
      <c r="A9456" s="13" t="s">
        <v>1945</v>
      </c>
      <c r="B9456" s="434"/>
      <c r="C9456" s="24"/>
      <c r="D9456" s="41"/>
      <c r="E9456" s="31"/>
      <c r="F9456" s="32"/>
      <c r="G9456" s="15"/>
      <c r="H9456" s="21"/>
      <c r="I9456" s="15"/>
      <c r="J9456" s="15"/>
      <c r="K9456" s="15"/>
      <c r="L9456" s="21"/>
      <c r="M9456" s="15"/>
    </row>
    <row r="9457" spans="1:13" s="166" customFormat="1" ht="12.75" customHeight="1">
      <c r="A9457" s="12" t="s">
        <v>1909</v>
      </c>
      <c r="B9457" s="434">
        <v>1.05</v>
      </c>
      <c r="C9457" s="24" t="s">
        <v>825</v>
      </c>
      <c r="D9457" s="41">
        <f>D9448</f>
        <v>6850</v>
      </c>
      <c r="E9457" s="31">
        <f t="shared" ref="E9457:E9463" si="916">B9457*D9457</f>
        <v>7192.5</v>
      </c>
      <c r="F9457" s="32"/>
      <c r="G9457" s="15"/>
      <c r="H9457" s="21"/>
      <c r="I9457" s="15"/>
      <c r="J9457" s="15"/>
      <c r="K9457" s="15"/>
      <c r="L9457" s="21"/>
      <c r="M9457" s="15"/>
    </row>
    <row r="9458" spans="1:13" s="166" customFormat="1" ht="12.75" customHeight="1">
      <c r="A9458" s="12" t="s">
        <v>1683</v>
      </c>
      <c r="B9458" s="434">
        <v>7.07</v>
      </c>
      <c r="C9458" s="24" t="s">
        <v>4</v>
      </c>
      <c r="D9458" s="41">
        <f t="shared" ref="D9458:D9463" si="917">D9449</f>
        <v>3200</v>
      </c>
      <c r="E9458" s="31">
        <f t="shared" si="916"/>
        <v>22624</v>
      </c>
      <c r="F9458" s="32"/>
      <c r="G9458" s="15"/>
      <c r="H9458" s="21"/>
      <c r="I9458" s="15"/>
      <c r="J9458" s="15"/>
      <c r="K9458" s="15"/>
      <c r="L9458" s="21"/>
      <c r="M9458" s="15"/>
    </row>
    <row r="9459" spans="1:13" s="166" customFormat="1" ht="12.75" customHeight="1">
      <c r="A9459" s="12" t="s">
        <v>1198</v>
      </c>
      <c r="B9459" s="434">
        <f>B9461*2</f>
        <v>14.14</v>
      </c>
      <c r="C9459" s="24" t="s">
        <v>1204</v>
      </c>
      <c r="D9459" s="41">
        <f t="shared" si="917"/>
        <v>60</v>
      </c>
      <c r="E9459" s="31">
        <f t="shared" si="916"/>
        <v>848.40000000000009</v>
      </c>
      <c r="F9459" s="32"/>
      <c r="G9459" s="15"/>
      <c r="H9459" s="21"/>
      <c r="I9459" s="15"/>
      <c r="J9459" s="15"/>
      <c r="K9459" s="15"/>
      <c r="L9459" s="21"/>
      <c r="M9459" s="15"/>
    </row>
    <row r="9460" spans="1:13" s="166" customFormat="1" ht="12.75" customHeight="1">
      <c r="A9460" s="12" t="s">
        <v>1912</v>
      </c>
      <c r="B9460" s="434">
        <v>2.08</v>
      </c>
      <c r="C9460" s="24" t="s">
        <v>1171</v>
      </c>
      <c r="D9460" s="41">
        <f>D9442*1.2</f>
        <v>288.64440000000002</v>
      </c>
      <c r="E9460" s="31">
        <f t="shared" si="916"/>
        <v>600.38035200000002</v>
      </c>
      <c r="F9460" s="32"/>
      <c r="G9460" s="15"/>
      <c r="H9460" s="21"/>
      <c r="I9460" s="15"/>
      <c r="J9460" s="15"/>
      <c r="K9460" s="15"/>
      <c r="L9460" s="21"/>
      <c r="M9460" s="15"/>
    </row>
    <row r="9461" spans="1:13" s="166" customFormat="1" ht="12.75" customHeight="1">
      <c r="A9461" s="12" t="s">
        <v>1037</v>
      </c>
      <c r="B9461" s="434">
        <f>SUM(B9458:B9458)</f>
        <v>7.07</v>
      </c>
      <c r="C9461" s="24" t="s">
        <v>4</v>
      </c>
      <c r="D9461" s="41">
        <f>Prec.!C354</f>
        <v>608.125</v>
      </c>
      <c r="E9461" s="31">
        <f t="shared" si="916"/>
        <v>4299.4437500000004</v>
      </c>
      <c r="F9461" s="32"/>
      <c r="G9461" s="15"/>
      <c r="H9461" s="21"/>
      <c r="I9461" s="15"/>
      <c r="J9461" s="15"/>
      <c r="K9461" s="15"/>
      <c r="L9461" s="21"/>
      <c r="M9461" s="15"/>
    </row>
    <row r="9462" spans="1:13" s="166" customFormat="1" ht="12.75" customHeight="1">
      <c r="A9462" s="12" t="s">
        <v>1910</v>
      </c>
      <c r="B9462" s="434">
        <v>1</v>
      </c>
      <c r="C9462" s="24" t="s">
        <v>825</v>
      </c>
      <c r="D9462" s="41">
        <f t="shared" si="917"/>
        <v>600.29999999999995</v>
      </c>
      <c r="E9462" s="31">
        <f t="shared" si="916"/>
        <v>600.29999999999995</v>
      </c>
      <c r="F9462" s="32"/>
      <c r="G9462" s="15"/>
      <c r="H9462" s="21"/>
      <c r="I9462" s="15"/>
      <c r="J9462" s="15"/>
      <c r="K9462" s="15"/>
      <c r="L9462" s="21"/>
      <c r="M9462" s="15"/>
    </row>
    <row r="9463" spans="1:13" s="166" customFormat="1" ht="12.75" customHeight="1">
      <c r="A9463" s="12" t="s">
        <v>208</v>
      </c>
      <c r="B9463" s="434">
        <f>SUM(E9457:E9460)</f>
        <v>31265.280352000002</v>
      </c>
      <c r="C9463" s="24" t="s">
        <v>209</v>
      </c>
      <c r="D9463" s="41">
        <f t="shared" si="917"/>
        <v>0.02</v>
      </c>
      <c r="E9463" s="31">
        <f t="shared" si="916"/>
        <v>625.30560704000004</v>
      </c>
      <c r="F9463" s="32">
        <f>SUM(E9457:E9463)</f>
        <v>36790.329709040001</v>
      </c>
      <c r="G9463" s="15"/>
      <c r="H9463" s="21"/>
      <c r="I9463" s="15"/>
      <c r="J9463" s="15"/>
      <c r="K9463" s="15"/>
      <c r="L9463" s="21"/>
      <c r="M9463" s="15"/>
    </row>
    <row r="9464" spans="1:13" s="166" customFormat="1" ht="12.75" customHeight="1">
      <c r="A9464" s="12"/>
      <c r="B9464" s="434"/>
      <c r="C9464" s="24"/>
      <c r="D9464" s="41"/>
      <c r="E9464" s="31"/>
      <c r="F9464" s="32"/>
      <c r="G9464" s="15"/>
      <c r="H9464" s="21"/>
      <c r="I9464" s="15"/>
      <c r="J9464" s="15"/>
      <c r="K9464" s="15"/>
      <c r="L9464" s="21"/>
      <c r="M9464" s="15"/>
    </row>
    <row r="9465" spans="1:13" s="166" customFormat="1" ht="12.75" customHeight="1">
      <c r="A9465" s="13" t="s">
        <v>1693</v>
      </c>
      <c r="B9465" s="434"/>
      <c r="C9465" s="24"/>
      <c r="D9465" s="41"/>
      <c r="E9465" s="31"/>
      <c r="F9465" s="32"/>
      <c r="G9465" s="15"/>
      <c r="H9465" s="21"/>
      <c r="I9465" s="15"/>
      <c r="J9465" s="15"/>
      <c r="K9465" s="15"/>
      <c r="L9465" s="21"/>
      <c r="M9465" s="15"/>
    </row>
    <row r="9466" spans="1:13" s="166" customFormat="1" ht="12.75" customHeight="1">
      <c r="A9466" s="12" t="s">
        <v>1687</v>
      </c>
      <c r="B9466" s="434">
        <v>1.05</v>
      </c>
      <c r="C9466" s="24" t="s">
        <v>825</v>
      </c>
      <c r="D9466" s="41">
        <f>Prec.!C36</f>
        <v>6850</v>
      </c>
      <c r="E9466" s="31">
        <f t="shared" ref="E9466:E9472" si="918">B9466*D9466</f>
        <v>7192.5</v>
      </c>
      <c r="F9466" s="32"/>
      <c r="G9466" s="15"/>
      <c r="H9466" s="21"/>
      <c r="I9466" s="15"/>
      <c r="J9466" s="15"/>
      <c r="K9466" s="15"/>
      <c r="L9466" s="21"/>
      <c r="M9466" s="15"/>
    </row>
    <row r="9467" spans="1:13" s="166" customFormat="1" ht="12.75" customHeight="1">
      <c r="A9467" s="12" t="s">
        <v>1686</v>
      </c>
      <c r="B9467" s="434">
        <v>3.84</v>
      </c>
      <c r="C9467" s="24" t="s">
        <v>4</v>
      </c>
      <c r="D9467" s="41">
        <f>D9311</f>
        <v>3200</v>
      </c>
      <c r="E9467" s="31">
        <f t="shared" si="918"/>
        <v>12288</v>
      </c>
      <c r="F9467" s="32"/>
      <c r="G9467" s="15"/>
      <c r="H9467" s="21"/>
      <c r="I9467" s="15"/>
      <c r="J9467" s="15"/>
      <c r="K9467" s="15"/>
      <c r="L9467" s="21"/>
      <c r="M9467" s="15"/>
    </row>
    <row r="9468" spans="1:13" s="166" customFormat="1" ht="12.75" customHeight="1">
      <c r="A9468" s="12" t="s">
        <v>1198</v>
      </c>
      <c r="B9468" s="434">
        <f>B9470*2</f>
        <v>7.68</v>
      </c>
      <c r="C9468" s="24" t="s">
        <v>1204</v>
      </c>
      <c r="D9468" s="41">
        <f>D9314</f>
        <v>60</v>
      </c>
      <c r="E9468" s="31">
        <f t="shared" si="918"/>
        <v>460.79999999999995</v>
      </c>
      <c r="F9468" s="32"/>
      <c r="G9468" s="15"/>
      <c r="H9468" s="21"/>
      <c r="I9468" s="15"/>
      <c r="J9468" s="15"/>
      <c r="K9468" s="15"/>
      <c r="L9468" s="21"/>
      <c r="M9468" s="15"/>
    </row>
    <row r="9469" spans="1:13" s="166" customFormat="1" ht="12.75" customHeight="1">
      <c r="A9469" s="12" t="s">
        <v>1689</v>
      </c>
      <c r="B9469" s="434">
        <v>22.22</v>
      </c>
      <c r="C9469" s="24" t="s">
        <v>1171</v>
      </c>
      <c r="D9469" s="41">
        <v>500</v>
      </c>
      <c r="E9469" s="31">
        <f t="shared" si="918"/>
        <v>11110</v>
      </c>
      <c r="F9469" s="32"/>
      <c r="G9469" s="15"/>
      <c r="H9469" s="21"/>
      <c r="I9469" s="15"/>
      <c r="J9469" s="15"/>
      <c r="K9469" s="15"/>
      <c r="L9469" s="21"/>
      <c r="M9469" s="15"/>
    </row>
    <row r="9470" spans="1:13" s="166" customFormat="1" ht="12.75" customHeight="1">
      <c r="A9470" s="12" t="s">
        <v>1037</v>
      </c>
      <c r="B9470" s="434">
        <f>SUM(B9467:B9467)</f>
        <v>3.84</v>
      </c>
      <c r="C9470" s="24" t="s">
        <v>4</v>
      </c>
      <c r="D9470" s="41">
        <f>Prec.!C350</f>
        <v>486.5</v>
      </c>
      <c r="E9470" s="31">
        <f t="shared" si="918"/>
        <v>1868.1599999999999</v>
      </c>
      <c r="F9470" s="32"/>
      <c r="G9470" s="15"/>
      <c r="H9470" s="21"/>
      <c r="I9470" s="15"/>
      <c r="J9470" s="15"/>
      <c r="K9470" s="15"/>
      <c r="L9470" s="21"/>
      <c r="M9470" s="15"/>
    </row>
    <row r="9471" spans="1:13" s="166" customFormat="1" ht="12.75" customHeight="1">
      <c r="A9471" s="12" t="s">
        <v>1688</v>
      </c>
      <c r="B9471" s="434">
        <v>1</v>
      </c>
      <c r="C9471" s="24" t="s">
        <v>825</v>
      </c>
      <c r="D9471" s="41">
        <f>D9154</f>
        <v>600.29999999999995</v>
      </c>
      <c r="E9471" s="31">
        <f t="shared" si="918"/>
        <v>600.29999999999995</v>
      </c>
      <c r="F9471" s="32"/>
      <c r="G9471" s="15"/>
      <c r="H9471" s="21"/>
      <c r="I9471" s="15"/>
      <c r="J9471" s="15"/>
      <c r="K9471" s="15"/>
      <c r="L9471" s="21"/>
      <c r="M9471" s="15"/>
    </row>
    <row r="9472" spans="1:13" s="166" customFormat="1" ht="12.75" customHeight="1">
      <c r="A9472" s="12" t="s">
        <v>208</v>
      </c>
      <c r="B9472" s="434">
        <f>SUM(E9466:E9469)</f>
        <v>31051.3</v>
      </c>
      <c r="C9472" s="24" t="s">
        <v>209</v>
      </c>
      <c r="D9472" s="41">
        <v>0.02</v>
      </c>
      <c r="E9472" s="31">
        <f t="shared" si="918"/>
        <v>621.02599999999995</v>
      </c>
      <c r="F9472" s="32">
        <f>SUM(E9466:E9472)</f>
        <v>34140.786</v>
      </c>
      <c r="G9472" s="15"/>
      <c r="H9472" s="21"/>
      <c r="I9472" s="15"/>
      <c r="J9472" s="15"/>
      <c r="K9472" s="15"/>
      <c r="L9472" s="21"/>
      <c r="M9472" s="15"/>
    </row>
    <row r="9473" spans="1:13" s="166" customFormat="1" ht="12.75" customHeight="1">
      <c r="A9473" s="12"/>
      <c r="B9473" s="434"/>
      <c r="C9473" s="24"/>
      <c r="D9473" s="41"/>
      <c r="E9473" s="31"/>
      <c r="F9473" s="32"/>
      <c r="G9473" s="15"/>
      <c r="H9473" s="21"/>
      <c r="I9473" s="15"/>
      <c r="J9473" s="15"/>
      <c r="K9473" s="15"/>
      <c r="L9473" s="21"/>
      <c r="M9473" s="15"/>
    </row>
    <row r="9474" spans="1:13" s="166" customFormat="1" ht="12.75" customHeight="1">
      <c r="A9474" s="13" t="s">
        <v>1692</v>
      </c>
      <c r="B9474" s="434"/>
      <c r="C9474" s="24"/>
      <c r="D9474" s="41"/>
      <c r="E9474" s="31"/>
      <c r="F9474" s="32"/>
      <c r="G9474" s="15"/>
      <c r="H9474" s="21"/>
      <c r="I9474" s="15"/>
      <c r="J9474" s="15"/>
      <c r="K9474" s="15"/>
      <c r="L9474" s="21"/>
      <c r="M9474" s="15"/>
    </row>
    <row r="9475" spans="1:13" s="166" customFormat="1" ht="12.75" customHeight="1">
      <c r="A9475" s="12" t="s">
        <v>1687</v>
      </c>
      <c r="B9475" s="434">
        <v>1.05</v>
      </c>
      <c r="C9475" s="24" t="s">
        <v>825</v>
      </c>
      <c r="D9475" s="41">
        <f>D9466</f>
        <v>6850</v>
      </c>
      <c r="E9475" s="31">
        <f t="shared" ref="E9475:E9481" si="919">B9475*D9475</f>
        <v>7192.5</v>
      </c>
      <c r="F9475" s="32"/>
      <c r="G9475" s="15"/>
      <c r="H9475" s="21"/>
      <c r="I9475" s="15"/>
      <c r="J9475" s="15"/>
      <c r="K9475" s="15"/>
      <c r="L9475" s="21"/>
      <c r="M9475" s="15"/>
    </row>
    <row r="9476" spans="1:13" s="166" customFormat="1" ht="12.75" customHeight="1">
      <c r="A9476" s="12" t="s">
        <v>1686</v>
      </c>
      <c r="B9476" s="434">
        <v>3.94</v>
      </c>
      <c r="C9476" s="24" t="s">
        <v>4</v>
      </c>
      <c r="D9476" s="41">
        <f t="shared" ref="D9476:D9481" si="920">D9467</f>
        <v>3200</v>
      </c>
      <c r="E9476" s="31">
        <f t="shared" si="919"/>
        <v>12608</v>
      </c>
      <c r="F9476" s="32"/>
      <c r="G9476" s="15"/>
      <c r="H9476" s="21"/>
      <c r="I9476" s="15"/>
      <c r="J9476" s="15"/>
      <c r="K9476" s="15"/>
      <c r="L9476" s="21"/>
      <c r="M9476" s="15"/>
    </row>
    <row r="9477" spans="1:13" s="166" customFormat="1" ht="12.75" customHeight="1">
      <c r="A9477" s="12" t="s">
        <v>1198</v>
      </c>
      <c r="B9477" s="434">
        <f>B9479*2</f>
        <v>7.88</v>
      </c>
      <c r="C9477" s="24" t="s">
        <v>1204</v>
      </c>
      <c r="D9477" s="41">
        <f t="shared" si="920"/>
        <v>60</v>
      </c>
      <c r="E9477" s="31">
        <f t="shared" si="919"/>
        <v>472.8</v>
      </c>
      <c r="F9477" s="32"/>
      <c r="G9477" s="15"/>
      <c r="H9477" s="21"/>
      <c r="I9477" s="15"/>
      <c r="J9477" s="15"/>
      <c r="K9477" s="15"/>
      <c r="L9477" s="21"/>
      <c r="M9477" s="15"/>
    </row>
    <row r="9478" spans="1:13" s="154" customFormat="1" ht="12.75" customHeight="1">
      <c r="A9478" s="12" t="s">
        <v>1694</v>
      </c>
      <c r="B9478" s="434">
        <v>16.670000000000002</v>
      </c>
      <c r="C9478" s="24" t="s">
        <v>1171</v>
      </c>
      <c r="D9478" s="41">
        <f t="shared" si="920"/>
        <v>500</v>
      </c>
      <c r="E9478" s="31">
        <f t="shared" si="919"/>
        <v>8335</v>
      </c>
      <c r="F9478" s="32"/>
      <c r="G9478" s="15"/>
      <c r="H9478" s="21"/>
      <c r="I9478" s="15"/>
      <c r="J9478" s="15"/>
      <c r="K9478" s="15"/>
      <c r="L9478" s="21"/>
      <c r="M9478" s="15"/>
    </row>
    <row r="9479" spans="1:13" s="154" customFormat="1" ht="12.75" customHeight="1">
      <c r="A9479" s="12" t="s">
        <v>1037</v>
      </c>
      <c r="B9479" s="434">
        <f>SUM(B9476:B9476)</f>
        <v>3.94</v>
      </c>
      <c r="C9479" s="24" t="s">
        <v>4</v>
      </c>
      <c r="D9479" s="41">
        <f t="shared" si="920"/>
        <v>486.5</v>
      </c>
      <c r="E9479" s="31">
        <f t="shared" si="919"/>
        <v>1916.81</v>
      </c>
      <c r="F9479" s="32"/>
      <c r="G9479" s="15"/>
      <c r="H9479" s="21"/>
      <c r="I9479" s="15"/>
      <c r="J9479" s="15"/>
      <c r="K9479" s="15"/>
      <c r="L9479" s="21"/>
      <c r="M9479" s="15"/>
    </row>
    <row r="9480" spans="1:13" s="154" customFormat="1" ht="12.75" customHeight="1">
      <c r="A9480" s="12" t="s">
        <v>1688</v>
      </c>
      <c r="B9480" s="434">
        <v>1</v>
      </c>
      <c r="C9480" s="24" t="s">
        <v>825</v>
      </c>
      <c r="D9480" s="41">
        <f t="shared" si="920"/>
        <v>600.29999999999995</v>
      </c>
      <c r="E9480" s="31">
        <f t="shared" si="919"/>
        <v>600.29999999999995</v>
      </c>
      <c r="F9480" s="32"/>
      <c r="G9480" s="15"/>
      <c r="H9480" s="21"/>
      <c r="I9480" s="15"/>
      <c r="J9480" s="15"/>
      <c r="K9480" s="15"/>
      <c r="L9480" s="21"/>
      <c r="M9480" s="15"/>
    </row>
    <row r="9481" spans="1:13" s="154" customFormat="1" ht="12.75" customHeight="1">
      <c r="A9481" s="12" t="s">
        <v>208</v>
      </c>
      <c r="B9481" s="434">
        <f>SUM(E9475:E9478)</f>
        <v>28608.3</v>
      </c>
      <c r="C9481" s="24" t="s">
        <v>209</v>
      </c>
      <c r="D9481" s="41">
        <f t="shared" si="920"/>
        <v>0.02</v>
      </c>
      <c r="E9481" s="31">
        <f t="shared" si="919"/>
        <v>572.16600000000005</v>
      </c>
      <c r="F9481" s="32">
        <f>SUM(E9475:E9481)</f>
        <v>31697.576000000001</v>
      </c>
      <c r="G9481" s="15"/>
      <c r="H9481" s="21"/>
      <c r="I9481" s="15"/>
      <c r="J9481" s="15"/>
      <c r="K9481" s="15"/>
      <c r="L9481" s="21"/>
      <c r="M9481" s="15"/>
    </row>
    <row r="9482" spans="1:13" ht="12.75" customHeight="1">
      <c r="A9482" s="13"/>
      <c r="B9482" s="434"/>
      <c r="C9482" s="24"/>
      <c r="D9482" s="41"/>
      <c r="E9482" s="31"/>
      <c r="F9482" s="32"/>
      <c r="G9482" s="4"/>
      <c r="H9482" s="4"/>
      <c r="I9482" s="4"/>
      <c r="J9482" s="4"/>
      <c r="K9482" s="4"/>
      <c r="L9482" s="4"/>
    </row>
    <row r="9483" spans="1:13" s="166" customFormat="1" ht="12.75" customHeight="1">
      <c r="A9483" s="13" t="s">
        <v>1839</v>
      </c>
      <c r="B9483" s="434"/>
      <c r="C9483" s="24"/>
      <c r="D9483" s="41"/>
      <c r="E9483" s="31"/>
      <c r="F9483" s="32"/>
      <c r="M9483" s="15"/>
    </row>
    <row r="9484" spans="1:13" s="166" customFormat="1" ht="12.75" customHeight="1">
      <c r="A9484" s="12" t="s">
        <v>1840</v>
      </c>
      <c r="B9484" s="434">
        <v>1.1000000000000001</v>
      </c>
      <c r="C9484" s="24" t="s">
        <v>825</v>
      </c>
      <c r="D9484" s="41">
        <f>F135</f>
        <v>5714.31</v>
      </c>
      <c r="E9484" s="31">
        <f t="shared" ref="E9484:E9489" si="921">B9484*D9484</f>
        <v>6285.7410000000009</v>
      </c>
      <c r="F9484" s="32"/>
      <c r="M9484" s="15"/>
    </row>
    <row r="9485" spans="1:13" s="166" customFormat="1" ht="12.75" customHeight="1">
      <c r="A9485" s="12" t="s">
        <v>1686</v>
      </c>
      <c r="B9485" s="434">
        <v>9.9600000000000009</v>
      </c>
      <c r="C9485" s="24" t="s">
        <v>4</v>
      </c>
      <c r="D9485" s="41">
        <f t="shared" ref="D9485:D9488" si="922">D9476</f>
        <v>3200</v>
      </c>
      <c r="E9485" s="31">
        <f t="shared" si="921"/>
        <v>31872.000000000004</v>
      </c>
      <c r="F9485" s="32"/>
      <c r="M9485" s="15"/>
    </row>
    <row r="9486" spans="1:13" s="166" customFormat="1" ht="12.75" customHeight="1">
      <c r="A9486" s="12" t="s">
        <v>1198</v>
      </c>
      <c r="B9486" s="434">
        <f>B9488*2</f>
        <v>19.920000000000002</v>
      </c>
      <c r="C9486" s="24" t="s">
        <v>1204</v>
      </c>
      <c r="D9486" s="41">
        <f t="shared" si="922"/>
        <v>60</v>
      </c>
      <c r="E9486" s="31">
        <f t="shared" si="921"/>
        <v>1195.2</v>
      </c>
      <c r="F9486" s="32"/>
      <c r="M9486" s="15"/>
    </row>
    <row r="9487" spans="1:13" s="166" customFormat="1" ht="12.75" customHeight="1">
      <c r="A9487" s="12" t="s">
        <v>1841</v>
      </c>
      <c r="B9487" s="434">
        <v>6.67</v>
      </c>
      <c r="C9487" s="24" t="s">
        <v>1171</v>
      </c>
      <c r="D9487" s="41">
        <v>620</v>
      </c>
      <c r="E9487" s="31">
        <f t="shared" si="921"/>
        <v>4135.3999999999996</v>
      </c>
      <c r="F9487" s="32"/>
      <c r="M9487" s="15"/>
    </row>
    <row r="9488" spans="1:13" s="166" customFormat="1" ht="12.75" customHeight="1">
      <c r="A9488" s="12" t="s">
        <v>1037</v>
      </c>
      <c r="B9488" s="434">
        <f>SUM(B9485:B9485)</f>
        <v>9.9600000000000009</v>
      </c>
      <c r="C9488" s="24" t="s">
        <v>4</v>
      </c>
      <c r="D9488" s="41">
        <f t="shared" si="922"/>
        <v>486.5</v>
      </c>
      <c r="E9488" s="31">
        <f t="shared" si="921"/>
        <v>4845.54</v>
      </c>
      <c r="F9488" s="32"/>
      <c r="M9488" s="15"/>
    </row>
    <row r="9489" spans="1:13" s="166" customFormat="1" ht="12.75" customHeight="1">
      <c r="A9489" s="12" t="s">
        <v>208</v>
      </c>
      <c r="B9489" s="434">
        <f>SUM(E9484:E9487)</f>
        <v>43488.341</v>
      </c>
      <c r="C9489" s="24" t="s">
        <v>209</v>
      </c>
      <c r="D9489" s="41">
        <f>D9481</f>
        <v>0.02</v>
      </c>
      <c r="E9489" s="31">
        <f t="shared" si="921"/>
        <v>869.76682000000005</v>
      </c>
      <c r="F9489" s="32">
        <f>SUM(E9484:E9489)</f>
        <v>49203.647819999998</v>
      </c>
      <c r="M9489" s="15"/>
    </row>
    <row r="9490" spans="1:13" s="166" customFormat="1" ht="12.75" customHeight="1">
      <c r="A9490" s="13"/>
      <c r="B9490" s="434"/>
      <c r="C9490" s="24"/>
      <c r="D9490" s="41"/>
      <c r="E9490" s="31"/>
      <c r="F9490" s="32"/>
      <c r="M9490" s="15"/>
    </row>
    <row r="9491" spans="1:13" s="166" customFormat="1" ht="12.75" customHeight="1">
      <c r="A9491" s="13" t="s">
        <v>1854</v>
      </c>
      <c r="B9491" s="434"/>
      <c r="C9491" s="24"/>
      <c r="D9491" s="41"/>
      <c r="E9491" s="31"/>
      <c r="F9491" s="32"/>
      <c r="M9491" s="15"/>
    </row>
    <row r="9492" spans="1:13" s="166" customFormat="1" ht="12.75" customHeight="1">
      <c r="A9492" s="12" t="s">
        <v>1840</v>
      </c>
      <c r="B9492" s="434">
        <v>1.05</v>
      </c>
      <c r="C9492" s="24" t="s">
        <v>825</v>
      </c>
      <c r="D9492" s="41">
        <f>D9475</f>
        <v>6850</v>
      </c>
      <c r="E9492" s="31">
        <f t="shared" ref="E9492:E9498" si="923">B9492*D9492</f>
        <v>7192.5</v>
      </c>
      <c r="F9492" s="32"/>
      <c r="M9492" s="15"/>
    </row>
    <row r="9493" spans="1:13" s="166" customFormat="1" ht="12.75" customHeight="1">
      <c r="A9493" s="12" t="s">
        <v>1686</v>
      </c>
      <c r="B9493" s="434">
        <v>4.63</v>
      </c>
      <c r="C9493" s="24" t="s">
        <v>4</v>
      </c>
      <c r="D9493" s="41">
        <f t="shared" ref="D9493:D9494" si="924">D9476</f>
        <v>3200</v>
      </c>
      <c r="E9493" s="31">
        <f t="shared" si="923"/>
        <v>14816</v>
      </c>
      <c r="F9493" s="32"/>
      <c r="M9493" s="15"/>
    </row>
    <row r="9494" spans="1:13" s="166" customFormat="1" ht="12.75" customHeight="1">
      <c r="A9494" s="12" t="s">
        <v>1198</v>
      </c>
      <c r="B9494" s="434">
        <f>B9496*2</f>
        <v>9.26</v>
      </c>
      <c r="C9494" s="24" t="s">
        <v>1204</v>
      </c>
      <c r="D9494" s="41">
        <f t="shared" si="924"/>
        <v>60</v>
      </c>
      <c r="E9494" s="31">
        <f t="shared" si="923"/>
        <v>555.6</v>
      </c>
      <c r="F9494" s="32"/>
      <c r="M9494" s="15"/>
    </row>
    <row r="9495" spans="1:13" s="166" customFormat="1" ht="12.75" customHeight="1">
      <c r="A9495" s="12" t="s">
        <v>1689</v>
      </c>
      <c r="B9495" s="434">
        <v>22.22</v>
      </c>
      <c r="C9495" s="24" t="s">
        <v>1171</v>
      </c>
      <c r="D9495" s="41">
        <v>500</v>
      </c>
      <c r="E9495" s="31">
        <f t="shared" si="923"/>
        <v>11110</v>
      </c>
      <c r="F9495" s="32"/>
      <c r="M9495" s="15"/>
    </row>
    <row r="9496" spans="1:13" s="166" customFormat="1" ht="12.75" customHeight="1">
      <c r="A9496" s="12" t="s">
        <v>1037</v>
      </c>
      <c r="B9496" s="434">
        <f>SUM(B9493:B9493)</f>
        <v>4.63</v>
      </c>
      <c r="C9496" s="24" t="s">
        <v>4</v>
      </c>
      <c r="D9496" s="41">
        <f>D9488</f>
        <v>486.5</v>
      </c>
      <c r="E9496" s="31">
        <f t="shared" si="923"/>
        <v>2252.4949999999999</v>
      </c>
      <c r="F9496" s="32"/>
      <c r="M9496" s="15"/>
    </row>
    <row r="9497" spans="1:13" s="166" customFormat="1" ht="12.75" customHeight="1">
      <c r="A9497" s="12" t="s">
        <v>1688</v>
      </c>
      <c r="B9497" s="434">
        <v>1</v>
      </c>
      <c r="C9497" s="24" t="s">
        <v>825</v>
      </c>
      <c r="D9497" s="41">
        <f>D9480</f>
        <v>600.29999999999995</v>
      </c>
      <c r="E9497" s="31">
        <f t="shared" si="923"/>
        <v>600.29999999999995</v>
      </c>
      <c r="F9497" s="32"/>
      <c r="M9497" s="15"/>
    </row>
    <row r="9498" spans="1:13" s="166" customFormat="1" ht="12.75" customHeight="1">
      <c r="A9498" s="12" t="s">
        <v>208</v>
      </c>
      <c r="B9498" s="434">
        <f>SUM(E9492:E9495)</f>
        <v>33674.1</v>
      </c>
      <c r="C9498" s="24" t="s">
        <v>209</v>
      </c>
      <c r="D9498" s="41">
        <f>D9489</f>
        <v>0.02</v>
      </c>
      <c r="E9498" s="31">
        <f t="shared" si="923"/>
        <v>673.48199999999997</v>
      </c>
      <c r="F9498" s="32">
        <f>SUM(E9492:E9498)</f>
        <v>37200.377000000008</v>
      </c>
      <c r="M9498" s="15"/>
    </row>
    <row r="9499" spans="1:13" s="166" customFormat="1" ht="12.75" customHeight="1">
      <c r="A9499" s="13"/>
      <c r="B9499" s="434"/>
      <c r="C9499" s="24"/>
      <c r="D9499" s="41"/>
      <c r="E9499" s="31"/>
      <c r="F9499" s="32"/>
      <c r="M9499" s="15"/>
    </row>
    <row r="9500" spans="1:13" s="166" customFormat="1" ht="12.75" customHeight="1">
      <c r="A9500" s="13" t="s">
        <v>1855</v>
      </c>
      <c r="B9500" s="434"/>
      <c r="C9500" s="24"/>
      <c r="D9500" s="41"/>
      <c r="E9500" s="31"/>
      <c r="F9500" s="32"/>
      <c r="M9500" s="15"/>
    </row>
    <row r="9501" spans="1:13" s="166" customFormat="1" ht="12.75" customHeight="1">
      <c r="A9501" s="12" t="s">
        <v>1840</v>
      </c>
      <c r="B9501" s="434">
        <v>1.05</v>
      </c>
      <c r="C9501" s="24" t="s">
        <v>825</v>
      </c>
      <c r="D9501" s="41">
        <f>D9492</f>
        <v>6850</v>
      </c>
      <c r="E9501" s="31">
        <f t="shared" ref="E9501:E9507" si="925">B9501*D9501</f>
        <v>7192.5</v>
      </c>
      <c r="F9501" s="32"/>
      <c r="M9501" s="15"/>
    </row>
    <row r="9502" spans="1:13" s="166" customFormat="1" ht="12.75" customHeight="1">
      <c r="A9502" s="12" t="s">
        <v>1686</v>
      </c>
      <c r="B9502" s="434">
        <v>8.6999999999999993</v>
      </c>
      <c r="C9502" s="24" t="s">
        <v>4</v>
      </c>
      <c r="D9502" s="41">
        <f t="shared" ref="D9502:D9507" si="926">D9493</f>
        <v>3200</v>
      </c>
      <c r="E9502" s="31">
        <f t="shared" si="925"/>
        <v>27839.999999999996</v>
      </c>
      <c r="F9502" s="32"/>
      <c r="M9502" s="15"/>
    </row>
    <row r="9503" spans="1:13" s="166" customFormat="1" ht="12.75" customHeight="1">
      <c r="A9503" s="12" t="s">
        <v>1198</v>
      </c>
      <c r="B9503" s="434">
        <f>B9505*2</f>
        <v>17.399999999999999</v>
      </c>
      <c r="C9503" s="24" t="s">
        <v>1204</v>
      </c>
      <c r="D9503" s="41">
        <f t="shared" si="926"/>
        <v>60</v>
      </c>
      <c r="E9503" s="31">
        <f t="shared" si="925"/>
        <v>1044</v>
      </c>
      <c r="F9503" s="32"/>
      <c r="M9503" s="15"/>
    </row>
    <row r="9504" spans="1:13" s="166" customFormat="1" ht="12.75" customHeight="1">
      <c r="A9504" s="12" t="s">
        <v>1857</v>
      </c>
      <c r="B9504" s="434">
        <v>11.11</v>
      </c>
      <c r="C9504" s="24" t="s">
        <v>1171</v>
      </c>
      <c r="D9504" s="41">
        <v>500</v>
      </c>
      <c r="E9504" s="31">
        <f t="shared" si="925"/>
        <v>5555</v>
      </c>
      <c r="F9504" s="32"/>
      <c r="M9504" s="15"/>
    </row>
    <row r="9505" spans="1:13" s="166" customFormat="1" ht="12.75" customHeight="1">
      <c r="A9505" s="12" t="s">
        <v>1037</v>
      </c>
      <c r="B9505" s="434">
        <f>SUM(B9502:B9502)</f>
        <v>8.6999999999999993</v>
      </c>
      <c r="C9505" s="24" t="s">
        <v>4</v>
      </c>
      <c r="D9505" s="41">
        <f t="shared" si="926"/>
        <v>486.5</v>
      </c>
      <c r="E9505" s="31">
        <f t="shared" si="925"/>
        <v>4232.5499999999993</v>
      </c>
      <c r="F9505" s="32"/>
      <c r="M9505" s="15"/>
    </row>
    <row r="9506" spans="1:13" s="166" customFormat="1" ht="12.75" customHeight="1">
      <c r="A9506" s="12" t="s">
        <v>1688</v>
      </c>
      <c r="B9506" s="434">
        <v>1</v>
      </c>
      <c r="C9506" s="24" t="s">
        <v>825</v>
      </c>
      <c r="D9506" s="41">
        <f t="shared" si="926"/>
        <v>600.29999999999995</v>
      </c>
      <c r="E9506" s="31">
        <f t="shared" si="925"/>
        <v>600.29999999999995</v>
      </c>
      <c r="F9506" s="32"/>
      <c r="M9506" s="15"/>
    </row>
    <row r="9507" spans="1:13" s="166" customFormat="1" ht="12.75" customHeight="1">
      <c r="A9507" s="12" t="s">
        <v>208</v>
      </c>
      <c r="B9507" s="434">
        <f>SUM(E9501:E9504)</f>
        <v>41631.5</v>
      </c>
      <c r="C9507" s="24" t="s">
        <v>209</v>
      </c>
      <c r="D9507" s="41">
        <f t="shared" si="926"/>
        <v>0.02</v>
      </c>
      <c r="E9507" s="31">
        <f t="shared" si="925"/>
        <v>832.63</v>
      </c>
      <c r="F9507" s="32">
        <f>SUM(E9501:E9507)</f>
        <v>47296.98</v>
      </c>
      <c r="M9507" s="15"/>
    </row>
    <row r="9508" spans="1:13" s="166" customFormat="1" ht="12.75" customHeight="1">
      <c r="A9508" s="13"/>
      <c r="B9508" s="434"/>
      <c r="C9508" s="24"/>
      <c r="D9508" s="41"/>
      <c r="E9508" s="31"/>
      <c r="F9508" s="32"/>
      <c r="M9508" s="15"/>
    </row>
    <row r="9509" spans="1:13" s="166" customFormat="1" ht="12.75" customHeight="1">
      <c r="A9509" s="13" t="s">
        <v>1856</v>
      </c>
      <c r="B9509" s="434"/>
      <c r="C9509" s="24"/>
      <c r="D9509" s="41"/>
      <c r="E9509" s="31"/>
      <c r="F9509" s="32"/>
      <c r="M9509" s="15"/>
    </row>
    <row r="9510" spans="1:13" s="166" customFormat="1" ht="12.75" customHeight="1">
      <c r="A9510" s="12" t="s">
        <v>1840</v>
      </c>
      <c r="B9510" s="434">
        <v>1.05</v>
      </c>
      <c r="C9510" s="24" t="s">
        <v>825</v>
      </c>
      <c r="D9510" s="41">
        <f>D9501</f>
        <v>6850</v>
      </c>
      <c r="E9510" s="31">
        <f t="shared" ref="E9510:E9516" si="927">B9510*D9510</f>
        <v>7192.5</v>
      </c>
      <c r="F9510" s="32"/>
      <c r="M9510" s="15"/>
    </row>
    <row r="9511" spans="1:13" s="166" customFormat="1" ht="12.75" customHeight="1">
      <c r="A9511" s="12" t="s">
        <v>1686</v>
      </c>
      <c r="B9511" s="434">
        <v>3.7</v>
      </c>
      <c r="C9511" s="24" t="s">
        <v>4</v>
      </c>
      <c r="D9511" s="41">
        <f t="shared" ref="D9511:D9516" si="928">D9502</f>
        <v>3200</v>
      </c>
      <c r="E9511" s="31">
        <f t="shared" si="927"/>
        <v>11840</v>
      </c>
      <c r="F9511" s="32"/>
      <c r="M9511" s="15"/>
    </row>
    <row r="9512" spans="1:13" s="166" customFormat="1" ht="12.75" customHeight="1">
      <c r="A9512" s="12" t="s">
        <v>1198</v>
      </c>
      <c r="B9512" s="434">
        <f>B9514*2</f>
        <v>7.4</v>
      </c>
      <c r="C9512" s="24" t="s">
        <v>1204</v>
      </c>
      <c r="D9512" s="41">
        <f t="shared" si="928"/>
        <v>60</v>
      </c>
      <c r="E9512" s="31">
        <f t="shared" si="927"/>
        <v>444</v>
      </c>
      <c r="F9512" s="32"/>
      <c r="M9512" s="15"/>
    </row>
    <row r="9513" spans="1:13" s="166" customFormat="1" ht="12.75" customHeight="1">
      <c r="A9513" s="12" t="s">
        <v>1858</v>
      </c>
      <c r="B9513" s="434">
        <v>16.670000000000002</v>
      </c>
      <c r="C9513" s="24" t="s">
        <v>1171</v>
      </c>
      <c r="D9513" s="41">
        <v>560</v>
      </c>
      <c r="E9513" s="31">
        <f t="shared" si="927"/>
        <v>9335.2000000000007</v>
      </c>
      <c r="F9513" s="32"/>
      <c r="M9513" s="15"/>
    </row>
    <row r="9514" spans="1:13" s="166" customFormat="1" ht="12.75" customHeight="1">
      <c r="A9514" s="12" t="s">
        <v>1037</v>
      </c>
      <c r="B9514" s="434">
        <f>SUM(B9511:B9511)</f>
        <v>3.7</v>
      </c>
      <c r="C9514" s="24" t="s">
        <v>4</v>
      </c>
      <c r="D9514" s="41">
        <f t="shared" si="928"/>
        <v>486.5</v>
      </c>
      <c r="E9514" s="31">
        <f t="shared" si="927"/>
        <v>1800.0500000000002</v>
      </c>
      <c r="F9514" s="32"/>
      <c r="M9514" s="15"/>
    </row>
    <row r="9515" spans="1:13" s="166" customFormat="1" ht="12.75" customHeight="1">
      <c r="A9515" s="12" t="s">
        <v>1688</v>
      </c>
      <c r="B9515" s="434">
        <v>1</v>
      </c>
      <c r="C9515" s="24" t="s">
        <v>825</v>
      </c>
      <c r="D9515" s="41">
        <f t="shared" si="928"/>
        <v>600.29999999999995</v>
      </c>
      <c r="E9515" s="31">
        <f t="shared" si="927"/>
        <v>600.29999999999995</v>
      </c>
      <c r="F9515" s="32"/>
      <c r="M9515" s="15"/>
    </row>
    <row r="9516" spans="1:13" s="166" customFormat="1" ht="12.75" customHeight="1">
      <c r="A9516" s="12" t="s">
        <v>208</v>
      </c>
      <c r="B9516" s="434">
        <f>SUM(E9510:E9513)</f>
        <v>28811.7</v>
      </c>
      <c r="C9516" s="24" t="s">
        <v>209</v>
      </c>
      <c r="D9516" s="41">
        <f t="shared" si="928"/>
        <v>0.02</v>
      </c>
      <c r="E9516" s="31">
        <f t="shared" si="927"/>
        <v>576.23400000000004</v>
      </c>
      <c r="F9516" s="32">
        <f>SUM(E9510:E9516)</f>
        <v>31788.284</v>
      </c>
      <c r="M9516" s="15"/>
    </row>
    <row r="9517" spans="1:13" s="166" customFormat="1" ht="12.75" customHeight="1">
      <c r="A9517" s="13"/>
      <c r="B9517" s="434"/>
      <c r="C9517" s="24"/>
      <c r="D9517" s="41"/>
      <c r="E9517" s="31"/>
      <c r="F9517" s="32"/>
      <c r="M9517" s="15"/>
    </row>
    <row r="9518" spans="1:13" s="166" customFormat="1" ht="12.75" customHeight="1">
      <c r="A9518" s="13" t="s">
        <v>1959</v>
      </c>
      <c r="B9518" s="434"/>
      <c r="C9518" s="24"/>
      <c r="D9518" s="41"/>
      <c r="E9518" s="31"/>
      <c r="F9518" s="32"/>
      <c r="M9518" s="15"/>
    </row>
    <row r="9519" spans="1:13" s="166" customFormat="1" ht="12.75" customHeight="1">
      <c r="A9519" s="12" t="s">
        <v>1687</v>
      </c>
      <c r="B9519" s="434">
        <v>1.05</v>
      </c>
      <c r="C9519" s="24" t="s">
        <v>825</v>
      </c>
      <c r="D9519" s="41">
        <f>D9475</f>
        <v>6850</v>
      </c>
      <c r="E9519" s="31">
        <f t="shared" ref="E9519:E9525" si="929">B9519*D9519</f>
        <v>7192.5</v>
      </c>
      <c r="F9519" s="32"/>
      <c r="M9519" s="15"/>
    </row>
    <row r="9520" spans="1:13" s="166" customFormat="1" ht="12.75" customHeight="1">
      <c r="A9520" s="12" t="s">
        <v>1686</v>
      </c>
      <c r="B9520" s="434">
        <v>5.59</v>
      </c>
      <c r="C9520" s="24" t="s">
        <v>4</v>
      </c>
      <c r="D9520" s="41">
        <f t="shared" ref="D9520:D9525" si="930">D9476</f>
        <v>3200</v>
      </c>
      <c r="E9520" s="31">
        <f t="shared" si="929"/>
        <v>17888</v>
      </c>
      <c r="F9520" s="32"/>
      <c r="M9520" s="15"/>
    </row>
    <row r="9521" spans="1:13" s="166" customFormat="1" ht="12.75" customHeight="1">
      <c r="A9521" s="12" t="s">
        <v>1198</v>
      </c>
      <c r="B9521" s="434">
        <f>B9523*2</f>
        <v>11.18</v>
      </c>
      <c r="C9521" s="24" t="s">
        <v>1204</v>
      </c>
      <c r="D9521" s="41">
        <f t="shared" si="930"/>
        <v>60</v>
      </c>
      <c r="E9521" s="31">
        <f t="shared" si="929"/>
        <v>670.8</v>
      </c>
      <c r="F9521" s="32"/>
      <c r="M9521" s="15"/>
    </row>
    <row r="9522" spans="1:13" s="166" customFormat="1" ht="12.75" customHeight="1">
      <c r="A9522" s="12" t="s">
        <v>1911</v>
      </c>
      <c r="B9522" s="434">
        <v>5</v>
      </c>
      <c r="C9522" s="24" t="s">
        <v>1171</v>
      </c>
      <c r="D9522" s="41">
        <v>680</v>
      </c>
      <c r="E9522" s="31">
        <f t="shared" si="929"/>
        <v>3400</v>
      </c>
      <c r="F9522" s="32"/>
      <c r="M9522" s="15"/>
    </row>
    <row r="9523" spans="1:13" s="166" customFormat="1" ht="12.75" customHeight="1">
      <c r="A9523" s="12" t="s">
        <v>1037</v>
      </c>
      <c r="B9523" s="434">
        <f>SUM(B9520:B9520)</f>
        <v>5.59</v>
      </c>
      <c r="C9523" s="24" t="s">
        <v>4</v>
      </c>
      <c r="D9523" s="41">
        <f t="shared" si="930"/>
        <v>486.5</v>
      </c>
      <c r="E9523" s="31">
        <f t="shared" si="929"/>
        <v>2719.5349999999999</v>
      </c>
      <c r="F9523" s="32"/>
      <c r="M9523" s="15"/>
    </row>
    <row r="9524" spans="1:13" s="166" customFormat="1" ht="12.75" customHeight="1">
      <c r="A9524" s="12" t="s">
        <v>1688</v>
      </c>
      <c r="B9524" s="434">
        <v>1</v>
      </c>
      <c r="C9524" s="24" t="s">
        <v>825</v>
      </c>
      <c r="D9524" s="41">
        <f t="shared" si="930"/>
        <v>600.29999999999995</v>
      </c>
      <c r="E9524" s="31">
        <f t="shared" si="929"/>
        <v>600.29999999999995</v>
      </c>
      <c r="F9524" s="32"/>
      <c r="M9524" s="15"/>
    </row>
    <row r="9525" spans="1:13" s="166" customFormat="1" ht="12.75" customHeight="1">
      <c r="A9525" s="12" t="s">
        <v>208</v>
      </c>
      <c r="B9525" s="434">
        <f>SUM(E9519:E9522)</f>
        <v>29151.3</v>
      </c>
      <c r="C9525" s="24" t="s">
        <v>209</v>
      </c>
      <c r="D9525" s="41">
        <f t="shared" si="930"/>
        <v>0.02</v>
      </c>
      <c r="E9525" s="31">
        <f t="shared" si="929"/>
        <v>583.02599999999995</v>
      </c>
      <c r="F9525" s="32">
        <f>SUM(E9519:E9525)</f>
        <v>33054.161</v>
      </c>
      <c r="M9525" s="15"/>
    </row>
    <row r="9526" spans="1:13" s="166" customFormat="1" ht="12.75" customHeight="1">
      <c r="A9526" s="13"/>
      <c r="B9526" s="434"/>
      <c r="C9526" s="24"/>
      <c r="D9526" s="41"/>
      <c r="E9526" s="31"/>
      <c r="F9526" s="32"/>
      <c r="M9526" s="15"/>
    </row>
    <row r="9527" spans="1:13" s="166" customFormat="1" ht="12.75" customHeight="1">
      <c r="A9527" s="13" t="s">
        <v>1960</v>
      </c>
      <c r="B9527" s="434"/>
      <c r="C9527" s="24"/>
      <c r="D9527" s="41"/>
      <c r="E9527" s="31"/>
      <c r="F9527" s="32"/>
      <c r="M9527" s="15"/>
    </row>
    <row r="9528" spans="1:13" s="166" customFormat="1" ht="12.75" customHeight="1">
      <c r="A9528" s="12" t="s">
        <v>1687</v>
      </c>
      <c r="B9528" s="434">
        <v>1.05</v>
      </c>
      <c r="C9528" s="24" t="s">
        <v>825</v>
      </c>
      <c r="D9528" s="41">
        <f>D9519</f>
        <v>6850</v>
      </c>
      <c r="E9528" s="31">
        <f t="shared" ref="E9528:E9534" si="931">B9528*D9528</f>
        <v>7192.5</v>
      </c>
      <c r="F9528" s="32"/>
      <c r="M9528" s="15"/>
    </row>
    <row r="9529" spans="1:13" s="166" customFormat="1" ht="12.75" customHeight="1">
      <c r="A9529" s="12" t="s">
        <v>1686</v>
      </c>
      <c r="B9529" s="434">
        <v>4.92</v>
      </c>
      <c r="C9529" s="24" t="s">
        <v>4</v>
      </c>
      <c r="D9529" s="41">
        <f t="shared" ref="D9529:D9534" si="932">D9520</f>
        <v>3200</v>
      </c>
      <c r="E9529" s="31">
        <f t="shared" si="931"/>
        <v>15744</v>
      </c>
      <c r="F9529" s="32"/>
      <c r="M9529" s="15"/>
    </row>
    <row r="9530" spans="1:13" s="166" customFormat="1" ht="12.75" customHeight="1">
      <c r="A9530" s="12" t="s">
        <v>1198</v>
      </c>
      <c r="B9530" s="434">
        <f>B9532*2</f>
        <v>9.84</v>
      </c>
      <c r="C9530" s="24" t="s">
        <v>1204</v>
      </c>
      <c r="D9530" s="41">
        <f t="shared" si="932"/>
        <v>60</v>
      </c>
      <c r="E9530" s="31">
        <f t="shared" si="931"/>
        <v>590.4</v>
      </c>
      <c r="F9530" s="32"/>
      <c r="M9530" s="15"/>
    </row>
    <row r="9531" spans="1:13" s="166" customFormat="1" ht="12.75" customHeight="1">
      <c r="A9531" s="12" t="s">
        <v>1961</v>
      </c>
      <c r="B9531" s="434">
        <v>3.33</v>
      </c>
      <c r="C9531" s="24" t="s">
        <v>213</v>
      </c>
      <c r="D9531" s="41">
        <v>425</v>
      </c>
      <c r="E9531" s="31">
        <f t="shared" si="931"/>
        <v>1415.25</v>
      </c>
      <c r="F9531" s="32"/>
      <c r="M9531" s="15"/>
    </row>
    <row r="9532" spans="1:13" s="166" customFormat="1" ht="12.75" customHeight="1">
      <c r="A9532" s="12" t="s">
        <v>1037</v>
      </c>
      <c r="B9532" s="434">
        <f>SUM(B9529:B9529)</f>
        <v>4.92</v>
      </c>
      <c r="C9532" s="24" t="s">
        <v>4</v>
      </c>
      <c r="D9532" s="41">
        <f t="shared" si="932"/>
        <v>486.5</v>
      </c>
      <c r="E9532" s="31">
        <f t="shared" si="931"/>
        <v>2393.58</v>
      </c>
      <c r="F9532" s="32"/>
      <c r="M9532" s="15"/>
    </row>
    <row r="9533" spans="1:13" s="166" customFormat="1" ht="12.75" customHeight="1">
      <c r="A9533" s="12" t="s">
        <v>1688</v>
      </c>
      <c r="B9533" s="434">
        <v>1</v>
      </c>
      <c r="C9533" s="24" t="s">
        <v>825</v>
      </c>
      <c r="D9533" s="41">
        <f t="shared" si="932"/>
        <v>600.29999999999995</v>
      </c>
      <c r="E9533" s="31">
        <f t="shared" si="931"/>
        <v>600.29999999999995</v>
      </c>
      <c r="F9533" s="32"/>
      <c r="M9533" s="15"/>
    </row>
    <row r="9534" spans="1:13" s="166" customFormat="1" ht="12.75" customHeight="1">
      <c r="A9534" s="12" t="s">
        <v>208</v>
      </c>
      <c r="B9534" s="434">
        <f>SUM(E9528:E9531)</f>
        <v>24942.15</v>
      </c>
      <c r="C9534" s="24" t="s">
        <v>209</v>
      </c>
      <c r="D9534" s="41">
        <f t="shared" si="932"/>
        <v>0.02</v>
      </c>
      <c r="E9534" s="31">
        <f t="shared" si="931"/>
        <v>498.84300000000002</v>
      </c>
      <c r="F9534" s="32">
        <f>SUM(E9528:E9534)</f>
        <v>28434.873000000003</v>
      </c>
      <c r="M9534" s="15"/>
    </row>
    <row r="9535" spans="1:13" s="166" customFormat="1" ht="12.75" customHeight="1">
      <c r="A9535" s="13"/>
      <c r="B9535" s="434"/>
      <c r="C9535" s="24"/>
      <c r="D9535" s="41"/>
      <c r="E9535" s="31"/>
      <c r="F9535" s="32"/>
      <c r="M9535" s="15"/>
    </row>
    <row r="9536" spans="1:13" s="166" customFormat="1" ht="12.75" customHeight="1">
      <c r="A9536" s="13" t="s">
        <v>1962</v>
      </c>
      <c r="B9536" s="434"/>
      <c r="C9536" s="24"/>
      <c r="D9536" s="41"/>
      <c r="E9536" s="31"/>
      <c r="F9536" s="32"/>
      <c r="M9536" s="15"/>
    </row>
    <row r="9537" spans="1:13" s="166" customFormat="1" ht="12.75" customHeight="1">
      <c r="A9537" s="12" t="s">
        <v>1687</v>
      </c>
      <c r="B9537" s="434">
        <v>1.05</v>
      </c>
      <c r="C9537" s="24" t="s">
        <v>825</v>
      </c>
      <c r="D9537" s="41">
        <f>D9528</f>
        <v>6850</v>
      </c>
      <c r="E9537" s="31">
        <f t="shared" ref="E9537:E9543" si="933">B9537*D9537</f>
        <v>7192.5</v>
      </c>
      <c r="F9537" s="32"/>
      <c r="M9537" s="15"/>
    </row>
    <row r="9538" spans="1:13" s="166" customFormat="1" ht="12.75" customHeight="1">
      <c r="A9538" s="12" t="s">
        <v>1686</v>
      </c>
      <c r="B9538" s="434">
        <v>6.22</v>
      </c>
      <c r="C9538" s="24" t="s">
        <v>4</v>
      </c>
      <c r="D9538" s="41">
        <f t="shared" ref="D9538:D9543" si="934">D9529</f>
        <v>3200</v>
      </c>
      <c r="E9538" s="31">
        <f t="shared" si="933"/>
        <v>19904</v>
      </c>
      <c r="F9538" s="32"/>
      <c r="M9538" s="15"/>
    </row>
    <row r="9539" spans="1:13" s="166" customFormat="1" ht="12.75" customHeight="1">
      <c r="A9539" s="12" t="s">
        <v>1198</v>
      </c>
      <c r="B9539" s="434">
        <f>B9541*2</f>
        <v>12.44</v>
      </c>
      <c r="C9539" s="24" t="s">
        <v>1204</v>
      </c>
      <c r="D9539" s="41">
        <f t="shared" si="934"/>
        <v>60</v>
      </c>
      <c r="E9539" s="31">
        <f t="shared" si="933"/>
        <v>746.4</v>
      </c>
      <c r="F9539" s="32"/>
      <c r="M9539" s="15"/>
    </row>
    <row r="9540" spans="1:13" s="166" customFormat="1" ht="12.75" customHeight="1">
      <c r="A9540" s="12" t="s">
        <v>1961</v>
      </c>
      <c r="B9540" s="434">
        <v>3.33</v>
      </c>
      <c r="C9540" s="24" t="s">
        <v>213</v>
      </c>
      <c r="D9540" s="41">
        <v>425</v>
      </c>
      <c r="E9540" s="31">
        <f t="shared" si="933"/>
        <v>1415.25</v>
      </c>
      <c r="F9540" s="32"/>
      <c r="M9540" s="15"/>
    </row>
    <row r="9541" spans="1:13" s="166" customFormat="1" ht="12.75" customHeight="1">
      <c r="A9541" s="12" t="s">
        <v>1037</v>
      </c>
      <c r="B9541" s="434">
        <f>SUM(B9538:B9538)</f>
        <v>6.22</v>
      </c>
      <c r="C9541" s="24" t="s">
        <v>4</v>
      </c>
      <c r="D9541" s="41">
        <f t="shared" si="934"/>
        <v>486.5</v>
      </c>
      <c r="E9541" s="31">
        <f t="shared" si="933"/>
        <v>3026.0299999999997</v>
      </c>
      <c r="F9541" s="32"/>
      <c r="M9541" s="15"/>
    </row>
    <row r="9542" spans="1:13" s="166" customFormat="1" ht="12.75" customHeight="1">
      <c r="A9542" s="12" t="s">
        <v>1688</v>
      </c>
      <c r="B9542" s="434">
        <v>1</v>
      </c>
      <c r="C9542" s="24" t="s">
        <v>825</v>
      </c>
      <c r="D9542" s="41">
        <f t="shared" si="934"/>
        <v>600.29999999999995</v>
      </c>
      <c r="E9542" s="31">
        <f t="shared" si="933"/>
        <v>600.29999999999995</v>
      </c>
      <c r="F9542" s="32"/>
      <c r="M9542" s="15"/>
    </row>
    <row r="9543" spans="1:13" s="166" customFormat="1" ht="12.75" customHeight="1">
      <c r="A9543" s="12" t="s">
        <v>208</v>
      </c>
      <c r="B9543" s="434">
        <f>SUM(E9537:E9540)</f>
        <v>29258.15</v>
      </c>
      <c r="C9543" s="24" t="s">
        <v>209</v>
      </c>
      <c r="D9543" s="41">
        <f t="shared" si="934"/>
        <v>0.02</v>
      </c>
      <c r="E9543" s="31">
        <f t="shared" si="933"/>
        <v>585.16300000000001</v>
      </c>
      <c r="F9543" s="32">
        <f>SUM(E9537:E9543)</f>
        <v>33469.643000000004</v>
      </c>
      <c r="M9543" s="15"/>
    </row>
    <row r="9544" spans="1:13" s="166" customFormat="1" ht="12.75" customHeight="1">
      <c r="A9544" s="13"/>
      <c r="B9544" s="434"/>
      <c r="C9544" s="24"/>
      <c r="D9544" s="41"/>
      <c r="E9544" s="31"/>
      <c r="F9544" s="32"/>
      <c r="M9544" s="15"/>
    </row>
    <row r="9545" spans="1:13" s="166" customFormat="1" ht="12.75" customHeight="1">
      <c r="A9545" s="13" t="s">
        <v>1972</v>
      </c>
      <c r="B9545" s="434"/>
      <c r="C9545" s="24"/>
      <c r="D9545" s="41"/>
      <c r="E9545" s="31"/>
      <c r="F9545" s="32"/>
      <c r="M9545" s="15"/>
    </row>
    <row r="9546" spans="1:13" s="166" customFormat="1" ht="12.75" customHeight="1">
      <c r="A9546" s="12" t="s">
        <v>1687</v>
      </c>
      <c r="B9546" s="434">
        <v>1.05</v>
      </c>
      <c r="C9546" s="24" t="s">
        <v>825</v>
      </c>
      <c r="D9546" s="41">
        <f>D9537</f>
        <v>6850</v>
      </c>
      <c r="E9546" s="31">
        <f t="shared" ref="E9546:E9552" si="935">B9546*D9546</f>
        <v>7192.5</v>
      </c>
      <c r="F9546" s="32"/>
      <c r="M9546" s="15"/>
    </row>
    <row r="9547" spans="1:13" s="166" customFormat="1" ht="12.75" customHeight="1">
      <c r="A9547" s="12" t="s">
        <v>1686</v>
      </c>
      <c r="B9547" s="434">
        <v>5.98</v>
      </c>
      <c r="C9547" s="24" t="s">
        <v>4</v>
      </c>
      <c r="D9547" s="41">
        <f t="shared" ref="D9547:D9552" si="936">D9538</f>
        <v>3200</v>
      </c>
      <c r="E9547" s="31">
        <f t="shared" si="935"/>
        <v>19136</v>
      </c>
      <c r="F9547" s="32"/>
      <c r="M9547" s="15"/>
    </row>
    <row r="9548" spans="1:13" s="166" customFormat="1" ht="12.75" customHeight="1">
      <c r="A9548" s="12" t="s">
        <v>1198</v>
      </c>
      <c r="B9548" s="434">
        <f>B9550*2</f>
        <v>11.96</v>
      </c>
      <c r="C9548" s="24" t="s">
        <v>1204</v>
      </c>
      <c r="D9548" s="41">
        <f t="shared" si="936"/>
        <v>60</v>
      </c>
      <c r="E9548" s="31">
        <f t="shared" si="935"/>
        <v>717.6</v>
      </c>
      <c r="F9548" s="32"/>
      <c r="M9548" s="15"/>
    </row>
    <row r="9549" spans="1:13" s="166" customFormat="1" ht="12.75" customHeight="1">
      <c r="A9549" s="12" t="s">
        <v>1961</v>
      </c>
      <c r="B9549" s="434">
        <v>3.33</v>
      </c>
      <c r="C9549" s="24" t="s">
        <v>213</v>
      </c>
      <c r="D9549" s="41">
        <v>425</v>
      </c>
      <c r="E9549" s="31">
        <f t="shared" si="935"/>
        <v>1415.25</v>
      </c>
      <c r="F9549" s="32"/>
      <c r="M9549" s="15"/>
    </row>
    <row r="9550" spans="1:13" s="166" customFormat="1" ht="12.75" customHeight="1">
      <c r="A9550" s="12" t="s">
        <v>1037</v>
      </c>
      <c r="B9550" s="434">
        <f>SUM(B9547:B9547)</f>
        <v>5.98</v>
      </c>
      <c r="C9550" s="24" t="s">
        <v>4</v>
      </c>
      <c r="D9550" s="41">
        <f t="shared" si="936"/>
        <v>486.5</v>
      </c>
      <c r="E9550" s="31">
        <f t="shared" si="935"/>
        <v>2909.27</v>
      </c>
      <c r="F9550" s="32"/>
      <c r="M9550" s="15"/>
    </row>
    <row r="9551" spans="1:13" s="166" customFormat="1" ht="12.75" customHeight="1">
      <c r="A9551" s="12" t="s">
        <v>1688</v>
      </c>
      <c r="B9551" s="434">
        <v>1</v>
      </c>
      <c r="C9551" s="24" t="s">
        <v>825</v>
      </c>
      <c r="D9551" s="41">
        <f t="shared" si="936"/>
        <v>600.29999999999995</v>
      </c>
      <c r="E9551" s="31">
        <f t="shared" si="935"/>
        <v>600.29999999999995</v>
      </c>
      <c r="F9551" s="32"/>
      <c r="M9551" s="15"/>
    </row>
    <row r="9552" spans="1:13" s="166" customFormat="1" ht="12.75" customHeight="1">
      <c r="A9552" s="12" t="s">
        <v>208</v>
      </c>
      <c r="B9552" s="434">
        <f>SUM(E9546:E9549)</f>
        <v>28461.35</v>
      </c>
      <c r="C9552" s="24" t="s">
        <v>209</v>
      </c>
      <c r="D9552" s="41">
        <f t="shared" si="936"/>
        <v>0.02</v>
      </c>
      <c r="E9552" s="31">
        <f t="shared" si="935"/>
        <v>569.22699999999998</v>
      </c>
      <c r="F9552" s="32">
        <f>SUM(E9546:E9552)</f>
        <v>32540.146999999997</v>
      </c>
      <c r="M9552" s="15"/>
    </row>
    <row r="9553" spans="1:13" s="166" customFormat="1" ht="12.75" customHeight="1">
      <c r="A9553" s="13"/>
      <c r="B9553" s="434"/>
      <c r="C9553" s="24"/>
      <c r="D9553" s="41"/>
      <c r="E9553" s="31"/>
      <c r="F9553" s="32"/>
      <c r="M9553" s="15"/>
    </row>
    <row r="9554" spans="1:13" s="166" customFormat="1" ht="12.75" customHeight="1">
      <c r="A9554" s="13" t="s">
        <v>1973</v>
      </c>
      <c r="B9554" s="434"/>
      <c r="C9554" s="24"/>
      <c r="D9554" s="41"/>
      <c r="E9554" s="31"/>
      <c r="F9554" s="32"/>
      <c r="M9554" s="15"/>
    </row>
    <row r="9555" spans="1:13" s="166" customFormat="1" ht="12.75" customHeight="1">
      <c r="A9555" s="12" t="s">
        <v>1687</v>
      </c>
      <c r="B9555" s="434">
        <v>1.05</v>
      </c>
      <c r="C9555" s="24" t="s">
        <v>825</v>
      </c>
      <c r="D9555" s="41">
        <f>D9546</f>
        <v>6850</v>
      </c>
      <c r="E9555" s="31">
        <f t="shared" ref="E9555:E9561" si="937">B9555*D9555</f>
        <v>7192.5</v>
      </c>
      <c r="F9555" s="32"/>
      <c r="M9555" s="15"/>
    </row>
    <row r="9556" spans="1:13" s="166" customFormat="1" ht="12.75" customHeight="1">
      <c r="A9556" s="12" t="s">
        <v>1686</v>
      </c>
      <c r="B9556" s="434">
        <v>4.46</v>
      </c>
      <c r="C9556" s="24" t="s">
        <v>4</v>
      </c>
      <c r="D9556" s="41">
        <f t="shared" ref="D9556:D9561" si="938">D9547</f>
        <v>3200</v>
      </c>
      <c r="E9556" s="31">
        <f t="shared" si="937"/>
        <v>14272</v>
      </c>
      <c r="F9556" s="32"/>
      <c r="M9556" s="15"/>
    </row>
    <row r="9557" spans="1:13" s="166" customFormat="1" ht="12.75" customHeight="1">
      <c r="A9557" s="12" t="s">
        <v>1198</v>
      </c>
      <c r="B9557" s="434">
        <f>B9559*2</f>
        <v>8.92</v>
      </c>
      <c r="C9557" s="24" t="s">
        <v>1204</v>
      </c>
      <c r="D9557" s="41">
        <f t="shared" si="938"/>
        <v>60</v>
      </c>
      <c r="E9557" s="31">
        <f t="shared" si="937"/>
        <v>535.20000000000005</v>
      </c>
      <c r="F9557" s="32"/>
      <c r="M9557" s="15"/>
    </row>
    <row r="9558" spans="1:13" s="166" customFormat="1" ht="12.75" customHeight="1">
      <c r="A9558" s="12" t="s">
        <v>1961</v>
      </c>
      <c r="B9558" s="434">
        <v>3.33</v>
      </c>
      <c r="C9558" s="24" t="s">
        <v>213</v>
      </c>
      <c r="D9558" s="41">
        <v>425</v>
      </c>
      <c r="E9558" s="31">
        <f t="shared" si="937"/>
        <v>1415.25</v>
      </c>
      <c r="F9558" s="32"/>
      <c r="M9558" s="15"/>
    </row>
    <row r="9559" spans="1:13" s="166" customFormat="1" ht="12.75" customHeight="1">
      <c r="A9559" s="12" t="s">
        <v>1037</v>
      </c>
      <c r="B9559" s="434">
        <f>SUM(B9556:B9556)</f>
        <v>4.46</v>
      </c>
      <c r="C9559" s="24" t="s">
        <v>4</v>
      </c>
      <c r="D9559" s="41">
        <f t="shared" si="938"/>
        <v>486.5</v>
      </c>
      <c r="E9559" s="31">
        <f t="shared" si="937"/>
        <v>2169.79</v>
      </c>
      <c r="F9559" s="32"/>
      <c r="M9559" s="15"/>
    </row>
    <row r="9560" spans="1:13" s="166" customFormat="1" ht="12.75" customHeight="1">
      <c r="A9560" s="12" t="s">
        <v>1688</v>
      </c>
      <c r="B9560" s="434">
        <v>1</v>
      </c>
      <c r="C9560" s="24" t="s">
        <v>825</v>
      </c>
      <c r="D9560" s="41">
        <f t="shared" si="938"/>
        <v>600.29999999999995</v>
      </c>
      <c r="E9560" s="31">
        <f t="shared" si="937"/>
        <v>600.29999999999995</v>
      </c>
      <c r="F9560" s="32"/>
      <c r="M9560" s="15"/>
    </row>
    <row r="9561" spans="1:13" s="166" customFormat="1" ht="12.75" customHeight="1">
      <c r="A9561" s="12" t="s">
        <v>208</v>
      </c>
      <c r="B9561" s="434">
        <f>SUM(E9555:E9558)</f>
        <v>23414.95</v>
      </c>
      <c r="C9561" s="24" t="s">
        <v>209</v>
      </c>
      <c r="D9561" s="41">
        <f t="shared" si="938"/>
        <v>0.02</v>
      </c>
      <c r="E9561" s="31">
        <f t="shared" si="937"/>
        <v>468.29900000000004</v>
      </c>
      <c r="F9561" s="32">
        <f>SUM(E9555:E9561)</f>
        <v>26653.339</v>
      </c>
      <c r="M9561" s="15"/>
    </row>
    <row r="9562" spans="1:13" s="166" customFormat="1" ht="12.75" customHeight="1">
      <c r="A9562" s="13"/>
      <c r="B9562" s="434"/>
      <c r="C9562" s="24"/>
      <c r="D9562" s="41"/>
      <c r="E9562" s="31"/>
      <c r="F9562" s="32"/>
      <c r="M9562" s="15"/>
    </row>
    <row r="9563" spans="1:13" s="166" customFormat="1" ht="12.75" customHeight="1">
      <c r="A9563" s="13" t="s">
        <v>1974</v>
      </c>
      <c r="B9563" s="434"/>
      <c r="C9563" s="24"/>
      <c r="D9563" s="41"/>
      <c r="E9563" s="31"/>
      <c r="F9563" s="32"/>
      <c r="M9563" s="15"/>
    </row>
    <row r="9564" spans="1:13" s="166" customFormat="1" ht="12.75" customHeight="1">
      <c r="A9564" s="12" t="s">
        <v>1687</v>
      </c>
      <c r="B9564" s="434">
        <v>1.05</v>
      </c>
      <c r="C9564" s="24" t="s">
        <v>825</v>
      </c>
      <c r="D9564" s="41">
        <f>D9555</f>
        <v>6850</v>
      </c>
      <c r="E9564" s="31">
        <f t="shared" ref="E9564:E9570" si="939">B9564*D9564</f>
        <v>7192.5</v>
      </c>
      <c r="F9564" s="32"/>
      <c r="M9564" s="15"/>
    </row>
    <row r="9565" spans="1:13" s="166" customFormat="1" ht="12.75" customHeight="1">
      <c r="A9565" s="12" t="s">
        <v>1686</v>
      </c>
      <c r="B9565" s="434">
        <v>4.45</v>
      </c>
      <c r="C9565" s="24" t="s">
        <v>4</v>
      </c>
      <c r="D9565" s="41">
        <f t="shared" ref="D9565:D9570" si="940">D9556</f>
        <v>3200</v>
      </c>
      <c r="E9565" s="31">
        <f t="shared" si="939"/>
        <v>14240</v>
      </c>
      <c r="F9565" s="32"/>
      <c r="M9565" s="15"/>
    </row>
    <row r="9566" spans="1:13" s="166" customFormat="1" ht="12.75" customHeight="1">
      <c r="A9566" s="12" t="s">
        <v>1198</v>
      </c>
      <c r="B9566" s="434">
        <f>B9568*2</f>
        <v>8.9</v>
      </c>
      <c r="C9566" s="24" t="s">
        <v>1204</v>
      </c>
      <c r="D9566" s="41">
        <f t="shared" si="940"/>
        <v>60</v>
      </c>
      <c r="E9566" s="31">
        <f t="shared" si="939"/>
        <v>534</v>
      </c>
      <c r="F9566" s="32"/>
      <c r="M9566" s="15"/>
    </row>
    <row r="9567" spans="1:13" s="166" customFormat="1" ht="12.75" customHeight="1">
      <c r="A9567" s="12" t="s">
        <v>1961</v>
      </c>
      <c r="B9567" s="434">
        <v>3.33</v>
      </c>
      <c r="C9567" s="24" t="s">
        <v>213</v>
      </c>
      <c r="D9567" s="41">
        <v>425</v>
      </c>
      <c r="E9567" s="31">
        <f t="shared" si="939"/>
        <v>1415.25</v>
      </c>
      <c r="F9567" s="32"/>
      <c r="M9567" s="15"/>
    </row>
    <row r="9568" spans="1:13" s="166" customFormat="1" ht="12.75" customHeight="1">
      <c r="A9568" s="12" t="s">
        <v>1037</v>
      </c>
      <c r="B9568" s="434">
        <f>SUM(B9565:B9565)</f>
        <v>4.45</v>
      </c>
      <c r="C9568" s="24" t="s">
        <v>4</v>
      </c>
      <c r="D9568" s="41">
        <f t="shared" si="940"/>
        <v>486.5</v>
      </c>
      <c r="E9568" s="31">
        <f t="shared" si="939"/>
        <v>2164.9250000000002</v>
      </c>
      <c r="F9568" s="32"/>
      <c r="M9568" s="15"/>
    </row>
    <row r="9569" spans="1:13" s="166" customFormat="1" ht="12.75" customHeight="1">
      <c r="A9569" s="12" t="s">
        <v>1688</v>
      </c>
      <c r="B9569" s="434">
        <v>1</v>
      </c>
      <c r="C9569" s="24" t="s">
        <v>825</v>
      </c>
      <c r="D9569" s="41">
        <f t="shared" si="940"/>
        <v>600.29999999999995</v>
      </c>
      <c r="E9569" s="31">
        <f t="shared" si="939"/>
        <v>600.29999999999995</v>
      </c>
      <c r="F9569" s="32"/>
      <c r="M9569" s="15"/>
    </row>
    <row r="9570" spans="1:13" s="166" customFormat="1" ht="12.75" customHeight="1">
      <c r="A9570" s="12" t="s">
        <v>208</v>
      </c>
      <c r="B9570" s="434">
        <f>SUM(E9564:E9567)</f>
        <v>23381.75</v>
      </c>
      <c r="C9570" s="24" t="s">
        <v>209</v>
      </c>
      <c r="D9570" s="41">
        <f t="shared" si="940"/>
        <v>0.02</v>
      </c>
      <c r="E9570" s="31">
        <f t="shared" si="939"/>
        <v>467.63499999999999</v>
      </c>
      <c r="F9570" s="32">
        <f>SUM(E9564:E9570)</f>
        <v>26614.609999999997</v>
      </c>
      <c r="M9570" s="15"/>
    </row>
    <row r="9571" spans="1:13" s="166" customFormat="1" ht="12.75" customHeight="1">
      <c r="A9571" s="13"/>
      <c r="B9571" s="434"/>
      <c r="C9571" s="24"/>
      <c r="D9571" s="41"/>
      <c r="E9571" s="31"/>
      <c r="F9571" s="32"/>
      <c r="M9571" s="15"/>
    </row>
    <row r="9572" spans="1:13" s="166" customFormat="1" ht="12.75" customHeight="1">
      <c r="A9572" s="13" t="s">
        <v>1975</v>
      </c>
      <c r="B9572" s="434"/>
      <c r="C9572" s="24"/>
      <c r="D9572" s="41"/>
      <c r="E9572" s="31"/>
      <c r="F9572" s="32"/>
      <c r="M9572" s="15"/>
    </row>
    <row r="9573" spans="1:13" s="166" customFormat="1" ht="12.75" customHeight="1">
      <c r="A9573" s="12" t="s">
        <v>1687</v>
      </c>
      <c r="B9573" s="434">
        <v>1.05</v>
      </c>
      <c r="C9573" s="24" t="s">
        <v>825</v>
      </c>
      <c r="D9573" s="41">
        <f>D9564</f>
        <v>6850</v>
      </c>
      <c r="E9573" s="31">
        <f t="shared" ref="E9573:E9579" si="941">B9573*D9573</f>
        <v>7192.5</v>
      </c>
      <c r="F9573" s="32"/>
      <c r="M9573" s="15"/>
    </row>
    <row r="9574" spans="1:13" s="166" customFormat="1" ht="12.75" customHeight="1">
      <c r="A9574" s="12" t="s">
        <v>1686</v>
      </c>
      <c r="B9574" s="434">
        <v>3.94</v>
      </c>
      <c r="C9574" s="24" t="s">
        <v>4</v>
      </c>
      <c r="D9574" s="41">
        <f t="shared" ref="D9574:D9579" si="942">D9565</f>
        <v>3200</v>
      </c>
      <c r="E9574" s="31">
        <f t="shared" si="941"/>
        <v>12608</v>
      </c>
      <c r="F9574" s="32"/>
      <c r="M9574" s="15"/>
    </row>
    <row r="9575" spans="1:13" s="166" customFormat="1" ht="12.75" customHeight="1">
      <c r="A9575" s="12" t="s">
        <v>1198</v>
      </c>
      <c r="B9575" s="434">
        <f>B9577*2</f>
        <v>7.88</v>
      </c>
      <c r="C9575" s="24" t="s">
        <v>1204</v>
      </c>
      <c r="D9575" s="41">
        <f t="shared" si="942"/>
        <v>60</v>
      </c>
      <c r="E9575" s="31">
        <f t="shared" si="941"/>
        <v>472.8</v>
      </c>
      <c r="F9575" s="32"/>
      <c r="M9575" s="15"/>
    </row>
    <row r="9576" spans="1:13" s="166" customFormat="1" ht="12.75" customHeight="1">
      <c r="A9576" s="12" t="s">
        <v>1984</v>
      </c>
      <c r="B9576" s="434">
        <v>2.5</v>
      </c>
      <c r="C9576" s="24" t="s">
        <v>213</v>
      </c>
      <c r="D9576" s="41">
        <v>425</v>
      </c>
      <c r="E9576" s="31">
        <f t="shared" si="941"/>
        <v>1062.5</v>
      </c>
      <c r="F9576" s="32"/>
      <c r="M9576" s="15"/>
    </row>
    <row r="9577" spans="1:13" s="166" customFormat="1" ht="12.75" customHeight="1">
      <c r="A9577" s="12" t="s">
        <v>1037</v>
      </c>
      <c r="B9577" s="434">
        <f>SUM(B9574:B9574)</f>
        <v>3.94</v>
      </c>
      <c r="C9577" s="24" t="s">
        <v>4</v>
      </c>
      <c r="D9577" s="41">
        <f t="shared" si="942"/>
        <v>486.5</v>
      </c>
      <c r="E9577" s="31">
        <f t="shared" si="941"/>
        <v>1916.81</v>
      </c>
      <c r="F9577" s="32"/>
      <c r="M9577" s="15"/>
    </row>
    <row r="9578" spans="1:13" s="166" customFormat="1" ht="12.75" customHeight="1">
      <c r="A9578" s="12" t="s">
        <v>1688</v>
      </c>
      <c r="B9578" s="434">
        <v>1</v>
      </c>
      <c r="C9578" s="24" t="s">
        <v>825</v>
      </c>
      <c r="D9578" s="41">
        <f t="shared" si="942"/>
        <v>600.29999999999995</v>
      </c>
      <c r="E9578" s="31">
        <f t="shared" si="941"/>
        <v>600.29999999999995</v>
      </c>
      <c r="F9578" s="32"/>
      <c r="M9578" s="15"/>
    </row>
    <row r="9579" spans="1:13" s="166" customFormat="1" ht="12.75" customHeight="1">
      <c r="A9579" s="12" t="s">
        <v>208</v>
      </c>
      <c r="B9579" s="434">
        <f>SUM(E9573:E9576)</f>
        <v>21335.8</v>
      </c>
      <c r="C9579" s="24" t="s">
        <v>209</v>
      </c>
      <c r="D9579" s="41">
        <f t="shared" si="942"/>
        <v>0.02</v>
      </c>
      <c r="E9579" s="31">
        <f t="shared" si="941"/>
        <v>426.71600000000001</v>
      </c>
      <c r="F9579" s="32">
        <f>SUM(E9573:E9579)</f>
        <v>24279.626</v>
      </c>
      <c r="M9579" s="15"/>
    </row>
    <row r="9580" spans="1:13" s="166" customFormat="1" ht="12.75" customHeight="1">
      <c r="A9580" s="13"/>
      <c r="B9580" s="434"/>
      <c r="C9580" s="24"/>
      <c r="D9580" s="41"/>
      <c r="E9580" s="31"/>
      <c r="F9580" s="32"/>
      <c r="M9580" s="15"/>
    </row>
    <row r="9581" spans="1:13" s="166" customFormat="1" ht="12.75" customHeight="1">
      <c r="A9581" s="13" t="s">
        <v>1976</v>
      </c>
      <c r="B9581" s="434"/>
      <c r="C9581" s="24"/>
      <c r="D9581" s="41"/>
      <c r="E9581" s="31"/>
      <c r="F9581" s="32"/>
      <c r="M9581" s="15"/>
    </row>
    <row r="9582" spans="1:13" s="166" customFormat="1" ht="12.75" customHeight="1">
      <c r="A9582" s="12" t="s">
        <v>1687</v>
      </c>
      <c r="B9582" s="434">
        <v>1.05</v>
      </c>
      <c r="C9582" s="24" t="s">
        <v>825</v>
      </c>
      <c r="D9582" s="41">
        <f>D9573</f>
        <v>6850</v>
      </c>
      <c r="E9582" s="31">
        <f t="shared" ref="E9582:E9588" si="943">B9582*D9582</f>
        <v>7192.5</v>
      </c>
      <c r="F9582" s="32"/>
      <c r="M9582" s="15"/>
    </row>
    <row r="9583" spans="1:13" s="166" customFormat="1" ht="12.75" customHeight="1">
      <c r="A9583" s="12" t="s">
        <v>1686</v>
      </c>
      <c r="B9583" s="434">
        <v>3.69</v>
      </c>
      <c r="C9583" s="24" t="s">
        <v>4</v>
      </c>
      <c r="D9583" s="41">
        <f t="shared" ref="D9583:D9588" si="944">D9574</f>
        <v>3200</v>
      </c>
      <c r="E9583" s="31">
        <f t="shared" si="943"/>
        <v>11808</v>
      </c>
      <c r="F9583" s="32"/>
      <c r="M9583" s="15"/>
    </row>
    <row r="9584" spans="1:13" s="166" customFormat="1" ht="12.75" customHeight="1">
      <c r="A9584" s="12" t="s">
        <v>1198</v>
      </c>
      <c r="B9584" s="434">
        <f>B9586*2</f>
        <v>7.38</v>
      </c>
      <c r="C9584" s="24" t="s">
        <v>1204</v>
      </c>
      <c r="D9584" s="41">
        <f t="shared" si="944"/>
        <v>60</v>
      </c>
      <c r="E9584" s="31">
        <f t="shared" si="943"/>
        <v>442.8</v>
      </c>
      <c r="F9584" s="32"/>
      <c r="M9584" s="15"/>
    </row>
    <row r="9585" spans="1:13" s="166" customFormat="1" ht="12.75" customHeight="1">
      <c r="A9585" s="12" t="s">
        <v>1984</v>
      </c>
      <c r="B9585" s="434">
        <v>2.5</v>
      </c>
      <c r="C9585" s="24" t="s">
        <v>213</v>
      </c>
      <c r="D9585" s="41">
        <v>425</v>
      </c>
      <c r="E9585" s="31">
        <f t="shared" si="943"/>
        <v>1062.5</v>
      </c>
      <c r="F9585" s="32"/>
      <c r="M9585" s="15"/>
    </row>
    <row r="9586" spans="1:13" s="166" customFormat="1" ht="12.75" customHeight="1">
      <c r="A9586" s="12" t="s">
        <v>1037</v>
      </c>
      <c r="B9586" s="434">
        <f>SUM(B9583:B9583)</f>
        <v>3.69</v>
      </c>
      <c r="C9586" s="24" t="s">
        <v>4</v>
      </c>
      <c r="D9586" s="41">
        <f t="shared" si="944"/>
        <v>486.5</v>
      </c>
      <c r="E9586" s="31">
        <f t="shared" si="943"/>
        <v>1795.1849999999999</v>
      </c>
      <c r="F9586" s="32"/>
      <c r="M9586" s="15"/>
    </row>
    <row r="9587" spans="1:13" s="166" customFormat="1" ht="12.75" customHeight="1">
      <c r="A9587" s="12" t="s">
        <v>1688</v>
      </c>
      <c r="B9587" s="434">
        <v>1</v>
      </c>
      <c r="C9587" s="24" t="s">
        <v>825</v>
      </c>
      <c r="D9587" s="41">
        <f t="shared" si="944"/>
        <v>600.29999999999995</v>
      </c>
      <c r="E9587" s="31">
        <f t="shared" si="943"/>
        <v>600.29999999999995</v>
      </c>
      <c r="F9587" s="32"/>
      <c r="M9587" s="15"/>
    </row>
    <row r="9588" spans="1:13" s="166" customFormat="1" ht="12.75" customHeight="1">
      <c r="A9588" s="12" t="s">
        <v>208</v>
      </c>
      <c r="B9588" s="434">
        <f>SUM(E9582:E9585)</f>
        <v>20505.8</v>
      </c>
      <c r="C9588" s="24" t="s">
        <v>209</v>
      </c>
      <c r="D9588" s="41">
        <f t="shared" si="944"/>
        <v>0.02</v>
      </c>
      <c r="E9588" s="31">
        <f t="shared" si="943"/>
        <v>410.11599999999999</v>
      </c>
      <c r="F9588" s="32">
        <f>SUM(E9582:E9588)</f>
        <v>23311.400999999998</v>
      </c>
      <c r="M9588" s="15"/>
    </row>
    <row r="9589" spans="1:13" s="166" customFormat="1" ht="12.75" customHeight="1">
      <c r="A9589" s="13"/>
      <c r="B9589" s="434"/>
      <c r="C9589" s="24"/>
      <c r="D9589" s="41"/>
      <c r="E9589" s="31"/>
      <c r="F9589" s="32"/>
      <c r="M9589" s="15"/>
    </row>
    <row r="9590" spans="1:13" s="166" customFormat="1" ht="12.75" customHeight="1">
      <c r="A9590" s="13" t="s">
        <v>1977</v>
      </c>
      <c r="B9590" s="434"/>
      <c r="C9590" s="24"/>
      <c r="D9590" s="41"/>
      <c r="E9590" s="31"/>
      <c r="F9590" s="32"/>
      <c r="M9590" s="15"/>
    </row>
    <row r="9591" spans="1:13" s="166" customFormat="1" ht="12.75" customHeight="1">
      <c r="A9591" s="12" t="s">
        <v>1687</v>
      </c>
      <c r="B9591" s="434">
        <v>1.05</v>
      </c>
      <c r="C9591" s="24" t="s">
        <v>825</v>
      </c>
      <c r="D9591" s="41">
        <f>D9582</f>
        <v>6850</v>
      </c>
      <c r="E9591" s="31">
        <f t="shared" ref="E9591:E9597" si="945">B9591*D9591</f>
        <v>7192.5</v>
      </c>
      <c r="F9591" s="32"/>
      <c r="M9591" s="15"/>
    </row>
    <row r="9592" spans="1:13" s="166" customFormat="1" ht="12.75" customHeight="1">
      <c r="A9592" s="12" t="s">
        <v>1686</v>
      </c>
      <c r="B9592" s="434">
        <v>3.65</v>
      </c>
      <c r="C9592" s="24" t="s">
        <v>4</v>
      </c>
      <c r="D9592" s="41">
        <f t="shared" ref="D9592:D9597" si="946">D9583</f>
        <v>3200</v>
      </c>
      <c r="E9592" s="31">
        <f t="shared" si="945"/>
        <v>11680</v>
      </c>
      <c r="F9592" s="32"/>
      <c r="M9592" s="15"/>
    </row>
    <row r="9593" spans="1:13" s="166" customFormat="1" ht="12.75" customHeight="1">
      <c r="A9593" s="12" t="s">
        <v>1198</v>
      </c>
      <c r="B9593" s="434">
        <f>B9595*2</f>
        <v>7.3</v>
      </c>
      <c r="C9593" s="24" t="s">
        <v>1204</v>
      </c>
      <c r="D9593" s="41">
        <f t="shared" si="946"/>
        <v>60</v>
      </c>
      <c r="E9593" s="31">
        <f t="shared" si="945"/>
        <v>438</v>
      </c>
      <c r="F9593" s="32"/>
      <c r="M9593" s="15"/>
    </row>
    <row r="9594" spans="1:13" s="166" customFormat="1" ht="12.75" customHeight="1">
      <c r="A9594" s="12" t="s">
        <v>1984</v>
      </c>
      <c r="B9594" s="434">
        <v>2.5</v>
      </c>
      <c r="C9594" s="24" t="s">
        <v>213</v>
      </c>
      <c r="D9594" s="41">
        <v>425</v>
      </c>
      <c r="E9594" s="31">
        <f t="shared" si="945"/>
        <v>1062.5</v>
      </c>
      <c r="F9594" s="32"/>
      <c r="M9594" s="15"/>
    </row>
    <row r="9595" spans="1:13" s="166" customFormat="1" ht="12.75" customHeight="1">
      <c r="A9595" s="12" t="s">
        <v>1037</v>
      </c>
      <c r="B9595" s="434">
        <f>SUM(B9592:B9592)</f>
        <v>3.65</v>
      </c>
      <c r="C9595" s="24" t="s">
        <v>4</v>
      </c>
      <c r="D9595" s="41">
        <f t="shared" si="946"/>
        <v>486.5</v>
      </c>
      <c r="E9595" s="31">
        <f t="shared" si="945"/>
        <v>1775.7249999999999</v>
      </c>
      <c r="F9595" s="32"/>
      <c r="M9595" s="15"/>
    </row>
    <row r="9596" spans="1:13" s="166" customFormat="1" ht="12.75" customHeight="1">
      <c r="A9596" s="12" t="s">
        <v>1688</v>
      </c>
      <c r="B9596" s="434">
        <v>1</v>
      </c>
      <c r="C9596" s="24" t="s">
        <v>825</v>
      </c>
      <c r="D9596" s="41">
        <f t="shared" si="946"/>
        <v>600.29999999999995</v>
      </c>
      <c r="E9596" s="31">
        <f t="shared" si="945"/>
        <v>600.29999999999995</v>
      </c>
      <c r="F9596" s="32"/>
      <c r="M9596" s="15"/>
    </row>
    <row r="9597" spans="1:13" s="166" customFormat="1" ht="12.75" customHeight="1">
      <c r="A9597" s="12" t="s">
        <v>208</v>
      </c>
      <c r="B9597" s="434">
        <f>SUM(E9591:E9594)</f>
        <v>20373</v>
      </c>
      <c r="C9597" s="24" t="s">
        <v>209</v>
      </c>
      <c r="D9597" s="41">
        <f t="shared" si="946"/>
        <v>0.02</v>
      </c>
      <c r="E9597" s="31">
        <f t="shared" si="945"/>
        <v>407.46000000000004</v>
      </c>
      <c r="F9597" s="32">
        <f>SUM(E9591:E9597)</f>
        <v>23156.484999999997</v>
      </c>
      <c r="M9597" s="15"/>
    </row>
    <row r="9598" spans="1:13" s="166" customFormat="1" ht="12.75" customHeight="1">
      <c r="A9598" s="13"/>
      <c r="B9598" s="434"/>
      <c r="C9598" s="24"/>
      <c r="D9598" s="41"/>
      <c r="E9598" s="31"/>
      <c r="F9598" s="32"/>
      <c r="M9598" s="15"/>
    </row>
    <row r="9599" spans="1:13" s="166" customFormat="1" ht="12.75" customHeight="1">
      <c r="A9599" s="13" t="s">
        <v>1978</v>
      </c>
      <c r="B9599" s="434"/>
      <c r="C9599" s="24"/>
      <c r="D9599" s="41"/>
      <c r="E9599" s="31"/>
      <c r="F9599" s="32"/>
      <c r="M9599" s="15"/>
    </row>
    <row r="9600" spans="1:13" s="166" customFormat="1" ht="12.75" customHeight="1">
      <c r="A9600" s="12" t="s">
        <v>1687</v>
      </c>
      <c r="B9600" s="434">
        <v>1.05</v>
      </c>
      <c r="C9600" s="24" t="s">
        <v>825</v>
      </c>
      <c r="D9600" s="41">
        <f>D9591</f>
        <v>6850</v>
      </c>
      <c r="E9600" s="31">
        <f t="shared" ref="E9600:E9606" si="947">B9600*D9600</f>
        <v>7192.5</v>
      </c>
      <c r="F9600" s="32"/>
      <c r="M9600" s="15"/>
    </row>
    <row r="9601" spans="1:13" s="166" customFormat="1" ht="12.75" customHeight="1">
      <c r="A9601" s="12" t="s">
        <v>1686</v>
      </c>
      <c r="B9601" s="434">
        <v>4.5199999999999996</v>
      </c>
      <c r="C9601" s="24" t="s">
        <v>4</v>
      </c>
      <c r="D9601" s="41">
        <f t="shared" ref="D9601:D9606" si="948">D9592</f>
        <v>3200</v>
      </c>
      <c r="E9601" s="31">
        <f t="shared" si="947"/>
        <v>14463.999999999998</v>
      </c>
      <c r="F9601" s="32"/>
      <c r="M9601" s="15"/>
    </row>
    <row r="9602" spans="1:13" s="166" customFormat="1" ht="12.75" customHeight="1">
      <c r="A9602" s="12" t="s">
        <v>1198</v>
      </c>
      <c r="B9602" s="434">
        <f>B9604*2</f>
        <v>9.0399999999999991</v>
      </c>
      <c r="C9602" s="24" t="s">
        <v>1204</v>
      </c>
      <c r="D9602" s="41">
        <f t="shared" si="948"/>
        <v>60</v>
      </c>
      <c r="E9602" s="31">
        <f t="shared" si="947"/>
        <v>542.4</v>
      </c>
      <c r="F9602" s="32"/>
      <c r="M9602" s="15"/>
    </row>
    <row r="9603" spans="1:13" s="166" customFormat="1" ht="12.75" customHeight="1">
      <c r="A9603" s="12" t="s">
        <v>1961</v>
      </c>
      <c r="B9603" s="434">
        <v>3.33</v>
      </c>
      <c r="C9603" s="24" t="s">
        <v>213</v>
      </c>
      <c r="D9603" s="41">
        <v>425</v>
      </c>
      <c r="E9603" s="31">
        <f t="shared" si="947"/>
        <v>1415.25</v>
      </c>
      <c r="F9603" s="32"/>
      <c r="M9603" s="15"/>
    </row>
    <row r="9604" spans="1:13" s="166" customFormat="1" ht="12.75" customHeight="1">
      <c r="A9604" s="12" t="s">
        <v>1037</v>
      </c>
      <c r="B9604" s="434">
        <f>SUM(B9601:B9601)</f>
        <v>4.5199999999999996</v>
      </c>
      <c r="C9604" s="24" t="s">
        <v>4</v>
      </c>
      <c r="D9604" s="41">
        <f t="shared" si="948"/>
        <v>486.5</v>
      </c>
      <c r="E9604" s="31">
        <f t="shared" si="947"/>
        <v>2198.98</v>
      </c>
      <c r="F9604" s="32"/>
      <c r="M9604" s="15"/>
    </row>
    <row r="9605" spans="1:13" s="166" customFormat="1" ht="12.75" customHeight="1">
      <c r="A9605" s="12" t="s">
        <v>1688</v>
      </c>
      <c r="B9605" s="434">
        <v>1</v>
      </c>
      <c r="C9605" s="24" t="s">
        <v>825</v>
      </c>
      <c r="D9605" s="41">
        <f t="shared" si="948"/>
        <v>600.29999999999995</v>
      </c>
      <c r="E9605" s="31">
        <f t="shared" si="947"/>
        <v>600.29999999999995</v>
      </c>
      <c r="F9605" s="32"/>
      <c r="M9605" s="15"/>
    </row>
    <row r="9606" spans="1:13" s="166" customFormat="1" ht="12.75" customHeight="1">
      <c r="A9606" s="12" t="s">
        <v>208</v>
      </c>
      <c r="B9606" s="434">
        <f>SUM(E9600:E9603)</f>
        <v>23614.15</v>
      </c>
      <c r="C9606" s="24" t="s">
        <v>209</v>
      </c>
      <c r="D9606" s="41">
        <f t="shared" si="948"/>
        <v>0.02</v>
      </c>
      <c r="E9606" s="31">
        <f t="shared" si="947"/>
        <v>472.28300000000002</v>
      </c>
      <c r="F9606" s="32">
        <f>SUM(E9600:E9606)</f>
        <v>26885.713</v>
      </c>
      <c r="M9606" s="15"/>
    </row>
    <row r="9607" spans="1:13" s="166" customFormat="1" ht="12.75" customHeight="1">
      <c r="A9607" s="13"/>
      <c r="B9607" s="434"/>
      <c r="C9607" s="24"/>
      <c r="D9607" s="41"/>
      <c r="E9607" s="31"/>
      <c r="F9607" s="32"/>
      <c r="M9607" s="15"/>
    </row>
    <row r="9608" spans="1:13" s="166" customFormat="1" ht="12.75" customHeight="1">
      <c r="A9608" s="13" t="s">
        <v>1979</v>
      </c>
      <c r="B9608" s="434"/>
      <c r="C9608" s="24"/>
      <c r="D9608" s="41"/>
      <c r="E9608" s="31"/>
      <c r="F9608" s="32"/>
      <c r="M9608" s="15"/>
    </row>
    <row r="9609" spans="1:13" s="166" customFormat="1" ht="12.75" customHeight="1">
      <c r="A9609" s="12" t="s">
        <v>1687</v>
      </c>
      <c r="B9609" s="434">
        <v>1.05</v>
      </c>
      <c r="C9609" s="24" t="s">
        <v>825</v>
      </c>
      <c r="D9609" s="41">
        <f>D9600</f>
        <v>6850</v>
      </c>
      <c r="E9609" s="31">
        <f t="shared" ref="E9609:E9615" si="949">B9609*D9609</f>
        <v>7192.5</v>
      </c>
      <c r="F9609" s="32"/>
      <c r="M9609" s="15"/>
    </row>
    <row r="9610" spans="1:13" s="166" customFormat="1" ht="12.75" customHeight="1">
      <c r="A9610" s="12" t="s">
        <v>1686</v>
      </c>
      <c r="B9610" s="434">
        <v>4.58</v>
      </c>
      <c r="C9610" s="24" t="s">
        <v>4</v>
      </c>
      <c r="D9610" s="41">
        <f t="shared" ref="D9610:D9615" si="950">D9601</f>
        <v>3200</v>
      </c>
      <c r="E9610" s="31">
        <f t="shared" si="949"/>
        <v>14656</v>
      </c>
      <c r="F9610" s="32"/>
      <c r="M9610" s="15"/>
    </row>
    <row r="9611" spans="1:13" s="166" customFormat="1" ht="12.75" customHeight="1">
      <c r="A9611" s="12" t="s">
        <v>1198</v>
      </c>
      <c r="B9611" s="434">
        <f>B9613*2</f>
        <v>9.16</v>
      </c>
      <c r="C9611" s="24" t="s">
        <v>1204</v>
      </c>
      <c r="D9611" s="41">
        <f t="shared" si="950"/>
        <v>60</v>
      </c>
      <c r="E9611" s="31">
        <f t="shared" si="949"/>
        <v>549.6</v>
      </c>
      <c r="F9611" s="32"/>
      <c r="M9611" s="15"/>
    </row>
    <row r="9612" spans="1:13" s="166" customFormat="1" ht="12.75" customHeight="1">
      <c r="A9612" s="12" t="s">
        <v>1961</v>
      </c>
      <c r="B9612" s="434">
        <v>3.33</v>
      </c>
      <c r="C9612" s="24" t="s">
        <v>213</v>
      </c>
      <c r="D9612" s="41">
        <v>425</v>
      </c>
      <c r="E9612" s="31">
        <f t="shared" si="949"/>
        <v>1415.25</v>
      </c>
      <c r="F9612" s="32"/>
      <c r="M9612" s="15"/>
    </row>
    <row r="9613" spans="1:13" s="166" customFormat="1" ht="12.75" customHeight="1">
      <c r="A9613" s="12" t="s">
        <v>1037</v>
      </c>
      <c r="B9613" s="434">
        <f>SUM(B9610:B9610)</f>
        <v>4.58</v>
      </c>
      <c r="C9613" s="24" t="s">
        <v>4</v>
      </c>
      <c r="D9613" s="41">
        <f t="shared" si="950"/>
        <v>486.5</v>
      </c>
      <c r="E9613" s="31">
        <f t="shared" si="949"/>
        <v>2228.17</v>
      </c>
      <c r="F9613" s="32"/>
      <c r="M9613" s="15"/>
    </row>
    <row r="9614" spans="1:13" s="166" customFormat="1" ht="12.75" customHeight="1">
      <c r="A9614" s="12" t="s">
        <v>1688</v>
      </c>
      <c r="B9614" s="434">
        <v>1</v>
      </c>
      <c r="C9614" s="24" t="s">
        <v>825</v>
      </c>
      <c r="D9614" s="41">
        <f t="shared" si="950"/>
        <v>600.29999999999995</v>
      </c>
      <c r="E9614" s="31">
        <f t="shared" si="949"/>
        <v>600.29999999999995</v>
      </c>
      <c r="F9614" s="32"/>
      <c r="M9614" s="15"/>
    </row>
    <row r="9615" spans="1:13" s="166" customFormat="1" ht="12.75" customHeight="1">
      <c r="A9615" s="12" t="s">
        <v>208</v>
      </c>
      <c r="B9615" s="434">
        <f>SUM(E9609:E9612)</f>
        <v>23813.35</v>
      </c>
      <c r="C9615" s="24" t="s">
        <v>209</v>
      </c>
      <c r="D9615" s="41">
        <f t="shared" si="950"/>
        <v>0.02</v>
      </c>
      <c r="E9615" s="31">
        <f t="shared" si="949"/>
        <v>476.267</v>
      </c>
      <c r="F9615" s="32">
        <f>SUM(E9609:E9615)</f>
        <v>27118.086999999996</v>
      </c>
      <c r="M9615" s="15"/>
    </row>
    <row r="9616" spans="1:13" s="166" customFormat="1" ht="12.75" customHeight="1">
      <c r="A9616" s="13"/>
      <c r="B9616" s="434"/>
      <c r="C9616" s="24"/>
      <c r="D9616" s="41"/>
      <c r="E9616" s="31"/>
      <c r="F9616" s="32"/>
      <c r="M9616" s="15"/>
    </row>
    <row r="9617" spans="1:13" s="166" customFormat="1" ht="12.75" customHeight="1">
      <c r="A9617" s="13" t="s">
        <v>1980</v>
      </c>
      <c r="B9617" s="434"/>
      <c r="C9617" s="24"/>
      <c r="D9617" s="41"/>
      <c r="E9617" s="31"/>
      <c r="F9617" s="32"/>
      <c r="M9617" s="15"/>
    </row>
    <row r="9618" spans="1:13" s="166" customFormat="1" ht="12.75" customHeight="1">
      <c r="A9618" s="12" t="s">
        <v>1687</v>
      </c>
      <c r="B9618" s="434">
        <v>1.05</v>
      </c>
      <c r="C9618" s="24" t="s">
        <v>825</v>
      </c>
      <c r="D9618" s="41">
        <f>D9609</f>
        <v>6850</v>
      </c>
      <c r="E9618" s="31">
        <f t="shared" ref="E9618:E9624" si="951">B9618*D9618</f>
        <v>7192.5</v>
      </c>
      <c r="F9618" s="32"/>
      <c r="M9618" s="15"/>
    </row>
    <row r="9619" spans="1:13" s="166" customFormat="1" ht="12.75" customHeight="1">
      <c r="A9619" s="12" t="s">
        <v>1686</v>
      </c>
      <c r="B9619" s="434">
        <v>4.53</v>
      </c>
      <c r="C9619" s="24" t="s">
        <v>4</v>
      </c>
      <c r="D9619" s="41">
        <f t="shared" ref="D9619:D9624" si="952">D9610</f>
        <v>3200</v>
      </c>
      <c r="E9619" s="31">
        <f t="shared" si="951"/>
        <v>14496</v>
      </c>
      <c r="F9619" s="32"/>
      <c r="M9619" s="15"/>
    </row>
    <row r="9620" spans="1:13" s="166" customFormat="1" ht="12.75" customHeight="1">
      <c r="A9620" s="12" t="s">
        <v>1198</v>
      </c>
      <c r="B9620" s="434">
        <f>B9622*2</f>
        <v>9.06</v>
      </c>
      <c r="C9620" s="24" t="s">
        <v>1204</v>
      </c>
      <c r="D9620" s="41">
        <f t="shared" si="952"/>
        <v>60</v>
      </c>
      <c r="E9620" s="31">
        <f t="shared" si="951"/>
        <v>543.6</v>
      </c>
      <c r="F9620" s="32"/>
      <c r="M9620" s="15"/>
    </row>
    <row r="9621" spans="1:13" s="166" customFormat="1" ht="12.75" customHeight="1">
      <c r="A9621" s="12" t="s">
        <v>1961</v>
      </c>
      <c r="B9621" s="434">
        <v>3.33</v>
      </c>
      <c r="C9621" s="24" t="s">
        <v>213</v>
      </c>
      <c r="D9621" s="41">
        <v>425</v>
      </c>
      <c r="E9621" s="31">
        <f t="shared" si="951"/>
        <v>1415.25</v>
      </c>
      <c r="F9621" s="32"/>
      <c r="M9621" s="15"/>
    </row>
    <row r="9622" spans="1:13" s="166" customFormat="1" ht="12.75" customHeight="1">
      <c r="A9622" s="12" t="s">
        <v>1037</v>
      </c>
      <c r="B9622" s="434">
        <f>SUM(B9619:B9619)</f>
        <v>4.53</v>
      </c>
      <c r="C9622" s="24" t="s">
        <v>4</v>
      </c>
      <c r="D9622" s="41">
        <f t="shared" si="952"/>
        <v>486.5</v>
      </c>
      <c r="E9622" s="31">
        <f t="shared" si="951"/>
        <v>2203.8450000000003</v>
      </c>
      <c r="F9622" s="32"/>
      <c r="M9622" s="15"/>
    </row>
    <row r="9623" spans="1:13" s="166" customFormat="1" ht="12.75" customHeight="1">
      <c r="A9623" s="12" t="s">
        <v>1688</v>
      </c>
      <c r="B9623" s="434">
        <v>1</v>
      </c>
      <c r="C9623" s="24" t="s">
        <v>825</v>
      </c>
      <c r="D9623" s="41">
        <f t="shared" si="952"/>
        <v>600.29999999999995</v>
      </c>
      <c r="E9623" s="31">
        <f t="shared" si="951"/>
        <v>600.29999999999995</v>
      </c>
      <c r="F9623" s="32"/>
      <c r="M9623" s="15"/>
    </row>
    <row r="9624" spans="1:13" s="166" customFormat="1" ht="12.75" customHeight="1">
      <c r="A9624" s="12" t="s">
        <v>208</v>
      </c>
      <c r="B9624" s="434">
        <f>SUM(E9618:E9621)</f>
        <v>23647.35</v>
      </c>
      <c r="C9624" s="24" t="s">
        <v>209</v>
      </c>
      <c r="D9624" s="41">
        <f t="shared" si="952"/>
        <v>0.02</v>
      </c>
      <c r="E9624" s="31">
        <f t="shared" si="951"/>
        <v>472.947</v>
      </c>
      <c r="F9624" s="32">
        <f>SUM(E9618:E9624)</f>
        <v>26924.441999999999</v>
      </c>
      <c r="M9624" s="15"/>
    </row>
    <row r="9625" spans="1:13" s="166" customFormat="1" ht="12.75" customHeight="1">
      <c r="A9625" s="13"/>
      <c r="B9625" s="434"/>
      <c r="C9625" s="24"/>
      <c r="D9625" s="41"/>
      <c r="E9625" s="31"/>
      <c r="F9625" s="32"/>
      <c r="M9625" s="15"/>
    </row>
    <row r="9626" spans="1:13" s="166" customFormat="1" ht="12.75" customHeight="1">
      <c r="A9626" s="13" t="s">
        <v>1981</v>
      </c>
      <c r="B9626" s="434"/>
      <c r="C9626" s="24"/>
      <c r="D9626" s="41"/>
      <c r="E9626" s="31"/>
      <c r="F9626" s="32"/>
      <c r="M9626" s="15"/>
    </row>
    <row r="9627" spans="1:13" s="166" customFormat="1" ht="12.75" customHeight="1">
      <c r="A9627" s="12" t="s">
        <v>1687</v>
      </c>
      <c r="B9627" s="434">
        <v>1.05</v>
      </c>
      <c r="C9627" s="24" t="s">
        <v>825</v>
      </c>
      <c r="D9627" s="41">
        <f>D9618</f>
        <v>6850</v>
      </c>
      <c r="E9627" s="31">
        <f t="shared" ref="E9627:E9633" si="953">B9627*D9627</f>
        <v>7192.5</v>
      </c>
      <c r="F9627" s="32"/>
      <c r="M9627" s="15"/>
    </row>
    <row r="9628" spans="1:13" s="166" customFormat="1" ht="12.75" customHeight="1">
      <c r="A9628" s="12" t="s">
        <v>1686</v>
      </c>
      <c r="B9628" s="434">
        <v>5.0199999999999996</v>
      </c>
      <c r="C9628" s="24" t="s">
        <v>4</v>
      </c>
      <c r="D9628" s="41">
        <f t="shared" ref="D9628:D9633" si="954">D9619</f>
        <v>3200</v>
      </c>
      <c r="E9628" s="31">
        <f t="shared" si="953"/>
        <v>16063.999999999998</v>
      </c>
      <c r="F9628" s="32"/>
      <c r="M9628" s="15"/>
    </row>
    <row r="9629" spans="1:13" s="166" customFormat="1" ht="12.75" customHeight="1">
      <c r="A9629" s="12" t="s">
        <v>1198</v>
      </c>
      <c r="B9629" s="434">
        <f>B9631*2</f>
        <v>10.039999999999999</v>
      </c>
      <c r="C9629" s="24" t="s">
        <v>1204</v>
      </c>
      <c r="D9629" s="41">
        <f t="shared" si="954"/>
        <v>60</v>
      </c>
      <c r="E9629" s="31">
        <f t="shared" si="953"/>
        <v>602.4</v>
      </c>
      <c r="F9629" s="32"/>
      <c r="M9629" s="15"/>
    </row>
    <row r="9630" spans="1:13" s="166" customFormat="1" ht="12.75" customHeight="1">
      <c r="A9630" s="12" t="s">
        <v>1961</v>
      </c>
      <c r="B9630" s="434">
        <v>3.33</v>
      </c>
      <c r="C9630" s="24" t="s">
        <v>213</v>
      </c>
      <c r="D9630" s="41">
        <v>425</v>
      </c>
      <c r="E9630" s="31">
        <f t="shared" si="953"/>
        <v>1415.25</v>
      </c>
      <c r="F9630" s="32"/>
      <c r="M9630" s="15"/>
    </row>
    <row r="9631" spans="1:13" s="166" customFormat="1" ht="12.75" customHeight="1">
      <c r="A9631" s="12" t="s">
        <v>1037</v>
      </c>
      <c r="B9631" s="434">
        <f>SUM(B9628:B9628)</f>
        <v>5.0199999999999996</v>
      </c>
      <c r="C9631" s="24" t="s">
        <v>4</v>
      </c>
      <c r="D9631" s="41">
        <f t="shared" si="954"/>
        <v>486.5</v>
      </c>
      <c r="E9631" s="31">
        <f t="shared" si="953"/>
        <v>2442.23</v>
      </c>
      <c r="F9631" s="32"/>
      <c r="M9631" s="15"/>
    </row>
    <row r="9632" spans="1:13" s="166" customFormat="1" ht="12.75" customHeight="1">
      <c r="A9632" s="12" t="s">
        <v>1688</v>
      </c>
      <c r="B9632" s="434">
        <v>1</v>
      </c>
      <c r="C9632" s="24" t="s">
        <v>825</v>
      </c>
      <c r="D9632" s="41">
        <f t="shared" si="954"/>
        <v>600.29999999999995</v>
      </c>
      <c r="E9632" s="31">
        <f t="shared" si="953"/>
        <v>600.29999999999995</v>
      </c>
      <c r="F9632" s="32"/>
      <c r="M9632" s="15"/>
    </row>
    <row r="9633" spans="1:13" s="166" customFormat="1" ht="12.75" customHeight="1">
      <c r="A9633" s="12" t="s">
        <v>208</v>
      </c>
      <c r="B9633" s="434">
        <f>SUM(E9627:E9630)</f>
        <v>25274.15</v>
      </c>
      <c r="C9633" s="24" t="s">
        <v>209</v>
      </c>
      <c r="D9633" s="41">
        <f t="shared" si="954"/>
        <v>0.02</v>
      </c>
      <c r="E9633" s="31">
        <f t="shared" si="953"/>
        <v>505.48300000000006</v>
      </c>
      <c r="F9633" s="32">
        <f>SUM(E9627:E9633)</f>
        <v>28822.163</v>
      </c>
      <c r="M9633" s="15"/>
    </row>
    <row r="9634" spans="1:13" s="166" customFormat="1" ht="12.75" customHeight="1">
      <c r="A9634" s="13"/>
      <c r="B9634" s="434"/>
      <c r="C9634" s="24"/>
      <c r="D9634" s="41"/>
      <c r="E9634" s="31"/>
      <c r="F9634" s="32"/>
      <c r="M9634" s="15"/>
    </row>
    <row r="9635" spans="1:13" s="166" customFormat="1" ht="12.75" customHeight="1">
      <c r="A9635" s="13" t="s">
        <v>1982</v>
      </c>
      <c r="B9635" s="434"/>
      <c r="C9635" s="24"/>
      <c r="D9635" s="41"/>
      <c r="E9635" s="31"/>
      <c r="F9635" s="32"/>
      <c r="M9635" s="15"/>
    </row>
    <row r="9636" spans="1:13" s="166" customFormat="1" ht="12.75" customHeight="1">
      <c r="A9636" s="12" t="s">
        <v>1687</v>
      </c>
      <c r="B9636" s="434">
        <v>1.05</v>
      </c>
      <c r="C9636" s="24" t="s">
        <v>825</v>
      </c>
      <c r="D9636" s="41">
        <f>D9627</f>
        <v>6850</v>
      </c>
      <c r="E9636" s="31">
        <f t="shared" ref="E9636:E9642" si="955">B9636*D9636</f>
        <v>7192.5</v>
      </c>
      <c r="F9636" s="32"/>
      <c r="M9636" s="15"/>
    </row>
    <row r="9637" spans="1:13" s="166" customFormat="1" ht="12.75" customHeight="1">
      <c r="A9637" s="12" t="s">
        <v>1686</v>
      </c>
      <c r="B9637" s="434">
        <v>5.0199999999999996</v>
      </c>
      <c r="C9637" s="24" t="s">
        <v>4</v>
      </c>
      <c r="D9637" s="41">
        <f t="shared" ref="D9637:D9642" si="956">D9628</f>
        <v>3200</v>
      </c>
      <c r="E9637" s="31">
        <f t="shared" si="955"/>
        <v>16063.999999999998</v>
      </c>
      <c r="F9637" s="32"/>
      <c r="M9637" s="15"/>
    </row>
    <row r="9638" spans="1:13" s="166" customFormat="1" ht="12.75" customHeight="1">
      <c r="A9638" s="12" t="s">
        <v>1198</v>
      </c>
      <c r="B9638" s="434">
        <f>B9640*2</f>
        <v>10.039999999999999</v>
      </c>
      <c r="C9638" s="24" t="s">
        <v>1204</v>
      </c>
      <c r="D9638" s="41">
        <f t="shared" si="956"/>
        <v>60</v>
      </c>
      <c r="E9638" s="31">
        <f t="shared" si="955"/>
        <v>602.4</v>
      </c>
      <c r="F9638" s="32"/>
      <c r="M9638" s="15"/>
    </row>
    <row r="9639" spans="1:13" s="166" customFormat="1" ht="12.75" customHeight="1">
      <c r="A9639" s="12" t="s">
        <v>1961</v>
      </c>
      <c r="B9639" s="434">
        <v>3.33</v>
      </c>
      <c r="C9639" s="24" t="s">
        <v>213</v>
      </c>
      <c r="D9639" s="41">
        <v>425</v>
      </c>
      <c r="E9639" s="31">
        <f t="shared" si="955"/>
        <v>1415.25</v>
      </c>
      <c r="F9639" s="32"/>
      <c r="M9639" s="15"/>
    </row>
    <row r="9640" spans="1:13" s="166" customFormat="1" ht="12.75" customHeight="1">
      <c r="A9640" s="12" t="s">
        <v>1037</v>
      </c>
      <c r="B9640" s="434">
        <f>SUM(B9637:B9637)</f>
        <v>5.0199999999999996</v>
      </c>
      <c r="C9640" s="24" t="s">
        <v>4</v>
      </c>
      <c r="D9640" s="41">
        <f t="shared" si="956"/>
        <v>486.5</v>
      </c>
      <c r="E9640" s="31">
        <f t="shared" si="955"/>
        <v>2442.23</v>
      </c>
      <c r="F9640" s="32"/>
      <c r="M9640" s="15"/>
    </row>
    <row r="9641" spans="1:13" s="166" customFormat="1" ht="12.75" customHeight="1">
      <c r="A9641" s="12" t="s">
        <v>1688</v>
      </c>
      <c r="B9641" s="434">
        <v>1</v>
      </c>
      <c r="C9641" s="24" t="s">
        <v>825</v>
      </c>
      <c r="D9641" s="41">
        <f t="shared" si="956"/>
        <v>600.29999999999995</v>
      </c>
      <c r="E9641" s="31">
        <f t="shared" si="955"/>
        <v>600.29999999999995</v>
      </c>
      <c r="F9641" s="32"/>
      <c r="M9641" s="15"/>
    </row>
    <row r="9642" spans="1:13" s="166" customFormat="1" ht="12.75" customHeight="1">
      <c r="A9642" s="12" t="s">
        <v>208</v>
      </c>
      <c r="B9642" s="434">
        <f>SUM(E9636:E9639)</f>
        <v>25274.15</v>
      </c>
      <c r="C9642" s="24" t="s">
        <v>209</v>
      </c>
      <c r="D9642" s="41">
        <f t="shared" si="956"/>
        <v>0.02</v>
      </c>
      <c r="E9642" s="31">
        <f t="shared" si="955"/>
        <v>505.48300000000006</v>
      </c>
      <c r="F9642" s="32">
        <f>SUM(E9636:E9642)</f>
        <v>28822.163</v>
      </c>
      <c r="M9642" s="15"/>
    </row>
    <row r="9643" spans="1:13" s="166" customFormat="1" ht="12.75" customHeight="1">
      <c r="A9643" s="13"/>
      <c r="B9643" s="434"/>
      <c r="C9643" s="24"/>
      <c r="D9643" s="41"/>
      <c r="E9643" s="31"/>
      <c r="F9643" s="32"/>
      <c r="M9643" s="15"/>
    </row>
    <row r="9644" spans="1:13" s="166" customFormat="1" ht="12.75" customHeight="1">
      <c r="A9644" s="13" t="s">
        <v>1983</v>
      </c>
      <c r="B9644" s="434"/>
      <c r="C9644" s="24"/>
      <c r="D9644" s="41"/>
      <c r="E9644" s="31"/>
      <c r="F9644" s="32"/>
      <c r="M9644" s="15"/>
    </row>
    <row r="9645" spans="1:13" s="166" customFormat="1" ht="12.75" customHeight="1">
      <c r="A9645" s="12" t="s">
        <v>1687</v>
      </c>
      <c r="B9645" s="434">
        <v>1.05</v>
      </c>
      <c r="C9645" s="24" t="s">
        <v>825</v>
      </c>
      <c r="D9645" s="41">
        <f>D9636</f>
        <v>6850</v>
      </c>
      <c r="E9645" s="31">
        <f t="shared" ref="E9645:E9651" si="957">B9645*D9645</f>
        <v>7192.5</v>
      </c>
      <c r="F9645" s="32"/>
      <c r="M9645" s="15"/>
    </row>
    <row r="9646" spans="1:13" s="166" customFormat="1" ht="12.75" customHeight="1">
      <c r="A9646" s="12" t="s">
        <v>1686</v>
      </c>
      <c r="B9646" s="434">
        <v>5.0199999999999996</v>
      </c>
      <c r="C9646" s="24" t="s">
        <v>4</v>
      </c>
      <c r="D9646" s="41">
        <f t="shared" ref="D9646:D9651" si="958">D9637</f>
        <v>3200</v>
      </c>
      <c r="E9646" s="31">
        <f t="shared" si="957"/>
        <v>16063.999999999998</v>
      </c>
      <c r="F9646" s="32"/>
      <c r="M9646" s="15"/>
    </row>
    <row r="9647" spans="1:13" s="166" customFormat="1" ht="12.75" customHeight="1">
      <c r="A9647" s="12" t="s">
        <v>1198</v>
      </c>
      <c r="B9647" s="434">
        <f>B9649*2</f>
        <v>10.039999999999999</v>
      </c>
      <c r="C9647" s="24" t="s">
        <v>1204</v>
      </c>
      <c r="D9647" s="41">
        <f t="shared" si="958"/>
        <v>60</v>
      </c>
      <c r="E9647" s="31">
        <f t="shared" si="957"/>
        <v>602.4</v>
      </c>
      <c r="F9647" s="32"/>
      <c r="M9647" s="15"/>
    </row>
    <row r="9648" spans="1:13" s="166" customFormat="1" ht="12.75" customHeight="1">
      <c r="A9648" s="12" t="s">
        <v>1961</v>
      </c>
      <c r="B9648" s="434">
        <v>3.33</v>
      </c>
      <c r="C9648" s="24" t="s">
        <v>213</v>
      </c>
      <c r="D9648" s="41">
        <v>425</v>
      </c>
      <c r="E9648" s="31">
        <f t="shared" si="957"/>
        <v>1415.25</v>
      </c>
      <c r="F9648" s="32"/>
      <c r="M9648" s="15"/>
    </row>
    <row r="9649" spans="1:13" s="166" customFormat="1" ht="12.75" customHeight="1">
      <c r="A9649" s="12" t="s">
        <v>1037</v>
      </c>
      <c r="B9649" s="434">
        <f>SUM(B9646:B9646)</f>
        <v>5.0199999999999996</v>
      </c>
      <c r="C9649" s="24" t="s">
        <v>4</v>
      </c>
      <c r="D9649" s="41">
        <f t="shared" si="958"/>
        <v>486.5</v>
      </c>
      <c r="E9649" s="31">
        <f t="shared" si="957"/>
        <v>2442.23</v>
      </c>
      <c r="F9649" s="32"/>
      <c r="M9649" s="15"/>
    </row>
    <row r="9650" spans="1:13" s="166" customFormat="1" ht="12.75" customHeight="1">
      <c r="A9650" s="12" t="s">
        <v>1688</v>
      </c>
      <c r="B9650" s="434">
        <v>1</v>
      </c>
      <c r="C9650" s="24" t="s">
        <v>825</v>
      </c>
      <c r="D9650" s="41">
        <f t="shared" si="958"/>
        <v>600.29999999999995</v>
      </c>
      <c r="E9650" s="31">
        <f t="shared" si="957"/>
        <v>600.29999999999995</v>
      </c>
      <c r="F9650" s="32"/>
      <c r="M9650" s="15"/>
    </row>
    <row r="9651" spans="1:13" s="166" customFormat="1" ht="12.75" customHeight="1">
      <c r="A9651" s="12" t="s">
        <v>208</v>
      </c>
      <c r="B9651" s="434">
        <f>SUM(E9645:E9648)</f>
        <v>25274.15</v>
      </c>
      <c r="C9651" s="24" t="s">
        <v>209</v>
      </c>
      <c r="D9651" s="41">
        <f t="shared" si="958"/>
        <v>0.02</v>
      </c>
      <c r="E9651" s="31">
        <f t="shared" si="957"/>
        <v>505.48300000000006</v>
      </c>
      <c r="F9651" s="32">
        <f>SUM(E9645:E9651)</f>
        <v>28822.163</v>
      </c>
      <c r="M9651" s="15"/>
    </row>
    <row r="9652" spans="1:13" s="166" customFormat="1" ht="12.75" customHeight="1">
      <c r="A9652" s="13"/>
      <c r="B9652" s="434"/>
      <c r="C9652" s="24"/>
      <c r="D9652" s="41"/>
      <c r="E9652" s="31"/>
      <c r="F9652" s="32"/>
      <c r="M9652" s="15"/>
    </row>
    <row r="9653" spans="1:13" s="166" customFormat="1" ht="12.75" customHeight="1">
      <c r="A9653" s="13"/>
      <c r="B9653" s="434"/>
      <c r="C9653" s="24"/>
      <c r="D9653" s="41"/>
      <c r="E9653" s="31"/>
      <c r="F9653" s="32"/>
      <c r="M9653" s="15"/>
    </row>
    <row r="9654" spans="1:13" s="166" customFormat="1" ht="12.75" customHeight="1">
      <c r="A9654" s="13" t="s">
        <v>1695</v>
      </c>
      <c r="B9654" s="12"/>
      <c r="C9654" s="171"/>
      <c r="D9654" s="435"/>
      <c r="E9654" s="436"/>
      <c r="F9654" s="437"/>
      <c r="M9654" s="15"/>
    </row>
    <row r="9655" spans="1:13" s="166" customFormat="1" ht="12.75" customHeight="1">
      <c r="A9655" s="12" t="s">
        <v>1696</v>
      </c>
      <c r="B9655" s="12"/>
      <c r="C9655" s="30">
        <v>0.78</v>
      </c>
      <c r="D9655" s="24" t="s">
        <v>215</v>
      </c>
      <c r="E9655" s="35">
        <v>21</v>
      </c>
      <c r="F9655" s="31">
        <f t="shared" ref="F9655:F9668" si="959">ROUND(C9655*E9655,2)</f>
        <v>16.38</v>
      </c>
      <c r="M9655" s="15"/>
    </row>
    <row r="9656" spans="1:13" s="166" customFormat="1" ht="12.75" customHeight="1">
      <c r="A9656" s="12" t="s">
        <v>1697</v>
      </c>
      <c r="B9656" s="12"/>
      <c r="C9656" s="30">
        <v>1</v>
      </c>
      <c r="D9656" s="24" t="s">
        <v>1171</v>
      </c>
      <c r="E9656" s="35">
        <v>100</v>
      </c>
      <c r="F9656" s="31">
        <f t="shared" si="959"/>
        <v>100</v>
      </c>
      <c r="M9656" s="15"/>
    </row>
    <row r="9657" spans="1:13" s="166" customFormat="1" ht="12.75" customHeight="1">
      <c r="A9657" s="12" t="s">
        <v>1698</v>
      </c>
      <c r="B9657" s="12"/>
      <c r="C9657" s="30">
        <v>0.05</v>
      </c>
      <c r="D9657" s="24" t="s">
        <v>1018</v>
      </c>
      <c r="E9657" s="35">
        <v>40</v>
      </c>
      <c r="F9657" s="31">
        <f t="shared" si="959"/>
        <v>2</v>
      </c>
      <c r="M9657" s="15"/>
    </row>
    <row r="9658" spans="1:13" s="166" customFormat="1" ht="12.75" customHeight="1">
      <c r="A9658" s="12" t="s">
        <v>1699</v>
      </c>
      <c r="B9658" s="12"/>
      <c r="C9658" s="30">
        <v>0.08</v>
      </c>
      <c r="D9658" s="24" t="s">
        <v>215</v>
      </c>
      <c r="E9658" s="35">
        <v>122</v>
      </c>
      <c r="F9658" s="31">
        <f t="shared" si="959"/>
        <v>9.76</v>
      </c>
      <c r="M9658" s="15"/>
    </row>
    <row r="9659" spans="1:13" s="166" customFormat="1" ht="12.75" customHeight="1">
      <c r="A9659" s="12" t="s">
        <v>1700</v>
      </c>
      <c r="B9659" s="12"/>
      <c r="C9659" s="30">
        <v>0.06</v>
      </c>
      <c r="D9659" s="24" t="s">
        <v>215</v>
      </c>
      <c r="E9659" s="35">
        <v>42</v>
      </c>
      <c r="F9659" s="31">
        <f t="shared" si="959"/>
        <v>2.52</v>
      </c>
      <c r="M9659" s="15"/>
    </row>
    <row r="9660" spans="1:13" s="166" customFormat="1" ht="12.75" customHeight="1">
      <c r="A9660" s="12" t="s">
        <v>1701</v>
      </c>
      <c r="B9660" s="12"/>
      <c r="C9660" s="30">
        <v>0.26</v>
      </c>
      <c r="D9660" s="24" t="s">
        <v>215</v>
      </c>
      <c r="E9660" s="35">
        <v>35</v>
      </c>
      <c r="F9660" s="31">
        <f t="shared" si="959"/>
        <v>9.1</v>
      </c>
      <c r="M9660" s="15"/>
    </row>
    <row r="9661" spans="1:13" s="166" customFormat="1" ht="12.75" customHeight="1">
      <c r="A9661" s="12" t="s">
        <v>1702</v>
      </c>
      <c r="B9661" s="12"/>
      <c r="C9661" s="30">
        <v>0.05</v>
      </c>
      <c r="D9661" s="24" t="s">
        <v>215</v>
      </c>
      <c r="E9661" s="35">
        <v>45</v>
      </c>
      <c r="F9661" s="31">
        <f t="shared" si="959"/>
        <v>2.25</v>
      </c>
      <c r="M9661" s="15"/>
    </row>
    <row r="9662" spans="1:13" s="166" customFormat="1" ht="12.75" customHeight="1">
      <c r="A9662" s="12" t="s">
        <v>1703</v>
      </c>
      <c r="B9662" s="12"/>
      <c r="C9662" s="30">
        <v>0.11</v>
      </c>
      <c r="D9662" s="24" t="s">
        <v>215</v>
      </c>
      <c r="E9662" s="35">
        <v>5500</v>
      </c>
      <c r="F9662" s="31">
        <f t="shared" si="959"/>
        <v>605</v>
      </c>
      <c r="M9662" s="15"/>
    </row>
    <row r="9663" spans="1:13" s="166" customFormat="1" ht="12.75" customHeight="1">
      <c r="A9663" s="12" t="s">
        <v>1704</v>
      </c>
      <c r="B9663" s="12"/>
      <c r="C9663" s="30">
        <v>2</v>
      </c>
      <c r="D9663" s="24" t="s">
        <v>1705</v>
      </c>
      <c r="E9663" s="35">
        <v>35.4</v>
      </c>
      <c r="F9663" s="31">
        <f t="shared" si="959"/>
        <v>70.8</v>
      </c>
      <c r="M9663" s="15"/>
    </row>
    <row r="9664" spans="1:13" s="166" customFormat="1" ht="12.75" customHeight="1">
      <c r="A9664" s="12" t="s">
        <v>1706</v>
      </c>
      <c r="B9664" s="12"/>
      <c r="C9664" s="30">
        <v>0.28000000000000003</v>
      </c>
      <c r="D9664" s="24" t="s">
        <v>215</v>
      </c>
      <c r="E9664" s="35">
        <v>157</v>
      </c>
      <c r="F9664" s="31">
        <f t="shared" si="959"/>
        <v>43.96</v>
      </c>
      <c r="M9664" s="15"/>
    </row>
    <row r="9665" spans="1:13" s="166" customFormat="1" ht="12.75" customHeight="1">
      <c r="A9665" s="12" t="s">
        <v>1707</v>
      </c>
      <c r="B9665" s="12"/>
      <c r="C9665" s="30">
        <v>0.2</v>
      </c>
      <c r="D9665" s="24" t="s">
        <v>215</v>
      </c>
      <c r="E9665" s="35">
        <v>35</v>
      </c>
      <c r="F9665" s="31">
        <f t="shared" si="959"/>
        <v>7</v>
      </c>
      <c r="M9665" s="15"/>
    </row>
    <row r="9666" spans="1:13" s="166" customFormat="1" ht="12.75" customHeight="1">
      <c r="A9666" s="12" t="s">
        <v>1708</v>
      </c>
      <c r="B9666" s="12"/>
      <c r="C9666" s="30">
        <v>0.18</v>
      </c>
      <c r="D9666" s="24" t="s">
        <v>215</v>
      </c>
      <c r="E9666" s="35">
        <v>1132</v>
      </c>
      <c r="F9666" s="31">
        <f t="shared" si="959"/>
        <v>203.76</v>
      </c>
      <c r="M9666" s="15"/>
    </row>
    <row r="9667" spans="1:13" s="166" customFormat="1" ht="12.75" customHeight="1">
      <c r="A9667" s="12" t="s">
        <v>1709</v>
      </c>
      <c r="B9667" s="12"/>
      <c r="C9667" s="30">
        <v>0.16</v>
      </c>
      <c r="D9667" s="24" t="s">
        <v>215</v>
      </c>
      <c r="E9667" s="35">
        <v>493</v>
      </c>
      <c r="F9667" s="31">
        <f t="shared" si="959"/>
        <v>78.88</v>
      </c>
      <c r="M9667" s="15"/>
    </row>
    <row r="9668" spans="1:13" s="166" customFormat="1" ht="12.75" customHeight="1">
      <c r="A9668" s="12" t="s">
        <v>1710</v>
      </c>
      <c r="B9668" s="12"/>
      <c r="C9668" s="30">
        <v>1</v>
      </c>
      <c r="D9668" s="24" t="s">
        <v>1171</v>
      </c>
      <c r="E9668" s="35">
        <v>300</v>
      </c>
      <c r="F9668" s="31">
        <f t="shared" si="959"/>
        <v>300</v>
      </c>
      <c r="M9668" s="15"/>
    </row>
    <row r="9669" spans="1:13" s="166" customFormat="1" ht="12.75" customHeight="1">
      <c r="A9669" s="331"/>
      <c r="B9669" s="12"/>
      <c r="C9669" s="332"/>
      <c r="D9669" s="13" t="s">
        <v>1711</v>
      </c>
      <c r="E9669" s="13" t="s">
        <v>1712</v>
      </c>
      <c r="F9669" s="32">
        <f>SUM(F9655:F9668)</f>
        <v>1451.4099999999999</v>
      </c>
      <c r="M9669" s="15"/>
    </row>
    <row r="9670" spans="1:13" s="166" customFormat="1" ht="12.75" customHeight="1">
      <c r="A9670" s="13"/>
      <c r="B9670" s="434"/>
      <c r="C9670" s="24"/>
      <c r="D9670" s="1747" t="s">
        <v>1819</v>
      </c>
      <c r="E9670" s="1747"/>
      <c r="F9670" s="438">
        <v>1500</v>
      </c>
      <c r="M9670" s="15"/>
    </row>
    <row r="9671" spans="1:13" s="166" customFormat="1" ht="12.75" customHeight="1">
      <c r="A9671" s="13"/>
      <c r="B9671" s="434"/>
      <c r="C9671" s="24"/>
      <c r="D9671" s="1747" t="s">
        <v>1820</v>
      </c>
      <c r="E9671" s="1747"/>
      <c r="F9671" s="438">
        <v>1400</v>
      </c>
      <c r="M9671" s="15"/>
    </row>
    <row r="9672" spans="1:13" s="166" customFormat="1" ht="12.75" customHeight="1">
      <c r="A9672" s="13"/>
      <c r="B9672" s="434"/>
      <c r="C9672" s="24"/>
      <c r="D9672" s="41"/>
      <c r="E9672" s="31" t="s">
        <v>1818</v>
      </c>
      <c r="F9672" s="438">
        <f>1500/1.83</f>
        <v>819.67213114754099</v>
      </c>
      <c r="M9672" s="15"/>
    </row>
    <row r="9673" spans="1:13" s="166" customFormat="1" ht="12.75" customHeight="1">
      <c r="A9673" s="13"/>
      <c r="B9673" s="434"/>
      <c r="C9673" s="24"/>
      <c r="D9673" s="41"/>
      <c r="E9673" s="31"/>
      <c r="F9673" s="32"/>
      <c r="M9673" s="15"/>
    </row>
    <row r="9674" spans="1:13" s="166" customFormat="1" ht="12.75" customHeight="1">
      <c r="A9674" s="13"/>
      <c r="B9674" s="434"/>
      <c r="C9674" s="24"/>
      <c r="D9674" s="41"/>
      <c r="E9674" s="31"/>
      <c r="F9674" s="32"/>
      <c r="M9674" s="15"/>
    </row>
    <row r="9675" spans="1:13" s="166" customFormat="1" ht="12.75" customHeight="1">
      <c r="A9675" s="1740" t="s">
        <v>1732</v>
      </c>
      <c r="B9675" s="20"/>
      <c r="C9675" s="439"/>
      <c r="D9675" s="169" t="s">
        <v>1714</v>
      </c>
      <c r="E9675" s="169" t="s">
        <v>1712</v>
      </c>
      <c r="F9675" s="32">
        <f>F9686/D9676</f>
        <v>8342.5238095238092</v>
      </c>
      <c r="M9675" s="15"/>
    </row>
    <row r="9676" spans="1:13" s="166" customFormat="1" ht="12.75" customHeight="1">
      <c r="A9676" s="1740"/>
      <c r="B9676" s="20"/>
      <c r="C9676" s="171" t="s">
        <v>1715</v>
      </c>
      <c r="D9676" s="440">
        <f>1*2.1</f>
        <v>2.1</v>
      </c>
      <c r="E9676" s="441">
        <f>D9676*10.76</f>
        <v>22.596</v>
      </c>
      <c r="F9676" s="437"/>
      <c r="M9676" s="15"/>
    </row>
    <row r="9677" spans="1:13" s="166" customFormat="1" ht="12.75" customHeight="1">
      <c r="A9677" s="12" t="s">
        <v>1726</v>
      </c>
      <c r="B9677" s="12"/>
      <c r="C9677" s="30">
        <v>2</v>
      </c>
      <c r="D9677" s="24" t="s">
        <v>215</v>
      </c>
      <c r="E9677" s="35">
        <v>664</v>
      </c>
      <c r="F9677" s="31">
        <f>C9677*E9677</f>
        <v>1328</v>
      </c>
      <c r="M9677" s="15"/>
    </row>
    <row r="9678" spans="1:13" s="166" customFormat="1" ht="12.75" customHeight="1">
      <c r="A9678" s="12" t="s">
        <v>1726</v>
      </c>
      <c r="B9678" s="12"/>
      <c r="C9678" s="30">
        <v>2</v>
      </c>
      <c r="D9678" s="24" t="s">
        <v>215</v>
      </c>
      <c r="E9678" s="35">
        <v>664</v>
      </c>
      <c r="F9678" s="31">
        <f t="shared" ref="F9678:F9685" si="960">C9678*E9678</f>
        <v>1328</v>
      </c>
      <c r="M9678" s="15"/>
    </row>
    <row r="9679" spans="1:13" s="166" customFormat="1" ht="12.75" customHeight="1">
      <c r="A9679" s="12" t="s">
        <v>1725</v>
      </c>
      <c r="B9679" s="12"/>
      <c r="C9679" s="30">
        <f>(2.1/0.1*1/3)+(1/0.1*1/6)</f>
        <v>8.6666666666666661</v>
      </c>
      <c r="D9679" s="24" t="s">
        <v>215</v>
      </c>
      <c r="E9679" s="35">
        <v>780</v>
      </c>
      <c r="F9679" s="31">
        <f t="shared" si="960"/>
        <v>6759.9999999999991</v>
      </c>
      <c r="M9679" s="15"/>
    </row>
    <row r="9680" spans="1:13" s="166" customFormat="1" ht="12.75" customHeight="1">
      <c r="A9680" s="12" t="s">
        <v>1717</v>
      </c>
      <c r="B9680" s="12"/>
      <c r="C9680" s="30">
        <v>4</v>
      </c>
      <c r="D9680" s="24" t="s">
        <v>218</v>
      </c>
      <c r="E9680" s="35">
        <f>+'[13]LISTADO DE RECURSOS '!$D$317</f>
        <v>55</v>
      </c>
      <c r="F9680" s="31">
        <f t="shared" si="960"/>
        <v>220</v>
      </c>
      <c r="M9680" s="15"/>
    </row>
    <row r="9681" spans="1:13" s="166" customFormat="1" ht="12.75" customHeight="1">
      <c r="A9681" s="12" t="s">
        <v>1718</v>
      </c>
      <c r="B9681" s="12"/>
      <c r="C9681" s="30">
        <v>1</v>
      </c>
      <c r="D9681" s="24" t="s">
        <v>1038</v>
      </c>
      <c r="E9681" s="35">
        <v>125</v>
      </c>
      <c r="F9681" s="31">
        <f t="shared" si="960"/>
        <v>125</v>
      </c>
      <c r="M9681" s="15"/>
    </row>
    <row r="9682" spans="1:13" s="166" customFormat="1" ht="12.75" customHeight="1">
      <c r="A9682" s="12" t="s">
        <v>1719</v>
      </c>
      <c r="B9682" s="12"/>
      <c r="C9682" s="30">
        <v>3</v>
      </c>
      <c r="D9682" s="24" t="s">
        <v>1017</v>
      </c>
      <c r="E9682" s="35">
        <v>125</v>
      </c>
      <c r="F9682" s="31">
        <f t="shared" si="960"/>
        <v>375</v>
      </c>
      <c r="M9682" s="15"/>
    </row>
    <row r="9683" spans="1:13" s="166" customFormat="1" ht="30" customHeight="1">
      <c r="A9683" s="442" t="s">
        <v>1720</v>
      </c>
      <c r="B9683" s="12"/>
      <c r="C9683" s="443">
        <v>2</v>
      </c>
      <c r="D9683" s="444" t="s">
        <v>488</v>
      </c>
      <c r="E9683" s="445">
        <v>150</v>
      </c>
      <c r="F9683" s="177">
        <f t="shared" si="960"/>
        <v>300</v>
      </c>
      <c r="M9683" s="15"/>
    </row>
    <row r="9684" spans="1:13" s="166" customFormat="1" ht="12.75" customHeight="1">
      <c r="A9684" s="12" t="s">
        <v>1721</v>
      </c>
      <c r="B9684" s="12"/>
      <c r="C9684" s="30">
        <v>2.1</v>
      </c>
      <c r="D9684" s="24" t="s">
        <v>213</v>
      </c>
      <c r="E9684" s="35">
        <v>145</v>
      </c>
      <c r="F9684" s="31">
        <f t="shared" si="960"/>
        <v>304.5</v>
      </c>
      <c r="M9684" s="15"/>
    </row>
    <row r="9685" spans="1:13" s="166" customFormat="1" ht="12.75" customHeight="1">
      <c r="A9685" s="12" t="s">
        <v>1722</v>
      </c>
      <c r="B9685" s="12"/>
      <c r="C9685" s="30">
        <f>+E9676</f>
        <v>22.596</v>
      </c>
      <c r="D9685" s="24" t="s">
        <v>1723</v>
      </c>
      <c r="E9685" s="35">
        <v>300</v>
      </c>
      <c r="F9685" s="31">
        <f t="shared" si="960"/>
        <v>6778.8</v>
      </c>
      <c r="M9685" s="15"/>
    </row>
    <row r="9686" spans="1:13" s="166" customFormat="1" ht="12.75" customHeight="1">
      <c r="A9686" s="331"/>
      <c r="B9686" s="20"/>
      <c r="C9686" s="332"/>
      <c r="D9686" s="169" t="s">
        <v>1724</v>
      </c>
      <c r="E9686" s="169" t="s">
        <v>1712</v>
      </c>
      <c r="F9686" s="32">
        <f>SUM(F9677:F9685)</f>
        <v>17519.3</v>
      </c>
      <c r="M9686" s="15"/>
    </row>
    <row r="9687" spans="1:13" s="166" customFormat="1" ht="12.75" customHeight="1">
      <c r="A9687" s="13"/>
      <c r="B9687" s="434"/>
      <c r="C9687" s="24"/>
      <c r="D9687" s="41"/>
      <c r="E9687" s="31"/>
      <c r="F9687" s="32"/>
      <c r="M9687" s="15"/>
    </row>
    <row r="9688" spans="1:13" s="166" customFormat="1" ht="12.75" customHeight="1">
      <c r="A9688" s="1740" t="s">
        <v>1727</v>
      </c>
      <c r="B9688" s="20"/>
      <c r="C9688" s="439"/>
      <c r="D9688" s="169" t="s">
        <v>1714</v>
      </c>
      <c r="E9688" s="169" t="s">
        <v>1712</v>
      </c>
      <c r="F9688" s="32">
        <f>F9697/D9689</f>
        <v>7169.0952380952376</v>
      </c>
      <c r="G9688" s="167"/>
      <c r="M9688" s="15"/>
    </row>
    <row r="9689" spans="1:13" s="166" customFormat="1" ht="12.75" customHeight="1">
      <c r="A9689" s="1740"/>
      <c r="B9689" s="20"/>
      <c r="C9689" s="171" t="s">
        <v>1715</v>
      </c>
      <c r="D9689" s="440">
        <f>1*2.1</f>
        <v>2.1</v>
      </c>
      <c r="E9689" s="441">
        <f>D9689*10.76</f>
        <v>22.596</v>
      </c>
      <c r="F9689" s="437"/>
      <c r="M9689" s="15"/>
    </row>
    <row r="9690" spans="1:13" s="166" customFormat="1" ht="12.75" customHeight="1">
      <c r="A9690" s="12" t="s">
        <v>1726</v>
      </c>
      <c r="B9690" s="12"/>
      <c r="C9690" s="174">
        <v>2</v>
      </c>
      <c r="D9690" s="175" t="s">
        <v>215</v>
      </c>
      <c r="E9690" s="35">
        <v>664</v>
      </c>
      <c r="F9690" s="177">
        <f>C9690*E9690</f>
        <v>1328</v>
      </c>
      <c r="M9690" s="15"/>
    </row>
    <row r="9691" spans="1:13" s="166" customFormat="1" ht="12.75" customHeight="1">
      <c r="A9691" s="12" t="s">
        <v>1726</v>
      </c>
      <c r="B9691" s="12"/>
      <c r="C9691" s="174">
        <v>2</v>
      </c>
      <c r="D9691" s="175" t="s">
        <v>215</v>
      </c>
      <c r="E9691" s="35">
        <v>664</v>
      </c>
      <c r="F9691" s="177">
        <f t="shared" ref="F9691:F9696" si="961">C9691*E9691</f>
        <v>1328</v>
      </c>
      <c r="M9691" s="15"/>
    </row>
    <row r="9692" spans="1:13" s="166" customFormat="1" ht="12.75" customHeight="1">
      <c r="A9692" s="1741" t="s">
        <v>1725</v>
      </c>
      <c r="B9692" s="1741"/>
      <c r="C9692" s="174">
        <f>(2.1/0.1*1/2)+(1/0.1*1/6)</f>
        <v>12.166666666666666</v>
      </c>
      <c r="D9692" s="175" t="s">
        <v>215</v>
      </c>
      <c r="E9692" s="35">
        <v>780</v>
      </c>
      <c r="F9692" s="177">
        <f t="shared" si="961"/>
        <v>9490</v>
      </c>
      <c r="M9692" s="15"/>
    </row>
    <row r="9693" spans="1:13" s="166" customFormat="1" ht="12.75" customHeight="1">
      <c r="A9693" s="1741" t="s">
        <v>1717</v>
      </c>
      <c r="B9693" s="1741"/>
      <c r="C9693" s="174">
        <v>4</v>
      </c>
      <c r="D9693" s="175" t="s">
        <v>218</v>
      </c>
      <c r="E9693" s="176">
        <f>+'[13]LISTADO DE RECURSOS '!$D$317</f>
        <v>55</v>
      </c>
      <c r="F9693" s="177">
        <f t="shared" si="961"/>
        <v>220</v>
      </c>
      <c r="M9693" s="15"/>
    </row>
    <row r="9694" spans="1:13" s="166" customFormat="1" ht="12.75" customHeight="1">
      <c r="A9694" s="1741" t="s">
        <v>1718</v>
      </c>
      <c r="B9694" s="1741"/>
      <c r="C9694" s="174">
        <v>1</v>
      </c>
      <c r="D9694" s="175" t="s">
        <v>1038</v>
      </c>
      <c r="E9694" s="176">
        <v>125</v>
      </c>
      <c r="F9694" s="177">
        <f t="shared" si="961"/>
        <v>125</v>
      </c>
      <c r="M9694" s="15"/>
    </row>
    <row r="9695" spans="1:13" s="166" customFormat="1" ht="12.75" customHeight="1">
      <c r="A9695" s="1741" t="s">
        <v>1721</v>
      </c>
      <c r="B9695" s="1741"/>
      <c r="C9695" s="174">
        <v>2.1</v>
      </c>
      <c r="D9695" s="175" t="s">
        <v>213</v>
      </c>
      <c r="E9695" s="176">
        <v>145</v>
      </c>
      <c r="F9695" s="177">
        <f t="shared" si="961"/>
        <v>304.5</v>
      </c>
      <c r="M9695" s="15"/>
    </row>
    <row r="9696" spans="1:13" s="166" customFormat="1" ht="12.75" customHeight="1">
      <c r="A9696" s="1741" t="s">
        <v>1722</v>
      </c>
      <c r="B9696" s="1741"/>
      <c r="C9696" s="174">
        <f>+E9689</f>
        <v>22.596</v>
      </c>
      <c r="D9696" s="175" t="s">
        <v>1723</v>
      </c>
      <c r="E9696" s="176">
        <v>100</v>
      </c>
      <c r="F9696" s="177">
        <f t="shared" si="961"/>
        <v>2259.6</v>
      </c>
      <c r="M9696" s="15"/>
    </row>
    <row r="9697" spans="1:13" s="166" customFormat="1" ht="12.75" customHeight="1">
      <c r="A9697" s="331"/>
      <c r="B9697" s="20"/>
      <c r="C9697" s="332"/>
      <c r="D9697" s="169" t="s">
        <v>1724</v>
      </c>
      <c r="E9697" s="169" t="s">
        <v>1712</v>
      </c>
      <c r="F9697" s="32">
        <f>SUM(F9690:F9696)</f>
        <v>15055.1</v>
      </c>
      <c r="M9697" s="15"/>
    </row>
    <row r="9698" spans="1:13" s="166" customFormat="1" ht="12.75" customHeight="1">
      <c r="A9698" s="13"/>
      <c r="B9698" s="434"/>
      <c r="C9698" s="24"/>
      <c r="D9698" s="41"/>
      <c r="E9698" s="31"/>
      <c r="F9698" s="32"/>
      <c r="M9698" s="15"/>
    </row>
    <row r="9699" spans="1:13" s="166" customFormat="1" ht="12.75" customHeight="1">
      <c r="A9699" s="1740" t="s">
        <v>1731</v>
      </c>
      <c r="B9699" s="20"/>
      <c r="C9699" s="439"/>
      <c r="D9699" s="169" t="s">
        <v>1714</v>
      </c>
      <c r="E9699" s="169" t="s">
        <v>1712</v>
      </c>
      <c r="F9699" s="32">
        <f>F9711/D9700</f>
        <v>9545.2380952380954</v>
      </c>
      <c r="M9699" s="15"/>
    </row>
    <row r="9700" spans="1:13" s="166" customFormat="1" ht="12.75" customHeight="1">
      <c r="A9700" s="1740"/>
      <c r="B9700" s="20"/>
      <c r="C9700" s="171" t="s">
        <v>1715</v>
      </c>
      <c r="D9700" s="440">
        <f>1*2.1</f>
        <v>2.1</v>
      </c>
      <c r="E9700" s="441">
        <f>D9700*10.76</f>
        <v>22.596</v>
      </c>
      <c r="F9700" s="437"/>
      <c r="M9700" s="15"/>
    </row>
    <row r="9701" spans="1:13" s="166" customFormat="1" ht="12.75" customHeight="1">
      <c r="A9701" s="173" t="s">
        <v>1728</v>
      </c>
      <c r="B9701" s="20"/>
      <c r="C9701" s="174">
        <v>2</v>
      </c>
      <c r="D9701" s="175" t="s">
        <v>215</v>
      </c>
      <c r="E9701" s="446">
        <v>664</v>
      </c>
      <c r="F9701" s="177">
        <f>C9701*E9701</f>
        <v>1328</v>
      </c>
      <c r="M9701" s="15"/>
    </row>
    <row r="9702" spans="1:13" s="166" customFormat="1" ht="12.75" customHeight="1">
      <c r="A9702" s="173" t="s">
        <v>1716</v>
      </c>
      <c r="B9702" s="20"/>
      <c r="C9702" s="174">
        <v>2</v>
      </c>
      <c r="D9702" s="175" t="s">
        <v>215</v>
      </c>
      <c r="E9702" s="446">
        <v>664</v>
      </c>
      <c r="F9702" s="177">
        <f t="shared" ref="F9702:F9710" si="962">C9702*E9702</f>
        <v>1328</v>
      </c>
      <c r="M9702" s="15"/>
    </row>
    <row r="9703" spans="1:13" s="166" customFormat="1" ht="12.75" customHeight="1">
      <c r="A9703" s="173" t="s">
        <v>1729</v>
      </c>
      <c r="B9703" s="20"/>
      <c r="C9703" s="174">
        <v>1.5</v>
      </c>
      <c r="D9703" s="175" t="s">
        <v>1730</v>
      </c>
      <c r="E9703" s="35">
        <v>2500</v>
      </c>
      <c r="F9703" s="177">
        <f t="shared" si="962"/>
        <v>3750</v>
      </c>
      <c r="M9703" s="15"/>
    </row>
    <row r="9704" spans="1:13" s="166" customFormat="1" ht="12.75" customHeight="1">
      <c r="A9704" s="1741" t="s">
        <v>1725</v>
      </c>
      <c r="B9704" s="1741"/>
      <c r="C9704" s="174">
        <f>(2.1/0.1*1/2)+(1/0.1*1/6)</f>
        <v>12.166666666666666</v>
      </c>
      <c r="D9704" s="175" t="s">
        <v>215</v>
      </c>
      <c r="E9704" s="35">
        <v>780</v>
      </c>
      <c r="F9704" s="177">
        <f t="shared" si="962"/>
        <v>9490</v>
      </c>
      <c r="M9704" s="15"/>
    </row>
    <row r="9705" spans="1:13" s="166" customFormat="1" ht="12.75" customHeight="1">
      <c r="A9705" s="173" t="s">
        <v>1717</v>
      </c>
      <c r="B9705" s="20"/>
      <c r="C9705" s="174">
        <v>4</v>
      </c>
      <c r="D9705" s="175" t="s">
        <v>218</v>
      </c>
      <c r="E9705" s="176">
        <f>+'[13]LISTADO DE RECURSOS '!$D$317</f>
        <v>55</v>
      </c>
      <c r="F9705" s="177">
        <f t="shared" si="962"/>
        <v>220</v>
      </c>
      <c r="M9705" s="15"/>
    </row>
    <row r="9706" spans="1:13" s="166" customFormat="1" ht="12.75" customHeight="1">
      <c r="A9706" s="173" t="s">
        <v>1718</v>
      </c>
      <c r="B9706" s="20"/>
      <c r="C9706" s="174">
        <v>1</v>
      </c>
      <c r="D9706" s="175" t="s">
        <v>1038</v>
      </c>
      <c r="E9706" s="176">
        <v>125</v>
      </c>
      <c r="F9706" s="177">
        <f t="shared" si="962"/>
        <v>125</v>
      </c>
      <c r="M9706" s="15"/>
    </row>
    <row r="9707" spans="1:13" s="166" customFormat="1" ht="12.75" customHeight="1">
      <c r="A9707" s="173" t="s">
        <v>1719</v>
      </c>
      <c r="B9707" s="20"/>
      <c r="C9707" s="174">
        <v>3</v>
      </c>
      <c r="D9707" s="175" t="s">
        <v>1017</v>
      </c>
      <c r="E9707" s="176">
        <v>125</v>
      </c>
      <c r="F9707" s="177">
        <f t="shared" si="962"/>
        <v>375</v>
      </c>
      <c r="M9707" s="15"/>
    </row>
    <row r="9708" spans="1:13" s="166" customFormat="1" ht="30" customHeight="1">
      <c r="A9708" s="447" t="s">
        <v>1720</v>
      </c>
      <c r="B9708" s="20"/>
      <c r="C9708" s="448">
        <v>2</v>
      </c>
      <c r="D9708" s="449" t="s">
        <v>488</v>
      </c>
      <c r="E9708" s="450">
        <v>150</v>
      </c>
      <c r="F9708" s="177">
        <f t="shared" si="962"/>
        <v>300</v>
      </c>
      <c r="M9708" s="15"/>
    </row>
    <row r="9709" spans="1:13" s="166" customFormat="1" ht="12.75" customHeight="1">
      <c r="A9709" s="173" t="s">
        <v>1721</v>
      </c>
      <c r="B9709" s="20"/>
      <c r="C9709" s="174">
        <v>2.1</v>
      </c>
      <c r="D9709" s="175" t="s">
        <v>213</v>
      </c>
      <c r="E9709" s="176">
        <v>145</v>
      </c>
      <c r="F9709" s="177">
        <f t="shared" si="962"/>
        <v>304.5</v>
      </c>
      <c r="M9709" s="15"/>
    </row>
    <row r="9710" spans="1:13" s="166" customFormat="1" ht="12.75" customHeight="1">
      <c r="A9710" s="173" t="s">
        <v>1722</v>
      </c>
      <c r="B9710" s="20"/>
      <c r="C9710" s="174">
        <f>+E9700</f>
        <v>22.596</v>
      </c>
      <c r="D9710" s="175" t="s">
        <v>1723</v>
      </c>
      <c r="E9710" s="176">
        <v>125</v>
      </c>
      <c r="F9710" s="177">
        <f t="shared" si="962"/>
        <v>2824.5</v>
      </c>
      <c r="M9710" s="15"/>
    </row>
    <row r="9711" spans="1:13" s="166" customFormat="1" ht="12.75" customHeight="1">
      <c r="A9711" s="331"/>
      <c r="B9711" s="20"/>
      <c r="C9711" s="332"/>
      <c r="D9711" s="169" t="s">
        <v>1724</v>
      </c>
      <c r="E9711" s="169" t="s">
        <v>1712</v>
      </c>
      <c r="F9711" s="32">
        <f>SUM(F9701:F9710)</f>
        <v>20045</v>
      </c>
      <c r="M9711" s="15"/>
    </row>
    <row r="9712" spans="1:13" s="166" customFormat="1" ht="12.75" customHeight="1">
      <c r="A9712" s="13"/>
      <c r="B9712" s="434"/>
      <c r="C9712" s="24"/>
      <c r="D9712" s="41"/>
      <c r="E9712" s="31"/>
      <c r="F9712" s="32"/>
      <c r="M9712" s="15"/>
    </row>
    <row r="9713" spans="1:13" s="166" customFormat="1" ht="12.75" customHeight="1">
      <c r="A9713" s="1740" t="s">
        <v>1733</v>
      </c>
      <c r="B9713" s="12"/>
      <c r="C9713" s="439"/>
      <c r="D9713" s="169" t="s">
        <v>1714</v>
      </c>
      <c r="E9713" s="169" t="s">
        <v>1712</v>
      </c>
      <c r="F9713" s="32">
        <f>F9720/D9714</f>
        <v>1169.9722222222224</v>
      </c>
      <c r="M9713" s="15"/>
    </row>
    <row r="9714" spans="1:13" s="166" customFormat="1" ht="12.75" customHeight="1">
      <c r="A9714" s="1740"/>
      <c r="B9714" s="12"/>
      <c r="C9714" s="171" t="s">
        <v>1715</v>
      </c>
      <c r="D9714" s="440">
        <f>1*1.2</f>
        <v>1.2</v>
      </c>
      <c r="E9714" s="441">
        <f>D9714*10.76</f>
        <v>12.911999999999999</v>
      </c>
      <c r="F9714" s="437"/>
      <c r="M9714" s="15"/>
    </row>
    <row r="9715" spans="1:13" s="166" customFormat="1" ht="12.75" customHeight="1">
      <c r="A9715" s="173" t="s">
        <v>1734</v>
      </c>
      <c r="B9715" s="20"/>
      <c r="C9715" s="174">
        <v>1</v>
      </c>
      <c r="D9715" s="175" t="s">
        <v>213</v>
      </c>
      <c r="E9715" s="176">
        <f>(1200*1.15)/(1.2*2.4)</f>
        <v>479.16666666666669</v>
      </c>
      <c r="F9715" s="177">
        <f t="shared" ref="F9715:F9719" si="963">C9715*E9715</f>
        <v>479.16666666666669</v>
      </c>
      <c r="M9715" s="15"/>
    </row>
    <row r="9716" spans="1:13" s="166" customFormat="1" ht="12.75" customHeight="1">
      <c r="A9716" s="173" t="s">
        <v>1717</v>
      </c>
      <c r="B9716" s="20"/>
      <c r="C9716" s="174">
        <v>2</v>
      </c>
      <c r="D9716" s="175" t="s">
        <v>218</v>
      </c>
      <c r="E9716" s="176">
        <v>55</v>
      </c>
      <c r="F9716" s="177">
        <f t="shared" si="963"/>
        <v>110</v>
      </c>
      <c r="M9716" s="15"/>
    </row>
    <row r="9717" spans="1:13" s="166" customFormat="1" ht="12.75" customHeight="1">
      <c r="A9717" s="173" t="s">
        <v>1718</v>
      </c>
      <c r="B9717" s="20"/>
      <c r="C9717" s="174">
        <v>1</v>
      </c>
      <c r="D9717" s="175" t="s">
        <v>1038</v>
      </c>
      <c r="E9717" s="176">
        <v>150</v>
      </c>
      <c r="F9717" s="177">
        <f t="shared" si="963"/>
        <v>150</v>
      </c>
      <c r="M9717" s="15"/>
    </row>
    <row r="9718" spans="1:13" s="166" customFormat="1" ht="12.75" customHeight="1">
      <c r="A9718" s="173" t="s">
        <v>1721</v>
      </c>
      <c r="B9718" s="20"/>
      <c r="C9718" s="174">
        <f>+D9714</f>
        <v>1.2</v>
      </c>
      <c r="D9718" s="175" t="s">
        <v>213</v>
      </c>
      <c r="E9718" s="176">
        <v>195</v>
      </c>
      <c r="F9718" s="177">
        <f t="shared" si="963"/>
        <v>234</v>
      </c>
      <c r="M9718" s="15"/>
    </row>
    <row r="9719" spans="1:13" s="166" customFormat="1" ht="12.75" customHeight="1">
      <c r="A9719" s="173" t="s">
        <v>1722</v>
      </c>
      <c r="B9719" s="20"/>
      <c r="C9719" s="174">
        <f>+D9714</f>
        <v>1.2</v>
      </c>
      <c r="D9719" s="175" t="s">
        <v>213</v>
      </c>
      <c r="E9719" s="176">
        <v>359</v>
      </c>
      <c r="F9719" s="177">
        <f t="shared" si="963"/>
        <v>430.8</v>
      </c>
      <c r="M9719" s="15"/>
    </row>
    <row r="9720" spans="1:13" s="166" customFormat="1" ht="12.75" customHeight="1">
      <c r="A9720" s="331"/>
      <c r="B9720" s="12"/>
      <c r="C9720" s="332"/>
      <c r="D9720" s="169" t="s">
        <v>1724</v>
      </c>
      <c r="E9720" s="169" t="s">
        <v>1712</v>
      </c>
      <c r="F9720" s="32">
        <f>SUM(F9715:F9719)</f>
        <v>1403.9666666666667</v>
      </c>
      <c r="M9720" s="15"/>
    </row>
    <row r="9721" spans="1:13" s="166" customFormat="1" ht="12.75" customHeight="1">
      <c r="A9721" s="13"/>
      <c r="B9721" s="434"/>
      <c r="C9721" s="24"/>
      <c r="D9721" s="41"/>
      <c r="E9721" s="31"/>
      <c r="F9721" s="32"/>
      <c r="M9721" s="15"/>
    </row>
    <row r="9722" spans="1:13" s="166" customFormat="1" ht="12.75" customHeight="1">
      <c r="A9722" s="13"/>
      <c r="B9722" s="434"/>
      <c r="C9722" s="24"/>
      <c r="D9722" s="41"/>
      <c r="E9722" s="31"/>
      <c r="F9722" s="32"/>
      <c r="M9722" s="15"/>
    </row>
    <row r="9723" spans="1:13" s="166" customFormat="1" ht="12.75" customHeight="1">
      <c r="A9723" s="1740" t="s">
        <v>1803</v>
      </c>
      <c r="B9723" s="1740"/>
      <c r="C9723" s="1740"/>
      <c r="D9723" s="1740"/>
      <c r="E9723" s="168"/>
      <c r="F9723" s="172"/>
      <c r="M9723" s="15"/>
    </row>
    <row r="9724" spans="1:13" s="166" customFormat="1" ht="12.75" customHeight="1">
      <c r="A9724" s="173" t="s">
        <v>1842</v>
      </c>
      <c r="B9724" s="20"/>
      <c r="C9724" s="174">
        <f>0.0104</f>
        <v>1.04E-2</v>
      </c>
      <c r="D9724" s="175" t="s">
        <v>476</v>
      </c>
      <c r="E9724" s="176">
        <v>8500</v>
      </c>
      <c r="F9724" s="177">
        <f t="shared" ref="F9724:F9729" si="964">ROUND(C9724*E9724,2)</f>
        <v>88.4</v>
      </c>
      <c r="G9724" s="19"/>
      <c r="M9724" s="15"/>
    </row>
    <row r="9725" spans="1:13" s="166" customFormat="1" ht="12.75" customHeight="1">
      <c r="A9725" s="173" t="s">
        <v>1737</v>
      </c>
      <c r="B9725" s="20"/>
      <c r="C9725" s="174">
        <v>1</v>
      </c>
      <c r="D9725" s="175" t="s">
        <v>213</v>
      </c>
      <c r="E9725" s="176">
        <v>15</v>
      </c>
      <c r="F9725" s="177">
        <f t="shared" si="964"/>
        <v>15</v>
      </c>
      <c r="M9725" s="15"/>
    </row>
    <row r="9726" spans="1:13" s="166" customFormat="1" ht="12.75" customHeight="1">
      <c r="A9726" s="173" t="s">
        <v>1738</v>
      </c>
      <c r="B9726" s="20"/>
      <c r="C9726" s="174">
        <v>0.105</v>
      </c>
      <c r="D9726" s="175" t="s">
        <v>825</v>
      </c>
      <c r="E9726" s="176">
        <f>Prec.!C36</f>
        <v>6850</v>
      </c>
      <c r="F9726" s="177">
        <f>ROUND(C9726*E9726,2)</f>
        <v>719.25</v>
      </c>
      <c r="M9726" s="15"/>
    </row>
    <row r="9727" spans="1:13" s="166" customFormat="1" ht="12.75" customHeight="1">
      <c r="A9727" s="173" t="s">
        <v>1739</v>
      </c>
      <c r="B9727" s="20"/>
      <c r="C9727" s="174">
        <v>0.02</v>
      </c>
      <c r="D9727" s="175" t="s">
        <v>825</v>
      </c>
      <c r="E9727" s="176">
        <f>F53</f>
        <v>5667.56</v>
      </c>
      <c r="F9727" s="177">
        <f t="shared" si="964"/>
        <v>113.35</v>
      </c>
      <c r="M9727" s="15"/>
    </row>
    <row r="9728" spans="1:13" s="166" customFormat="1" ht="12.75" customHeight="1">
      <c r="A9728" s="173" t="s">
        <v>1740</v>
      </c>
      <c r="B9728" s="20"/>
      <c r="C9728" s="174">
        <v>8.7999999999999995E-2</v>
      </c>
      <c r="D9728" s="175" t="s">
        <v>1730</v>
      </c>
      <c r="E9728" s="176">
        <v>140</v>
      </c>
      <c r="F9728" s="177">
        <f t="shared" si="964"/>
        <v>12.32</v>
      </c>
      <c r="M9728" s="15"/>
    </row>
    <row r="9729" spans="1:13" s="166" customFormat="1" ht="12.75" customHeight="1">
      <c r="A9729" s="173" t="s">
        <v>1741</v>
      </c>
      <c r="B9729" s="20"/>
      <c r="C9729" s="174">
        <v>1</v>
      </c>
      <c r="D9729" s="175" t="s">
        <v>213</v>
      </c>
      <c r="E9729" s="176">
        <v>290</v>
      </c>
      <c r="F9729" s="177">
        <f t="shared" si="964"/>
        <v>290</v>
      </c>
      <c r="M9729" s="15"/>
    </row>
    <row r="9730" spans="1:13" s="166" customFormat="1" ht="12.75" customHeight="1">
      <c r="A9730" s="168"/>
      <c r="B9730" s="20"/>
      <c r="C9730" s="168"/>
      <c r="D9730" s="169" t="s">
        <v>1742</v>
      </c>
      <c r="E9730" s="169"/>
      <c r="F9730" s="32">
        <f>ROUND(SUM(F9724:F9729),2)</f>
        <v>1238.32</v>
      </c>
      <c r="M9730" s="15"/>
    </row>
    <row r="9731" spans="1:13" s="166" customFormat="1" ht="12.75" customHeight="1">
      <c r="A9731" s="451"/>
      <c r="B9731" s="12"/>
      <c r="C9731" s="451"/>
      <c r="D9731" s="451"/>
      <c r="E9731" s="451"/>
      <c r="F9731" s="451"/>
      <c r="M9731" s="15"/>
    </row>
    <row r="9732" spans="1:13" s="166" customFormat="1" ht="12.75" customHeight="1">
      <c r="A9732" s="1740" t="s">
        <v>1804</v>
      </c>
      <c r="B9732" s="1740"/>
      <c r="C9732" s="1740"/>
      <c r="D9732" s="1740"/>
      <c r="E9732" s="168"/>
      <c r="F9732" s="172"/>
      <c r="M9732" s="15"/>
    </row>
    <row r="9733" spans="1:13" s="166" customFormat="1" ht="12.75" customHeight="1">
      <c r="A9733" s="173" t="s">
        <v>2030</v>
      </c>
      <c r="B9733" s="20"/>
      <c r="C9733" s="174">
        <f>0.0104</f>
        <v>1.04E-2</v>
      </c>
      <c r="D9733" s="175" t="s">
        <v>476</v>
      </c>
      <c r="E9733" s="176">
        <v>7332</v>
      </c>
      <c r="F9733" s="177">
        <f>ROUND(C9733*E9733,2)</f>
        <v>76.25</v>
      </c>
      <c r="M9733" s="15"/>
    </row>
    <row r="9734" spans="1:13" s="166" customFormat="1" ht="12.75" customHeight="1">
      <c r="A9734" s="173" t="s">
        <v>2031</v>
      </c>
      <c r="B9734" s="20"/>
      <c r="C9734" s="174">
        <v>0.105</v>
      </c>
      <c r="D9734" s="175" t="s">
        <v>825</v>
      </c>
      <c r="E9734" s="176">
        <f>F119</f>
        <v>5459</v>
      </c>
      <c r="F9734" s="177">
        <f>ROUND(C9734*E9734,2)</f>
        <v>573.20000000000005</v>
      </c>
      <c r="M9734" s="15"/>
    </row>
    <row r="9735" spans="1:13" s="166" customFormat="1" ht="12.75" customHeight="1">
      <c r="A9735" s="173" t="s">
        <v>1740</v>
      </c>
      <c r="B9735" s="20"/>
      <c r="C9735" s="174">
        <v>8.7999999999999995E-2</v>
      </c>
      <c r="D9735" s="175" t="s">
        <v>1730</v>
      </c>
      <c r="E9735" s="176">
        <f>E9728</f>
        <v>140</v>
      </c>
      <c r="F9735" s="177">
        <f t="shared" ref="F9735" si="965">ROUND(C9735*E9735,2)</f>
        <v>12.32</v>
      </c>
      <c r="M9735" s="15"/>
    </row>
    <row r="9736" spans="1:13" s="166" customFormat="1" ht="12.75" customHeight="1">
      <c r="A9736" s="173" t="s">
        <v>1737</v>
      </c>
      <c r="B9736" s="20"/>
      <c r="C9736" s="174">
        <v>0.11</v>
      </c>
      <c r="D9736" s="175" t="s">
        <v>4</v>
      </c>
      <c r="E9736" s="176">
        <f>Prec.!C342</f>
        <v>486.5</v>
      </c>
      <c r="F9736" s="177">
        <f>ROUND(C9736*E9736,2)</f>
        <v>53.52</v>
      </c>
      <c r="M9736" s="15"/>
    </row>
    <row r="9737" spans="1:13" s="166" customFormat="1" ht="12.75" customHeight="1">
      <c r="A9737" s="168"/>
      <c r="B9737" s="20"/>
      <c r="C9737" s="168"/>
      <c r="D9737" s="169" t="s">
        <v>1742</v>
      </c>
      <c r="E9737" s="169"/>
      <c r="F9737" s="32">
        <f>ROUND(SUM(F9733:F9735),2)</f>
        <v>661.77</v>
      </c>
      <c r="M9737" s="15"/>
    </row>
    <row r="9738" spans="1:13" s="166" customFormat="1" ht="12.75" customHeight="1">
      <c r="A9738" s="168"/>
      <c r="B9738" s="20"/>
      <c r="C9738" s="168"/>
      <c r="D9738" s="169"/>
      <c r="E9738" s="169"/>
      <c r="F9738" s="32"/>
      <c r="G9738" s="19"/>
      <c r="M9738" s="15"/>
    </row>
    <row r="9739" spans="1:13" s="166" customFormat="1" ht="12.75" customHeight="1">
      <c r="A9739" s="170" t="s">
        <v>1743</v>
      </c>
      <c r="B9739" s="20"/>
      <c r="C9739" s="171"/>
      <c r="D9739" s="168"/>
      <c r="E9739" s="168"/>
      <c r="F9739" s="168"/>
      <c r="M9739" s="15"/>
    </row>
    <row r="9740" spans="1:13" s="166" customFormat="1" ht="12.75" customHeight="1">
      <c r="A9740" s="173" t="s">
        <v>1744</v>
      </c>
      <c r="B9740" s="20"/>
      <c r="C9740" s="174">
        <v>1</v>
      </c>
      <c r="D9740" s="175" t="s">
        <v>213</v>
      </c>
      <c r="E9740" s="176">
        <v>5</v>
      </c>
      <c r="F9740" s="177">
        <f>ROUND(C9740*E9740,2)</f>
        <v>5</v>
      </c>
      <c r="M9740" s="15"/>
    </row>
    <row r="9741" spans="1:13" s="166" customFormat="1" ht="12.75" customHeight="1">
      <c r="A9741" s="173" t="s">
        <v>1745</v>
      </c>
      <c r="B9741" s="20"/>
      <c r="C9741" s="174">
        <f>1/110</f>
        <v>9.0909090909090905E-3</v>
      </c>
      <c r="D9741" s="175" t="s">
        <v>1746</v>
      </c>
      <c r="E9741" s="176">
        <v>2300</v>
      </c>
      <c r="F9741" s="177">
        <f>ROUND(C9741*E9741,2)</f>
        <v>20.91</v>
      </c>
      <c r="M9741" s="15"/>
    </row>
    <row r="9742" spans="1:13" s="166" customFormat="1" ht="12.75" customHeight="1">
      <c r="A9742" s="173" t="s">
        <v>1747</v>
      </c>
      <c r="B9742" s="20"/>
      <c r="C9742" s="174">
        <v>1</v>
      </c>
      <c r="D9742" s="175" t="s">
        <v>213</v>
      </c>
      <c r="E9742" s="176">
        <v>30</v>
      </c>
      <c r="F9742" s="177">
        <f>ROUND(C9742*E9742,2)</f>
        <v>30</v>
      </c>
      <c r="M9742" s="15"/>
    </row>
    <row r="9743" spans="1:13" s="166" customFormat="1" ht="12.75" customHeight="1">
      <c r="A9743" s="173" t="s">
        <v>1748</v>
      </c>
      <c r="B9743" s="20"/>
      <c r="C9743" s="174">
        <v>0.02</v>
      </c>
      <c r="D9743" s="175" t="s">
        <v>1749</v>
      </c>
      <c r="E9743" s="176">
        <f>SUM(F9740:F9742)</f>
        <v>55.91</v>
      </c>
      <c r="F9743" s="177">
        <f>ROUND(C9743*E9743,2)</f>
        <v>1.1200000000000001</v>
      </c>
      <c r="M9743" s="15"/>
    </row>
    <row r="9744" spans="1:13" s="166" customFormat="1" ht="12.75" customHeight="1">
      <c r="A9744" s="168"/>
      <c r="B9744" s="20"/>
      <c r="C9744" s="168"/>
      <c r="D9744" s="169" t="s">
        <v>1714</v>
      </c>
      <c r="E9744" s="169" t="s">
        <v>1712</v>
      </c>
      <c r="F9744" s="32">
        <f>SUM(F9740:F9743)</f>
        <v>57.029999999999994</v>
      </c>
      <c r="M9744" s="15"/>
    </row>
    <row r="9745" spans="1:13" s="166" customFormat="1" ht="12.75" customHeight="1">
      <c r="A9745" s="451"/>
      <c r="B9745" s="12"/>
      <c r="C9745" s="451"/>
      <c r="D9745" s="451"/>
      <c r="E9745" s="451"/>
      <c r="F9745" s="451"/>
      <c r="M9745" s="15"/>
    </row>
    <row r="9746" spans="1:13" s="166" customFormat="1" ht="12.75" customHeight="1">
      <c r="A9746" s="451"/>
      <c r="B9746" s="12"/>
      <c r="C9746" s="451"/>
      <c r="D9746" s="451"/>
      <c r="E9746" s="451"/>
      <c r="F9746" s="451"/>
      <c r="M9746" s="15"/>
    </row>
    <row r="9747" spans="1:13" s="166" customFormat="1" ht="12.75" customHeight="1">
      <c r="A9747" s="451"/>
      <c r="B9747" s="12"/>
      <c r="C9747" s="451"/>
      <c r="D9747" s="451"/>
      <c r="E9747" s="451"/>
      <c r="F9747" s="451"/>
      <c r="M9747" s="15"/>
    </row>
    <row r="9748" spans="1:13" s="166" customFormat="1" ht="12.75" customHeight="1">
      <c r="A9748" s="170" t="s">
        <v>1750</v>
      </c>
      <c r="B9748" s="20"/>
      <c r="C9748" s="171"/>
      <c r="D9748" s="168"/>
      <c r="E9748" s="168"/>
      <c r="F9748" s="168"/>
      <c r="M9748" s="15"/>
    </row>
    <row r="9749" spans="1:13" s="166" customFormat="1" ht="12.75" customHeight="1">
      <c r="A9749" s="173" t="s">
        <v>1751</v>
      </c>
      <c r="B9749" s="20"/>
      <c r="C9749" s="174">
        <v>1</v>
      </c>
      <c r="D9749" s="175" t="s">
        <v>1752</v>
      </c>
      <c r="E9749" s="176">
        <v>25</v>
      </c>
      <c r="F9749" s="177">
        <f t="shared" ref="F9749:F9754" si="966">+ROUND(C9749*E9749,2)</f>
        <v>25</v>
      </c>
      <c r="M9749" s="15"/>
    </row>
    <row r="9750" spans="1:13" s="166" customFormat="1" ht="12.75" customHeight="1">
      <c r="A9750" s="173" t="s">
        <v>1753</v>
      </c>
      <c r="B9750" s="20"/>
      <c r="C9750" s="174">
        <v>0.03</v>
      </c>
      <c r="D9750" s="175" t="s">
        <v>1228</v>
      </c>
      <c r="E9750" s="176">
        <v>183.9</v>
      </c>
      <c r="F9750" s="177">
        <f t="shared" si="966"/>
        <v>5.52</v>
      </c>
      <c r="M9750" s="15"/>
    </row>
    <row r="9751" spans="1:13" s="166" customFormat="1" ht="12.75" customHeight="1">
      <c r="A9751" s="173" t="s">
        <v>1754</v>
      </c>
      <c r="B9751" s="20"/>
      <c r="C9751" s="174">
        <v>1</v>
      </c>
      <c r="D9751" s="175" t="s">
        <v>1755</v>
      </c>
      <c r="E9751" s="176">
        <v>5</v>
      </c>
      <c r="F9751" s="177">
        <f t="shared" si="966"/>
        <v>5</v>
      </c>
      <c r="M9751" s="15"/>
    </row>
    <row r="9752" spans="1:13" s="166" customFormat="1" ht="12.75" customHeight="1">
      <c r="A9752" s="173" t="s">
        <v>1756</v>
      </c>
      <c r="B9752" s="20"/>
      <c r="C9752" s="174">
        <v>1</v>
      </c>
      <c r="D9752" s="175" t="s">
        <v>1752</v>
      </c>
      <c r="E9752" s="176">
        <v>45</v>
      </c>
      <c r="F9752" s="177">
        <f t="shared" si="966"/>
        <v>45</v>
      </c>
      <c r="M9752" s="15"/>
    </row>
    <row r="9753" spans="1:13" s="166" customFormat="1" ht="12.75" customHeight="1">
      <c r="A9753" s="173" t="s">
        <v>1757</v>
      </c>
      <c r="B9753" s="20"/>
      <c r="C9753" s="174">
        <v>1</v>
      </c>
      <c r="D9753" s="175" t="s">
        <v>1752</v>
      </c>
      <c r="E9753" s="176">
        <v>5.5</v>
      </c>
      <c r="F9753" s="177">
        <f t="shared" si="966"/>
        <v>5.5</v>
      </c>
      <c r="M9753" s="15"/>
    </row>
    <row r="9754" spans="1:13" s="166" customFormat="1" ht="12.75" customHeight="1">
      <c r="A9754" s="173" t="s">
        <v>1758</v>
      </c>
      <c r="B9754" s="20"/>
      <c r="C9754" s="174">
        <v>1</v>
      </c>
      <c r="D9754" s="175" t="s">
        <v>1752</v>
      </c>
      <c r="E9754" s="176">
        <v>2.5</v>
      </c>
      <c r="F9754" s="177">
        <f t="shared" si="966"/>
        <v>2.5</v>
      </c>
      <c r="M9754" s="15"/>
    </row>
    <row r="9755" spans="1:13" s="166" customFormat="1" ht="12.75" customHeight="1">
      <c r="A9755" s="173" t="s">
        <v>1843</v>
      </c>
      <c r="B9755" s="20"/>
      <c r="C9755" s="174">
        <v>0.02</v>
      </c>
      <c r="D9755" s="175" t="s">
        <v>1749</v>
      </c>
      <c r="E9755" s="176">
        <f>SUM(F9749:F9753)</f>
        <v>86.02</v>
      </c>
      <c r="F9755" s="177">
        <f>ROUND(C9755*E9755,2)</f>
        <v>1.72</v>
      </c>
      <c r="M9755" s="15"/>
    </row>
    <row r="9756" spans="1:13" s="166" customFormat="1" ht="12.75" customHeight="1">
      <c r="A9756" s="168"/>
      <c r="B9756" s="20"/>
      <c r="C9756" s="168"/>
      <c r="D9756" s="169" t="s">
        <v>1759</v>
      </c>
      <c r="E9756" s="169"/>
      <c r="F9756" s="32">
        <f>SUM(F9749:F9755)</f>
        <v>90.24</v>
      </c>
      <c r="M9756" s="15"/>
    </row>
    <row r="9757" spans="1:13" s="166" customFormat="1" ht="12.75" customHeight="1">
      <c r="A9757" s="451"/>
      <c r="B9757" s="12"/>
      <c r="C9757" s="451"/>
      <c r="D9757" s="451"/>
      <c r="E9757" s="451"/>
      <c r="F9757" s="451"/>
      <c r="M9757" s="15"/>
    </row>
    <row r="9758" spans="1:13" s="166" customFormat="1" ht="12.75" customHeight="1">
      <c r="A9758" s="451"/>
      <c r="B9758" s="12"/>
      <c r="C9758" s="451"/>
      <c r="D9758" s="451"/>
      <c r="E9758" s="451"/>
      <c r="F9758" s="451"/>
      <c r="M9758" s="15"/>
    </row>
    <row r="9759" spans="1:13" s="166" customFormat="1" ht="12.75" customHeight="1">
      <c r="A9759" s="170" t="s">
        <v>1760</v>
      </c>
      <c r="B9759" s="20"/>
      <c r="C9759" s="171"/>
      <c r="D9759" s="168"/>
      <c r="E9759" s="168"/>
      <c r="F9759" s="168"/>
      <c r="M9759" s="15"/>
    </row>
    <row r="9760" spans="1:13" s="166" customFormat="1" ht="12.75" customHeight="1">
      <c r="A9760" s="173" t="s">
        <v>1761</v>
      </c>
      <c r="B9760" s="20"/>
      <c r="C9760" s="174">
        <v>1</v>
      </c>
      <c r="D9760" s="175" t="s">
        <v>1171</v>
      </c>
      <c r="E9760" s="176">
        <v>10</v>
      </c>
      <c r="F9760" s="177">
        <f>ROUND(C9760*E9760,2)</f>
        <v>10</v>
      </c>
      <c r="M9760" s="15"/>
    </row>
    <row r="9761" spans="1:13" s="166" customFormat="1" ht="12.75" customHeight="1">
      <c r="A9761" s="173" t="s">
        <v>1762</v>
      </c>
      <c r="B9761" s="20"/>
      <c r="C9761" s="174">
        <v>1</v>
      </c>
      <c r="D9761" s="175" t="s">
        <v>1171</v>
      </c>
      <c r="E9761" s="176">
        <f>2.25*3.28*1.18</f>
        <v>8.7083999999999993</v>
      </c>
      <c r="F9761" s="177">
        <f t="shared" ref="F9761:F9764" si="967">ROUND(C9761*E9761,2)</f>
        <v>8.7100000000000009</v>
      </c>
      <c r="M9761" s="15"/>
    </row>
    <row r="9762" spans="1:13" s="166" customFormat="1" ht="12.75" customHeight="1">
      <c r="A9762" s="173" t="s">
        <v>1763</v>
      </c>
      <c r="B9762" s="20"/>
      <c r="C9762" s="174">
        <v>1</v>
      </c>
      <c r="D9762" s="175" t="s">
        <v>1171</v>
      </c>
      <c r="E9762" s="176">
        <f>(650*1.18)/10</f>
        <v>76.7</v>
      </c>
      <c r="F9762" s="177">
        <f t="shared" si="967"/>
        <v>76.7</v>
      </c>
      <c r="M9762" s="15"/>
    </row>
    <row r="9763" spans="1:13" s="166" customFormat="1" ht="12.75" customHeight="1">
      <c r="A9763" s="173" t="s">
        <v>1764</v>
      </c>
      <c r="B9763" s="20"/>
      <c r="C9763" s="174">
        <v>1</v>
      </c>
      <c r="D9763" s="175" t="s">
        <v>213</v>
      </c>
      <c r="E9763" s="176">
        <v>30</v>
      </c>
      <c r="F9763" s="177">
        <f t="shared" si="967"/>
        <v>30</v>
      </c>
      <c r="M9763" s="15"/>
    </row>
    <row r="9764" spans="1:13" s="166" customFormat="1" ht="12.75" customHeight="1">
      <c r="A9764" s="173" t="s">
        <v>1765</v>
      </c>
      <c r="B9764" s="20"/>
      <c r="C9764" s="174">
        <v>0.02</v>
      </c>
      <c r="D9764" s="175" t="s">
        <v>1749</v>
      </c>
      <c r="E9764" s="176">
        <f>SUM(F9760:F9763)</f>
        <v>125.41</v>
      </c>
      <c r="F9764" s="177">
        <f t="shared" si="967"/>
        <v>2.5099999999999998</v>
      </c>
      <c r="M9764" s="15"/>
    </row>
    <row r="9765" spans="1:13" s="166" customFormat="1" ht="12.75" customHeight="1">
      <c r="A9765" s="168"/>
      <c r="B9765" s="20"/>
      <c r="C9765" s="168"/>
      <c r="D9765" s="169" t="s">
        <v>1759</v>
      </c>
      <c r="E9765" s="169"/>
      <c r="F9765" s="32">
        <f>SUM(F9760:F9764)</f>
        <v>127.92</v>
      </c>
      <c r="M9765" s="15"/>
    </row>
    <row r="9766" spans="1:13" s="166" customFormat="1" ht="12.75" customHeight="1">
      <c r="A9766" s="13"/>
      <c r="B9766" s="434"/>
      <c r="C9766" s="24"/>
      <c r="D9766" s="41"/>
      <c r="E9766" s="31"/>
      <c r="F9766" s="32"/>
      <c r="M9766" s="15"/>
    </row>
    <row r="9767" spans="1:13" s="166" customFormat="1" ht="12.75" customHeight="1">
      <c r="A9767" s="170" t="s">
        <v>1766</v>
      </c>
      <c r="B9767" s="171"/>
      <c r="C9767" s="168"/>
      <c r="D9767" s="168"/>
      <c r="E9767" s="168"/>
      <c r="F9767" s="172"/>
      <c r="M9767" s="15"/>
    </row>
    <row r="9768" spans="1:13" s="166" customFormat="1" ht="12.75" customHeight="1">
      <c r="A9768" s="173" t="s">
        <v>1767</v>
      </c>
      <c r="B9768" s="20"/>
      <c r="C9768" s="174">
        <v>0.2</v>
      </c>
      <c r="D9768" s="175" t="s">
        <v>825</v>
      </c>
      <c r="E9768" s="176">
        <f>900</f>
        <v>900</v>
      </c>
      <c r="F9768" s="177">
        <f t="shared" ref="F9768:F9773" si="968">ROUND(C9768*E9768,2)</f>
        <v>180</v>
      </c>
      <c r="M9768" s="15"/>
    </row>
    <row r="9769" spans="1:13" s="166" customFormat="1" ht="12.75" customHeight="1">
      <c r="A9769" s="173" t="s">
        <v>1768</v>
      </c>
      <c r="B9769" s="20"/>
      <c r="C9769" s="174">
        <v>0.2</v>
      </c>
      <c r="D9769" s="175" t="s">
        <v>825</v>
      </c>
      <c r="E9769" s="176">
        <v>400</v>
      </c>
      <c r="F9769" s="177">
        <f t="shared" si="968"/>
        <v>80</v>
      </c>
      <c r="M9769" s="15"/>
    </row>
    <row r="9770" spans="1:13" s="166" customFormat="1" ht="12.75" customHeight="1">
      <c r="A9770" s="173" t="s">
        <v>1769</v>
      </c>
      <c r="B9770" s="20"/>
      <c r="C9770" s="174">
        <v>0.2</v>
      </c>
      <c r="D9770" s="175" t="s">
        <v>825</v>
      </c>
      <c r="E9770" s="176">
        <v>100</v>
      </c>
      <c r="F9770" s="177">
        <f t="shared" si="968"/>
        <v>20</v>
      </c>
      <c r="M9770" s="15"/>
    </row>
    <row r="9771" spans="1:13" s="166" customFormat="1" ht="12.75" customHeight="1">
      <c r="A9771" s="173" t="s">
        <v>1770</v>
      </c>
      <c r="B9771" s="20"/>
      <c r="C9771" s="174">
        <v>1</v>
      </c>
      <c r="D9771" s="175" t="s">
        <v>213</v>
      </c>
      <c r="E9771" s="176">
        <v>85</v>
      </c>
      <c r="F9771" s="177">
        <f t="shared" si="968"/>
        <v>85</v>
      </c>
      <c r="M9771" s="15"/>
    </row>
    <row r="9772" spans="1:13" s="166" customFormat="1" ht="12.75" customHeight="1">
      <c r="A9772" s="173" t="s">
        <v>1771</v>
      </c>
      <c r="B9772" s="20"/>
      <c r="C9772" s="174">
        <v>1</v>
      </c>
      <c r="D9772" s="175" t="s">
        <v>213</v>
      </c>
      <c r="E9772" s="176">
        <v>45</v>
      </c>
      <c r="F9772" s="177">
        <f t="shared" si="968"/>
        <v>45</v>
      </c>
      <c r="M9772" s="15"/>
    </row>
    <row r="9773" spans="1:13" s="166" customFormat="1" ht="12.75" customHeight="1">
      <c r="A9773" s="173" t="s">
        <v>1765</v>
      </c>
      <c r="B9773" s="20"/>
      <c r="C9773" s="174">
        <v>0.02</v>
      </c>
      <c r="D9773" s="175" t="s">
        <v>1749</v>
      </c>
      <c r="E9773" s="176">
        <f>SUM(F9768:F9772)</f>
        <v>410</v>
      </c>
      <c r="F9773" s="177">
        <f t="shared" si="968"/>
        <v>8.1999999999999993</v>
      </c>
      <c r="M9773" s="15"/>
    </row>
    <row r="9774" spans="1:13" s="166" customFormat="1" ht="12.75" customHeight="1">
      <c r="A9774" s="168"/>
      <c r="B9774" s="20"/>
      <c r="C9774" s="168"/>
      <c r="D9774" s="169" t="s">
        <v>1772</v>
      </c>
      <c r="E9774" s="169"/>
      <c r="F9774" s="32">
        <f>SUM(F9768:F9773)</f>
        <v>418.2</v>
      </c>
      <c r="M9774" s="15"/>
    </row>
    <row r="9775" spans="1:13" s="166" customFormat="1" ht="12.75" customHeight="1">
      <c r="A9775" s="451"/>
      <c r="B9775" s="12"/>
      <c r="C9775" s="451"/>
      <c r="D9775" s="451"/>
      <c r="E9775" s="451"/>
      <c r="F9775" s="451"/>
      <c r="M9775" s="15"/>
    </row>
    <row r="9776" spans="1:13" s="166" customFormat="1" ht="12.75" customHeight="1">
      <c r="A9776" s="170" t="s">
        <v>1773</v>
      </c>
      <c r="B9776" s="20"/>
      <c r="C9776" s="171"/>
      <c r="D9776" s="168"/>
      <c r="E9776" s="168"/>
      <c r="F9776" s="168"/>
      <c r="M9776" s="15"/>
    </row>
    <row r="9777" spans="1:13" s="166" customFormat="1" ht="12.75" customHeight="1">
      <c r="A9777" s="173" t="s">
        <v>1767</v>
      </c>
      <c r="B9777" s="20"/>
      <c r="C9777" s="174">
        <v>1.05</v>
      </c>
      <c r="D9777" s="175" t="s">
        <v>825</v>
      </c>
      <c r="E9777" s="176">
        <v>900</v>
      </c>
      <c r="F9777" s="177">
        <f>ROUND(C9777*E9777,2)</f>
        <v>945</v>
      </c>
      <c r="M9777" s="15"/>
    </row>
    <row r="9778" spans="1:13" s="166" customFormat="1" ht="12.75" customHeight="1">
      <c r="A9778" s="173" t="s">
        <v>1774</v>
      </c>
      <c r="B9778" s="20"/>
      <c r="C9778" s="174">
        <v>1.05</v>
      </c>
      <c r="D9778" s="175" t="s">
        <v>825</v>
      </c>
      <c r="E9778" s="176">
        <v>400</v>
      </c>
      <c r="F9778" s="177">
        <f t="shared" ref="F9778:F9780" si="969">ROUND(C9778*E9778,2)</f>
        <v>420</v>
      </c>
      <c r="M9778" s="15"/>
    </row>
    <row r="9779" spans="1:13" s="166" customFormat="1" ht="12.75" customHeight="1">
      <c r="A9779" s="173" t="s">
        <v>1769</v>
      </c>
      <c r="B9779" s="20"/>
      <c r="C9779" s="174">
        <v>1.05</v>
      </c>
      <c r="D9779" s="175" t="s">
        <v>825</v>
      </c>
      <c r="E9779" s="176">
        <v>100</v>
      </c>
      <c r="F9779" s="177">
        <f t="shared" si="969"/>
        <v>105</v>
      </c>
      <c r="M9779" s="15"/>
    </row>
    <row r="9780" spans="1:13" s="166" customFormat="1" ht="12.75" customHeight="1">
      <c r="A9780" s="173" t="s">
        <v>1765</v>
      </c>
      <c r="B9780" s="20"/>
      <c r="C9780" s="174">
        <v>0.02</v>
      </c>
      <c r="D9780" s="175" t="s">
        <v>1749</v>
      </c>
      <c r="E9780" s="176">
        <f>SUM(F9777:F9779)</f>
        <v>1470</v>
      </c>
      <c r="F9780" s="177">
        <f t="shared" si="969"/>
        <v>29.4</v>
      </c>
      <c r="M9780" s="15"/>
    </row>
    <row r="9781" spans="1:13" s="166" customFormat="1" ht="12.75" customHeight="1">
      <c r="A9781" s="168"/>
      <c r="B9781" s="20"/>
      <c r="C9781" s="168"/>
      <c r="D9781" s="169" t="s">
        <v>1775</v>
      </c>
      <c r="E9781" s="169"/>
      <c r="F9781" s="32">
        <f>SUM(F9777:F9780)</f>
        <v>1499.4</v>
      </c>
      <c r="M9781" s="15"/>
    </row>
    <row r="9782" spans="1:13" s="166" customFormat="1" ht="12.75" customHeight="1">
      <c r="A9782" s="13"/>
      <c r="B9782" s="434"/>
      <c r="C9782" s="24"/>
      <c r="D9782" s="41"/>
      <c r="E9782" s="31"/>
      <c r="F9782" s="32"/>
      <c r="M9782" s="15"/>
    </row>
    <row r="9783" spans="1:13" s="166" customFormat="1" ht="51.75" customHeight="1">
      <c r="A9783" s="1740" t="s">
        <v>1776</v>
      </c>
      <c r="B9783" s="1740"/>
      <c r="C9783" s="168"/>
      <c r="D9783" s="168"/>
      <c r="E9783" s="168"/>
      <c r="F9783" s="172"/>
      <c r="M9783" s="15"/>
    </row>
    <row r="9784" spans="1:13" s="166" customFormat="1" ht="12.75" customHeight="1">
      <c r="A9784" s="173" t="s">
        <v>1735</v>
      </c>
      <c r="B9784" s="20"/>
      <c r="C9784" s="174">
        <v>1</v>
      </c>
      <c r="D9784" s="175" t="s">
        <v>213</v>
      </c>
      <c r="E9784" s="176">
        <v>75</v>
      </c>
      <c r="F9784" s="177">
        <f t="shared" ref="F9784:F9794" si="970">ROUND(C9784*E9784,2)</f>
        <v>75</v>
      </c>
      <c r="M9784" s="15"/>
    </row>
    <row r="9785" spans="1:13" s="166" customFormat="1" ht="12.75" customHeight="1">
      <c r="A9785" s="173" t="s">
        <v>1777</v>
      </c>
      <c r="B9785" s="20"/>
      <c r="C9785" s="174">
        <v>0.15</v>
      </c>
      <c r="D9785" s="175" t="s">
        <v>825</v>
      </c>
      <c r="E9785" s="176">
        <v>6000</v>
      </c>
      <c r="F9785" s="177">
        <f t="shared" si="970"/>
        <v>900</v>
      </c>
      <c r="M9785" s="15"/>
    </row>
    <row r="9786" spans="1:13" s="166" customFormat="1" ht="12.75" customHeight="1">
      <c r="A9786" s="173" t="s">
        <v>1778</v>
      </c>
      <c r="B9786" s="20"/>
      <c r="C9786" s="174">
        <v>0.22</v>
      </c>
      <c r="D9786" s="175" t="s">
        <v>1730</v>
      </c>
      <c r="E9786" s="176">
        <v>325</v>
      </c>
      <c r="F9786" s="177">
        <f t="shared" si="970"/>
        <v>71.5</v>
      </c>
      <c r="M9786" s="15"/>
    </row>
    <row r="9787" spans="1:13" s="166" customFormat="1" ht="12.75" customHeight="1">
      <c r="A9787" s="173" t="s">
        <v>1779</v>
      </c>
      <c r="B9787" s="20"/>
      <c r="C9787" s="174">
        <v>1.5</v>
      </c>
      <c r="D9787" s="175" t="s">
        <v>211</v>
      </c>
      <c r="E9787" s="176">
        <v>50</v>
      </c>
      <c r="F9787" s="177">
        <f t="shared" si="970"/>
        <v>75</v>
      </c>
      <c r="M9787" s="15"/>
    </row>
    <row r="9788" spans="1:13" s="166" customFormat="1" ht="12.75" customHeight="1">
      <c r="A9788" s="173" t="s">
        <v>1780</v>
      </c>
      <c r="B9788" s="20"/>
      <c r="C9788" s="174">
        <v>0.15</v>
      </c>
      <c r="D9788" s="175" t="s">
        <v>1781</v>
      </c>
      <c r="E9788" s="176">
        <v>35</v>
      </c>
      <c r="F9788" s="177">
        <f t="shared" si="970"/>
        <v>5.25</v>
      </c>
      <c r="M9788" s="15"/>
    </row>
    <row r="9789" spans="1:13" s="166" customFormat="1" ht="12.75" customHeight="1">
      <c r="A9789" s="173" t="s">
        <v>1782</v>
      </c>
      <c r="B9789" s="20"/>
      <c r="C9789" s="174">
        <v>1</v>
      </c>
      <c r="D9789" s="175" t="s">
        <v>1333</v>
      </c>
      <c r="E9789" s="176">
        <v>65</v>
      </c>
      <c r="F9789" s="177">
        <f t="shared" si="970"/>
        <v>65</v>
      </c>
      <c r="M9789" s="15"/>
    </row>
    <row r="9790" spans="1:13" s="166" customFormat="1" ht="12.75" customHeight="1">
      <c r="A9790" s="173" t="s">
        <v>1783</v>
      </c>
      <c r="B9790" s="20"/>
      <c r="C9790" s="174">
        <f>+C9787</f>
        <v>1.5</v>
      </c>
      <c r="D9790" s="175" t="s">
        <v>211</v>
      </c>
      <c r="E9790" s="176">
        <v>25</v>
      </c>
      <c r="F9790" s="177">
        <f t="shared" si="970"/>
        <v>37.5</v>
      </c>
      <c r="M9790" s="15"/>
    </row>
    <row r="9791" spans="1:13" s="166" customFormat="1" ht="12.75" customHeight="1">
      <c r="A9791" s="173" t="s">
        <v>1784</v>
      </c>
      <c r="B9791" s="20"/>
      <c r="C9791" s="174">
        <v>1</v>
      </c>
      <c r="D9791" s="175" t="s">
        <v>1730</v>
      </c>
      <c r="E9791" s="176">
        <v>10</v>
      </c>
      <c r="F9791" s="177">
        <f t="shared" si="970"/>
        <v>10</v>
      </c>
      <c r="M9791" s="15"/>
    </row>
    <row r="9792" spans="1:13" s="166" customFormat="1" ht="12.75" customHeight="1">
      <c r="A9792" s="173" t="s">
        <v>1785</v>
      </c>
      <c r="B9792" s="20"/>
      <c r="C9792" s="174">
        <v>0.1</v>
      </c>
      <c r="D9792" s="175" t="s">
        <v>1749</v>
      </c>
      <c r="E9792" s="176">
        <f>SUM(F9784:F9791)</f>
        <v>1239.25</v>
      </c>
      <c r="F9792" s="177">
        <f t="shared" si="970"/>
        <v>123.93</v>
      </c>
      <c r="M9792" s="15"/>
    </row>
    <row r="9793" spans="1:13" s="166" customFormat="1" ht="12.75" customHeight="1">
      <c r="A9793" s="173" t="s">
        <v>1786</v>
      </c>
      <c r="B9793" s="20"/>
      <c r="C9793" s="174">
        <v>1</v>
      </c>
      <c r="D9793" s="175" t="s">
        <v>213</v>
      </c>
      <c r="E9793" s="176">
        <v>185</v>
      </c>
      <c r="F9793" s="177">
        <f t="shared" si="970"/>
        <v>185</v>
      </c>
      <c r="M9793" s="15"/>
    </row>
    <row r="9794" spans="1:13" s="166" customFormat="1" ht="12.75" customHeight="1">
      <c r="A9794" s="173" t="s">
        <v>1765</v>
      </c>
      <c r="B9794" s="20"/>
      <c r="C9794" s="174">
        <v>0.02</v>
      </c>
      <c r="D9794" s="175" t="s">
        <v>1749</v>
      </c>
      <c r="E9794" s="176">
        <f>SUM(F9785:F9787)</f>
        <v>1046.5</v>
      </c>
      <c r="F9794" s="177">
        <f t="shared" si="970"/>
        <v>20.93</v>
      </c>
      <c r="M9794" s="15"/>
    </row>
    <row r="9795" spans="1:13" s="166" customFormat="1" ht="12.75" customHeight="1">
      <c r="A9795" s="168"/>
      <c r="B9795" s="20"/>
      <c r="C9795" s="168"/>
      <c r="D9795" s="452" t="s">
        <v>1772</v>
      </c>
      <c r="E9795" s="452"/>
      <c r="F9795" s="32">
        <f>SUM(F9784:F9794)</f>
        <v>1569.1100000000001</v>
      </c>
      <c r="M9795" s="15"/>
    </row>
    <row r="9796" spans="1:13" s="166" customFormat="1" ht="12.75" customHeight="1">
      <c r="A9796" s="451"/>
      <c r="B9796" s="12"/>
      <c r="C9796" s="451"/>
      <c r="D9796" s="451"/>
      <c r="E9796" s="451"/>
      <c r="F9796" s="451"/>
      <c r="M9796" s="15"/>
    </row>
    <row r="9797" spans="1:13" s="166" customFormat="1" ht="12.75" customHeight="1">
      <c r="A9797" s="453" t="s">
        <v>1787</v>
      </c>
      <c r="B9797" s="20"/>
      <c r="C9797" s="454"/>
      <c r="D9797" s="455"/>
      <c r="E9797" s="455"/>
      <c r="F9797" s="168"/>
      <c r="M9797" s="15"/>
    </row>
    <row r="9798" spans="1:13" s="166" customFormat="1" ht="12.75" customHeight="1">
      <c r="A9798" s="173" t="s">
        <v>1788</v>
      </c>
      <c r="B9798" s="20"/>
      <c r="C9798" s="174">
        <v>1.3</v>
      </c>
      <c r="D9798" s="175" t="s">
        <v>825</v>
      </c>
      <c r="E9798" s="176">
        <v>720</v>
      </c>
      <c r="F9798" s="177">
        <f t="shared" ref="F9798:F9800" si="971">ROUND(C9798*E9798,2)</f>
        <v>936</v>
      </c>
      <c r="M9798" s="15"/>
    </row>
    <row r="9799" spans="1:13" s="166" customFormat="1" ht="12.75" customHeight="1">
      <c r="A9799" s="173" t="s">
        <v>1789</v>
      </c>
      <c r="B9799" s="20"/>
      <c r="C9799" s="174">
        <f>+C9798</f>
        <v>1.3</v>
      </c>
      <c r="D9799" s="175" t="s">
        <v>825</v>
      </c>
      <c r="E9799" s="176">
        <v>116.01</v>
      </c>
      <c r="F9799" s="177">
        <f t="shared" si="971"/>
        <v>150.81</v>
      </c>
      <c r="M9799" s="15"/>
    </row>
    <row r="9800" spans="1:13" s="166" customFormat="1" ht="12.75" customHeight="1">
      <c r="A9800" s="173" t="s">
        <v>1765</v>
      </c>
      <c r="B9800" s="20"/>
      <c r="C9800" s="174">
        <v>0.02</v>
      </c>
      <c r="D9800" s="175" t="s">
        <v>1749</v>
      </c>
      <c r="E9800" s="176">
        <f>SUM(F9798:F9799)</f>
        <v>1086.81</v>
      </c>
      <c r="F9800" s="177">
        <f t="shared" si="971"/>
        <v>21.74</v>
      </c>
      <c r="M9800" s="15"/>
    </row>
    <row r="9801" spans="1:13" s="166" customFormat="1" ht="12.75" customHeight="1">
      <c r="A9801" s="331"/>
      <c r="B9801" s="20"/>
      <c r="C9801" s="332"/>
      <c r="D9801" s="169" t="s">
        <v>1775</v>
      </c>
      <c r="E9801" s="169"/>
      <c r="F9801" s="32">
        <f>SUM(F9798:F9800)</f>
        <v>1108.55</v>
      </c>
      <c r="M9801" s="15"/>
    </row>
    <row r="9802" spans="1:13" s="166" customFormat="1" ht="12.75" customHeight="1">
      <c r="A9802" s="13"/>
      <c r="B9802" s="434"/>
      <c r="C9802" s="24"/>
      <c r="D9802" s="41"/>
      <c r="E9802" s="31"/>
      <c r="F9802" s="32"/>
      <c r="M9802" s="15"/>
    </row>
    <row r="9803" spans="1:13" s="166" customFormat="1" ht="12.75" customHeight="1">
      <c r="A9803" s="170" t="s">
        <v>1790</v>
      </c>
      <c r="B9803" s="171"/>
      <c r="C9803" s="168"/>
      <c r="D9803" s="168"/>
      <c r="E9803" s="168"/>
      <c r="F9803" s="172"/>
      <c r="M9803" s="15"/>
    </row>
    <row r="9804" spans="1:13" s="166" customFormat="1" ht="12.75" customHeight="1">
      <c r="A9804" s="173" t="s">
        <v>1735</v>
      </c>
      <c r="B9804" s="20"/>
      <c r="C9804" s="174">
        <v>1</v>
      </c>
      <c r="D9804" s="175" t="s">
        <v>213</v>
      </c>
      <c r="E9804" s="176">
        <v>15</v>
      </c>
      <c r="F9804" s="177">
        <f t="shared" ref="F9804:F9809" si="972">ROUND(C9804*E9804,2)</f>
        <v>15</v>
      </c>
      <c r="M9804" s="15"/>
    </row>
    <row r="9805" spans="1:13" s="166" customFormat="1" ht="12.75" customHeight="1">
      <c r="A9805" s="173" t="s">
        <v>1868</v>
      </c>
      <c r="B9805" s="20"/>
      <c r="C9805" s="174">
        <v>0.10050000000000001</v>
      </c>
      <c r="D9805" s="175" t="s">
        <v>825</v>
      </c>
      <c r="E9805" s="176">
        <f>E9827</f>
        <v>5459</v>
      </c>
      <c r="F9805" s="177">
        <f t="shared" si="972"/>
        <v>548.63</v>
      </c>
      <c r="M9805" s="15"/>
    </row>
    <row r="9806" spans="1:13" s="166" customFormat="1" ht="12.75" customHeight="1">
      <c r="A9806" s="173" t="s">
        <v>1791</v>
      </c>
      <c r="B9806" s="20"/>
      <c r="C9806" s="174">
        <v>0.02</v>
      </c>
      <c r="D9806" s="175" t="s">
        <v>825</v>
      </c>
      <c r="E9806" s="176">
        <f>E9828</f>
        <v>5667.56</v>
      </c>
      <c r="F9806" s="177">
        <f t="shared" si="972"/>
        <v>113.35</v>
      </c>
      <c r="M9806" s="15"/>
    </row>
    <row r="9807" spans="1:13" s="166" customFormat="1" ht="12.75" customHeight="1">
      <c r="A9807" s="173" t="s">
        <v>1740</v>
      </c>
      <c r="B9807" s="20"/>
      <c r="C9807" s="174">
        <v>8.7999999999999995E-2</v>
      </c>
      <c r="D9807" s="175" t="s">
        <v>1792</v>
      </c>
      <c r="E9807" s="176">
        <v>42.75</v>
      </c>
      <c r="F9807" s="177">
        <f t="shared" si="972"/>
        <v>3.76</v>
      </c>
      <c r="M9807" s="15"/>
    </row>
    <row r="9808" spans="1:13" s="166" customFormat="1" ht="12.75" customHeight="1">
      <c r="A9808" s="173" t="s">
        <v>1785</v>
      </c>
      <c r="B9808" s="20"/>
      <c r="C9808" s="174">
        <v>0.05</v>
      </c>
      <c r="D9808" s="175" t="s">
        <v>1749</v>
      </c>
      <c r="E9808" s="176">
        <v>861.25</v>
      </c>
      <c r="F9808" s="177">
        <f t="shared" si="972"/>
        <v>43.06</v>
      </c>
      <c r="M9808" s="15"/>
    </row>
    <row r="9809" spans="1:13" s="166" customFormat="1" ht="12.75" customHeight="1">
      <c r="A9809" s="173" t="s">
        <v>1793</v>
      </c>
      <c r="B9809" s="20"/>
      <c r="C9809" s="174">
        <v>1</v>
      </c>
      <c r="D9809" s="175" t="s">
        <v>213</v>
      </c>
      <c r="E9809" s="176">
        <v>140</v>
      </c>
      <c r="F9809" s="177">
        <f t="shared" si="972"/>
        <v>140</v>
      </c>
      <c r="M9809" s="15"/>
    </row>
    <row r="9810" spans="1:13" s="166" customFormat="1" ht="12.75" customHeight="1">
      <c r="A9810" s="168"/>
      <c r="B9810" s="20"/>
      <c r="C9810" s="168"/>
      <c r="D9810" s="169"/>
      <c r="E9810" s="169" t="s">
        <v>1714</v>
      </c>
      <c r="F9810" s="32">
        <f>SUM(F9804:F9809)</f>
        <v>863.8</v>
      </c>
      <c r="M9810" s="15"/>
    </row>
    <row r="9811" spans="1:13" s="166" customFormat="1" ht="12.75" customHeight="1">
      <c r="A9811" s="168"/>
      <c r="B9811" s="20"/>
      <c r="C9811" s="168"/>
      <c r="D9811" s="169"/>
      <c r="E9811" s="169"/>
      <c r="F9811" s="32"/>
      <c r="M9811" s="15"/>
    </row>
    <row r="9812" spans="1:13" s="166" customFormat="1" ht="12.75" customHeight="1">
      <c r="A9812" s="170" t="s">
        <v>1869</v>
      </c>
      <c r="B9812" s="171"/>
      <c r="C9812" s="168"/>
      <c r="D9812" s="168"/>
      <c r="E9812" s="168"/>
      <c r="F9812" s="172"/>
      <c r="M9812" s="15"/>
    </row>
    <row r="9813" spans="1:13" s="166" customFormat="1" ht="12.75" customHeight="1">
      <c r="A9813" s="173" t="s">
        <v>1735</v>
      </c>
      <c r="B9813" s="20"/>
      <c r="C9813" s="174">
        <v>1</v>
      </c>
      <c r="D9813" s="175" t="s">
        <v>213</v>
      </c>
      <c r="E9813" s="176">
        <v>15</v>
      </c>
      <c r="F9813" s="177">
        <f t="shared" ref="F9813:F9819" si="973">ROUND(C9813*E9813,2)</f>
        <v>15</v>
      </c>
      <c r="M9813" s="15"/>
    </row>
    <row r="9814" spans="1:13" s="166" customFormat="1" ht="12.75" customHeight="1">
      <c r="A9814" s="173" t="s">
        <v>1870</v>
      </c>
      <c r="B9814" s="20"/>
      <c r="C9814" s="174">
        <v>0.10050000000000001</v>
      </c>
      <c r="D9814" s="175" t="s">
        <v>825</v>
      </c>
      <c r="E9814" s="176">
        <f>F97</f>
        <v>5147.68</v>
      </c>
      <c r="F9814" s="177">
        <f t="shared" si="973"/>
        <v>517.34</v>
      </c>
      <c r="M9814" s="15"/>
    </row>
    <row r="9815" spans="1:13" s="166" customFormat="1" ht="12.75" customHeight="1">
      <c r="A9815" s="173" t="s">
        <v>1736</v>
      </c>
      <c r="B9815" s="20"/>
      <c r="C9815" s="174">
        <v>1.04E-2</v>
      </c>
      <c r="D9815" s="175" t="s">
        <v>476</v>
      </c>
      <c r="E9815" s="176">
        <v>8500</v>
      </c>
      <c r="F9815" s="177">
        <f t="shared" si="973"/>
        <v>88.4</v>
      </c>
      <c r="M9815" s="15"/>
    </row>
    <row r="9816" spans="1:13" s="166" customFormat="1" ht="12.75" customHeight="1">
      <c r="A9816" s="173" t="s">
        <v>1871</v>
      </c>
      <c r="B9816" s="20"/>
      <c r="C9816" s="174">
        <v>0.02</v>
      </c>
      <c r="D9816" s="175" t="s">
        <v>825</v>
      </c>
      <c r="E9816" s="176">
        <f>F46</f>
        <v>6653.49</v>
      </c>
      <c r="F9816" s="177">
        <f t="shared" si="973"/>
        <v>133.07</v>
      </c>
      <c r="M9816" s="15"/>
    </row>
    <row r="9817" spans="1:13" s="166" customFormat="1" ht="12.75" customHeight="1">
      <c r="A9817" s="173" t="s">
        <v>1740</v>
      </c>
      <c r="B9817" s="20"/>
      <c r="C9817" s="174">
        <v>8.7999999999999995E-2</v>
      </c>
      <c r="D9817" s="175" t="s">
        <v>1792</v>
      </c>
      <c r="E9817" s="176">
        <v>42.75</v>
      </c>
      <c r="F9817" s="177">
        <f t="shared" si="973"/>
        <v>3.76</v>
      </c>
      <c r="M9817" s="15"/>
    </row>
    <row r="9818" spans="1:13" s="166" customFormat="1" ht="12.75" customHeight="1">
      <c r="A9818" s="173" t="s">
        <v>1785</v>
      </c>
      <c r="B9818" s="20"/>
      <c r="C9818" s="174">
        <v>0.05</v>
      </c>
      <c r="D9818" s="175" t="s">
        <v>1749</v>
      </c>
      <c r="E9818" s="176">
        <v>861.25</v>
      </c>
      <c r="F9818" s="177">
        <f t="shared" si="973"/>
        <v>43.06</v>
      </c>
      <c r="M9818" s="15"/>
    </row>
    <row r="9819" spans="1:13" s="166" customFormat="1" ht="12.75" customHeight="1">
      <c r="A9819" s="173" t="s">
        <v>1793</v>
      </c>
      <c r="B9819" s="20"/>
      <c r="C9819" s="174">
        <v>1</v>
      </c>
      <c r="D9819" s="175" t="s">
        <v>213</v>
      </c>
      <c r="E9819" s="176">
        <v>140</v>
      </c>
      <c r="F9819" s="177">
        <f t="shared" si="973"/>
        <v>140</v>
      </c>
      <c r="M9819" s="15"/>
    </row>
    <row r="9820" spans="1:13" s="166" customFormat="1" ht="12.75" customHeight="1">
      <c r="A9820" s="168"/>
      <c r="B9820" s="20"/>
      <c r="C9820" s="168"/>
      <c r="D9820" s="169"/>
      <c r="E9820" s="169" t="s">
        <v>1714</v>
      </c>
      <c r="F9820" s="32">
        <f>SUM(F9813:F9819)</f>
        <v>940.62999999999988</v>
      </c>
      <c r="M9820" s="15"/>
    </row>
    <row r="9821" spans="1:13" s="166" customFormat="1" ht="12.75" customHeight="1">
      <c r="A9821" s="168"/>
      <c r="B9821" s="20"/>
      <c r="C9821" s="168"/>
      <c r="D9821" s="169"/>
      <c r="E9821" s="169"/>
      <c r="F9821" s="32"/>
      <c r="M9821" s="15"/>
    </row>
    <row r="9822" spans="1:13" s="166" customFormat="1" ht="12.75" customHeight="1">
      <c r="A9822" s="168"/>
      <c r="B9822" s="20"/>
      <c r="C9822" s="168"/>
      <c r="D9822" s="169"/>
      <c r="E9822" s="169"/>
      <c r="F9822" s="32"/>
      <c r="M9822" s="15"/>
    </row>
    <row r="9823" spans="1:13" s="166" customFormat="1" ht="12.75" customHeight="1">
      <c r="A9823" s="451"/>
      <c r="B9823" s="12"/>
      <c r="C9823" s="451"/>
      <c r="D9823" s="451"/>
      <c r="E9823" s="451"/>
      <c r="F9823" s="451"/>
      <c r="M9823" s="15"/>
    </row>
    <row r="9824" spans="1:13" s="166" customFormat="1" ht="12.75" customHeight="1">
      <c r="A9824" s="451"/>
      <c r="B9824" s="12"/>
      <c r="C9824" s="451"/>
      <c r="D9824" s="451"/>
      <c r="E9824" s="451"/>
      <c r="F9824" s="451"/>
      <c r="M9824" s="15"/>
    </row>
    <row r="9825" spans="1:13" s="166" customFormat="1" ht="12.75" customHeight="1">
      <c r="A9825" s="170" t="s">
        <v>1872</v>
      </c>
      <c r="B9825" s="20"/>
      <c r="C9825" s="171"/>
      <c r="D9825" s="168"/>
      <c r="E9825" s="168"/>
      <c r="F9825" s="168"/>
      <c r="M9825" s="15"/>
    </row>
    <row r="9826" spans="1:13" s="166" customFormat="1" ht="12.75" customHeight="1">
      <c r="A9826" s="173" t="s">
        <v>1735</v>
      </c>
      <c r="B9826" s="20"/>
      <c r="C9826" s="174">
        <v>1</v>
      </c>
      <c r="D9826" s="175" t="s">
        <v>213</v>
      </c>
      <c r="E9826" s="176">
        <v>25</v>
      </c>
      <c r="F9826" s="177">
        <f t="shared" ref="F9826:F9832" si="974">ROUND(C9826*E9826,2)</f>
        <v>25</v>
      </c>
      <c r="M9826" s="15"/>
    </row>
    <row r="9827" spans="1:13" s="166" customFormat="1" ht="12.75" customHeight="1">
      <c r="A9827" s="173" t="s">
        <v>1873</v>
      </c>
      <c r="B9827" s="20"/>
      <c r="C9827" s="174">
        <v>0.10050000000000001</v>
      </c>
      <c r="D9827" s="175" t="s">
        <v>825</v>
      </c>
      <c r="E9827" s="176">
        <f>F119</f>
        <v>5459</v>
      </c>
      <c r="F9827" s="177">
        <f t="shared" si="974"/>
        <v>548.63</v>
      </c>
      <c r="M9827" s="15"/>
    </row>
    <row r="9828" spans="1:13" s="166" customFormat="1" ht="12.75" customHeight="1">
      <c r="A9828" s="173" t="s">
        <v>1791</v>
      </c>
      <c r="B9828" s="20"/>
      <c r="C9828" s="174">
        <v>2.1999999999999999E-2</v>
      </c>
      <c r="D9828" s="175" t="s">
        <v>825</v>
      </c>
      <c r="E9828" s="176">
        <f>F53</f>
        <v>5667.56</v>
      </c>
      <c r="F9828" s="177">
        <f t="shared" si="974"/>
        <v>124.69</v>
      </c>
      <c r="M9828" s="15"/>
    </row>
    <row r="9829" spans="1:13" s="166" customFormat="1" ht="12.75" customHeight="1">
      <c r="A9829" s="173" t="s">
        <v>1740</v>
      </c>
      <c r="B9829" s="20"/>
      <c r="C9829" s="174">
        <v>8.7999999999999995E-2</v>
      </c>
      <c r="D9829" s="175" t="s">
        <v>1792</v>
      </c>
      <c r="E9829" s="176">
        <v>42.75</v>
      </c>
      <c r="F9829" s="177">
        <f t="shared" si="974"/>
        <v>3.76</v>
      </c>
      <c r="M9829" s="15"/>
    </row>
    <row r="9830" spans="1:13" s="166" customFormat="1" ht="12.75" customHeight="1">
      <c r="A9830" s="173" t="s">
        <v>1794</v>
      </c>
      <c r="B9830" s="20"/>
      <c r="C9830" s="174">
        <v>1</v>
      </c>
      <c r="D9830" s="175" t="s">
        <v>213</v>
      </c>
      <c r="E9830" s="176">
        <v>150</v>
      </c>
      <c r="F9830" s="177">
        <f t="shared" si="974"/>
        <v>150</v>
      </c>
      <c r="M9830" s="15"/>
    </row>
    <row r="9831" spans="1:13" s="166" customFormat="1" ht="12.75" customHeight="1">
      <c r="A9831" s="173" t="s">
        <v>1785</v>
      </c>
      <c r="B9831" s="20"/>
      <c r="C9831" s="174">
        <v>0.05</v>
      </c>
      <c r="D9831" s="175" t="s">
        <v>1749</v>
      </c>
      <c r="E9831" s="176">
        <v>750</v>
      </c>
      <c r="F9831" s="177">
        <f t="shared" si="974"/>
        <v>37.5</v>
      </c>
      <c r="M9831" s="15"/>
    </row>
    <row r="9832" spans="1:13" s="166" customFormat="1" ht="12.75" customHeight="1">
      <c r="A9832" s="173" t="s">
        <v>1795</v>
      </c>
      <c r="B9832" s="20"/>
      <c r="C9832" s="174">
        <v>0.8</v>
      </c>
      <c r="D9832" s="175" t="s">
        <v>1705</v>
      </c>
      <c r="E9832" s="176">
        <v>75.03</v>
      </c>
      <c r="F9832" s="177">
        <f t="shared" si="974"/>
        <v>60.02</v>
      </c>
      <c r="M9832" s="15"/>
    </row>
    <row r="9833" spans="1:13" s="166" customFormat="1" ht="12.75" customHeight="1">
      <c r="A9833" s="168"/>
      <c r="B9833" s="20"/>
      <c r="C9833" s="168"/>
      <c r="D9833" s="169" t="s">
        <v>1711</v>
      </c>
      <c r="E9833" s="169"/>
      <c r="F9833" s="32">
        <f>SUM(F9826:F9832)</f>
        <v>949.59999999999991</v>
      </c>
      <c r="M9833" s="15"/>
    </row>
    <row r="9834" spans="1:13" s="166" customFormat="1" ht="12.75" customHeight="1">
      <c r="A9834" s="13"/>
      <c r="B9834" s="434"/>
      <c r="C9834" s="24"/>
      <c r="D9834" s="41"/>
      <c r="E9834" s="31"/>
      <c r="F9834" s="32"/>
      <c r="M9834" s="15"/>
    </row>
    <row r="9835" spans="1:13" s="166" customFormat="1" ht="12.75" customHeight="1">
      <c r="A9835" s="456" t="s">
        <v>1796</v>
      </c>
      <c r="B9835" s="1750" t="s">
        <v>1797</v>
      </c>
      <c r="C9835" s="1750"/>
      <c r="D9835" s="1750"/>
      <c r="E9835" s="457">
        <f>3*0.3</f>
        <v>0.89999999999999991</v>
      </c>
      <c r="F9835" s="32"/>
      <c r="M9835" s="15"/>
    </row>
    <row r="9836" spans="1:13" s="166" customFormat="1" ht="12.75" customHeight="1">
      <c r="A9836" s="173" t="s">
        <v>1798</v>
      </c>
      <c r="B9836" s="174">
        <v>1</v>
      </c>
      <c r="C9836" s="174" t="s">
        <v>213</v>
      </c>
      <c r="D9836" s="177">
        <f>140*1.3</f>
        <v>182</v>
      </c>
      <c r="E9836" s="177">
        <f>+B9836*D9836</f>
        <v>182</v>
      </c>
      <c r="F9836" s="32"/>
      <c r="M9836" s="15"/>
    </row>
    <row r="9837" spans="1:13" s="166" customFormat="1" ht="12.75" customHeight="1">
      <c r="A9837" s="173" t="s">
        <v>1799</v>
      </c>
      <c r="B9837" s="174">
        <v>1</v>
      </c>
      <c r="C9837" s="174" t="s">
        <v>213</v>
      </c>
      <c r="D9837" s="177">
        <v>35</v>
      </c>
      <c r="E9837" s="177">
        <f t="shared" ref="E9837:E9840" si="975">+B9837*D9837</f>
        <v>35</v>
      </c>
      <c r="F9837" s="32"/>
      <c r="M9837" s="15"/>
    </row>
    <row r="9838" spans="1:13" s="166" customFormat="1" ht="12.75" customHeight="1">
      <c r="A9838" s="173" t="s">
        <v>1800</v>
      </c>
      <c r="B9838" s="174">
        <f>1/10</f>
        <v>0.1</v>
      </c>
      <c r="C9838" s="174" t="s">
        <v>218</v>
      </c>
      <c r="D9838" s="177">
        <v>40</v>
      </c>
      <c r="E9838" s="177">
        <f t="shared" si="975"/>
        <v>4</v>
      </c>
      <c r="F9838" s="32"/>
      <c r="M9838" s="15"/>
    </row>
    <row r="9839" spans="1:13" s="166" customFormat="1" ht="12.75" customHeight="1">
      <c r="A9839" s="173" t="s">
        <v>1801</v>
      </c>
      <c r="B9839" s="174">
        <v>1</v>
      </c>
      <c r="C9839" s="174" t="s">
        <v>1017</v>
      </c>
      <c r="D9839" s="177">
        <v>5</v>
      </c>
      <c r="E9839" s="177">
        <f t="shared" si="975"/>
        <v>5</v>
      </c>
      <c r="F9839" s="32"/>
      <c r="M9839" s="15"/>
    </row>
    <row r="9840" spans="1:13" s="166" customFormat="1" ht="12.75" customHeight="1">
      <c r="A9840" s="173" t="s">
        <v>1802</v>
      </c>
      <c r="B9840" s="458">
        <v>0.03</v>
      </c>
      <c r="C9840" s="175" t="s">
        <v>1749</v>
      </c>
      <c r="D9840" s="177">
        <f>SUM(E9836:E9839)</f>
        <v>226</v>
      </c>
      <c r="E9840" s="177">
        <f t="shared" si="975"/>
        <v>6.7799999999999994</v>
      </c>
      <c r="F9840" s="32"/>
      <c r="M9840" s="15"/>
    </row>
    <row r="9841" spans="1:13" s="166" customFormat="1" ht="12.75" customHeight="1">
      <c r="A9841" s="331"/>
      <c r="B9841" s="332"/>
      <c r="C9841" s="1751" t="s">
        <v>1742</v>
      </c>
      <c r="D9841" s="1751"/>
      <c r="E9841" s="32">
        <f>SUM(E9836:E9840)</f>
        <v>232.78</v>
      </c>
      <c r="F9841" s="32"/>
      <c r="M9841" s="15"/>
    </row>
    <row r="9842" spans="1:13" s="166" customFormat="1" ht="12.75" customHeight="1">
      <c r="A9842" s="13"/>
      <c r="B9842" s="434"/>
      <c r="C9842" s="24"/>
      <c r="D9842" s="41"/>
      <c r="E9842" s="31"/>
      <c r="F9842" s="32"/>
      <c r="M9842" s="15"/>
    </row>
    <row r="9843" spans="1:13" s="166" customFormat="1" ht="12.75" customHeight="1">
      <c r="A9843" s="13"/>
      <c r="B9843" s="434"/>
      <c r="C9843" s="24"/>
      <c r="D9843" s="41"/>
      <c r="E9843" s="31"/>
      <c r="F9843" s="32"/>
      <c r="M9843" s="15"/>
    </row>
    <row r="9844" spans="1:13" s="166" customFormat="1" ht="12.75" customHeight="1">
      <c r="A9844" s="13"/>
      <c r="B9844" s="434"/>
      <c r="C9844" s="24"/>
      <c r="D9844" s="41"/>
      <c r="E9844" s="31"/>
      <c r="F9844" s="32"/>
      <c r="M9844" s="15"/>
    </row>
    <row r="9845" spans="1:13" s="166" customFormat="1" ht="12.75" customHeight="1">
      <c r="A9845" s="459" t="s">
        <v>1805</v>
      </c>
      <c r="B9845" s="460"/>
      <c r="C9845" s="461"/>
      <c r="D9845" s="462" t="s">
        <v>1806</v>
      </c>
      <c r="E9845" s="463">
        <f>+E9852/C9846</f>
        <v>260.15565217391304</v>
      </c>
      <c r="F9845" s="32"/>
      <c r="M9845" s="15"/>
    </row>
    <row r="9846" spans="1:13" s="166" customFormat="1" ht="12.75" customHeight="1">
      <c r="A9846" s="459"/>
      <c r="B9846" s="464" t="s">
        <v>1807</v>
      </c>
      <c r="C9846" s="1748">
        <v>23</v>
      </c>
      <c r="D9846" s="1749"/>
      <c r="E9846" s="465"/>
      <c r="F9846" s="32"/>
      <c r="M9846" s="15"/>
    </row>
    <row r="9847" spans="1:13" s="166" customFormat="1" ht="12.75" customHeight="1">
      <c r="A9847" s="466" t="s">
        <v>1808</v>
      </c>
      <c r="B9847" s="467">
        <v>1</v>
      </c>
      <c r="C9847" s="468" t="s">
        <v>1809</v>
      </c>
      <c r="D9847" s="469">
        <f>+'[17]HORA DE EQUIPOS'!$E$40</f>
        <v>3937.6363999999999</v>
      </c>
      <c r="E9847" s="470">
        <f>ROUND(B9847*D9847,2)</f>
        <v>3937.64</v>
      </c>
      <c r="F9847" s="32"/>
      <c r="M9847" s="15"/>
    </row>
    <row r="9848" spans="1:13" s="166" customFormat="1" ht="12.75" customHeight="1">
      <c r="A9848" s="466" t="s">
        <v>1810</v>
      </c>
      <c r="B9848" s="467">
        <v>1</v>
      </c>
      <c r="C9848" s="468" t="s">
        <v>1809</v>
      </c>
      <c r="D9848" s="469">
        <f>+'[17]MANO DE OBRA'!$D$161</f>
        <v>110</v>
      </c>
      <c r="E9848" s="470">
        <f>ROUND(B9848*D9848,2)</f>
        <v>110</v>
      </c>
      <c r="F9848" s="32"/>
      <c r="M9848" s="15"/>
    </row>
    <row r="9849" spans="1:13" s="166" customFormat="1" ht="12.75" customHeight="1">
      <c r="A9849" s="466" t="s">
        <v>1811</v>
      </c>
      <c r="B9849" s="467">
        <v>1</v>
      </c>
      <c r="C9849" s="468" t="s">
        <v>1809</v>
      </c>
      <c r="D9849" s="469">
        <f>+'[17]MANO DE OBRA'!$D$169</f>
        <v>55</v>
      </c>
      <c r="E9849" s="470">
        <f>ROUND(B9849*D9849,2)</f>
        <v>55</v>
      </c>
      <c r="F9849" s="32"/>
      <c r="M9849" s="15"/>
    </row>
    <row r="9850" spans="1:13" s="166" customFormat="1" ht="12.75" customHeight="1">
      <c r="A9850" s="466" t="s">
        <v>1812</v>
      </c>
      <c r="B9850" s="467">
        <v>9.4</v>
      </c>
      <c r="C9850" s="468" t="s">
        <v>1813</v>
      </c>
      <c r="D9850" s="469">
        <f>+'[17]LISTADO DE RECURSOS '!$D$43</f>
        <v>200.1</v>
      </c>
      <c r="E9850" s="470">
        <f>ROUND(B9850*D9850,2)</f>
        <v>1880.94</v>
      </c>
      <c r="F9850" s="32"/>
      <c r="M9850" s="15"/>
    </row>
    <row r="9851" spans="1:13" s="166" customFormat="1" ht="12.75" customHeight="1">
      <c r="A9851" s="466" t="s">
        <v>1814</v>
      </c>
      <c r="B9851" s="467">
        <v>0.2</v>
      </c>
      <c r="C9851" s="468" t="s">
        <v>1815</v>
      </c>
      <c r="D9851" s="469">
        <f>$G$117</f>
        <v>0</v>
      </c>
      <c r="E9851" s="470">
        <f>ROUND(B9851*D9851,2)</f>
        <v>0</v>
      </c>
      <c r="F9851" s="32"/>
      <c r="M9851" s="15"/>
    </row>
    <row r="9852" spans="1:13" s="166" customFormat="1" ht="12.75" customHeight="1">
      <c r="A9852" s="331"/>
      <c r="B9852" s="332"/>
      <c r="C9852" s="471"/>
      <c r="D9852" s="472" t="s">
        <v>1816</v>
      </c>
      <c r="E9852" s="463">
        <f>SUM(E9847:E9851)</f>
        <v>5983.58</v>
      </c>
      <c r="F9852" s="32"/>
      <c r="M9852" s="15"/>
    </row>
    <row r="9853" spans="1:13" s="166" customFormat="1" ht="12.75" customHeight="1">
      <c r="A9853" s="13"/>
      <c r="B9853" s="434"/>
      <c r="C9853" s="24"/>
      <c r="D9853" s="41"/>
      <c r="E9853" s="31"/>
      <c r="F9853" s="32"/>
      <c r="M9853" s="15"/>
    </row>
    <row r="9854" spans="1:13" s="166" customFormat="1" ht="12.75" customHeight="1">
      <c r="A9854" s="13"/>
      <c r="B9854" s="434"/>
      <c r="C9854" s="24"/>
      <c r="D9854" s="41"/>
      <c r="E9854" s="31"/>
      <c r="F9854" s="32"/>
      <c r="M9854" s="15"/>
    </row>
    <row r="9855" spans="1:13" s="166" customFormat="1" ht="12.75" customHeight="1">
      <c r="A9855" s="473" t="s">
        <v>1821</v>
      </c>
      <c r="B9855" s="171"/>
      <c r="C9855" s="461"/>
      <c r="D9855" s="474" t="s">
        <v>1806</v>
      </c>
      <c r="E9855" s="475">
        <f>SUM(E9856:E9860)</f>
        <v>13451.25</v>
      </c>
      <c r="F9855" s="32"/>
      <c r="M9855" s="15"/>
    </row>
    <row r="9856" spans="1:13" s="166" customFormat="1" ht="12.75" customHeight="1">
      <c r="A9856" s="476" t="s">
        <v>1822</v>
      </c>
      <c r="B9856" s="477">
        <v>1</v>
      </c>
      <c r="C9856" s="478" t="s">
        <v>1823</v>
      </c>
      <c r="D9856" s="479">
        <v>150</v>
      </c>
      <c r="E9856" s="480">
        <f>ROUND(B9856*D9856,2)</f>
        <v>150</v>
      </c>
      <c r="F9856" s="32"/>
      <c r="M9856" s="15"/>
    </row>
    <row r="9857" spans="1:13" s="166" customFormat="1" ht="12.75" customHeight="1">
      <c r="A9857" s="461" t="str">
        <f>PROPER("HORMIGON (1:3:5), LIG.:")</f>
        <v>Hormigon (1:3:5), Lig.:</v>
      </c>
      <c r="B9857" s="477">
        <v>1</v>
      </c>
      <c r="C9857" s="478" t="s">
        <v>825</v>
      </c>
      <c r="D9857" s="479">
        <f>F97</f>
        <v>5147.68</v>
      </c>
      <c r="E9857" s="480">
        <f>ROUND(B9857*D9857,2)</f>
        <v>5147.68</v>
      </c>
      <c r="F9857" s="32"/>
      <c r="M9857" s="15"/>
    </row>
    <row r="9858" spans="1:13" s="166" customFormat="1" ht="12.75" customHeight="1">
      <c r="A9858" s="476" t="s">
        <v>1793</v>
      </c>
      <c r="B9858" s="477">
        <f>(1/0.6/0.1)*0.6</f>
        <v>10</v>
      </c>
      <c r="C9858" s="478" t="s">
        <v>213</v>
      </c>
      <c r="D9858" s="479">
        <v>100</v>
      </c>
      <c r="E9858" s="480">
        <f>ROUND(B9858*D9858,2)</f>
        <v>1000</v>
      </c>
      <c r="F9858" s="32"/>
      <c r="M9858" s="15"/>
    </row>
    <row r="9859" spans="1:13" s="166" customFormat="1" ht="12.75" customHeight="1">
      <c r="A9859" s="476" t="s">
        <v>1824</v>
      </c>
      <c r="B9859" s="477">
        <f>((1/0.6/0.1)+0.6)*2*2</f>
        <v>69.066666666666677</v>
      </c>
      <c r="C9859" s="478" t="s">
        <v>1171</v>
      </c>
      <c r="D9859" s="479">
        <v>65.930000000000007</v>
      </c>
      <c r="E9859" s="480">
        <f>ROUND(B9859*D9859,2)</f>
        <v>4553.57</v>
      </c>
      <c r="F9859" s="32"/>
      <c r="M9859" s="15"/>
    </row>
    <row r="9860" spans="1:13" s="166" customFormat="1" ht="12.75" customHeight="1">
      <c r="A9860" s="476" t="s">
        <v>1825</v>
      </c>
      <c r="B9860" s="477">
        <f>(1/0.6/0.1)*0.6</f>
        <v>10</v>
      </c>
      <c r="C9860" s="478" t="s">
        <v>1826</v>
      </c>
      <c r="D9860" s="479">
        <v>260</v>
      </c>
      <c r="E9860" s="480">
        <f>ROUND(B9860*D9860,2)</f>
        <v>2600</v>
      </c>
      <c r="F9860" s="32"/>
      <c r="M9860" s="15"/>
    </row>
    <row r="9861" spans="1:13" s="166" customFormat="1" ht="12.75" customHeight="1">
      <c r="A9861" s="13"/>
      <c r="B9861" s="434"/>
      <c r="C9861" s="24"/>
      <c r="D9861" s="41"/>
      <c r="E9861" s="31"/>
      <c r="F9861" s="32"/>
      <c r="M9861" s="15"/>
    </row>
    <row r="9862" spans="1:13" s="166" customFormat="1" ht="12.75" customHeight="1">
      <c r="A9862" s="13"/>
      <c r="B9862" s="434"/>
      <c r="C9862" s="24"/>
      <c r="D9862" s="41" t="s">
        <v>1827</v>
      </c>
      <c r="E9862" s="481">
        <f>E9855/16.667</f>
        <v>807.05885882282348</v>
      </c>
      <c r="F9862" s="32"/>
      <c r="M9862" s="15"/>
    </row>
    <row r="9863" spans="1:13" s="166" customFormat="1" ht="12.75" customHeight="1">
      <c r="A9863" s="13"/>
      <c r="B9863" s="434"/>
      <c r="C9863" s="24"/>
      <c r="D9863" s="41" t="s">
        <v>1828</v>
      </c>
      <c r="E9863" s="481">
        <f>E9855/B9858</f>
        <v>1345.125</v>
      </c>
      <c r="F9863" s="32"/>
      <c r="M9863" s="15"/>
    </row>
    <row r="9864" spans="1:13" s="166" customFormat="1" ht="12.75" customHeight="1">
      <c r="A9864" s="13"/>
      <c r="B9864" s="434"/>
      <c r="C9864" s="24"/>
      <c r="D9864" s="41"/>
      <c r="E9864" s="31"/>
      <c r="F9864" s="32"/>
      <c r="M9864" s="15"/>
    </row>
    <row r="9865" spans="1:13" s="166" customFormat="1" ht="12.75" customHeight="1">
      <c r="A9865" s="13"/>
      <c r="B9865" s="434"/>
      <c r="C9865" s="24"/>
      <c r="D9865" s="41"/>
      <c r="E9865" s="31"/>
      <c r="F9865" s="32"/>
      <c r="M9865" s="15"/>
    </row>
    <row r="9866" spans="1:13" s="166" customFormat="1" ht="12.75" customHeight="1">
      <c r="A9866" s="473" t="s">
        <v>1829</v>
      </c>
      <c r="B9866" s="171"/>
      <c r="C9866" s="451"/>
      <c r="D9866" s="451"/>
      <c r="E9866" s="451"/>
      <c r="F9866" s="32"/>
      <c r="M9866" s="15"/>
    </row>
    <row r="9867" spans="1:13" s="166" customFormat="1" ht="12.75" customHeight="1">
      <c r="A9867" s="466" t="s">
        <v>1830</v>
      </c>
      <c r="B9867" s="467">
        <v>0.25</v>
      </c>
      <c r="C9867" s="468" t="s">
        <v>1730</v>
      </c>
      <c r="D9867" s="469">
        <v>967</v>
      </c>
      <c r="E9867" s="470">
        <f t="shared" ref="E9867:E9874" si="976">ROUND(B9867*D9867,2)</f>
        <v>241.75</v>
      </c>
      <c r="F9867" s="32"/>
      <c r="M9867" s="15"/>
    </row>
    <row r="9868" spans="1:13" s="166" customFormat="1" ht="12.75" customHeight="1">
      <c r="A9868" s="466" t="s">
        <v>1831</v>
      </c>
      <c r="B9868" s="467">
        <v>0.5</v>
      </c>
      <c r="C9868" s="468" t="s">
        <v>1730</v>
      </c>
      <c r="D9868" s="469">
        <v>1477.23</v>
      </c>
      <c r="E9868" s="470">
        <f t="shared" si="976"/>
        <v>738.62</v>
      </c>
      <c r="F9868" s="32"/>
      <c r="M9868" s="15"/>
    </row>
    <row r="9869" spans="1:13" s="166" customFormat="1" ht="12.75" customHeight="1">
      <c r="A9869" s="466" t="s">
        <v>1832</v>
      </c>
      <c r="B9869" s="467">
        <v>3</v>
      </c>
      <c r="C9869" s="468" t="s">
        <v>1730</v>
      </c>
      <c r="D9869" s="469">
        <v>350</v>
      </c>
      <c r="E9869" s="470">
        <f t="shared" si="976"/>
        <v>1050</v>
      </c>
      <c r="F9869" s="32"/>
      <c r="M9869" s="15"/>
    </row>
    <row r="9870" spans="1:13" s="166" customFormat="1" ht="12.75" customHeight="1">
      <c r="A9870" s="466" t="s">
        <v>1833</v>
      </c>
      <c r="B9870" s="467">
        <f>0.3*0.3*0.5</f>
        <v>4.4999999999999998E-2</v>
      </c>
      <c r="C9870" s="468" t="s">
        <v>825</v>
      </c>
      <c r="D9870" s="469">
        <f>D9857</f>
        <v>5147.68</v>
      </c>
      <c r="E9870" s="470">
        <f t="shared" si="976"/>
        <v>231.65</v>
      </c>
      <c r="F9870" s="32"/>
      <c r="M9870" s="15"/>
    </row>
    <row r="9871" spans="1:13" s="166" customFormat="1" ht="12.75" customHeight="1">
      <c r="A9871" s="466" t="s">
        <v>1834</v>
      </c>
      <c r="B9871" s="467">
        <v>1</v>
      </c>
      <c r="C9871" s="468" t="s">
        <v>1730</v>
      </c>
      <c r="D9871" s="469">
        <v>100</v>
      </c>
      <c r="E9871" s="470">
        <f t="shared" si="976"/>
        <v>100</v>
      </c>
      <c r="F9871" s="32"/>
      <c r="M9871" s="15"/>
    </row>
    <row r="9872" spans="1:13" s="166" customFormat="1" ht="12.75" customHeight="1">
      <c r="A9872" s="466" t="s">
        <v>1835</v>
      </c>
      <c r="B9872" s="467">
        <v>3</v>
      </c>
      <c r="C9872" s="468" t="s">
        <v>1730</v>
      </c>
      <c r="D9872" s="469">
        <v>50</v>
      </c>
      <c r="E9872" s="470">
        <f t="shared" si="976"/>
        <v>150</v>
      </c>
      <c r="F9872" s="32"/>
      <c r="M9872" s="15"/>
    </row>
    <row r="9873" spans="1:13" s="166" customFormat="1" ht="12.75" customHeight="1">
      <c r="A9873" s="466" t="s">
        <v>1836</v>
      </c>
      <c r="B9873" s="467">
        <v>1</v>
      </c>
      <c r="C9873" s="468" t="s">
        <v>1730</v>
      </c>
      <c r="D9873" s="469">
        <v>1500</v>
      </c>
      <c r="E9873" s="470">
        <f t="shared" si="976"/>
        <v>1500</v>
      </c>
      <c r="F9873" s="32"/>
      <c r="M9873" s="15"/>
    </row>
    <row r="9874" spans="1:13" s="166" customFormat="1" ht="12.75" customHeight="1">
      <c r="A9874" s="466" t="s">
        <v>1837</v>
      </c>
      <c r="B9874" s="467">
        <v>1</v>
      </c>
      <c r="C9874" s="468" t="s">
        <v>1730</v>
      </c>
      <c r="D9874" s="469">
        <v>100</v>
      </c>
      <c r="E9874" s="470">
        <f t="shared" si="976"/>
        <v>100</v>
      </c>
      <c r="F9874" s="32"/>
      <c r="M9874" s="15"/>
    </row>
    <row r="9875" spans="1:13" s="166" customFormat="1" ht="12.75" customHeight="1">
      <c r="A9875" s="451"/>
      <c r="B9875" s="451"/>
      <c r="C9875" s="1752" t="s">
        <v>1838</v>
      </c>
      <c r="D9875" s="1753"/>
      <c r="E9875" s="475">
        <f>SUM(E9867:E9874)</f>
        <v>4112.0200000000004</v>
      </c>
      <c r="F9875" s="32"/>
      <c r="M9875" s="15"/>
    </row>
    <row r="9876" spans="1:13" s="166" customFormat="1" ht="12.75" customHeight="1">
      <c r="A9876" s="13"/>
      <c r="B9876" s="434"/>
      <c r="C9876" s="24"/>
      <c r="D9876" s="41"/>
      <c r="E9876" s="31"/>
      <c r="F9876" s="32"/>
      <c r="M9876" s="15"/>
    </row>
    <row r="9877" spans="1:13" s="166" customFormat="1" ht="12.75" customHeight="1">
      <c r="A9877" s="13"/>
      <c r="B9877" s="434"/>
      <c r="C9877" s="24"/>
      <c r="D9877" s="41"/>
      <c r="E9877" s="31"/>
      <c r="F9877" s="32"/>
      <c r="M9877" s="15"/>
    </row>
    <row r="9878" spans="1:13" s="166" customFormat="1" ht="12.75" customHeight="1">
      <c r="A9878" s="473" t="s">
        <v>1844</v>
      </c>
      <c r="B9878" s="171"/>
      <c r="C9878" s="435"/>
      <c r="D9878" s="436"/>
      <c r="E9878" s="437"/>
      <c r="F9878" s="32"/>
      <c r="M9878" s="15"/>
    </row>
    <row r="9879" spans="1:13" s="166" customFormat="1" ht="12.75" customHeight="1">
      <c r="A9879" s="466" t="s">
        <v>1845</v>
      </c>
      <c r="B9879" s="467">
        <v>0.25</v>
      </c>
      <c r="C9879" s="468" t="s">
        <v>476</v>
      </c>
      <c r="D9879" s="469">
        <v>750</v>
      </c>
      <c r="E9879" s="470">
        <f>+B9879*D9879</f>
        <v>187.5</v>
      </c>
      <c r="F9879" s="32"/>
      <c r="M9879" s="15"/>
    </row>
    <row r="9880" spans="1:13" s="166" customFormat="1" ht="12.75" customHeight="1">
      <c r="A9880" s="466" t="s">
        <v>1846</v>
      </c>
      <c r="B9880" s="467">
        <v>1</v>
      </c>
      <c r="C9880" s="468" t="s">
        <v>1038</v>
      </c>
      <c r="D9880" s="469">
        <v>100</v>
      </c>
      <c r="E9880" s="470">
        <f>+B9880*D9880</f>
        <v>100</v>
      </c>
      <c r="F9880" s="32"/>
      <c r="M9880" s="15"/>
    </row>
    <row r="9881" spans="1:13" s="166" customFormat="1" ht="12.75" customHeight="1">
      <c r="A9881" s="466" t="s">
        <v>1847</v>
      </c>
      <c r="B9881" s="467">
        <v>0.42</v>
      </c>
      <c r="C9881" s="468" t="s">
        <v>218</v>
      </c>
      <c r="D9881" s="469">
        <v>40</v>
      </c>
      <c r="E9881" s="470">
        <f>+B9881*D9881</f>
        <v>16.8</v>
      </c>
      <c r="F9881" s="32"/>
      <c r="M9881" s="15"/>
    </row>
    <row r="9882" spans="1:13" s="166" customFormat="1" ht="12.75" customHeight="1">
      <c r="A9882" s="466" t="s">
        <v>1848</v>
      </c>
      <c r="B9882" s="467">
        <v>1</v>
      </c>
      <c r="C9882" s="468" t="s">
        <v>1171</v>
      </c>
      <c r="D9882" s="469">
        <v>234</v>
      </c>
      <c r="E9882" s="470">
        <f>+B9882*D9882</f>
        <v>234</v>
      </c>
      <c r="F9882" s="32"/>
      <c r="M9882" s="15"/>
    </row>
    <row r="9883" spans="1:13" s="166" customFormat="1" ht="12.75" customHeight="1">
      <c r="A9883" s="331"/>
      <c r="B9883" s="332"/>
      <c r="C9883" s="1752" t="s">
        <v>1711</v>
      </c>
      <c r="D9883" s="1753" t="s">
        <v>1712</v>
      </c>
      <c r="E9883" s="475">
        <f>SUM(E9879:E9882)</f>
        <v>538.29999999999995</v>
      </c>
      <c r="F9883" s="32"/>
      <c r="M9883" s="15"/>
    </row>
    <row r="9884" spans="1:13" s="166" customFormat="1" ht="12.75" customHeight="1">
      <c r="A9884" s="13"/>
      <c r="B9884" s="434"/>
      <c r="C9884" s="24"/>
      <c r="D9884" s="41"/>
      <c r="E9884" s="31"/>
      <c r="F9884" s="32"/>
      <c r="M9884" s="15"/>
    </row>
    <row r="9885" spans="1:13" s="166" customFormat="1" ht="12.75" customHeight="1">
      <c r="A9885" s="473" t="s">
        <v>1849</v>
      </c>
      <c r="B9885" s="171"/>
      <c r="C9885" s="1752" t="s">
        <v>1714</v>
      </c>
      <c r="D9885" s="1753" t="s">
        <v>1712</v>
      </c>
      <c r="E9885" s="475">
        <f>SUM(E9886:E9888)</f>
        <v>141.37</v>
      </c>
      <c r="F9885" s="32"/>
      <c r="M9885" s="15"/>
    </row>
    <row r="9886" spans="1:13" s="166" customFormat="1" ht="12.75" customHeight="1">
      <c r="A9886" s="466" t="s">
        <v>1850</v>
      </c>
      <c r="B9886" s="467">
        <v>6.5000000000000002E-2</v>
      </c>
      <c r="C9886" s="468" t="s">
        <v>828</v>
      </c>
      <c r="D9886" s="482">
        <v>1186.44</v>
      </c>
      <c r="E9886" s="470">
        <f>ROUND(B9886*D9886,2)</f>
        <v>77.12</v>
      </c>
      <c r="F9886" s="32"/>
      <c r="M9886" s="15"/>
    </row>
    <row r="9887" spans="1:13" s="166" customFormat="1" ht="12.75" customHeight="1">
      <c r="A9887" s="466" t="s">
        <v>1764</v>
      </c>
      <c r="B9887" s="467">
        <v>1</v>
      </c>
      <c r="C9887" s="468" t="s">
        <v>213</v>
      </c>
      <c r="D9887" s="482">
        <v>55</v>
      </c>
      <c r="E9887" s="470">
        <f>ROUND(B9887*D9887,2)</f>
        <v>55</v>
      </c>
      <c r="F9887" s="32"/>
      <c r="M9887" s="15"/>
    </row>
    <row r="9888" spans="1:13" s="166" customFormat="1" ht="12.75" customHeight="1">
      <c r="A9888" s="466" t="s">
        <v>1851</v>
      </c>
      <c r="B9888" s="467">
        <v>7.0000000000000007E-2</v>
      </c>
      <c r="C9888" s="468" t="s">
        <v>48</v>
      </c>
      <c r="D9888" s="482">
        <v>132.12</v>
      </c>
      <c r="E9888" s="470">
        <f>ROUND(B9888*D9888,2)</f>
        <v>9.25</v>
      </c>
      <c r="F9888" s="32"/>
      <c r="M9888" s="15"/>
    </row>
    <row r="9889" spans="1:13" s="166" customFormat="1" ht="12.75" customHeight="1">
      <c r="A9889" s="13"/>
      <c r="B9889" s="434"/>
      <c r="C9889" s="24"/>
      <c r="D9889" s="41"/>
      <c r="E9889" s="31"/>
      <c r="F9889" s="32"/>
      <c r="M9889" s="15"/>
    </row>
    <row r="9890" spans="1:13" s="166" customFormat="1" ht="12.75" customHeight="1">
      <c r="A9890" s="473" t="s">
        <v>1874</v>
      </c>
      <c r="B9890" s="171"/>
      <c r="C9890" s="1752" t="s">
        <v>1875</v>
      </c>
      <c r="D9890" s="1753"/>
      <c r="E9890" s="475">
        <f>SUM(E9891:E9894)</f>
        <v>4400</v>
      </c>
      <c r="F9890" s="32"/>
      <c r="M9890" s="15"/>
    </row>
    <row r="9891" spans="1:13" s="166" customFormat="1" ht="12.75" customHeight="1">
      <c r="A9891" s="466" t="s">
        <v>2028</v>
      </c>
      <c r="B9891" s="467">
        <v>1</v>
      </c>
      <c r="C9891" s="468" t="s">
        <v>1878</v>
      </c>
      <c r="D9891" s="482">
        <v>1550</v>
      </c>
      <c r="E9891" s="470">
        <f t="shared" ref="E9891:E9894" si="977">ROUND(B9891*D9891,2)</f>
        <v>1550</v>
      </c>
      <c r="F9891" s="32"/>
      <c r="M9891" s="15"/>
    </row>
    <row r="9892" spans="1:13" s="166" customFormat="1" ht="12.75" customHeight="1">
      <c r="A9892" s="466" t="s">
        <v>2029</v>
      </c>
      <c r="B9892" s="467">
        <v>1</v>
      </c>
      <c r="C9892" s="468" t="s">
        <v>1878</v>
      </c>
      <c r="D9892" s="482">
        <v>250</v>
      </c>
      <c r="E9892" s="470">
        <f t="shared" si="977"/>
        <v>250</v>
      </c>
      <c r="F9892" s="32"/>
      <c r="M9892" s="15"/>
    </row>
    <row r="9893" spans="1:13" s="166" customFormat="1" ht="12.75" customHeight="1">
      <c r="A9893" s="466" t="s">
        <v>1881</v>
      </c>
      <c r="B9893" s="467">
        <v>1</v>
      </c>
      <c r="C9893" s="468" t="s">
        <v>48</v>
      </c>
      <c r="D9893" s="482">
        <v>100</v>
      </c>
      <c r="E9893" s="470">
        <f t="shared" si="977"/>
        <v>100</v>
      </c>
      <c r="F9893" s="32"/>
      <c r="M9893" s="15"/>
    </row>
    <row r="9894" spans="1:13" s="166" customFormat="1" ht="12.75" customHeight="1">
      <c r="A9894" s="466" t="s">
        <v>1882</v>
      </c>
      <c r="B9894" s="467">
        <v>1</v>
      </c>
      <c r="C9894" s="468" t="s">
        <v>209</v>
      </c>
      <c r="D9894" s="482">
        <v>2500</v>
      </c>
      <c r="E9894" s="470">
        <f t="shared" si="977"/>
        <v>2500</v>
      </c>
      <c r="F9894" s="32"/>
      <c r="M9894" s="15"/>
    </row>
    <row r="9895" spans="1:13" s="166" customFormat="1" ht="12.75" customHeight="1">
      <c r="A9895" s="13"/>
      <c r="B9895" s="434"/>
      <c r="C9895" s="24"/>
      <c r="D9895" s="41"/>
      <c r="E9895" s="31"/>
      <c r="F9895" s="32"/>
      <c r="M9895" s="15"/>
    </row>
    <row r="9896" spans="1:13" s="166" customFormat="1" ht="12.75" customHeight="1">
      <c r="A9896" s="13"/>
      <c r="B9896" s="434"/>
      <c r="C9896" s="24"/>
      <c r="D9896" s="41"/>
      <c r="E9896" s="31"/>
      <c r="F9896" s="32"/>
      <c r="M9896" s="15"/>
    </row>
    <row r="9897" spans="1:13" s="166" customFormat="1" ht="12.75" customHeight="1">
      <c r="A9897" s="473" t="s">
        <v>1874</v>
      </c>
      <c r="B9897" s="171"/>
      <c r="C9897" s="1752" t="s">
        <v>1875</v>
      </c>
      <c r="D9897" s="1753"/>
      <c r="E9897" s="475">
        <f>SUM(E9898:E9903)</f>
        <v>23916.33</v>
      </c>
      <c r="F9897" s="32"/>
      <c r="M9897" s="15"/>
    </row>
    <row r="9898" spans="1:13" s="166" customFormat="1" ht="12.75" customHeight="1">
      <c r="A9898" s="466" t="s">
        <v>1876</v>
      </c>
      <c r="B9898" s="467">
        <f>1.2*1.2*0.5</f>
        <v>0.72</v>
      </c>
      <c r="C9898" s="468" t="s">
        <v>825</v>
      </c>
      <c r="D9898" s="482">
        <v>4628.37</v>
      </c>
      <c r="E9898" s="470">
        <f t="shared" ref="E9898:E9903" si="978">ROUND(B9898*D9898,2)</f>
        <v>3332.43</v>
      </c>
      <c r="F9898" s="32"/>
      <c r="M9898" s="15"/>
    </row>
    <row r="9899" spans="1:13" s="166" customFormat="1" ht="12.75" customHeight="1">
      <c r="A9899" s="466" t="s">
        <v>1877</v>
      </c>
      <c r="B9899" s="467">
        <v>2</v>
      </c>
      <c r="C9899" s="468" t="s">
        <v>1878</v>
      </c>
      <c r="D9899" s="482">
        <v>4686.4399999999996</v>
      </c>
      <c r="E9899" s="470">
        <f t="shared" si="978"/>
        <v>9372.8799999999992</v>
      </c>
      <c r="F9899" s="32"/>
      <c r="M9899" s="15"/>
    </row>
    <row r="9900" spans="1:13" s="166" customFormat="1" ht="12.75" customHeight="1">
      <c r="A9900" s="466" t="s">
        <v>1879</v>
      </c>
      <c r="B9900" s="467">
        <v>1</v>
      </c>
      <c r="C9900" s="468" t="s">
        <v>1878</v>
      </c>
      <c r="D9900" s="482">
        <v>4661.0200000000004</v>
      </c>
      <c r="E9900" s="470">
        <f t="shared" si="978"/>
        <v>4661.0200000000004</v>
      </c>
      <c r="F9900" s="32"/>
      <c r="M9900" s="15"/>
    </row>
    <row r="9901" spans="1:13" s="166" customFormat="1" ht="12.75" customHeight="1">
      <c r="A9901" s="466" t="s">
        <v>1880</v>
      </c>
      <c r="B9901" s="467">
        <v>1</v>
      </c>
      <c r="C9901" s="468" t="s">
        <v>1878</v>
      </c>
      <c r="D9901" s="482">
        <v>250</v>
      </c>
      <c r="E9901" s="470">
        <f t="shared" si="978"/>
        <v>250</v>
      </c>
      <c r="F9901" s="32"/>
      <c r="M9901" s="15"/>
    </row>
    <row r="9902" spans="1:13" s="166" customFormat="1" ht="12.75" customHeight="1">
      <c r="A9902" s="466" t="s">
        <v>1881</v>
      </c>
      <c r="B9902" s="467">
        <v>1</v>
      </c>
      <c r="C9902" s="468" t="s">
        <v>48</v>
      </c>
      <c r="D9902" s="482">
        <v>1800</v>
      </c>
      <c r="E9902" s="470">
        <f t="shared" si="978"/>
        <v>1800</v>
      </c>
      <c r="F9902" s="32"/>
      <c r="M9902" s="15"/>
    </row>
    <row r="9903" spans="1:13" s="166" customFormat="1" ht="12.75" customHeight="1">
      <c r="A9903" s="466" t="s">
        <v>1882</v>
      </c>
      <c r="B9903" s="467">
        <v>1</v>
      </c>
      <c r="C9903" s="468" t="s">
        <v>209</v>
      </c>
      <c r="D9903" s="482">
        <v>4500</v>
      </c>
      <c r="E9903" s="470">
        <f t="shared" si="978"/>
        <v>4500</v>
      </c>
      <c r="F9903" s="32"/>
      <c r="M9903" s="15"/>
    </row>
    <row r="9904" spans="1:13" s="166" customFormat="1" ht="12.75" customHeight="1">
      <c r="A9904" s="13"/>
      <c r="B9904" s="434"/>
      <c r="C9904" s="24"/>
      <c r="D9904" s="41"/>
      <c r="E9904" s="31"/>
      <c r="F9904" s="32"/>
      <c r="M9904" s="15"/>
    </row>
    <row r="9905" spans="1:13" s="166" customFormat="1" ht="12.75" customHeight="1">
      <c r="A9905" s="473" t="s">
        <v>1883</v>
      </c>
      <c r="B9905" s="171"/>
      <c r="C9905" s="1752" t="s">
        <v>1724</v>
      </c>
      <c r="D9905" s="1753" t="s">
        <v>1712</v>
      </c>
      <c r="E9905" s="475">
        <f>ROUND(SUM(E9906:E9910),2)</f>
        <v>1249.01</v>
      </c>
      <c r="F9905" s="32"/>
      <c r="M9905" s="15"/>
    </row>
    <row r="9906" spans="1:13" s="166" customFormat="1" ht="12.75" customHeight="1">
      <c r="A9906" s="466" t="s">
        <v>1884</v>
      </c>
      <c r="B9906" s="467">
        <v>1</v>
      </c>
      <c r="C9906" s="468" t="s">
        <v>1885</v>
      </c>
      <c r="D9906" s="469">
        <v>850</v>
      </c>
      <c r="E9906" s="470">
        <f>ROUND(B9906*D9906,2)</f>
        <v>850</v>
      </c>
      <c r="F9906" s="32"/>
      <c r="M9906" s="15"/>
    </row>
    <row r="9907" spans="1:13" s="166" customFormat="1" ht="12.75" customHeight="1">
      <c r="A9907" s="466" t="s">
        <v>1886</v>
      </c>
      <c r="B9907" s="467">
        <f>1/28</f>
        <v>3.5714285714285712E-2</v>
      </c>
      <c r="C9907" s="468" t="s">
        <v>1887</v>
      </c>
      <c r="D9907" s="469">
        <v>2352.27</v>
      </c>
      <c r="E9907" s="470">
        <f>ROUND(B9907*D9907,2)</f>
        <v>84.01</v>
      </c>
      <c r="F9907" s="32"/>
      <c r="M9907" s="15"/>
    </row>
    <row r="9908" spans="1:13" s="166" customFormat="1" ht="12.75" customHeight="1">
      <c r="A9908" s="466" t="s">
        <v>1888</v>
      </c>
      <c r="B9908" s="467">
        <v>0.25</v>
      </c>
      <c r="C9908" s="468" t="s">
        <v>1885</v>
      </c>
      <c r="D9908" s="469">
        <v>300</v>
      </c>
      <c r="E9908" s="470">
        <f>ROUND(B9908*D9908,2)</f>
        <v>75</v>
      </c>
      <c r="F9908" s="32"/>
      <c r="M9908" s="15"/>
    </row>
    <row r="9909" spans="1:13" s="166" customFormat="1" ht="12.75" customHeight="1">
      <c r="A9909" s="466" t="s">
        <v>1100</v>
      </c>
      <c r="B9909" s="467">
        <v>1</v>
      </c>
      <c r="C9909" s="468" t="s">
        <v>1885</v>
      </c>
      <c r="D9909" s="469">
        <v>175</v>
      </c>
      <c r="E9909" s="470">
        <f>ROUND(B9909*D9909,2)</f>
        <v>175</v>
      </c>
      <c r="F9909" s="32"/>
      <c r="M9909" s="15"/>
    </row>
    <row r="9910" spans="1:13" s="166" customFormat="1" ht="12.75" customHeight="1">
      <c r="A9910" s="466" t="s">
        <v>1889</v>
      </c>
      <c r="B9910" s="467">
        <v>1</v>
      </c>
      <c r="C9910" s="468" t="s">
        <v>48</v>
      </c>
      <c r="D9910" s="469">
        <v>65</v>
      </c>
      <c r="E9910" s="470">
        <f>ROUND(B9910*D9910,2)</f>
        <v>65</v>
      </c>
      <c r="F9910" s="32"/>
      <c r="M9910" s="15"/>
    </row>
    <row r="9911" spans="1:13" s="166" customFormat="1" ht="12.75" customHeight="1">
      <c r="A9911" s="13"/>
      <c r="B9911" s="434"/>
      <c r="C9911" s="24"/>
      <c r="D9911" s="41"/>
      <c r="E9911" s="31"/>
      <c r="F9911" s="32"/>
      <c r="M9911" s="15"/>
    </row>
    <row r="9912" spans="1:13" s="166" customFormat="1" ht="12.75" customHeight="1">
      <c r="A9912" s="473" t="s">
        <v>1950</v>
      </c>
      <c r="B9912" s="171"/>
      <c r="C9912" s="435"/>
      <c r="D9912" s="436"/>
      <c r="E9912" s="437"/>
      <c r="F9912" s="32"/>
      <c r="M9912" s="15"/>
    </row>
    <row r="9913" spans="1:13" s="166" customFormat="1" ht="12.75" customHeight="1">
      <c r="A9913" s="466" t="s">
        <v>1889</v>
      </c>
      <c r="B9913" s="467">
        <v>0.16</v>
      </c>
      <c r="C9913" s="468" t="s">
        <v>828</v>
      </c>
      <c r="D9913" s="469">
        <v>1295</v>
      </c>
      <c r="E9913" s="470">
        <f>ROUND(B9913*D9913,2)</f>
        <v>207.2</v>
      </c>
      <c r="F9913" s="32"/>
      <c r="M9913" s="15"/>
    </row>
    <row r="9914" spans="1:13" s="166" customFormat="1" ht="12.75" customHeight="1">
      <c r="A9914" s="466" t="s">
        <v>1951</v>
      </c>
      <c r="B9914" s="467">
        <v>1</v>
      </c>
      <c r="C9914" s="468" t="s">
        <v>213</v>
      </c>
      <c r="D9914" s="469">
        <v>50</v>
      </c>
      <c r="E9914" s="470">
        <f>ROUND(B9914*D9914,2)</f>
        <v>50</v>
      </c>
      <c r="F9914" s="32"/>
      <c r="M9914" s="15"/>
    </row>
    <row r="9915" spans="1:13" s="166" customFormat="1" ht="12.75" customHeight="1">
      <c r="A9915" s="466" t="s">
        <v>1851</v>
      </c>
      <c r="B9915" s="467">
        <v>7.0000000000000007E-2</v>
      </c>
      <c r="C9915" s="468" t="s">
        <v>48</v>
      </c>
      <c r="D9915" s="469">
        <v>262.2</v>
      </c>
      <c r="E9915" s="470">
        <f>ROUND(B9915*D9915,2)</f>
        <v>18.350000000000001</v>
      </c>
      <c r="F9915" s="32"/>
      <c r="M9915" s="15"/>
    </row>
    <row r="9916" spans="1:13" s="166" customFormat="1" ht="12.75" customHeight="1">
      <c r="A9916" s="13"/>
      <c r="B9916" s="434"/>
      <c r="C9916" s="1752" t="s">
        <v>1714</v>
      </c>
      <c r="D9916" s="1753" t="s">
        <v>1712</v>
      </c>
      <c r="E9916" s="475">
        <f>SUM(E9913:E9915)</f>
        <v>275.55</v>
      </c>
      <c r="F9916" s="32"/>
      <c r="M9916" s="15"/>
    </row>
    <row r="9917" spans="1:13" s="166" customFormat="1" ht="12.75" customHeight="1">
      <c r="A9917" s="13"/>
      <c r="B9917" s="434"/>
      <c r="C9917" s="24"/>
      <c r="D9917" s="41"/>
      <c r="E9917" s="31"/>
      <c r="F9917" s="32"/>
      <c r="M9917" s="15"/>
    </row>
    <row r="9918" spans="1:13" s="166" customFormat="1" ht="12.75" customHeight="1">
      <c r="A9918" s="13"/>
      <c r="B9918" s="434"/>
      <c r="C9918" s="24"/>
      <c r="D9918" s="41"/>
      <c r="E9918" s="31"/>
      <c r="F9918" s="32"/>
      <c r="M9918" s="15"/>
    </row>
    <row r="9919" spans="1:13" s="166" customFormat="1" ht="12.75" customHeight="1">
      <c r="A9919" s="13"/>
      <c r="B9919" s="434"/>
      <c r="C9919" s="24"/>
      <c r="D9919" s="41"/>
      <c r="E9919" s="31"/>
      <c r="F9919" s="32"/>
      <c r="M9919" s="15"/>
    </row>
    <row r="9920" spans="1:13" s="166" customFormat="1" ht="12.75" customHeight="1">
      <c r="A9920" s="13"/>
      <c r="B9920" s="434"/>
      <c r="C9920" s="24"/>
      <c r="D9920" s="41"/>
      <c r="E9920" s="31"/>
      <c r="F9920" s="32"/>
      <c r="M9920" s="15"/>
    </row>
    <row r="9921" spans="1:13" s="166" customFormat="1" ht="12.75" customHeight="1">
      <c r="A9921" s="13"/>
      <c r="B9921" s="434"/>
      <c r="C9921" s="24"/>
      <c r="D9921" s="41"/>
      <c r="E9921" s="31"/>
      <c r="F9921" s="32"/>
      <c r="M9921" s="15"/>
    </row>
    <row r="9922" spans="1:13" s="166" customFormat="1" ht="12.75" customHeight="1">
      <c r="A9922" s="13"/>
      <c r="B9922" s="434"/>
      <c r="C9922" s="24"/>
      <c r="D9922" s="41"/>
      <c r="E9922" s="31"/>
      <c r="F9922" s="32"/>
      <c r="M9922" s="15"/>
    </row>
    <row r="9923" spans="1:13" s="166" customFormat="1" ht="12.75" customHeight="1">
      <c r="A9923" s="13"/>
      <c r="B9923" s="434"/>
      <c r="C9923" s="24"/>
      <c r="D9923" s="41"/>
      <c r="E9923" s="31"/>
      <c r="F9923" s="32"/>
      <c r="M9923" s="15"/>
    </row>
    <row r="9924" spans="1:13" s="166" customFormat="1" ht="12.75" customHeight="1">
      <c r="A9924" s="13" t="s">
        <v>156</v>
      </c>
      <c r="B9924" s="434"/>
      <c r="C9924" s="24"/>
      <c r="D9924" s="41"/>
      <c r="E9924" s="31"/>
      <c r="F9924" s="32"/>
      <c r="M9924" s="15"/>
    </row>
    <row r="9925" spans="1:13" ht="12.75" customHeight="1">
      <c r="A9925" s="12" t="s">
        <v>355</v>
      </c>
      <c r="B9925" s="434">
        <v>1.05</v>
      </c>
      <c r="C9925" s="24" t="s">
        <v>825</v>
      </c>
      <c r="D9925" s="41">
        <f>horm.ymez.!C17</f>
        <v>5459</v>
      </c>
      <c r="E9925" s="31">
        <f t="shared" ref="E9925:E9933" si="979">B9925*D9925</f>
        <v>5731.95</v>
      </c>
      <c r="F9925" s="32"/>
      <c r="G9925" s="4"/>
      <c r="H9925" s="4"/>
      <c r="I9925" s="4"/>
      <c r="J9925" s="4"/>
      <c r="K9925" s="4"/>
      <c r="L9925" s="4"/>
    </row>
    <row r="9926" spans="1:13" ht="12.75" customHeight="1">
      <c r="A9926" s="12" t="s">
        <v>1197</v>
      </c>
      <c r="B9926" s="434">
        <v>3.15</v>
      </c>
      <c r="C9926" s="24" t="s">
        <v>4</v>
      </c>
      <c r="D9926" s="41">
        <f>D9311</f>
        <v>3200</v>
      </c>
      <c r="E9926" s="31">
        <f t="shared" si="979"/>
        <v>10080</v>
      </c>
      <c r="F9926" s="32"/>
      <c r="G9926" s="4"/>
      <c r="H9926" s="4"/>
      <c r="I9926" s="4"/>
      <c r="J9926" s="4"/>
      <c r="K9926" s="4"/>
      <c r="L9926" s="4"/>
    </row>
    <row r="9927" spans="1:13" ht="12.75" customHeight="1">
      <c r="A9927" s="12" t="s">
        <v>173</v>
      </c>
      <c r="B9927" s="434">
        <v>1.68</v>
      </c>
      <c r="C9927" s="24" t="s">
        <v>4</v>
      </c>
      <c r="D9927" s="41">
        <f>D9312</f>
        <v>3200</v>
      </c>
      <c r="E9927" s="31">
        <f t="shared" si="979"/>
        <v>5376</v>
      </c>
      <c r="F9927" s="32"/>
      <c r="G9927" s="4"/>
      <c r="H9927" s="4"/>
      <c r="I9927" s="4"/>
      <c r="J9927" s="4"/>
      <c r="K9927" s="4"/>
      <c r="L9927" s="4"/>
    </row>
    <row r="9928" spans="1:13" ht="12.75" customHeight="1">
      <c r="A9928" s="12" t="s">
        <v>578</v>
      </c>
      <c r="B9928" s="434">
        <v>4.41</v>
      </c>
      <c r="C9928" s="24" t="s">
        <v>4</v>
      </c>
      <c r="D9928" s="41">
        <f>D9313</f>
        <v>3200</v>
      </c>
      <c r="E9928" s="31">
        <f t="shared" si="979"/>
        <v>14112</v>
      </c>
      <c r="F9928" s="32"/>
      <c r="G9928" s="4"/>
      <c r="H9928" s="4"/>
      <c r="I9928" s="4"/>
      <c r="J9928" s="4"/>
      <c r="K9928" s="4"/>
      <c r="L9928" s="4"/>
    </row>
    <row r="9929" spans="1:13" ht="12.75" customHeight="1">
      <c r="A9929" s="12" t="s">
        <v>1198</v>
      </c>
      <c r="B9929" s="434">
        <f>B9931*2</f>
        <v>18.48</v>
      </c>
      <c r="C9929" s="24" t="s">
        <v>1204</v>
      </c>
      <c r="D9929" s="41">
        <f>D9314</f>
        <v>60</v>
      </c>
      <c r="E9929" s="31">
        <f t="shared" si="979"/>
        <v>1108.8</v>
      </c>
      <c r="F9929" s="32"/>
      <c r="G9929" s="4"/>
      <c r="H9929" s="4"/>
      <c r="I9929" s="4"/>
      <c r="J9929" s="4"/>
      <c r="K9929" s="4"/>
      <c r="L9929" s="4"/>
    </row>
    <row r="9930" spans="1:13" ht="12.75" customHeight="1">
      <c r="A9930" s="12" t="s">
        <v>652</v>
      </c>
      <c r="B9930" s="434">
        <v>31.25</v>
      </c>
      <c r="C9930" s="24" t="s">
        <v>1171</v>
      </c>
      <c r="D9930" s="41">
        <f>D8388</f>
        <v>315</v>
      </c>
      <c r="E9930" s="31">
        <f t="shared" si="979"/>
        <v>9843.75</v>
      </c>
      <c r="F9930" s="32"/>
      <c r="G9930" s="4"/>
      <c r="H9930" s="4"/>
      <c r="I9930" s="4"/>
      <c r="J9930" s="4"/>
      <c r="K9930" s="4"/>
      <c r="L9930" s="4"/>
    </row>
    <row r="9931" spans="1:13" ht="12.75" customHeight="1">
      <c r="A9931" s="12" t="s">
        <v>1037</v>
      </c>
      <c r="B9931" s="434">
        <f>SUM(B9926:B9928)</f>
        <v>9.24</v>
      </c>
      <c r="C9931" s="24" t="s">
        <v>4</v>
      </c>
      <c r="D9931" s="41">
        <f>D9316</f>
        <v>0</v>
      </c>
      <c r="E9931" s="31">
        <f t="shared" si="979"/>
        <v>0</v>
      </c>
      <c r="F9931" s="32"/>
      <c r="G9931" s="4"/>
      <c r="H9931" s="4"/>
      <c r="I9931" s="4"/>
      <c r="J9931" s="4"/>
      <c r="K9931" s="4"/>
      <c r="L9931" s="4"/>
    </row>
    <row r="9932" spans="1:13" ht="12.75" customHeight="1">
      <c r="A9932" s="12" t="s">
        <v>519</v>
      </c>
      <c r="B9932" s="434">
        <v>1.05</v>
      </c>
      <c r="C9932" s="24" t="s">
        <v>825</v>
      </c>
      <c r="D9932" s="41">
        <f>D9317</f>
        <v>606.97</v>
      </c>
      <c r="E9932" s="31">
        <f t="shared" si="979"/>
        <v>637.31850000000009</v>
      </c>
      <c r="F9932" s="32"/>
      <c r="G9932" s="4"/>
      <c r="H9932" s="4"/>
      <c r="I9932" s="4"/>
      <c r="J9932" s="4"/>
      <c r="K9932" s="4"/>
      <c r="L9932" s="4"/>
    </row>
    <row r="9933" spans="1:13" ht="12.75" customHeight="1">
      <c r="A9933" s="12" t="s">
        <v>208</v>
      </c>
      <c r="B9933" s="434">
        <f>SUM(E9925:E9932)</f>
        <v>46889.818500000001</v>
      </c>
      <c r="C9933" s="24" t="s">
        <v>209</v>
      </c>
      <c r="D9933" s="41">
        <f>D9318</f>
        <v>1.4999999999999999E-2</v>
      </c>
      <c r="E9933" s="31">
        <f t="shared" si="979"/>
        <v>703.34727750000002</v>
      </c>
      <c r="F9933" s="32">
        <f>SUM(E9925:E9933)</f>
        <v>47593.165777499999</v>
      </c>
      <c r="G9933" s="4"/>
      <c r="H9933" s="4"/>
      <c r="I9933" s="4"/>
      <c r="J9933" s="4"/>
      <c r="K9933" s="4"/>
      <c r="L9933" s="4"/>
    </row>
    <row r="9934" spans="1:13" ht="12.75" customHeight="1">
      <c r="A9934" s="12"/>
      <c r="B9934" s="434"/>
      <c r="C9934" s="24"/>
      <c r="D9934" s="41"/>
      <c r="E9934" s="31"/>
      <c r="F9934" s="32"/>
      <c r="G9934" s="4"/>
      <c r="H9934" s="4"/>
      <c r="I9934" s="4"/>
      <c r="J9934" s="4"/>
      <c r="K9934" s="4"/>
      <c r="L9934" s="4"/>
    </row>
    <row r="9935" spans="1:13" ht="12.75" customHeight="1">
      <c r="A9935" s="13" t="s">
        <v>994</v>
      </c>
      <c r="B9935" s="434"/>
      <c r="C9935" s="24"/>
      <c r="D9935" s="41"/>
      <c r="E9935" s="31"/>
      <c r="F9935" s="32"/>
      <c r="G9935" s="4"/>
      <c r="H9935" s="4"/>
      <c r="I9935" s="4"/>
      <c r="J9935" s="4"/>
      <c r="K9935" s="4"/>
      <c r="L9935" s="4"/>
    </row>
    <row r="9936" spans="1:13" ht="12.75" customHeight="1">
      <c r="A9936" s="12" t="s">
        <v>782</v>
      </c>
      <c r="B9936" s="434">
        <v>1.05</v>
      </c>
      <c r="C9936" s="24" t="s">
        <v>825</v>
      </c>
      <c r="D9936" s="41">
        <f>horm.ymez.!C14</f>
        <v>5147.68</v>
      </c>
      <c r="E9936" s="31">
        <f t="shared" ref="E9936:E9941" si="980">B9936*D9936</f>
        <v>5405.0640000000003</v>
      </c>
      <c r="F9936" s="32"/>
      <c r="G9936" s="4"/>
      <c r="H9936" s="4"/>
      <c r="I9936" s="4"/>
      <c r="J9936" s="4"/>
      <c r="K9936" s="4"/>
      <c r="L9936" s="4"/>
    </row>
    <row r="9937" spans="1:13" ht="12.75" customHeight="1">
      <c r="A9937" s="12" t="s">
        <v>781</v>
      </c>
      <c r="B9937" s="434">
        <v>0.42899999999999999</v>
      </c>
      <c r="C9937" s="24" t="s">
        <v>4</v>
      </c>
      <c r="D9937" s="41">
        <f>D9927</f>
        <v>3200</v>
      </c>
      <c r="E9937" s="31">
        <f t="shared" si="980"/>
        <v>1372.8</v>
      </c>
      <c r="F9937" s="32"/>
      <c r="G9937" s="4"/>
      <c r="H9937" s="4"/>
      <c r="I9937" s="4"/>
      <c r="J9937" s="4"/>
      <c r="K9937" s="4"/>
      <c r="L9937" s="4"/>
    </row>
    <row r="9938" spans="1:13" ht="12.75" customHeight="1">
      <c r="A9938" s="12" t="s">
        <v>1198</v>
      </c>
      <c r="B9938" s="434">
        <f>B9939*2</f>
        <v>0.85799999999999998</v>
      </c>
      <c r="C9938" s="24" t="s">
        <v>218</v>
      </c>
      <c r="D9938" s="41">
        <f>Prec.!C75</f>
        <v>60</v>
      </c>
      <c r="E9938" s="31">
        <f t="shared" si="980"/>
        <v>51.48</v>
      </c>
      <c r="F9938" s="32"/>
      <c r="G9938" s="4"/>
      <c r="H9938" s="4"/>
      <c r="I9938" s="4"/>
      <c r="J9938" s="4"/>
      <c r="K9938" s="4"/>
      <c r="L9938" s="4"/>
    </row>
    <row r="9939" spans="1:13" ht="12.75" customHeight="1">
      <c r="A9939" s="12" t="s">
        <v>1037</v>
      </c>
      <c r="B9939" s="434">
        <f>SUM(B9937)</f>
        <v>0.42899999999999999</v>
      </c>
      <c r="C9939" s="24" t="s">
        <v>4</v>
      </c>
      <c r="D9939" s="41">
        <f>Prec.!D344</f>
        <v>0</v>
      </c>
      <c r="E9939" s="31">
        <f t="shared" si="980"/>
        <v>0</v>
      </c>
      <c r="F9939" s="32"/>
      <c r="G9939" s="4"/>
      <c r="H9939" s="4"/>
      <c r="I9939" s="4"/>
      <c r="J9939" s="4"/>
      <c r="K9939" s="4"/>
      <c r="L9939" s="4"/>
    </row>
    <row r="9940" spans="1:13" ht="12.75" customHeight="1">
      <c r="A9940" s="12" t="s">
        <v>783</v>
      </c>
      <c r="B9940" s="434">
        <v>1.05</v>
      </c>
      <c r="C9940" s="24" t="s">
        <v>825</v>
      </c>
      <c r="D9940" s="41">
        <f>D8389</f>
        <v>606.97</v>
      </c>
      <c r="E9940" s="31">
        <f t="shared" si="980"/>
        <v>637.31850000000009</v>
      </c>
      <c r="F9940" s="32"/>
      <c r="G9940" s="4"/>
      <c r="H9940" s="4"/>
      <c r="I9940" s="4"/>
      <c r="J9940" s="4"/>
      <c r="K9940" s="4"/>
      <c r="L9940" s="4"/>
    </row>
    <row r="9941" spans="1:13" ht="12.75" customHeight="1">
      <c r="A9941" s="12" t="s">
        <v>208</v>
      </c>
      <c r="B9941" s="434">
        <f>SUM(E9936:E9940)</f>
        <v>7466.6625000000004</v>
      </c>
      <c r="C9941" s="24" t="s">
        <v>209</v>
      </c>
      <c r="D9941" s="41">
        <f>D10073</f>
        <v>1.4999999999999999E-2</v>
      </c>
      <c r="E9941" s="31">
        <f t="shared" si="980"/>
        <v>111.9999375</v>
      </c>
      <c r="F9941" s="32">
        <f>SUM(E9936:E9941)</f>
        <v>7578.6624375000001</v>
      </c>
      <c r="G9941" s="4"/>
      <c r="H9941" s="4"/>
      <c r="I9941" s="4"/>
      <c r="J9941" s="4"/>
      <c r="K9941" s="4"/>
      <c r="L9941" s="4"/>
      <c r="M9941" s="4"/>
    </row>
    <row r="9942" spans="1:13" ht="12.75" customHeight="1">
      <c r="A9942" s="12"/>
      <c r="B9942" s="434"/>
      <c r="C9942" s="24"/>
      <c r="D9942" s="41"/>
      <c r="E9942" s="31"/>
      <c r="F9942" s="12"/>
      <c r="G9942" s="4"/>
      <c r="H9942" s="4"/>
      <c r="I9942" s="4"/>
      <c r="J9942" s="4"/>
      <c r="K9942" s="4"/>
      <c r="L9942" s="4"/>
      <c r="M9942" s="4"/>
    </row>
    <row r="9943" spans="1:13" ht="12.75" customHeight="1">
      <c r="A9943" s="13" t="s">
        <v>784</v>
      </c>
      <c r="B9943" s="434"/>
      <c r="C9943" s="24"/>
      <c r="D9943" s="41"/>
      <c r="E9943" s="31"/>
      <c r="F9943" s="12"/>
      <c r="G9943" s="4"/>
      <c r="H9943" s="4"/>
      <c r="I9943" s="4"/>
      <c r="J9943" s="4"/>
      <c r="K9943" s="4"/>
      <c r="L9943" s="4"/>
      <c r="M9943" s="4"/>
    </row>
    <row r="9944" spans="1:13" ht="12.75" customHeight="1">
      <c r="A9944" s="12" t="s">
        <v>867</v>
      </c>
      <c r="B9944" s="434">
        <v>0.61</v>
      </c>
      <c r="C9944" s="24" t="s">
        <v>825</v>
      </c>
      <c r="D9944" s="41">
        <f>D10058</f>
        <v>315.17</v>
      </c>
      <c r="E9944" s="31">
        <f>B9944*D9944</f>
        <v>192.25370000000001</v>
      </c>
      <c r="F9944" s="12"/>
      <c r="G9944" s="17"/>
      <c r="H9944" s="52"/>
      <c r="M9944" s="4"/>
    </row>
    <row r="9945" spans="1:13" ht="12.75" customHeight="1">
      <c r="A9945" s="12" t="s">
        <v>1310</v>
      </c>
      <c r="B9945" s="434">
        <v>0.79</v>
      </c>
      <c r="C9945" s="24" t="s">
        <v>825</v>
      </c>
      <c r="D9945" s="41">
        <f>D10059</f>
        <v>345</v>
      </c>
      <c r="E9945" s="31">
        <f>B9945*D9945</f>
        <v>272.55</v>
      </c>
      <c r="F9945" s="12"/>
      <c r="M9945" s="4"/>
    </row>
    <row r="9946" spans="1:13" ht="12.75" customHeight="1">
      <c r="A9946" s="12" t="s">
        <v>765</v>
      </c>
      <c r="B9946" s="434">
        <v>1.252</v>
      </c>
      <c r="C9946" s="24" t="s">
        <v>1172</v>
      </c>
      <c r="D9946" s="41">
        <f>Prec.!C5</f>
        <v>425</v>
      </c>
      <c r="E9946" s="31">
        <f>B9946*D9946</f>
        <v>532.1</v>
      </c>
      <c r="F9946" s="12"/>
      <c r="M9946" s="4"/>
    </row>
    <row r="9947" spans="1:13" ht="12.75" customHeight="1">
      <c r="A9947" s="12" t="s">
        <v>824</v>
      </c>
      <c r="B9947" s="434">
        <v>7.0999999999999994E-2</v>
      </c>
      <c r="C9947" s="24" t="s">
        <v>825</v>
      </c>
      <c r="D9947" s="41">
        <f>Prec.!C13</f>
        <v>900</v>
      </c>
      <c r="E9947" s="31">
        <f t="shared" ref="E9947:E9959" si="981">B9947*D9947</f>
        <v>63.899999999999991</v>
      </c>
      <c r="F9947" s="12"/>
      <c r="M9947" s="4"/>
    </row>
    <row r="9948" spans="1:13" ht="12.75" customHeight="1">
      <c r="A9948" s="12" t="s">
        <v>158</v>
      </c>
      <c r="B9948" s="434">
        <v>2.5999999999999999E-2</v>
      </c>
      <c r="C9948" s="24" t="s">
        <v>825</v>
      </c>
      <c r="D9948" s="41">
        <f>Prec.!C15</f>
        <v>900</v>
      </c>
      <c r="E9948" s="31">
        <f t="shared" si="981"/>
        <v>23.4</v>
      </c>
      <c r="F9948" s="12"/>
      <c r="M9948" s="4"/>
    </row>
    <row r="9949" spans="1:13" ht="12.75" customHeight="1">
      <c r="A9949" s="12" t="s">
        <v>1308</v>
      </c>
      <c r="B9949" s="434">
        <v>4.7E-2</v>
      </c>
      <c r="C9949" s="24" t="s">
        <v>825</v>
      </c>
      <c r="D9949" s="41">
        <f>D10063</f>
        <v>900</v>
      </c>
      <c r="E9949" s="31">
        <f t="shared" si="981"/>
        <v>42.3</v>
      </c>
      <c r="F9949" s="12"/>
      <c r="M9949" s="4"/>
    </row>
    <row r="9950" spans="1:13" ht="12.75" customHeight="1">
      <c r="A9950" s="12" t="s">
        <v>827</v>
      </c>
      <c r="B9950" s="434">
        <v>7.4</v>
      </c>
      <c r="C9950" s="24" t="s">
        <v>797</v>
      </c>
      <c r="D9950" s="41">
        <f>Prec.!C80</f>
        <v>0.68</v>
      </c>
      <c r="E9950" s="31">
        <f t="shared" si="981"/>
        <v>5.0320000000000009</v>
      </c>
      <c r="F9950" s="12"/>
      <c r="M9950" s="4"/>
    </row>
    <row r="9951" spans="1:13" ht="12.75" customHeight="1">
      <c r="A9951" s="12" t="s">
        <v>159</v>
      </c>
      <c r="B9951" s="434">
        <v>0.17799999999999999</v>
      </c>
      <c r="C9951" s="24" t="s">
        <v>1172</v>
      </c>
      <c r="D9951" s="41">
        <f>Prec.!C48</f>
        <v>250</v>
      </c>
      <c r="E9951" s="31">
        <f t="shared" si="981"/>
        <v>44.5</v>
      </c>
      <c r="F9951" s="12"/>
    </row>
    <row r="9952" spans="1:13" ht="12.75" customHeight="1">
      <c r="A9952" s="12" t="s">
        <v>160</v>
      </c>
      <c r="B9952" s="434">
        <v>15</v>
      </c>
      <c r="C9952" s="24" t="s">
        <v>1017</v>
      </c>
      <c r="D9952" s="41">
        <f>Prec.!C87</f>
        <v>34</v>
      </c>
      <c r="E9952" s="31">
        <f t="shared" si="981"/>
        <v>510</v>
      </c>
      <c r="F9952" s="12"/>
    </row>
    <row r="9953" spans="1:13" ht="12.75" customHeight="1">
      <c r="A9953" s="12" t="s">
        <v>182</v>
      </c>
      <c r="B9953" s="434">
        <v>0.98099999999999998</v>
      </c>
      <c r="C9953" s="24" t="s">
        <v>211</v>
      </c>
      <c r="D9953" s="41">
        <f>D10069</f>
        <v>44</v>
      </c>
      <c r="E9953" s="31">
        <f>B9953*D9953</f>
        <v>43.164000000000001</v>
      </c>
      <c r="F9953" s="12"/>
    </row>
    <row r="9954" spans="1:13" ht="12.75" customHeight="1">
      <c r="A9954" s="12" t="s">
        <v>6</v>
      </c>
      <c r="B9954" s="434">
        <v>0.16</v>
      </c>
      <c r="C9954" s="24" t="s">
        <v>1204</v>
      </c>
      <c r="D9954" s="41">
        <f>Prec.!C151</f>
        <v>40</v>
      </c>
      <c r="E9954" s="31">
        <f>B9954*D9954</f>
        <v>6.4</v>
      </c>
      <c r="F9954" s="12"/>
    </row>
    <row r="9955" spans="1:13" ht="12.75" customHeight="1">
      <c r="A9955" s="12" t="s">
        <v>766</v>
      </c>
      <c r="B9955" s="434">
        <v>1.2E-2</v>
      </c>
      <c r="C9955" s="24" t="s">
        <v>1017</v>
      </c>
      <c r="D9955" s="41">
        <f>Prec.!C211</f>
        <v>2080</v>
      </c>
      <c r="E9955" s="31">
        <f t="shared" si="981"/>
        <v>24.96</v>
      </c>
      <c r="F9955" s="12"/>
    </row>
    <row r="9956" spans="1:13" ht="12.75" customHeight="1">
      <c r="A9956" s="12" t="s">
        <v>161</v>
      </c>
      <c r="B9956" s="434">
        <v>4.7E-2</v>
      </c>
      <c r="C9956" s="24" t="s">
        <v>4</v>
      </c>
      <c r="D9956" s="41">
        <f>Prec.!C53</f>
        <v>3200</v>
      </c>
      <c r="E9956" s="31">
        <f t="shared" si="981"/>
        <v>150.4</v>
      </c>
      <c r="F9956" s="12"/>
    </row>
    <row r="9957" spans="1:13" ht="12.75" customHeight="1">
      <c r="A9957" s="12" t="s">
        <v>1198</v>
      </c>
      <c r="B9957" s="434">
        <v>9.4E-2</v>
      </c>
      <c r="C9957" s="24" t="s">
        <v>1204</v>
      </c>
      <c r="D9957" s="41">
        <f>Prec.!C75</f>
        <v>60</v>
      </c>
      <c r="E9957" s="31">
        <f t="shared" si="981"/>
        <v>5.64</v>
      </c>
      <c r="F9957" s="12"/>
    </row>
    <row r="9958" spans="1:13" ht="12.75" customHeight="1">
      <c r="A9958" s="12" t="s">
        <v>309</v>
      </c>
      <c r="B9958" s="434">
        <v>1</v>
      </c>
      <c r="C9958" s="24" t="s">
        <v>1017</v>
      </c>
      <c r="D9958" s="41">
        <f>Prec.!$D$685</f>
        <v>896.07</v>
      </c>
      <c r="E9958" s="31">
        <f t="shared" si="981"/>
        <v>896.07</v>
      </c>
      <c r="F9958" s="32"/>
    </row>
    <row r="9959" spans="1:13" ht="12.75" customHeight="1">
      <c r="A9959" s="12" t="s">
        <v>208</v>
      </c>
      <c r="B9959" s="434">
        <f>SUM(E9944:E9958)</f>
        <v>2812.6697000000004</v>
      </c>
      <c r="C9959" s="24" t="s">
        <v>209</v>
      </c>
      <c r="D9959" s="41">
        <f>Prec.!C302</f>
        <v>1.4999999999999999E-2</v>
      </c>
      <c r="E9959" s="31">
        <f t="shared" si="981"/>
        <v>42.190045500000004</v>
      </c>
      <c r="F9959" s="32">
        <f>SUM(E9944:E9959)</f>
        <v>2854.8597455000004</v>
      </c>
    </row>
    <row r="9960" spans="1:13" ht="12.75" customHeight="1">
      <c r="A9960" s="12"/>
      <c r="B9960" s="434"/>
      <c r="C9960" s="24"/>
      <c r="D9960" s="41"/>
      <c r="E9960" s="31"/>
      <c r="F9960" s="32"/>
      <c r="L9960" s="52"/>
    </row>
    <row r="9961" spans="1:13" s="166" customFormat="1" ht="12.75" customHeight="1">
      <c r="A9961" s="12"/>
      <c r="B9961" s="434"/>
      <c r="C9961" s="24"/>
      <c r="D9961" s="41"/>
      <c r="E9961" s="31"/>
      <c r="F9961" s="32"/>
      <c r="G9961" s="15"/>
      <c r="H9961" s="21"/>
      <c r="I9961" s="15"/>
      <c r="J9961" s="15"/>
      <c r="K9961" s="15"/>
      <c r="L9961" s="52"/>
      <c r="M9961" s="15"/>
    </row>
    <row r="9962" spans="1:13" s="166" customFormat="1" ht="12.75" customHeight="1">
      <c r="A9962" s="483" t="s">
        <v>2012</v>
      </c>
      <c r="B9962" s="484"/>
      <c r="C9962" s="485"/>
      <c r="D9962" s="486"/>
      <c r="E9962" s="487"/>
      <c r="F9962" s="488"/>
      <c r="G9962" s="15"/>
      <c r="H9962" s="21"/>
      <c r="I9962" s="15"/>
      <c r="J9962" s="15"/>
      <c r="K9962" s="15"/>
      <c r="L9962" s="52"/>
      <c r="M9962" s="15"/>
    </row>
    <row r="9963" spans="1:13" s="166" customFormat="1" ht="12.75" customHeight="1">
      <c r="A9963" s="20" t="s">
        <v>2015</v>
      </c>
      <c r="B9963" s="484">
        <v>1</v>
      </c>
      <c r="C9963" s="485" t="s">
        <v>1171</v>
      </c>
      <c r="D9963" s="486">
        <v>767.18</v>
      </c>
      <c r="E9963" s="487">
        <f t="shared" ref="E9963:E9970" si="982">ROUND(B9963*D9963,2)</f>
        <v>767.18</v>
      </c>
      <c r="F9963" s="488"/>
      <c r="G9963" s="15"/>
      <c r="H9963" s="21"/>
      <c r="I9963" s="15"/>
      <c r="J9963" s="15"/>
      <c r="K9963" s="15"/>
      <c r="L9963" s="52"/>
      <c r="M9963" s="15"/>
    </row>
    <row r="9964" spans="1:13" s="166" customFormat="1" ht="12.75" customHeight="1">
      <c r="A9964" s="20" t="s">
        <v>2006</v>
      </c>
      <c r="B9964" s="484">
        <v>0.89999999999999991</v>
      </c>
      <c r="C9964" s="485" t="s">
        <v>825</v>
      </c>
      <c r="D9964" s="486">
        <v>315.17</v>
      </c>
      <c r="E9964" s="487">
        <f t="shared" si="982"/>
        <v>283.64999999999998</v>
      </c>
      <c r="F9964" s="488"/>
      <c r="G9964" s="15"/>
      <c r="H9964" s="21"/>
      <c r="I9964" s="15"/>
      <c r="J9964" s="15"/>
      <c r="K9964" s="15"/>
      <c r="L9964" s="52"/>
      <c r="M9964" s="15"/>
    </row>
    <row r="9965" spans="1:13" s="166" customFormat="1" ht="12.75" customHeight="1">
      <c r="A9965" s="20" t="s">
        <v>1989</v>
      </c>
      <c r="B9965" s="484">
        <v>0.10742999999999991</v>
      </c>
      <c r="C9965" s="485" t="s">
        <v>825</v>
      </c>
      <c r="D9965" s="486">
        <v>345</v>
      </c>
      <c r="E9965" s="487">
        <f t="shared" si="982"/>
        <v>37.06</v>
      </c>
      <c r="F9965" s="488"/>
      <c r="G9965" s="15"/>
      <c r="H9965" s="21"/>
      <c r="I9965" s="15"/>
      <c r="J9965" s="15"/>
      <c r="K9965" s="15"/>
      <c r="L9965" s="52"/>
      <c r="M9965" s="15"/>
    </row>
    <row r="9966" spans="1:13" s="166" customFormat="1" ht="12.75" customHeight="1">
      <c r="A9966" s="20" t="s">
        <v>2007</v>
      </c>
      <c r="B9966" s="484">
        <v>7.5000000000000011E-2</v>
      </c>
      <c r="C9966" s="485" t="s">
        <v>825</v>
      </c>
      <c r="D9966" s="486">
        <f>Prec.!C13</f>
        <v>900</v>
      </c>
      <c r="E9966" s="487">
        <f t="shared" si="982"/>
        <v>67.5</v>
      </c>
      <c r="F9966" s="488"/>
      <c r="G9966" s="15"/>
      <c r="H9966" s="21"/>
      <c r="I9966" s="15"/>
      <c r="J9966" s="15"/>
      <c r="K9966" s="15"/>
      <c r="L9966" s="52"/>
      <c r="M9966" s="15"/>
    </row>
    <row r="9967" spans="1:13" s="166" customFormat="1" ht="12.75" customHeight="1">
      <c r="A9967" s="20" t="s">
        <v>2008</v>
      </c>
      <c r="B9967" s="484">
        <v>6.25E-2</v>
      </c>
      <c r="C9967" s="485" t="s">
        <v>828</v>
      </c>
      <c r="D9967" s="486">
        <v>3393</v>
      </c>
      <c r="E9967" s="487">
        <f t="shared" si="982"/>
        <v>212.06</v>
      </c>
      <c r="F9967" s="488"/>
      <c r="G9967" s="15"/>
      <c r="H9967" s="21"/>
      <c r="I9967" s="15"/>
      <c r="J9967" s="15"/>
      <c r="K9967" s="15"/>
      <c r="L9967" s="52"/>
      <c r="M9967" s="15"/>
    </row>
    <row r="9968" spans="1:13" s="166" customFormat="1" ht="12.75" customHeight="1">
      <c r="A9968" s="20" t="s">
        <v>2009</v>
      </c>
      <c r="B9968" s="484">
        <v>1</v>
      </c>
      <c r="C9968" s="485" t="s">
        <v>1171</v>
      </c>
      <c r="D9968" s="486">
        <v>68.94</v>
      </c>
      <c r="E9968" s="487">
        <f t="shared" si="982"/>
        <v>68.94</v>
      </c>
      <c r="F9968" s="488"/>
      <c r="G9968" s="15"/>
      <c r="H9968" s="21"/>
      <c r="I9968" s="15"/>
      <c r="J9968" s="15"/>
      <c r="K9968" s="15"/>
      <c r="L9968" s="52"/>
      <c r="M9968" s="15"/>
    </row>
    <row r="9969" spans="1:13" s="166" customFormat="1" ht="12.75" customHeight="1">
      <c r="A9969" s="20" t="s">
        <v>2010</v>
      </c>
      <c r="B9969" s="484">
        <v>0.79257</v>
      </c>
      <c r="C9969" s="485" t="s">
        <v>825</v>
      </c>
      <c r="D9969" s="486">
        <v>345</v>
      </c>
      <c r="E9969" s="487">
        <f t="shared" si="982"/>
        <v>273.44</v>
      </c>
      <c r="F9969" s="488"/>
      <c r="G9969" s="15"/>
      <c r="H9969" s="21"/>
      <c r="I9969" s="15"/>
      <c r="J9969" s="15"/>
      <c r="K9969" s="15"/>
      <c r="L9969" s="52"/>
      <c r="M9969" s="15"/>
    </row>
    <row r="9970" spans="1:13" s="166" customFormat="1" ht="12.75" customHeight="1">
      <c r="A9970" s="489" t="s">
        <v>2011</v>
      </c>
      <c r="B9970" s="487">
        <f>SUM(E9963:E9969)</f>
        <v>1709.83</v>
      </c>
      <c r="C9970" s="485" t="s">
        <v>48</v>
      </c>
      <c r="D9970" s="486">
        <v>0.02</v>
      </c>
      <c r="E9970" s="487">
        <f t="shared" si="982"/>
        <v>34.200000000000003</v>
      </c>
      <c r="F9970" s="488">
        <f>SUM(E9963:E9970)</f>
        <v>1744.03</v>
      </c>
      <c r="G9970" s="15"/>
      <c r="H9970" s="21"/>
      <c r="I9970" s="15"/>
      <c r="J9970" s="15"/>
      <c r="K9970" s="15"/>
      <c r="L9970" s="52"/>
      <c r="M9970" s="15"/>
    </row>
    <row r="9971" spans="1:13" s="166" customFormat="1" ht="12.75" customHeight="1">
      <c r="A9971" s="12"/>
      <c r="B9971" s="434"/>
      <c r="C9971" s="24"/>
      <c r="D9971" s="41"/>
      <c r="E9971" s="31"/>
      <c r="F9971" s="32"/>
      <c r="G9971" s="15"/>
      <c r="H9971" s="21"/>
      <c r="I9971" s="15"/>
      <c r="J9971" s="15"/>
      <c r="K9971" s="15"/>
      <c r="L9971" s="52"/>
      <c r="M9971" s="15"/>
    </row>
    <row r="9972" spans="1:13" s="166" customFormat="1" ht="12.75" customHeight="1">
      <c r="A9972" s="483" t="s">
        <v>2004</v>
      </c>
      <c r="B9972" s="484"/>
      <c r="C9972" s="485"/>
      <c r="D9972" s="486"/>
      <c r="E9972" s="487"/>
      <c r="F9972" s="488"/>
      <c r="G9972" s="15"/>
      <c r="H9972" s="21"/>
      <c r="I9972" s="15"/>
      <c r="J9972" s="15"/>
      <c r="K9972" s="15"/>
      <c r="L9972" s="52"/>
      <c r="M9972" s="15"/>
    </row>
    <row r="9973" spans="1:13" s="166" customFormat="1" ht="12.75" customHeight="1">
      <c r="A9973" s="20" t="s">
        <v>2005</v>
      </c>
      <c r="B9973" s="484">
        <v>1</v>
      </c>
      <c r="C9973" s="485" t="s">
        <v>1171</v>
      </c>
      <c r="D9973" s="486">
        <v>454.58</v>
      </c>
      <c r="E9973" s="487">
        <f t="shared" ref="E9973:E9980" si="983">ROUND(B9973*D9973,2)</f>
        <v>454.58</v>
      </c>
      <c r="F9973" s="488"/>
      <c r="G9973" s="15"/>
      <c r="H9973" s="21"/>
      <c r="I9973" s="15"/>
      <c r="J9973" s="15"/>
      <c r="K9973" s="15"/>
      <c r="L9973" s="52"/>
      <c r="M9973" s="15"/>
    </row>
    <row r="9974" spans="1:13" s="166" customFormat="1" ht="12.75" customHeight="1">
      <c r="A9974" s="20" t="s">
        <v>2006</v>
      </c>
      <c r="B9974" s="484">
        <v>0.55999999999999994</v>
      </c>
      <c r="C9974" s="485" t="s">
        <v>825</v>
      </c>
      <c r="D9974" s="486">
        <f>D9964</f>
        <v>315.17</v>
      </c>
      <c r="E9974" s="487">
        <f t="shared" si="983"/>
        <v>176.5</v>
      </c>
      <c r="F9974" s="488"/>
      <c r="G9974" s="15"/>
      <c r="H9974" s="21"/>
      <c r="I9974" s="15"/>
      <c r="J9974" s="15"/>
      <c r="K9974" s="15"/>
      <c r="L9974" s="52"/>
      <c r="M9974" s="15"/>
    </row>
    <row r="9975" spans="1:13" s="166" customFormat="1" ht="12.75" customHeight="1">
      <c r="A9975" s="20" t="s">
        <v>1989</v>
      </c>
      <c r="B9975" s="484">
        <v>8.8239999999999985E-2</v>
      </c>
      <c r="C9975" s="485" t="s">
        <v>825</v>
      </c>
      <c r="D9975" s="486">
        <f t="shared" ref="D9975:D9979" si="984">D9965</f>
        <v>345</v>
      </c>
      <c r="E9975" s="487">
        <f t="shared" si="983"/>
        <v>30.44</v>
      </c>
      <c r="F9975" s="488"/>
      <c r="G9975" s="15"/>
      <c r="H9975" s="21"/>
      <c r="I9975" s="15"/>
      <c r="J9975" s="15"/>
      <c r="K9975" s="15"/>
      <c r="L9975" s="52"/>
      <c r="M9975" s="15"/>
    </row>
    <row r="9976" spans="1:13" s="166" customFormat="1" ht="12.75" customHeight="1">
      <c r="A9976" s="20" t="s">
        <v>2007</v>
      </c>
      <c r="B9976" s="484">
        <v>6.9999999999999993E-2</v>
      </c>
      <c r="C9976" s="485" t="s">
        <v>825</v>
      </c>
      <c r="D9976" s="486">
        <f t="shared" si="984"/>
        <v>900</v>
      </c>
      <c r="E9976" s="487">
        <f t="shared" si="983"/>
        <v>63</v>
      </c>
      <c r="F9976" s="488"/>
      <c r="G9976" s="15"/>
      <c r="H9976" s="21"/>
      <c r="I9976" s="15"/>
      <c r="J9976" s="15"/>
      <c r="K9976" s="15"/>
      <c r="L9976" s="52"/>
      <c r="M9976" s="15"/>
    </row>
    <row r="9977" spans="1:13" s="166" customFormat="1" ht="12.75" customHeight="1">
      <c r="A9977" s="20" t="s">
        <v>2008</v>
      </c>
      <c r="B9977" s="484">
        <v>3.125E-2</v>
      </c>
      <c r="C9977" s="485" t="s">
        <v>828</v>
      </c>
      <c r="D9977" s="486">
        <v>3393</v>
      </c>
      <c r="E9977" s="487">
        <f t="shared" si="983"/>
        <v>106.03</v>
      </c>
      <c r="F9977" s="488"/>
      <c r="G9977" s="15"/>
      <c r="H9977" s="21"/>
      <c r="I9977" s="15"/>
      <c r="J9977" s="15"/>
      <c r="K9977" s="15"/>
      <c r="L9977" s="52"/>
      <c r="M9977" s="15"/>
    </row>
    <row r="9978" spans="1:13" s="166" customFormat="1" ht="12.75" customHeight="1">
      <c r="A9978" s="20" t="s">
        <v>2009</v>
      </c>
      <c r="B9978" s="484">
        <v>1</v>
      </c>
      <c r="C9978" s="485" t="s">
        <v>1171</v>
      </c>
      <c r="D9978" s="486">
        <v>54.17</v>
      </c>
      <c r="E9978" s="487">
        <f t="shared" si="983"/>
        <v>54.17</v>
      </c>
      <c r="F9978" s="488"/>
      <c r="G9978" s="15"/>
      <c r="H9978" s="21"/>
      <c r="I9978" s="15"/>
      <c r="J9978" s="15"/>
      <c r="K9978" s="15"/>
      <c r="L9978" s="52"/>
      <c r="M9978" s="15"/>
    </row>
    <row r="9979" spans="1:13" s="166" customFormat="1" ht="12.75" customHeight="1">
      <c r="A9979" s="20" t="s">
        <v>2010</v>
      </c>
      <c r="B9979" s="484">
        <v>0.47175999999999996</v>
      </c>
      <c r="C9979" s="485" t="s">
        <v>825</v>
      </c>
      <c r="D9979" s="486">
        <f t="shared" si="984"/>
        <v>345</v>
      </c>
      <c r="E9979" s="487">
        <f t="shared" si="983"/>
        <v>162.76</v>
      </c>
      <c r="F9979" s="488"/>
      <c r="G9979" s="15"/>
      <c r="H9979" s="21"/>
      <c r="I9979" s="15"/>
      <c r="J9979" s="15"/>
      <c r="K9979" s="15"/>
      <c r="L9979" s="52"/>
      <c r="M9979" s="15"/>
    </row>
    <row r="9980" spans="1:13" s="166" customFormat="1" ht="12.75" customHeight="1">
      <c r="A9980" s="489" t="s">
        <v>2011</v>
      </c>
      <c r="B9980" s="487">
        <f>SUM(E9973:E9979)</f>
        <v>1047.48</v>
      </c>
      <c r="C9980" s="485" t="s">
        <v>48</v>
      </c>
      <c r="D9980" s="486">
        <v>0.02</v>
      </c>
      <c r="E9980" s="487">
        <f t="shared" si="983"/>
        <v>20.95</v>
      </c>
      <c r="F9980" s="488">
        <f>SUM(E9973:E9980)</f>
        <v>1068.43</v>
      </c>
      <c r="G9980" s="15"/>
      <c r="H9980" s="21"/>
      <c r="I9980" s="15"/>
      <c r="J9980" s="15"/>
      <c r="K9980" s="15"/>
      <c r="L9980" s="52"/>
      <c r="M9980" s="15"/>
    </row>
    <row r="9981" spans="1:13" s="166" customFormat="1" ht="12.75" customHeight="1">
      <c r="A9981" s="12"/>
      <c r="B9981" s="434"/>
      <c r="C9981" s="24"/>
      <c r="D9981" s="41"/>
      <c r="E9981" s="31"/>
      <c r="F9981" s="32"/>
      <c r="G9981" s="15"/>
      <c r="H9981" s="21"/>
      <c r="I9981" s="15"/>
      <c r="J9981" s="15"/>
      <c r="K9981" s="15"/>
      <c r="L9981" s="52"/>
      <c r="M9981" s="15"/>
    </row>
    <row r="9982" spans="1:13" s="166" customFormat="1" ht="12.75" customHeight="1">
      <c r="A9982" s="483" t="s">
        <v>2013</v>
      </c>
      <c r="B9982" s="484"/>
      <c r="C9982" s="485"/>
      <c r="D9982" s="486"/>
      <c r="E9982" s="487"/>
      <c r="F9982" s="488"/>
      <c r="G9982" s="15"/>
      <c r="H9982" s="21"/>
      <c r="I9982" s="15"/>
      <c r="J9982" s="15"/>
      <c r="K9982" s="15"/>
      <c r="L9982" s="52"/>
      <c r="M9982" s="15"/>
    </row>
    <row r="9983" spans="1:13" s="166" customFormat="1" ht="12.75" customHeight="1">
      <c r="A9983" s="20" t="s">
        <v>2005</v>
      </c>
      <c r="B9983" s="484">
        <v>1</v>
      </c>
      <c r="C9983" s="485" t="s">
        <v>1171</v>
      </c>
      <c r="D9983" s="486">
        <v>170.98</v>
      </c>
      <c r="E9983" s="487">
        <f t="shared" ref="E9983:E9990" si="985">ROUND(B9983*D9983,2)</f>
        <v>170.98</v>
      </c>
      <c r="F9983" s="488"/>
      <c r="G9983" s="15"/>
      <c r="H9983" s="21"/>
      <c r="I9983" s="15"/>
      <c r="J9983" s="15"/>
      <c r="K9983" s="15"/>
      <c r="L9983" s="52"/>
      <c r="M9983" s="15"/>
    </row>
    <row r="9984" spans="1:13" s="166" customFormat="1" ht="12.75" customHeight="1">
      <c r="A9984" s="20" t="s">
        <v>2006</v>
      </c>
      <c r="B9984" s="484">
        <v>0.48</v>
      </c>
      <c r="C9984" s="485" t="s">
        <v>825</v>
      </c>
      <c r="D9984" s="486">
        <f>D9974</f>
        <v>315.17</v>
      </c>
      <c r="E9984" s="487">
        <f t="shared" si="985"/>
        <v>151.28</v>
      </c>
      <c r="F9984" s="488"/>
      <c r="G9984" s="15"/>
      <c r="H9984" s="21"/>
      <c r="I9984" s="15"/>
      <c r="J9984" s="15"/>
      <c r="K9984" s="15"/>
      <c r="L9984" s="52"/>
      <c r="M9984" s="15"/>
    </row>
    <row r="9985" spans="1:13" s="166" customFormat="1" ht="12.75" customHeight="1">
      <c r="A9985" s="20" t="s">
        <v>1989</v>
      </c>
      <c r="B9985" s="484">
        <v>6.8110000000000004E-2</v>
      </c>
      <c r="C9985" s="485" t="s">
        <v>825</v>
      </c>
      <c r="D9985" s="486">
        <f t="shared" ref="D9985:D9989" si="986">D9975</f>
        <v>345</v>
      </c>
      <c r="E9985" s="487">
        <f t="shared" si="985"/>
        <v>23.5</v>
      </c>
      <c r="F9985" s="488"/>
      <c r="G9985" s="15"/>
      <c r="H9985" s="21"/>
      <c r="I9985" s="15"/>
      <c r="J9985" s="15"/>
      <c r="K9985" s="15"/>
      <c r="L9985" s="52"/>
      <c r="M9985" s="15"/>
    </row>
    <row r="9986" spans="1:13" s="166" customFormat="1" ht="12.75" customHeight="1">
      <c r="A9986" s="20" t="s">
        <v>2007</v>
      </c>
      <c r="B9986" s="484">
        <v>0.06</v>
      </c>
      <c r="C9986" s="485" t="s">
        <v>825</v>
      </c>
      <c r="D9986" s="486">
        <f t="shared" si="986"/>
        <v>900</v>
      </c>
      <c r="E9986" s="487">
        <f t="shared" si="985"/>
        <v>54</v>
      </c>
      <c r="F9986" s="488"/>
      <c r="G9986" s="15"/>
      <c r="H9986" s="21"/>
      <c r="I9986" s="15"/>
      <c r="J9986" s="15"/>
      <c r="K9986" s="15"/>
      <c r="L9986" s="52"/>
      <c r="M9986" s="15"/>
    </row>
    <row r="9987" spans="1:13" s="166" customFormat="1" ht="12.75" customHeight="1">
      <c r="A9987" s="20" t="s">
        <v>2008</v>
      </c>
      <c r="B9987" s="484">
        <v>0.01</v>
      </c>
      <c r="C9987" s="485" t="s">
        <v>828</v>
      </c>
      <c r="D9987" s="486">
        <v>3393</v>
      </c>
      <c r="E9987" s="487">
        <f t="shared" si="985"/>
        <v>33.93</v>
      </c>
      <c r="F9987" s="488"/>
      <c r="G9987" s="15"/>
      <c r="H9987" s="21"/>
      <c r="I9987" s="15"/>
      <c r="J9987" s="15"/>
      <c r="K9987" s="15"/>
      <c r="L9987" s="52"/>
      <c r="M9987" s="15"/>
    </row>
    <row r="9988" spans="1:13" s="166" customFormat="1" ht="12.75" customHeight="1">
      <c r="A9988" s="20" t="s">
        <v>2009</v>
      </c>
      <c r="B9988" s="484">
        <v>1</v>
      </c>
      <c r="C9988" s="485" t="s">
        <v>1171</v>
      </c>
      <c r="D9988" s="486">
        <v>40</v>
      </c>
      <c r="E9988" s="487">
        <f t="shared" si="985"/>
        <v>40</v>
      </c>
      <c r="F9988" s="488"/>
      <c r="G9988" s="15"/>
      <c r="H9988" s="21"/>
      <c r="I9988" s="15"/>
      <c r="J9988" s="15"/>
      <c r="K9988" s="15"/>
      <c r="L9988" s="52"/>
      <c r="M9988" s="15"/>
    </row>
    <row r="9989" spans="1:13" s="166" customFormat="1" ht="12.75" customHeight="1">
      <c r="A9989" s="20" t="s">
        <v>2010</v>
      </c>
      <c r="B9989" s="484">
        <v>0.41188999999999998</v>
      </c>
      <c r="C9989" s="485" t="s">
        <v>825</v>
      </c>
      <c r="D9989" s="486">
        <f t="shared" si="986"/>
        <v>345</v>
      </c>
      <c r="E9989" s="487">
        <f t="shared" si="985"/>
        <v>142.1</v>
      </c>
      <c r="F9989" s="488"/>
      <c r="G9989" s="15"/>
      <c r="H9989" s="21"/>
      <c r="I9989" s="15"/>
      <c r="J9989" s="15"/>
      <c r="K9989" s="15"/>
      <c r="L9989" s="52"/>
      <c r="M9989" s="15"/>
    </row>
    <row r="9990" spans="1:13" s="166" customFormat="1" ht="12.75" customHeight="1">
      <c r="A9990" s="489" t="s">
        <v>2011</v>
      </c>
      <c r="B9990" s="487">
        <f>SUM(E9983:E9989)</f>
        <v>615.79</v>
      </c>
      <c r="C9990" s="485" t="s">
        <v>48</v>
      </c>
      <c r="D9990" s="486">
        <v>0.02</v>
      </c>
      <c r="E9990" s="487">
        <f t="shared" si="985"/>
        <v>12.32</v>
      </c>
      <c r="F9990" s="488">
        <f>SUM(E9983:E9990)</f>
        <v>628.11</v>
      </c>
      <c r="G9990" s="15"/>
      <c r="H9990" s="21"/>
      <c r="I9990" s="15"/>
      <c r="J9990" s="15"/>
      <c r="K9990" s="15"/>
      <c r="L9990" s="52"/>
      <c r="M9990" s="15"/>
    </row>
    <row r="9991" spans="1:13" s="166" customFormat="1" ht="12.75" customHeight="1">
      <c r="A9991" s="12"/>
      <c r="B9991" s="434"/>
      <c r="C9991" s="24"/>
      <c r="D9991" s="41"/>
      <c r="E9991" s="31"/>
      <c r="F9991" s="32"/>
      <c r="G9991" s="15"/>
      <c r="H9991" s="21"/>
      <c r="I9991" s="15"/>
      <c r="J9991" s="15"/>
      <c r="K9991" s="15"/>
      <c r="L9991" s="52"/>
      <c r="M9991" s="15"/>
    </row>
    <row r="9992" spans="1:13" s="166" customFormat="1" ht="12.75" customHeight="1">
      <c r="A9992" s="483" t="s">
        <v>2014</v>
      </c>
      <c r="B9992" s="484"/>
      <c r="C9992" s="485"/>
      <c r="D9992" s="486"/>
      <c r="E9992" s="487"/>
      <c r="F9992" s="488"/>
      <c r="G9992" s="15"/>
      <c r="H9992" s="21"/>
      <c r="I9992" s="15"/>
      <c r="J9992" s="15"/>
      <c r="K9992" s="15"/>
      <c r="L9992" s="52"/>
      <c r="M9992" s="15"/>
    </row>
    <row r="9993" spans="1:13" s="166" customFormat="1" ht="12.75" customHeight="1">
      <c r="A9993" s="20" t="s">
        <v>2016</v>
      </c>
      <c r="B9993" s="484">
        <v>1</v>
      </c>
      <c r="C9993" s="485" t="s">
        <v>1171</v>
      </c>
      <c r="D9993" s="486">
        <v>141.82</v>
      </c>
      <c r="E9993" s="487">
        <f t="shared" ref="E9993:E10000" si="987">ROUND(B9993*D9993,2)</f>
        <v>141.82</v>
      </c>
      <c r="F9993" s="488"/>
      <c r="G9993" s="15"/>
      <c r="H9993" s="21"/>
      <c r="I9993" s="15"/>
      <c r="J9993" s="15"/>
      <c r="K9993" s="15"/>
      <c r="L9993" s="52"/>
      <c r="M9993" s="15"/>
    </row>
    <row r="9994" spans="1:13" s="166" customFormat="1" ht="12.75" customHeight="1">
      <c r="A9994" s="20" t="s">
        <v>2006</v>
      </c>
      <c r="B9994" s="484">
        <v>0.4</v>
      </c>
      <c r="C9994" s="485" t="s">
        <v>825</v>
      </c>
      <c r="D9994" s="486">
        <f>D9984</f>
        <v>315.17</v>
      </c>
      <c r="E9994" s="487">
        <f t="shared" si="987"/>
        <v>126.07</v>
      </c>
      <c r="F9994" s="488"/>
      <c r="G9994" s="15"/>
      <c r="H9994" s="21"/>
      <c r="I9994" s="15"/>
      <c r="J9994" s="15"/>
      <c r="K9994" s="15"/>
      <c r="L9994" s="52"/>
      <c r="M9994" s="15"/>
    </row>
    <row r="9995" spans="1:13" s="166" customFormat="1" ht="12.75" customHeight="1">
      <c r="A9995" s="20" t="s">
        <v>1989</v>
      </c>
      <c r="B9995" s="484">
        <v>5.4999999999999993E-2</v>
      </c>
      <c r="C9995" s="485" t="s">
        <v>825</v>
      </c>
      <c r="D9995" s="486">
        <f t="shared" ref="D9995:D9999" si="988">D9985</f>
        <v>345</v>
      </c>
      <c r="E9995" s="487">
        <f t="shared" si="987"/>
        <v>18.98</v>
      </c>
      <c r="F9995" s="488"/>
      <c r="G9995" s="15"/>
      <c r="H9995" s="21"/>
      <c r="I9995" s="15"/>
      <c r="J9995" s="15"/>
      <c r="K9995" s="15"/>
      <c r="L9995" s="52"/>
      <c r="M9995" s="15"/>
    </row>
    <row r="9996" spans="1:13" s="166" customFormat="1" ht="12.75" customHeight="1">
      <c r="A9996" s="20" t="s">
        <v>2007</v>
      </c>
      <c r="B9996" s="484">
        <v>0.05</v>
      </c>
      <c r="C9996" s="485" t="s">
        <v>825</v>
      </c>
      <c r="D9996" s="486">
        <f t="shared" si="988"/>
        <v>900</v>
      </c>
      <c r="E9996" s="487">
        <f t="shared" si="987"/>
        <v>45</v>
      </c>
      <c r="F9996" s="488"/>
      <c r="G9996" s="15"/>
      <c r="H9996" s="21"/>
      <c r="I9996" s="15"/>
      <c r="J9996" s="15"/>
      <c r="K9996" s="15"/>
      <c r="L9996" s="52"/>
      <c r="M9996" s="15"/>
    </row>
    <row r="9997" spans="1:13" s="166" customFormat="1" ht="12.75" customHeight="1">
      <c r="A9997" s="20" t="s">
        <v>2008</v>
      </c>
      <c r="B9997" s="484">
        <v>7.1428571428571426E-3</v>
      </c>
      <c r="C9997" s="485" t="s">
        <v>828</v>
      </c>
      <c r="D9997" s="486">
        <v>3393</v>
      </c>
      <c r="E9997" s="487">
        <f t="shared" si="987"/>
        <v>24.24</v>
      </c>
      <c r="F9997" s="488"/>
      <c r="G9997" s="15"/>
      <c r="H9997" s="21"/>
      <c r="I9997" s="15"/>
      <c r="J9997" s="15"/>
      <c r="K9997" s="15"/>
      <c r="L9997" s="52"/>
      <c r="M9997" s="15"/>
    </row>
    <row r="9998" spans="1:13" s="166" customFormat="1" ht="12.75" customHeight="1">
      <c r="A9998" s="20" t="s">
        <v>2009</v>
      </c>
      <c r="B9998" s="484">
        <v>1</v>
      </c>
      <c r="C9998" s="485" t="s">
        <v>1171</v>
      </c>
      <c r="D9998" s="486">
        <v>32.83</v>
      </c>
      <c r="E9998" s="487">
        <f t="shared" si="987"/>
        <v>32.83</v>
      </c>
      <c r="F9998" s="488"/>
      <c r="G9998" s="15"/>
      <c r="H9998" s="21"/>
      <c r="I9998" s="15"/>
      <c r="J9998" s="15"/>
      <c r="K9998" s="15"/>
      <c r="L9998" s="52"/>
      <c r="M9998" s="15"/>
    </row>
    <row r="9999" spans="1:13" s="166" customFormat="1" ht="12.75" customHeight="1">
      <c r="A9999" s="20" t="s">
        <v>2010</v>
      </c>
      <c r="B9999" s="484">
        <v>0.34500000000000003</v>
      </c>
      <c r="C9999" s="485" t="s">
        <v>825</v>
      </c>
      <c r="D9999" s="486">
        <f t="shared" si="988"/>
        <v>345</v>
      </c>
      <c r="E9999" s="487">
        <f t="shared" si="987"/>
        <v>119.03</v>
      </c>
      <c r="F9999" s="488"/>
      <c r="G9999" s="15"/>
      <c r="H9999" s="21"/>
      <c r="I9999" s="15"/>
      <c r="J9999" s="15"/>
      <c r="K9999" s="15"/>
      <c r="L9999" s="52"/>
      <c r="M9999" s="15"/>
    </row>
    <row r="10000" spans="1:13" s="166" customFormat="1" ht="12.75" customHeight="1">
      <c r="A10000" s="489" t="s">
        <v>2011</v>
      </c>
      <c r="B10000" s="487">
        <f>SUM(E9993:E9999)</f>
        <v>507.97</v>
      </c>
      <c r="C10000" s="485" t="s">
        <v>48</v>
      </c>
      <c r="D10000" s="486">
        <v>0.02</v>
      </c>
      <c r="E10000" s="487">
        <f t="shared" si="987"/>
        <v>10.16</v>
      </c>
      <c r="F10000" s="488">
        <f>SUM(E9993:E10000)</f>
        <v>518.13</v>
      </c>
      <c r="G10000" s="15"/>
      <c r="H10000" s="21"/>
      <c r="I10000" s="15"/>
      <c r="J10000" s="15"/>
      <c r="K10000" s="15"/>
      <c r="L10000" s="52"/>
      <c r="M10000" s="15"/>
    </row>
    <row r="10001" spans="1:13" s="166" customFormat="1" ht="12.75" customHeight="1">
      <c r="A10001" s="12"/>
      <c r="B10001" s="434"/>
      <c r="C10001" s="24"/>
      <c r="D10001" s="41"/>
      <c r="E10001" s="31"/>
      <c r="F10001" s="32"/>
      <c r="G10001" s="15"/>
      <c r="H10001" s="21"/>
      <c r="I10001" s="15"/>
      <c r="J10001" s="15"/>
      <c r="K10001" s="15"/>
      <c r="L10001" s="52"/>
      <c r="M10001" s="15"/>
    </row>
    <row r="10002" spans="1:13" s="166" customFormat="1" ht="12.75" customHeight="1">
      <c r="A10002" s="12"/>
      <c r="B10002" s="434"/>
      <c r="C10002" s="24"/>
      <c r="D10002" s="41"/>
      <c r="E10002" s="31"/>
      <c r="F10002" s="32"/>
      <c r="G10002" s="15"/>
      <c r="H10002" s="21"/>
      <c r="I10002" s="15"/>
      <c r="J10002" s="15"/>
      <c r="K10002" s="15"/>
      <c r="L10002" s="52"/>
      <c r="M10002" s="15"/>
    </row>
    <row r="10003" spans="1:13" ht="12.75" customHeight="1">
      <c r="A10003" s="13" t="s">
        <v>83</v>
      </c>
      <c r="B10003" s="434"/>
      <c r="C10003" s="24"/>
      <c r="D10003" s="41"/>
      <c r="E10003" s="31"/>
      <c r="F10003" s="32"/>
      <c r="G10003" s="17"/>
      <c r="H10003" s="52"/>
    </row>
    <row r="10004" spans="1:13" ht="12.75" customHeight="1">
      <c r="A10004" s="12" t="s">
        <v>867</v>
      </c>
      <c r="B10004" s="434">
        <v>0.47</v>
      </c>
      <c r="C10004" s="24" t="s">
        <v>825</v>
      </c>
      <c r="D10004" s="41">
        <f t="shared" ref="D10004:D10012" si="989">D10022</f>
        <v>315.17</v>
      </c>
      <c r="E10004" s="31">
        <f>B10004*D10004</f>
        <v>148.12989999999999</v>
      </c>
      <c r="F10004" s="32"/>
    </row>
    <row r="10005" spans="1:13" ht="12.75" customHeight="1">
      <c r="A10005" s="12" t="s">
        <v>1310</v>
      </c>
      <c r="B10005" s="434">
        <v>0.61</v>
      </c>
      <c r="C10005" s="24" t="s">
        <v>825</v>
      </c>
      <c r="D10005" s="41">
        <f t="shared" si="989"/>
        <v>345</v>
      </c>
      <c r="E10005" s="31">
        <f>B10005*D10005</f>
        <v>210.45</v>
      </c>
      <c r="F10005" s="32"/>
    </row>
    <row r="10006" spans="1:13" ht="12.75" customHeight="1">
      <c r="A10006" s="12" t="s">
        <v>765</v>
      </c>
      <c r="B10006" s="434">
        <v>1.0229999999999999</v>
      </c>
      <c r="C10006" s="24" t="s">
        <v>1172</v>
      </c>
      <c r="D10006" s="41">
        <f t="shared" si="989"/>
        <v>425</v>
      </c>
      <c r="E10006" s="31">
        <f t="shared" ref="E10006:E10012" si="990">B10006*D10006</f>
        <v>434.77499999999998</v>
      </c>
      <c r="F10006" s="32"/>
    </row>
    <row r="10007" spans="1:13" ht="12.75" customHeight="1">
      <c r="A10007" s="12" t="s">
        <v>824</v>
      </c>
      <c r="B10007" s="434">
        <v>5.3999999999999999E-2</v>
      </c>
      <c r="C10007" s="24" t="s">
        <v>825</v>
      </c>
      <c r="D10007" s="41">
        <f t="shared" si="989"/>
        <v>900</v>
      </c>
      <c r="E10007" s="31">
        <f t="shared" si="990"/>
        <v>48.6</v>
      </c>
      <c r="F10007" s="32"/>
    </row>
    <row r="10008" spans="1:13" ht="12.75" customHeight="1">
      <c r="A10008" s="12" t="s">
        <v>158</v>
      </c>
      <c r="B10008" s="434">
        <v>2.1999999999999999E-2</v>
      </c>
      <c r="C10008" s="24" t="s">
        <v>825</v>
      </c>
      <c r="D10008" s="41">
        <f t="shared" si="989"/>
        <v>900</v>
      </c>
      <c r="E10008" s="31">
        <f t="shared" si="990"/>
        <v>19.799999999999997</v>
      </c>
      <c r="F10008" s="32"/>
    </row>
    <row r="10009" spans="1:13" ht="12.75" customHeight="1">
      <c r="A10009" s="12" t="s">
        <v>1308</v>
      </c>
      <c r="B10009" s="434">
        <v>3.5999999999999997E-2</v>
      </c>
      <c r="C10009" s="24" t="s">
        <v>825</v>
      </c>
      <c r="D10009" s="41">
        <f t="shared" si="989"/>
        <v>900</v>
      </c>
      <c r="E10009" s="31">
        <f t="shared" si="990"/>
        <v>32.4</v>
      </c>
      <c r="F10009" s="32"/>
    </row>
    <row r="10010" spans="1:13" ht="12.75" customHeight="1">
      <c r="A10010" s="12" t="s">
        <v>827</v>
      </c>
      <c r="B10010" s="434">
        <v>5.83</v>
      </c>
      <c r="C10010" s="24" t="s">
        <v>797</v>
      </c>
      <c r="D10010" s="41">
        <f t="shared" si="989"/>
        <v>0.68</v>
      </c>
      <c r="E10010" s="31">
        <f t="shared" si="990"/>
        <v>3.9644000000000004</v>
      </c>
      <c r="F10010" s="32"/>
    </row>
    <row r="10011" spans="1:13" ht="12.75" customHeight="1">
      <c r="A10011" s="12" t="s">
        <v>159</v>
      </c>
      <c r="B10011" s="434">
        <v>0.152</v>
      </c>
      <c r="C10011" s="24" t="s">
        <v>1172</v>
      </c>
      <c r="D10011" s="41">
        <f t="shared" si="989"/>
        <v>250</v>
      </c>
      <c r="E10011" s="31">
        <f t="shared" si="990"/>
        <v>38</v>
      </c>
      <c r="F10011" s="32"/>
    </row>
    <row r="10012" spans="1:13" ht="12.75" customHeight="1">
      <c r="A10012" s="12" t="s">
        <v>160</v>
      </c>
      <c r="B10012" s="434">
        <v>12</v>
      </c>
      <c r="C10012" s="24" t="s">
        <v>1017</v>
      </c>
      <c r="D10012" s="41">
        <f t="shared" si="989"/>
        <v>34</v>
      </c>
      <c r="E10012" s="31">
        <f t="shared" si="990"/>
        <v>408</v>
      </c>
      <c r="F10012" s="32"/>
    </row>
    <row r="10013" spans="1:13" ht="12.75" customHeight="1">
      <c r="A10013" s="12" t="s">
        <v>1601</v>
      </c>
      <c r="B10013" s="434">
        <v>0.82</v>
      </c>
      <c r="C10013" s="24" t="s">
        <v>211</v>
      </c>
      <c r="D10013" s="41">
        <f>D10033</f>
        <v>44</v>
      </c>
      <c r="E10013" s="31">
        <f t="shared" ref="E10013:E10018" si="991">B10013*D10013</f>
        <v>36.08</v>
      </c>
      <c r="F10013" s="32"/>
    </row>
    <row r="10014" spans="1:13" ht="12.75" customHeight="1">
      <c r="A10014" s="12" t="s">
        <v>6</v>
      </c>
      <c r="B10014" s="434">
        <v>0.114</v>
      </c>
      <c r="C10014" s="24" t="s">
        <v>1204</v>
      </c>
      <c r="D10014" s="41">
        <f>D10034</f>
        <v>40</v>
      </c>
      <c r="E10014" s="31">
        <f t="shared" si="991"/>
        <v>4.5600000000000005</v>
      </c>
      <c r="F10014" s="32"/>
    </row>
    <row r="10015" spans="1:13" ht="12.75" customHeight="1">
      <c r="A10015" s="12" t="s">
        <v>766</v>
      </c>
      <c r="B10015" s="434">
        <v>8.0000000000000002E-3</v>
      </c>
      <c r="C10015" s="24" t="s">
        <v>1017</v>
      </c>
      <c r="D10015" s="41">
        <f>D10031</f>
        <v>2080</v>
      </c>
      <c r="E10015" s="31">
        <f t="shared" si="991"/>
        <v>16.64</v>
      </c>
      <c r="F10015" s="32"/>
    </row>
    <row r="10016" spans="1:13" ht="12.75" customHeight="1">
      <c r="A10016" s="12" t="s">
        <v>161</v>
      </c>
      <c r="B10016" s="434">
        <v>3.4000000000000002E-2</v>
      </c>
      <c r="C10016" s="24" t="s">
        <v>4</v>
      </c>
      <c r="D10016" s="41">
        <f>D10032</f>
        <v>3200</v>
      </c>
      <c r="E10016" s="31">
        <f t="shared" si="991"/>
        <v>108.80000000000001</v>
      </c>
      <c r="F10016" s="32"/>
    </row>
    <row r="10017" spans="1:12" ht="12.75" customHeight="1">
      <c r="A10017" s="12" t="s">
        <v>1198</v>
      </c>
      <c r="B10017" s="434">
        <v>6.8000000000000005E-2</v>
      </c>
      <c r="C10017" s="24" t="s">
        <v>1204</v>
      </c>
      <c r="D10017" s="41">
        <f>D10035</f>
        <v>60</v>
      </c>
      <c r="E10017" s="31">
        <f t="shared" si="991"/>
        <v>4.08</v>
      </c>
      <c r="F10017" s="32"/>
    </row>
    <row r="10018" spans="1:12" ht="12.75" customHeight="1">
      <c r="A10018" s="12" t="s">
        <v>309</v>
      </c>
      <c r="B10018" s="434">
        <v>1</v>
      </c>
      <c r="C10018" s="24" t="s">
        <v>1017</v>
      </c>
      <c r="D10018" s="41">
        <f>Prec.!$D$685</f>
        <v>896.07</v>
      </c>
      <c r="E10018" s="31">
        <f t="shared" si="991"/>
        <v>896.07</v>
      </c>
      <c r="F10018" s="32"/>
    </row>
    <row r="10019" spans="1:12" ht="12.75" customHeight="1">
      <c r="A10019" s="12" t="s">
        <v>208</v>
      </c>
      <c r="B10019" s="434">
        <f>SUM(E10004:E10018)</f>
        <v>2410.3492999999999</v>
      </c>
      <c r="C10019" s="24" t="s">
        <v>209</v>
      </c>
      <c r="D10019" s="41">
        <f>D10037</f>
        <v>0.02</v>
      </c>
      <c r="E10019" s="31">
        <f>B10019*D10019</f>
        <v>48.206986000000001</v>
      </c>
      <c r="F10019" s="32">
        <f>SUM(E10004:E10019)</f>
        <v>2458.556286</v>
      </c>
      <c r="L10019" s="52"/>
    </row>
    <row r="10020" spans="1:12" ht="12.75" customHeight="1">
      <c r="A10020" s="12"/>
      <c r="B10020" s="434"/>
      <c r="C10020" s="24"/>
      <c r="D10020" s="41"/>
      <c r="E10020" s="31"/>
      <c r="F10020" s="32"/>
    </row>
    <row r="10021" spans="1:12" ht="12.75" customHeight="1">
      <c r="A10021" s="13" t="s">
        <v>82</v>
      </c>
      <c r="B10021" s="434"/>
      <c r="C10021" s="24"/>
      <c r="D10021" s="41"/>
      <c r="E10021" s="31"/>
      <c r="F10021" s="32"/>
      <c r="G10021" s="17"/>
      <c r="H10021" s="52"/>
    </row>
    <row r="10022" spans="1:12" ht="12.75" customHeight="1">
      <c r="A10022" s="12" t="s">
        <v>867</v>
      </c>
      <c r="B10022" s="434">
        <v>1.1399999999999999</v>
      </c>
      <c r="C10022" s="24" t="s">
        <v>825</v>
      </c>
      <c r="D10022" s="41">
        <f>D10040</f>
        <v>315.17</v>
      </c>
      <c r="E10022" s="31">
        <f>B10022*D10022</f>
        <v>359.29379999999998</v>
      </c>
      <c r="F10022" s="32"/>
    </row>
    <row r="10023" spans="1:12" ht="12.75" customHeight="1">
      <c r="A10023" s="12" t="s">
        <v>1310</v>
      </c>
      <c r="B10023" s="434">
        <v>1.48</v>
      </c>
      <c r="C10023" s="24" t="s">
        <v>825</v>
      </c>
      <c r="D10023" s="41">
        <f>D10041</f>
        <v>345</v>
      </c>
      <c r="E10023" s="31">
        <f>B10023*D10023</f>
        <v>510.59999999999997</v>
      </c>
      <c r="F10023" s="32"/>
    </row>
    <row r="10024" spans="1:12" ht="12.75" customHeight="1">
      <c r="A10024" s="12" t="s">
        <v>765</v>
      </c>
      <c r="B10024" s="434">
        <v>2.5099999999999998</v>
      </c>
      <c r="C10024" s="24" t="s">
        <v>1172</v>
      </c>
      <c r="D10024" s="41">
        <f>Prec.!C5</f>
        <v>425</v>
      </c>
      <c r="E10024" s="31">
        <f>B10024*D10024</f>
        <v>1066.75</v>
      </c>
      <c r="F10024" s="32"/>
    </row>
    <row r="10025" spans="1:12" ht="12.75" customHeight="1">
      <c r="A10025" s="12" t="s">
        <v>824</v>
      </c>
      <c r="B10025" s="434">
        <v>0.13400000000000001</v>
      </c>
      <c r="C10025" s="24" t="s">
        <v>825</v>
      </c>
      <c r="D10025" s="41">
        <f>Prec.!C13</f>
        <v>900</v>
      </c>
      <c r="E10025" s="31">
        <f t="shared" ref="E10025:E10036" si="992">B10025*D10025</f>
        <v>120.60000000000001</v>
      </c>
      <c r="F10025" s="32"/>
    </row>
    <row r="10026" spans="1:12" ht="12.75" customHeight="1">
      <c r="A10026" s="12" t="s">
        <v>158</v>
      </c>
      <c r="B10026" s="434">
        <v>5.3999999999999999E-2</v>
      </c>
      <c r="C10026" s="24" t="s">
        <v>825</v>
      </c>
      <c r="D10026" s="41">
        <f>Prec.!C15</f>
        <v>900</v>
      </c>
      <c r="E10026" s="31">
        <f t="shared" si="992"/>
        <v>48.6</v>
      </c>
      <c r="F10026" s="32"/>
    </row>
    <row r="10027" spans="1:12" ht="12.75" customHeight="1">
      <c r="A10027" s="12" t="s">
        <v>1308</v>
      </c>
      <c r="B10027" s="434">
        <v>0.1</v>
      </c>
      <c r="C10027" s="24" t="s">
        <v>825</v>
      </c>
      <c r="D10027" s="41">
        <f>D10045</f>
        <v>900</v>
      </c>
      <c r="E10027" s="31">
        <f t="shared" si="992"/>
        <v>90</v>
      </c>
      <c r="F10027" s="32"/>
    </row>
    <row r="10028" spans="1:12" ht="12.75" customHeight="1">
      <c r="A10028" s="12" t="s">
        <v>827</v>
      </c>
      <c r="B10028" s="434">
        <v>14.73</v>
      </c>
      <c r="C10028" s="24" t="s">
        <v>797</v>
      </c>
      <c r="D10028" s="41">
        <f>Prec.!C80</f>
        <v>0.68</v>
      </c>
      <c r="E10028" s="31">
        <f t="shared" si="992"/>
        <v>10.016400000000001</v>
      </c>
      <c r="F10028" s="32"/>
    </row>
    <row r="10029" spans="1:12" ht="12.75" customHeight="1">
      <c r="A10029" s="12" t="s">
        <v>159</v>
      </c>
      <c r="B10029" s="434">
        <v>0.41</v>
      </c>
      <c r="C10029" s="24" t="s">
        <v>1172</v>
      </c>
      <c r="D10029" s="41">
        <f>Prec.!C48</f>
        <v>250</v>
      </c>
      <c r="E10029" s="31">
        <f t="shared" si="992"/>
        <v>102.5</v>
      </c>
      <c r="F10029" s="31"/>
    </row>
    <row r="10030" spans="1:12" ht="12.75" customHeight="1">
      <c r="A10030" s="12" t="s">
        <v>160</v>
      </c>
      <c r="B10030" s="434">
        <v>24</v>
      </c>
      <c r="C10030" s="24" t="s">
        <v>1017</v>
      </c>
      <c r="D10030" s="41">
        <f>Prec.!C87</f>
        <v>34</v>
      </c>
      <c r="E10030" s="31">
        <f t="shared" si="992"/>
        <v>816</v>
      </c>
      <c r="F10030" s="32"/>
    </row>
    <row r="10031" spans="1:12" ht="12.75" customHeight="1">
      <c r="A10031" s="12" t="s">
        <v>766</v>
      </c>
      <c r="B10031" s="434">
        <v>0.03</v>
      </c>
      <c r="C10031" s="24" t="s">
        <v>1017</v>
      </c>
      <c r="D10031" s="41">
        <f>Prec.!C211</f>
        <v>2080</v>
      </c>
      <c r="E10031" s="31">
        <f t="shared" si="992"/>
        <v>62.4</v>
      </c>
      <c r="F10031" s="32"/>
    </row>
    <row r="10032" spans="1:12" ht="12.75" customHeight="1">
      <c r="A10032" s="12" t="s">
        <v>161</v>
      </c>
      <c r="B10032" s="434">
        <v>8.1000000000000003E-2</v>
      </c>
      <c r="C10032" s="24" t="s">
        <v>4</v>
      </c>
      <c r="D10032" s="41">
        <f>Prec.!C53</f>
        <v>3200</v>
      </c>
      <c r="E10032" s="31">
        <f t="shared" si="992"/>
        <v>259.2</v>
      </c>
      <c r="F10032" s="32"/>
    </row>
    <row r="10033" spans="1:12" ht="12.75" customHeight="1">
      <c r="A10033" s="12" t="s">
        <v>182</v>
      </c>
      <c r="B10033" s="434">
        <v>1.46</v>
      </c>
      <c r="C10033" s="24" t="s">
        <v>211</v>
      </c>
      <c r="D10033" s="41">
        <f>D10152</f>
        <v>44</v>
      </c>
      <c r="E10033" s="31">
        <f t="shared" si="992"/>
        <v>64.239999999999995</v>
      </c>
      <c r="F10033" s="32"/>
    </row>
    <row r="10034" spans="1:12" ht="12.75" customHeight="1">
      <c r="A10034" s="12" t="s">
        <v>6</v>
      </c>
      <c r="B10034" s="434">
        <v>0.21</v>
      </c>
      <c r="C10034" s="24" t="s">
        <v>1204</v>
      </c>
      <c r="D10034" s="41">
        <f>Prec.!C151</f>
        <v>40</v>
      </c>
      <c r="E10034" s="31">
        <f t="shared" si="992"/>
        <v>8.4</v>
      </c>
      <c r="F10034" s="32"/>
    </row>
    <row r="10035" spans="1:12" ht="12.75" customHeight="1">
      <c r="A10035" s="12" t="s">
        <v>1198</v>
      </c>
      <c r="B10035" s="434">
        <v>0.16200000000000001</v>
      </c>
      <c r="C10035" s="24" t="s">
        <v>1204</v>
      </c>
      <c r="D10035" s="41">
        <f>Prec.!C75</f>
        <v>60</v>
      </c>
      <c r="E10035" s="31">
        <f t="shared" si="992"/>
        <v>9.7200000000000006</v>
      </c>
      <c r="F10035" s="32"/>
    </row>
    <row r="10036" spans="1:12" ht="12.75" customHeight="1">
      <c r="A10036" s="12" t="s">
        <v>162</v>
      </c>
      <c r="B10036" s="434">
        <v>1</v>
      </c>
      <c r="C10036" s="24" t="s">
        <v>1017</v>
      </c>
      <c r="D10036" s="41">
        <f>Prec.!$D$687</f>
        <v>1792.14</v>
      </c>
      <c r="E10036" s="31">
        <f t="shared" si="992"/>
        <v>1792.14</v>
      </c>
      <c r="F10036" s="32"/>
    </row>
    <row r="10037" spans="1:12" ht="12.75" customHeight="1">
      <c r="A10037" s="12" t="s">
        <v>208</v>
      </c>
      <c r="B10037" s="434">
        <f>SUM(E10022:E10036)</f>
        <v>5320.4601999999995</v>
      </c>
      <c r="C10037" s="24" t="s">
        <v>209</v>
      </c>
      <c r="D10037" s="41">
        <f>D10158</f>
        <v>0.02</v>
      </c>
      <c r="E10037" s="31">
        <f>B10037*D10037</f>
        <v>106.40920399999999</v>
      </c>
      <c r="F10037" s="32">
        <f>SUM(E10022:E10037)</f>
        <v>5426.8694039999991</v>
      </c>
      <c r="L10037" s="52"/>
    </row>
    <row r="10038" spans="1:12" ht="12.75" customHeight="1">
      <c r="A10038" s="12"/>
      <c r="B10038" s="434"/>
      <c r="C10038" s="24"/>
      <c r="D10038" s="41"/>
      <c r="E10038" s="31"/>
      <c r="F10038" s="32"/>
      <c r="G10038" s="4"/>
      <c r="H10038" s="4"/>
      <c r="I10038" s="4"/>
      <c r="J10038" s="4"/>
      <c r="K10038" s="4"/>
      <c r="L10038" s="4"/>
    </row>
    <row r="10039" spans="1:12" ht="12.75" customHeight="1">
      <c r="A10039" s="13" t="s">
        <v>33</v>
      </c>
      <c r="B10039" s="434"/>
      <c r="C10039" s="24"/>
      <c r="D10039" s="41"/>
      <c r="E10039" s="31"/>
      <c r="F10039" s="32"/>
      <c r="G10039" s="17"/>
      <c r="H10039" s="52"/>
    </row>
    <row r="10040" spans="1:12" ht="12.75" customHeight="1">
      <c r="A10040" s="12" t="s">
        <v>867</v>
      </c>
      <c r="B10040" s="434">
        <v>0.95</v>
      </c>
      <c r="C10040" s="24" t="s">
        <v>825</v>
      </c>
      <c r="D10040" s="41">
        <f>D9944</f>
        <v>315.17</v>
      </c>
      <c r="E10040" s="31">
        <f>B10040*D10040</f>
        <v>299.41149999999999</v>
      </c>
      <c r="F10040" s="32"/>
    </row>
    <row r="10041" spans="1:12" ht="12.75" customHeight="1">
      <c r="A10041" s="12" t="s">
        <v>1310</v>
      </c>
      <c r="B10041" s="434">
        <v>1.24</v>
      </c>
      <c r="C10041" s="24" t="s">
        <v>825</v>
      </c>
      <c r="D10041" s="41">
        <f>D9945</f>
        <v>345</v>
      </c>
      <c r="E10041" s="31">
        <f>B10041*D10041</f>
        <v>427.8</v>
      </c>
      <c r="F10041" s="32"/>
    </row>
    <row r="10042" spans="1:12" ht="12.75" customHeight="1">
      <c r="A10042" s="12" t="s">
        <v>765</v>
      </c>
      <c r="B10042" s="434">
        <v>2.278</v>
      </c>
      <c r="C10042" s="24" t="s">
        <v>1172</v>
      </c>
      <c r="D10042" s="41">
        <f>D10060</f>
        <v>425</v>
      </c>
      <c r="E10042" s="31">
        <f t="shared" ref="E10042:E10054" si="993">B10042*D10042</f>
        <v>968.15</v>
      </c>
      <c r="F10042" s="32"/>
    </row>
    <row r="10043" spans="1:12" ht="12.75" customHeight="1">
      <c r="A10043" s="12" t="s">
        <v>824</v>
      </c>
      <c r="B10043" s="434">
        <v>0.126</v>
      </c>
      <c r="C10043" s="24" t="s">
        <v>825</v>
      </c>
      <c r="D10043" s="41">
        <f>D10061</f>
        <v>900</v>
      </c>
      <c r="E10043" s="31">
        <f t="shared" si="993"/>
        <v>113.4</v>
      </c>
      <c r="F10043" s="32"/>
    </row>
    <row r="10044" spans="1:12" ht="12.75" customHeight="1">
      <c r="A10044" s="12" t="s">
        <v>158</v>
      </c>
      <c r="B10044" s="434">
        <v>5.0999999999999997E-2</v>
      </c>
      <c r="C10044" s="24" t="s">
        <v>825</v>
      </c>
      <c r="D10044" s="41">
        <f>D10062</f>
        <v>900</v>
      </c>
      <c r="E10044" s="31">
        <f t="shared" si="993"/>
        <v>45.9</v>
      </c>
      <c r="F10044" s="32"/>
    </row>
    <row r="10045" spans="1:12" ht="12.75" customHeight="1">
      <c r="A10045" s="12" t="s">
        <v>1308</v>
      </c>
      <c r="B10045" s="434">
        <v>8.4000000000000005E-2</v>
      </c>
      <c r="C10045" s="24" t="s">
        <v>825</v>
      </c>
      <c r="D10045" s="41">
        <f>D10063</f>
        <v>900</v>
      </c>
      <c r="E10045" s="31">
        <f t="shared" si="993"/>
        <v>75.600000000000009</v>
      </c>
      <c r="F10045" s="32"/>
    </row>
    <row r="10046" spans="1:12" ht="12.75" customHeight="1">
      <c r="A10046" s="12" t="s">
        <v>827</v>
      </c>
      <c r="B10046" s="434">
        <v>13.318</v>
      </c>
      <c r="C10046" s="24" t="s">
        <v>797</v>
      </c>
      <c r="D10046" s="41">
        <f>D10064</f>
        <v>0.68</v>
      </c>
      <c r="E10046" s="31">
        <f t="shared" si="993"/>
        <v>9.0562400000000007</v>
      </c>
      <c r="F10046" s="32"/>
    </row>
    <row r="10047" spans="1:12" ht="12.75" customHeight="1">
      <c r="A10047" s="12" t="s">
        <v>159</v>
      </c>
      <c r="B10047" s="434">
        <v>0.35299999999999998</v>
      </c>
      <c r="C10047" s="24" t="s">
        <v>1172</v>
      </c>
      <c r="D10047" s="41">
        <f>D9951</f>
        <v>250</v>
      </c>
      <c r="E10047" s="31">
        <f t="shared" si="993"/>
        <v>88.25</v>
      </c>
      <c r="F10047" s="31"/>
    </row>
    <row r="10048" spans="1:12" ht="12.75" customHeight="1">
      <c r="A10048" s="12" t="s">
        <v>160</v>
      </c>
      <c r="B10048" s="434">
        <v>28</v>
      </c>
      <c r="C10048" s="24" t="s">
        <v>1017</v>
      </c>
      <c r="D10048" s="41">
        <f t="shared" ref="D10048:D10053" si="994">D10066</f>
        <v>34</v>
      </c>
      <c r="E10048" s="31">
        <f t="shared" si="993"/>
        <v>952</v>
      </c>
      <c r="F10048" s="32"/>
    </row>
    <row r="10049" spans="1:12" ht="12.75" customHeight="1">
      <c r="A10049" s="12" t="s">
        <v>766</v>
      </c>
      <c r="B10049" s="434">
        <v>2.1999999999999999E-2</v>
      </c>
      <c r="C10049" s="24" t="s">
        <v>1017</v>
      </c>
      <c r="D10049" s="41">
        <f t="shared" si="994"/>
        <v>2080</v>
      </c>
      <c r="E10049" s="31">
        <f t="shared" si="993"/>
        <v>45.76</v>
      </c>
      <c r="F10049" s="32"/>
    </row>
    <row r="10050" spans="1:12" ht="12.75" customHeight="1">
      <c r="A10050" s="12" t="s">
        <v>161</v>
      </c>
      <c r="B10050" s="434">
        <v>7.5999999999999998E-2</v>
      </c>
      <c r="C10050" s="24" t="s">
        <v>4</v>
      </c>
      <c r="D10050" s="41">
        <f t="shared" si="994"/>
        <v>3200</v>
      </c>
      <c r="E10050" s="31">
        <f t="shared" si="993"/>
        <v>243.2</v>
      </c>
      <c r="F10050" s="32"/>
    </row>
    <row r="10051" spans="1:12" ht="12.75" customHeight="1">
      <c r="A10051" s="12" t="s">
        <v>182</v>
      </c>
      <c r="B10051" s="434">
        <v>1.327</v>
      </c>
      <c r="C10051" s="24" t="s">
        <v>211</v>
      </c>
      <c r="D10051" s="41">
        <f t="shared" si="994"/>
        <v>44</v>
      </c>
      <c r="E10051" s="31">
        <f t="shared" si="993"/>
        <v>58.387999999999998</v>
      </c>
      <c r="F10051" s="32"/>
    </row>
    <row r="10052" spans="1:12" ht="12.75" customHeight="1">
      <c r="A10052" s="12" t="s">
        <v>6</v>
      </c>
      <c r="B10052" s="434">
        <v>0.21</v>
      </c>
      <c r="C10052" s="24" t="s">
        <v>1204</v>
      </c>
      <c r="D10052" s="41">
        <f t="shared" si="994"/>
        <v>40</v>
      </c>
      <c r="E10052" s="31">
        <f t="shared" si="993"/>
        <v>8.4</v>
      </c>
      <c r="F10052" s="32"/>
    </row>
    <row r="10053" spans="1:12" ht="12.75" customHeight="1">
      <c r="A10053" s="12" t="s">
        <v>1198</v>
      </c>
      <c r="B10053" s="434">
        <v>0.152</v>
      </c>
      <c r="C10053" s="24" t="s">
        <v>1204</v>
      </c>
      <c r="D10053" s="41">
        <f t="shared" si="994"/>
        <v>60</v>
      </c>
      <c r="E10053" s="31">
        <f t="shared" si="993"/>
        <v>9.1199999999999992</v>
      </c>
      <c r="F10053" s="32"/>
    </row>
    <row r="10054" spans="1:12" ht="12.75" customHeight="1">
      <c r="A10054" s="12" t="s">
        <v>162</v>
      </c>
      <c r="B10054" s="434">
        <v>1</v>
      </c>
      <c r="C10054" s="24" t="s">
        <v>1017</v>
      </c>
      <c r="D10054" s="41">
        <f>Prec.!$D$687</f>
        <v>1792.14</v>
      </c>
      <c r="E10054" s="31">
        <f t="shared" si="993"/>
        <v>1792.14</v>
      </c>
      <c r="F10054" s="32"/>
    </row>
    <row r="10055" spans="1:12" ht="12.75" customHeight="1">
      <c r="A10055" s="12" t="s">
        <v>208</v>
      </c>
      <c r="B10055" s="434">
        <f>SUM(E10040:E10054)</f>
        <v>5136.5757400000002</v>
      </c>
      <c r="C10055" s="24" t="s">
        <v>209</v>
      </c>
      <c r="D10055" s="41">
        <f>D9959</f>
        <v>1.4999999999999999E-2</v>
      </c>
      <c r="E10055" s="31">
        <f>B10055*D10055</f>
        <v>77.048636099999996</v>
      </c>
      <c r="F10055" s="32">
        <f>SUM(E10040:E10055)</f>
        <v>5213.6243761000005</v>
      </c>
      <c r="L10055" s="52"/>
    </row>
    <row r="10056" spans="1:12" ht="12.75" customHeight="1">
      <c r="A10056" s="12"/>
      <c r="B10056" s="434"/>
      <c r="C10056" s="24"/>
      <c r="D10056" s="41"/>
      <c r="E10056" s="31"/>
      <c r="F10056" s="32"/>
      <c r="G10056" s="4"/>
      <c r="H10056" s="4"/>
      <c r="I10056" s="4"/>
      <c r="J10056" s="4"/>
      <c r="K10056" s="4"/>
      <c r="L10056" s="4"/>
    </row>
    <row r="10057" spans="1:12" ht="12.75" customHeight="1">
      <c r="A10057" s="13" t="s">
        <v>157</v>
      </c>
      <c r="B10057" s="434"/>
      <c r="C10057" s="24"/>
      <c r="D10057" s="41"/>
      <c r="E10057" s="31"/>
      <c r="F10057" s="12"/>
      <c r="G10057" s="17"/>
      <c r="H10057" s="52"/>
    </row>
    <row r="10058" spans="1:12" ht="12.75" customHeight="1">
      <c r="A10058" s="12" t="s">
        <v>867</v>
      </c>
      <c r="B10058" s="434">
        <v>2.2799999999999998</v>
      </c>
      <c r="C10058" s="24" t="s">
        <v>825</v>
      </c>
      <c r="D10058" s="41">
        <f>Prec.!D318</f>
        <v>315.17</v>
      </c>
      <c r="E10058" s="31">
        <f t="shared" ref="E10058:E10073" si="995">B10058*D10058</f>
        <v>718.58759999999995</v>
      </c>
      <c r="F10058" s="12"/>
    </row>
    <row r="10059" spans="1:12" ht="12.75" customHeight="1">
      <c r="A10059" s="12" t="s">
        <v>1310</v>
      </c>
      <c r="B10059" s="434">
        <v>2.96</v>
      </c>
      <c r="C10059" s="24" t="s">
        <v>825</v>
      </c>
      <c r="D10059" s="41">
        <f>Prec.!D324</f>
        <v>345</v>
      </c>
      <c r="E10059" s="31">
        <f t="shared" si="995"/>
        <v>1021.1999999999999</v>
      </c>
      <c r="F10059" s="12"/>
    </row>
    <row r="10060" spans="1:12" ht="12.75" customHeight="1">
      <c r="A10060" s="12" t="s">
        <v>765</v>
      </c>
      <c r="B10060" s="434">
        <v>4.2080000000000002</v>
      </c>
      <c r="C10060" s="24" t="s">
        <v>1172</v>
      </c>
      <c r="D10060" s="41">
        <f>Prec.!C5</f>
        <v>425</v>
      </c>
      <c r="E10060" s="31">
        <f t="shared" si="995"/>
        <v>1788.4</v>
      </c>
      <c r="F10060" s="12"/>
    </row>
    <row r="10061" spans="1:12" ht="12.75" customHeight="1">
      <c r="A10061" s="12" t="s">
        <v>824</v>
      </c>
      <c r="B10061" s="434">
        <v>0.22800000000000001</v>
      </c>
      <c r="C10061" s="24" t="s">
        <v>825</v>
      </c>
      <c r="D10061" s="41">
        <f>Prec.!C13</f>
        <v>900</v>
      </c>
      <c r="E10061" s="31">
        <f t="shared" si="995"/>
        <v>205.20000000000002</v>
      </c>
      <c r="F10061" s="12"/>
    </row>
    <row r="10062" spans="1:12" ht="12.75" customHeight="1">
      <c r="A10062" s="12" t="s">
        <v>158</v>
      </c>
      <c r="B10062" s="434">
        <v>9.4E-2</v>
      </c>
      <c r="C10062" s="24" t="s">
        <v>825</v>
      </c>
      <c r="D10062" s="41">
        <f>Prec.!C15</f>
        <v>900</v>
      </c>
      <c r="E10062" s="31">
        <f t="shared" si="995"/>
        <v>84.6</v>
      </c>
      <c r="F10062" s="12"/>
    </row>
    <row r="10063" spans="1:12" ht="12.75" customHeight="1">
      <c r="A10063" s="12" t="s">
        <v>1308</v>
      </c>
      <c r="B10063" s="434">
        <v>0.17499999999999999</v>
      </c>
      <c r="C10063" s="24" t="s">
        <v>825</v>
      </c>
      <c r="D10063" s="41">
        <f>Prec.!C17</f>
        <v>900</v>
      </c>
      <c r="E10063" s="31">
        <f t="shared" si="995"/>
        <v>157.5</v>
      </c>
      <c r="F10063" s="12"/>
    </row>
    <row r="10064" spans="1:12" ht="12.75" customHeight="1">
      <c r="A10064" s="12" t="s">
        <v>827</v>
      </c>
      <c r="B10064" s="434">
        <v>24.678000000000001</v>
      </c>
      <c r="C10064" s="24" t="s">
        <v>797</v>
      </c>
      <c r="D10064" s="41">
        <f>Prec.!C80</f>
        <v>0.68</v>
      </c>
      <c r="E10064" s="31">
        <f t="shared" si="995"/>
        <v>16.781040000000001</v>
      </c>
      <c r="F10064" s="12"/>
    </row>
    <row r="10065" spans="1:13" ht="12.75" customHeight="1">
      <c r="A10065" s="12" t="s">
        <v>159</v>
      </c>
      <c r="B10065" s="434">
        <v>0.65100000000000002</v>
      </c>
      <c r="C10065" s="24" t="s">
        <v>1172</v>
      </c>
      <c r="D10065" s="41">
        <f>Prec.!C48</f>
        <v>250</v>
      </c>
      <c r="E10065" s="31">
        <f t="shared" si="995"/>
        <v>162.75</v>
      </c>
      <c r="F10065" s="12"/>
    </row>
    <row r="10066" spans="1:13" ht="12.75" customHeight="1">
      <c r="A10066" s="12" t="s">
        <v>160</v>
      </c>
      <c r="B10066" s="434">
        <v>46</v>
      </c>
      <c r="C10066" s="24" t="s">
        <v>1017</v>
      </c>
      <c r="D10066" s="41">
        <f>Prec.!C87</f>
        <v>34</v>
      </c>
      <c r="E10066" s="31">
        <f t="shared" si="995"/>
        <v>1564</v>
      </c>
      <c r="F10066" s="12"/>
    </row>
    <row r="10067" spans="1:13" ht="12.75" customHeight="1">
      <c r="A10067" s="12" t="s">
        <v>766</v>
      </c>
      <c r="B10067" s="434">
        <v>4.3999999999999997E-2</v>
      </c>
      <c r="C10067" s="24" t="s">
        <v>1017</v>
      </c>
      <c r="D10067" s="41">
        <f>Prec.!C211</f>
        <v>2080</v>
      </c>
      <c r="E10067" s="31">
        <f t="shared" si="995"/>
        <v>91.52</v>
      </c>
      <c r="F10067" s="12"/>
    </row>
    <row r="10068" spans="1:13" ht="12.75" customHeight="1">
      <c r="A10068" s="12" t="s">
        <v>161</v>
      </c>
      <c r="B10068" s="434">
        <v>0.13200000000000001</v>
      </c>
      <c r="C10068" s="24" t="s">
        <v>4</v>
      </c>
      <c r="D10068" s="41">
        <f>Prec.!C53</f>
        <v>3200</v>
      </c>
      <c r="E10068" s="31">
        <f t="shared" si="995"/>
        <v>422.40000000000003</v>
      </c>
      <c r="F10068" s="12"/>
    </row>
    <row r="10069" spans="1:13" ht="12.75" customHeight="1">
      <c r="A10069" s="12" t="s">
        <v>182</v>
      </c>
      <c r="B10069" s="434">
        <v>1.93</v>
      </c>
      <c r="C10069" s="24" t="s">
        <v>211</v>
      </c>
      <c r="D10069" s="41">
        <f>D7986</f>
        <v>44</v>
      </c>
      <c r="E10069" s="31">
        <f t="shared" si="995"/>
        <v>84.92</v>
      </c>
      <c r="F10069" s="12"/>
    </row>
    <row r="10070" spans="1:13" ht="12.75" customHeight="1">
      <c r="A10070" s="12" t="s">
        <v>6</v>
      </c>
      <c r="B10070" s="434">
        <v>0.3</v>
      </c>
      <c r="C10070" s="24" t="s">
        <v>1204</v>
      </c>
      <c r="D10070" s="41">
        <f>Prec.!C151</f>
        <v>40</v>
      </c>
      <c r="E10070" s="31">
        <f t="shared" si="995"/>
        <v>12</v>
      </c>
      <c r="F10070" s="12"/>
    </row>
    <row r="10071" spans="1:13" ht="12.75" customHeight="1">
      <c r="A10071" s="12" t="s">
        <v>1198</v>
      </c>
      <c r="B10071" s="434">
        <v>0.26400000000000001</v>
      </c>
      <c r="C10071" s="24" t="s">
        <v>1204</v>
      </c>
      <c r="D10071" s="41">
        <f>Prec.!C75</f>
        <v>60</v>
      </c>
      <c r="E10071" s="31">
        <f t="shared" si="995"/>
        <v>15.84</v>
      </c>
      <c r="F10071" s="12"/>
    </row>
    <row r="10072" spans="1:13" ht="12.75" customHeight="1">
      <c r="A10072" s="12" t="s">
        <v>162</v>
      </c>
      <c r="B10072" s="434">
        <v>1</v>
      </c>
      <c r="C10072" s="24" t="s">
        <v>1017</v>
      </c>
      <c r="D10072" s="41">
        <f>Prec.!$D$687</f>
        <v>1792.14</v>
      </c>
      <c r="E10072" s="31">
        <f t="shared" si="995"/>
        <v>1792.14</v>
      </c>
      <c r="F10072" s="32"/>
    </row>
    <row r="10073" spans="1:13" ht="12.75" customHeight="1">
      <c r="A10073" s="12" t="s">
        <v>208</v>
      </c>
      <c r="B10073" s="434">
        <f>SUM(E10058:E10072)</f>
        <v>8137.8386400000009</v>
      </c>
      <c r="C10073" s="24" t="s">
        <v>209</v>
      </c>
      <c r="D10073" s="41">
        <f>Prec.!C302</f>
        <v>1.4999999999999999E-2</v>
      </c>
      <c r="E10073" s="31">
        <f t="shared" si="995"/>
        <v>122.0675796</v>
      </c>
      <c r="F10073" s="32">
        <f>SUM(E10058:E10073)</f>
        <v>8259.9062196000014</v>
      </c>
      <c r="L10073" s="52"/>
    </row>
    <row r="10074" spans="1:13" s="166" customFormat="1" ht="12.75" customHeight="1">
      <c r="A10074" s="12"/>
      <c r="B10074" s="434"/>
      <c r="C10074" s="24"/>
      <c r="D10074" s="41"/>
      <c r="E10074" s="31"/>
      <c r="F10074" s="32"/>
      <c r="G10074" s="15"/>
      <c r="H10074" s="21"/>
      <c r="I10074" s="15"/>
      <c r="J10074" s="15"/>
      <c r="K10074" s="15"/>
      <c r="L10074" s="52"/>
      <c r="M10074" s="15"/>
    </row>
    <row r="10075" spans="1:13" ht="12.75" customHeight="1">
      <c r="A10075" s="13" t="s">
        <v>34</v>
      </c>
      <c r="B10075" s="434"/>
      <c r="C10075" s="24"/>
      <c r="D10075" s="41"/>
      <c r="E10075" s="31"/>
      <c r="F10075" s="32"/>
      <c r="G10075" s="4"/>
      <c r="H10075" s="4"/>
      <c r="I10075" s="4"/>
      <c r="J10075" s="4"/>
      <c r="K10075" s="4"/>
      <c r="L10075" s="4"/>
      <c r="M10075" s="4"/>
    </row>
    <row r="10076" spans="1:13" ht="12.75" customHeight="1">
      <c r="A10076" s="12" t="s">
        <v>355</v>
      </c>
      <c r="B10076" s="434">
        <v>1.05</v>
      </c>
      <c r="C10076" s="24" t="s">
        <v>825</v>
      </c>
      <c r="D10076" s="41">
        <f>horm.ymez.!C17</f>
        <v>5459</v>
      </c>
      <c r="E10076" s="31">
        <f t="shared" ref="E10076:E10083" si="996">B10076*D10076</f>
        <v>5731.95</v>
      </c>
      <c r="F10076" s="32"/>
      <c r="G10076" s="4"/>
      <c r="H10076" s="4"/>
      <c r="I10076" s="4"/>
      <c r="J10076" s="4"/>
      <c r="K10076" s="4"/>
      <c r="L10076" s="4"/>
      <c r="M10076" s="4"/>
    </row>
    <row r="10077" spans="1:13" ht="12.75" customHeight="1">
      <c r="A10077" s="4" t="s">
        <v>1197</v>
      </c>
      <c r="B10077" s="38">
        <v>0.85699999999999998</v>
      </c>
      <c r="C10077" s="6" t="s">
        <v>4</v>
      </c>
      <c r="D10077" s="36">
        <f>D10050</f>
        <v>3200</v>
      </c>
      <c r="E10077" s="25">
        <f t="shared" si="996"/>
        <v>2742.4</v>
      </c>
      <c r="G10077" s="4"/>
      <c r="H10077" s="4"/>
      <c r="I10077" s="4"/>
      <c r="J10077" s="4"/>
      <c r="K10077" s="4"/>
      <c r="L10077" s="4"/>
      <c r="M10077" s="4"/>
    </row>
    <row r="10078" spans="1:13" ht="12.75" customHeight="1">
      <c r="A10078" s="4" t="s">
        <v>173</v>
      </c>
      <c r="B10078" s="38">
        <v>2.1419999999999999</v>
      </c>
      <c r="C10078" s="6" t="s">
        <v>4</v>
      </c>
      <c r="D10078" s="36">
        <f>D9937</f>
        <v>3200</v>
      </c>
      <c r="E10078" s="25">
        <f t="shared" si="996"/>
        <v>6854.4</v>
      </c>
      <c r="G10078" s="4"/>
      <c r="H10078" s="4"/>
      <c r="I10078" s="4"/>
      <c r="J10078" s="4"/>
      <c r="K10078" s="4"/>
      <c r="L10078" s="4"/>
      <c r="M10078" s="4"/>
    </row>
    <row r="10079" spans="1:13" ht="12.75" customHeight="1">
      <c r="A10079" s="4" t="s">
        <v>1198</v>
      </c>
      <c r="B10079" s="38">
        <f>B10080*2</f>
        <v>5.9979999999999993</v>
      </c>
      <c r="C10079" s="6" t="s">
        <v>1018</v>
      </c>
      <c r="D10079" s="36">
        <f>D10053</f>
        <v>60</v>
      </c>
      <c r="E10079" s="25">
        <f t="shared" si="996"/>
        <v>359.87999999999994</v>
      </c>
      <c r="G10079" s="4"/>
      <c r="H10079" s="4"/>
      <c r="I10079" s="4"/>
      <c r="J10079" s="4"/>
      <c r="K10079" s="4"/>
      <c r="L10079" s="4"/>
      <c r="M10079" s="4"/>
    </row>
    <row r="10080" spans="1:13" ht="12.75" customHeight="1">
      <c r="A10080" s="4" t="s">
        <v>1037</v>
      </c>
      <c r="B10080" s="38">
        <f>SUM(B10077:B10078)</f>
        <v>2.9989999999999997</v>
      </c>
      <c r="C10080" s="6" t="s">
        <v>216</v>
      </c>
      <c r="D10080" s="36">
        <f>D9939</f>
        <v>0</v>
      </c>
      <c r="E10080" s="25">
        <f t="shared" si="996"/>
        <v>0</v>
      </c>
      <c r="G10080" s="4"/>
      <c r="H10080" s="4"/>
      <c r="I10080" s="4"/>
      <c r="J10080" s="4"/>
      <c r="K10080" s="4"/>
      <c r="L10080" s="4"/>
      <c r="M10080" s="4"/>
    </row>
    <row r="10081" spans="1:13" ht="12.75" customHeight="1">
      <c r="A10081" s="4" t="s">
        <v>154</v>
      </c>
      <c r="B10081" s="38">
        <v>33.33</v>
      </c>
      <c r="C10081" s="6" t="s">
        <v>1171</v>
      </c>
      <c r="D10081" s="36">
        <v>210</v>
      </c>
      <c r="E10081" s="25">
        <f t="shared" si="996"/>
        <v>6999.2999999999993</v>
      </c>
      <c r="G10081" s="4"/>
      <c r="H10081" s="4"/>
      <c r="I10081" s="4"/>
      <c r="J10081" s="4"/>
      <c r="K10081" s="4"/>
      <c r="L10081" s="4"/>
      <c r="M10081" s="4"/>
    </row>
    <row r="10082" spans="1:13" ht="12.75" customHeight="1">
      <c r="A10082" s="4" t="s">
        <v>1343</v>
      </c>
      <c r="B10082" s="38">
        <v>1.05</v>
      </c>
      <c r="C10082" s="6" t="s">
        <v>825</v>
      </c>
      <c r="D10082" s="36">
        <f>Prec.!D677</f>
        <v>848.41</v>
      </c>
      <c r="E10082" s="25">
        <f t="shared" si="996"/>
        <v>890.83050000000003</v>
      </c>
      <c r="G10082" s="4"/>
      <c r="H10082" s="4"/>
      <c r="I10082" s="4"/>
      <c r="J10082" s="4"/>
      <c r="K10082" s="4"/>
      <c r="L10082" s="4"/>
      <c r="M10082" s="4"/>
    </row>
    <row r="10083" spans="1:13" ht="12.75" customHeight="1">
      <c r="A10083" s="4" t="s">
        <v>208</v>
      </c>
      <c r="B10083" s="38">
        <f>SUM(E10076:E10082)</f>
        <v>23578.7605</v>
      </c>
      <c r="C10083" s="6" t="s">
        <v>209</v>
      </c>
      <c r="D10083" s="36">
        <f>D10055</f>
        <v>1.4999999999999999E-2</v>
      </c>
      <c r="E10083" s="25">
        <f t="shared" si="996"/>
        <v>353.68140749999998</v>
      </c>
      <c r="F10083" s="26">
        <f>SUM(E10076:E10083)</f>
        <v>23932.441907500001</v>
      </c>
      <c r="G10083" s="4"/>
      <c r="H10083" s="4"/>
      <c r="I10083" s="4"/>
      <c r="J10083" s="4"/>
      <c r="K10083" s="4"/>
      <c r="L10083" s="4"/>
      <c r="M10083" s="4"/>
    </row>
    <row r="10084" spans="1:13" ht="12" customHeight="1">
      <c r="B10084" s="38"/>
      <c r="D10084" s="36"/>
      <c r="G10084" s="4"/>
      <c r="H10084" s="4"/>
      <c r="I10084" s="4"/>
      <c r="J10084" s="4"/>
      <c r="K10084" s="4"/>
      <c r="L10084" s="4"/>
      <c r="M10084" s="4"/>
    </row>
    <row r="10085" spans="1:13" s="166" customFormat="1" ht="12" customHeight="1">
      <c r="B10085" s="38"/>
      <c r="C10085" s="165"/>
      <c r="D10085" s="36"/>
      <c r="E10085" s="25"/>
      <c r="F10085" s="26"/>
    </row>
    <row r="10086" spans="1:13" s="166" customFormat="1" ht="12" customHeight="1">
      <c r="B10086" s="38"/>
      <c r="C10086" s="165"/>
      <c r="D10086" s="36"/>
      <c r="E10086" s="25"/>
      <c r="F10086" s="26"/>
    </row>
    <row r="10087" spans="1:13" s="166" customFormat="1" ht="12" customHeight="1">
      <c r="B10087" s="38"/>
      <c r="C10087" s="165"/>
      <c r="D10087" s="36"/>
      <c r="E10087" s="25"/>
      <c r="F10087" s="26"/>
    </row>
    <row r="10088" spans="1:13" s="166" customFormat="1" ht="12" customHeight="1">
      <c r="B10088" s="38"/>
      <c r="C10088" s="165"/>
      <c r="D10088" s="36"/>
      <c r="E10088" s="25"/>
      <c r="F10088" s="26"/>
    </row>
    <row r="10089" spans="1:13" ht="12.75" customHeight="1">
      <c r="A10089" s="1" t="s">
        <v>35</v>
      </c>
      <c r="B10089" s="38"/>
      <c r="D10089" s="36"/>
      <c r="G10089" s="4"/>
      <c r="H10089" s="4"/>
      <c r="I10089" s="4"/>
      <c r="J10089" s="4"/>
      <c r="K10089" s="4"/>
      <c r="L10089" s="4"/>
      <c r="M10089" s="4"/>
    </row>
    <row r="10090" spans="1:13" ht="12.75" customHeight="1">
      <c r="A10090" s="4" t="s">
        <v>355</v>
      </c>
      <c r="B10090" s="38">
        <v>1.05</v>
      </c>
      <c r="C10090" s="6" t="s">
        <v>825</v>
      </c>
      <c r="D10090" s="36">
        <f>D10076</f>
        <v>5459</v>
      </c>
      <c r="E10090" s="25">
        <f t="shared" ref="E10090:E10095" si="997">B10090*D10090</f>
        <v>5731.95</v>
      </c>
      <c r="G10090" s="4"/>
      <c r="H10090" s="4"/>
      <c r="I10090" s="4"/>
      <c r="J10090" s="4"/>
      <c r="K10090" s="4"/>
      <c r="L10090" s="4"/>
      <c r="M10090" s="4"/>
    </row>
    <row r="10091" spans="1:13" ht="12.75" customHeight="1">
      <c r="A10091" s="4" t="s">
        <v>173</v>
      </c>
      <c r="B10091" s="38">
        <v>0.78</v>
      </c>
      <c r="C10091" s="6" t="s">
        <v>4</v>
      </c>
      <c r="D10091" s="36">
        <f>D10078</f>
        <v>3200</v>
      </c>
      <c r="E10091" s="25">
        <f t="shared" si="997"/>
        <v>2496</v>
      </c>
      <c r="G10091" s="4"/>
      <c r="H10091" s="4"/>
      <c r="I10091" s="4"/>
      <c r="J10091" s="4"/>
      <c r="K10091" s="4"/>
      <c r="L10091" s="4"/>
      <c r="M10091" s="4"/>
    </row>
    <row r="10092" spans="1:13" ht="12.75" customHeight="1">
      <c r="A10092" s="4" t="s">
        <v>1198</v>
      </c>
      <c r="B10092" s="38">
        <f>B10093*2</f>
        <v>1.56</v>
      </c>
      <c r="C10092" s="6" t="s">
        <v>218</v>
      </c>
      <c r="D10092" s="36">
        <f>D10079</f>
        <v>60</v>
      </c>
      <c r="E10092" s="25">
        <f t="shared" si="997"/>
        <v>93.600000000000009</v>
      </c>
      <c r="G10092" s="4"/>
      <c r="H10092" s="4"/>
      <c r="I10092" s="4"/>
      <c r="J10092" s="4"/>
      <c r="K10092" s="4"/>
      <c r="L10092" s="4"/>
      <c r="M10092" s="4"/>
    </row>
    <row r="10093" spans="1:13" ht="12.75" customHeight="1">
      <c r="A10093" s="4" t="s">
        <v>1037</v>
      </c>
      <c r="B10093" s="38">
        <f>SUM(B10091)</f>
        <v>0.78</v>
      </c>
      <c r="C10093" s="6" t="s">
        <v>4</v>
      </c>
      <c r="D10093" s="36">
        <f>D10080</f>
        <v>0</v>
      </c>
      <c r="E10093" s="25">
        <f t="shared" si="997"/>
        <v>0</v>
      </c>
      <c r="G10093" s="4"/>
      <c r="H10093" s="4"/>
      <c r="I10093" s="4"/>
      <c r="J10093" s="4"/>
      <c r="K10093" s="4"/>
      <c r="L10093" s="4"/>
      <c r="M10093" s="4"/>
    </row>
    <row r="10094" spans="1:13" ht="12.75" customHeight="1">
      <c r="A10094" s="4" t="s">
        <v>519</v>
      </c>
      <c r="B10094" s="38">
        <v>1.05</v>
      </c>
      <c r="C10094" s="6" t="s">
        <v>825</v>
      </c>
      <c r="D10094" s="36">
        <f>Prec.!D676</f>
        <v>606.97</v>
      </c>
      <c r="E10094" s="25">
        <f t="shared" si="997"/>
        <v>637.31850000000009</v>
      </c>
      <c r="G10094" s="4"/>
      <c r="H10094" s="4"/>
      <c r="I10094" s="4"/>
      <c r="J10094" s="4"/>
      <c r="K10094" s="4"/>
      <c r="L10094" s="4"/>
      <c r="M10094" s="4"/>
    </row>
    <row r="10095" spans="1:13" ht="12.75" customHeight="1">
      <c r="A10095" s="4" t="s">
        <v>208</v>
      </c>
      <c r="B10095" s="38">
        <f>SUM(E10090:E10094)</f>
        <v>8958.8685000000005</v>
      </c>
      <c r="C10095" s="6" t="s">
        <v>209</v>
      </c>
      <c r="D10095" s="36">
        <f>D10083</f>
        <v>1.4999999999999999E-2</v>
      </c>
      <c r="E10095" s="25">
        <f t="shared" si="997"/>
        <v>134.3830275</v>
      </c>
      <c r="F10095" s="26">
        <f>SUM(E10090:E10095)</f>
        <v>9093.2515275000005</v>
      </c>
      <c r="G10095" s="4"/>
      <c r="H10095" s="4"/>
      <c r="I10095" s="4"/>
      <c r="J10095" s="4"/>
      <c r="K10095" s="4"/>
      <c r="L10095" s="4"/>
      <c r="M10095" s="4"/>
    </row>
    <row r="10096" spans="1:13" ht="15.75" customHeight="1">
      <c r="B10096" s="38"/>
      <c r="D10096" s="36"/>
    </row>
    <row r="10097" spans="1:6" ht="12.75" customHeight="1">
      <c r="A10097" s="1" t="s">
        <v>739</v>
      </c>
      <c r="B10097" s="38"/>
      <c r="D10097" s="36"/>
    </row>
    <row r="10098" spans="1:6" ht="12.75" customHeight="1">
      <c r="A10098" s="4" t="s">
        <v>355</v>
      </c>
      <c r="B10098" s="38">
        <v>1.05</v>
      </c>
      <c r="C10098" s="6" t="s">
        <v>825</v>
      </c>
      <c r="D10098" s="36">
        <f>horm.ymez.!C17</f>
        <v>5459</v>
      </c>
      <c r="E10098" s="25">
        <f t="shared" ref="E10098:E10104" si="998">B10098*D10098</f>
        <v>5731.95</v>
      </c>
    </row>
    <row r="10099" spans="1:6" ht="12.75" customHeight="1">
      <c r="A10099" s="4" t="s">
        <v>173</v>
      </c>
      <c r="B10099" s="38">
        <v>1.294</v>
      </c>
      <c r="C10099" s="6" t="s">
        <v>4</v>
      </c>
      <c r="D10099" s="36">
        <f>D10091</f>
        <v>3200</v>
      </c>
      <c r="E10099" s="25">
        <f t="shared" si="998"/>
        <v>4140.8</v>
      </c>
    </row>
    <row r="10100" spans="1:6" ht="12.75" customHeight="1">
      <c r="A10100" s="4" t="s">
        <v>1198</v>
      </c>
      <c r="B10100" s="38">
        <f>B10102*2</f>
        <v>2.5880000000000001</v>
      </c>
      <c r="C10100" s="6" t="s">
        <v>218</v>
      </c>
      <c r="D10100" s="36">
        <f>D10092</f>
        <v>60</v>
      </c>
      <c r="E10100" s="25">
        <f t="shared" si="998"/>
        <v>155.28</v>
      </c>
    </row>
    <row r="10101" spans="1:6" ht="12.75" customHeight="1">
      <c r="A10101" s="4" t="s">
        <v>740</v>
      </c>
      <c r="B10101" s="38">
        <v>10</v>
      </c>
      <c r="C10101" s="6" t="s">
        <v>213</v>
      </c>
      <c r="D10101" s="41">
        <v>240</v>
      </c>
      <c r="E10101" s="25">
        <f t="shared" si="998"/>
        <v>2400</v>
      </c>
    </row>
    <row r="10102" spans="1:6" ht="12.75" customHeight="1">
      <c r="A10102" s="4" t="s">
        <v>1037</v>
      </c>
      <c r="B10102" s="38">
        <v>1.294</v>
      </c>
      <c r="C10102" s="6" t="s">
        <v>4</v>
      </c>
      <c r="D10102" s="36">
        <f>D10093</f>
        <v>0</v>
      </c>
      <c r="E10102" s="25">
        <f t="shared" si="998"/>
        <v>0</v>
      </c>
    </row>
    <row r="10103" spans="1:6" ht="12.75" customHeight="1">
      <c r="A10103" s="4" t="s">
        <v>1343</v>
      </c>
      <c r="B10103" s="38">
        <v>1.05</v>
      </c>
      <c r="C10103" s="6" t="s">
        <v>825</v>
      </c>
      <c r="D10103" s="36">
        <f>D10082</f>
        <v>848.41</v>
      </c>
      <c r="E10103" s="25">
        <f t="shared" si="998"/>
        <v>890.83050000000003</v>
      </c>
    </row>
    <row r="10104" spans="1:6" ht="12.75" customHeight="1">
      <c r="A10104" s="4" t="s">
        <v>208</v>
      </c>
      <c r="B10104" s="38">
        <f>SUM(E10098:E10103)</f>
        <v>13318.860500000001</v>
      </c>
      <c r="C10104" s="6" t="s">
        <v>209</v>
      </c>
      <c r="D10104" s="36">
        <f>D10095</f>
        <v>1.4999999999999999E-2</v>
      </c>
      <c r="E10104" s="25">
        <f t="shared" si="998"/>
        <v>199.78290749999999</v>
      </c>
      <c r="F10104" s="26">
        <f>SUM(E10098:E10104)</f>
        <v>13518.643407500002</v>
      </c>
    </row>
    <row r="10105" spans="1:6" ht="12.75" customHeight="1">
      <c r="B10105" s="38"/>
      <c r="D10105" s="36"/>
    </row>
    <row r="10106" spans="1:6" ht="12.75" customHeight="1">
      <c r="A10106" s="1" t="s">
        <v>741</v>
      </c>
      <c r="B10106" s="38"/>
      <c r="D10106" s="36"/>
    </row>
    <row r="10107" spans="1:6" ht="12.75" customHeight="1">
      <c r="A10107" s="4" t="s">
        <v>355</v>
      </c>
      <c r="B10107" s="38">
        <v>1.1000000000000001</v>
      </c>
      <c r="C10107" s="6" t="s">
        <v>825</v>
      </c>
      <c r="D10107" s="36">
        <f>horm.ymez.!C17</f>
        <v>5459</v>
      </c>
      <c r="E10107" s="25">
        <f t="shared" ref="E10107:E10112" si="999">B10107*D10107</f>
        <v>6004.9000000000005</v>
      </c>
    </row>
    <row r="10108" spans="1:6" ht="12.75" customHeight="1">
      <c r="A10108" s="4" t="s">
        <v>173</v>
      </c>
      <c r="B10108" s="38">
        <v>0.57999999999999996</v>
      </c>
      <c r="C10108" s="6" t="s">
        <v>4</v>
      </c>
      <c r="D10108" s="36">
        <f>D10099</f>
        <v>3200</v>
      </c>
      <c r="E10108" s="25">
        <f t="shared" si="999"/>
        <v>1855.9999999999998</v>
      </c>
    </row>
    <row r="10109" spans="1:6" ht="12.75" customHeight="1">
      <c r="A10109" s="4" t="s">
        <v>1198</v>
      </c>
      <c r="B10109" s="38">
        <f>B10110*2</f>
        <v>1.1599999999999999</v>
      </c>
      <c r="C10109" s="6" t="s">
        <v>218</v>
      </c>
      <c r="D10109" s="36">
        <f>D10100</f>
        <v>60</v>
      </c>
      <c r="E10109" s="25">
        <f t="shared" si="999"/>
        <v>69.599999999999994</v>
      </c>
    </row>
    <row r="10110" spans="1:6" ht="12.75" customHeight="1">
      <c r="A10110" s="4" t="s">
        <v>1037</v>
      </c>
      <c r="B10110" s="38">
        <f>SUM(B10108)</f>
        <v>0.57999999999999996</v>
      </c>
      <c r="C10110" s="6" t="s">
        <v>4</v>
      </c>
      <c r="D10110" s="36">
        <f>D10102</f>
        <v>0</v>
      </c>
      <c r="E10110" s="25">
        <f t="shared" si="999"/>
        <v>0</v>
      </c>
    </row>
    <row r="10111" spans="1:6" ht="12.75" customHeight="1">
      <c r="A10111" s="4" t="s">
        <v>519</v>
      </c>
      <c r="B10111" s="38">
        <v>1.1000000000000001</v>
      </c>
      <c r="C10111" s="6" t="s">
        <v>825</v>
      </c>
      <c r="D10111" s="36">
        <f>D10094</f>
        <v>606.97</v>
      </c>
      <c r="E10111" s="25">
        <f t="shared" si="999"/>
        <v>667.66700000000003</v>
      </c>
    </row>
    <row r="10112" spans="1:6" ht="12.75" customHeight="1">
      <c r="A10112" s="4" t="s">
        <v>208</v>
      </c>
      <c r="B10112" s="38">
        <f>SUM(E10107:E10111)</f>
        <v>8598.1670000000013</v>
      </c>
      <c r="C10112" s="6" t="s">
        <v>209</v>
      </c>
      <c r="D10112" s="36">
        <f>D10104</f>
        <v>1.4999999999999999E-2</v>
      </c>
      <c r="E10112" s="25">
        <f t="shared" si="999"/>
        <v>128.97250500000001</v>
      </c>
      <c r="F10112" s="26">
        <f>SUM(E10107:E10112)</f>
        <v>8727.139505000001</v>
      </c>
    </row>
    <row r="10113" spans="1:6" ht="12.75" customHeight="1">
      <c r="A10113" s="1" t="s">
        <v>742</v>
      </c>
      <c r="B10113" s="38"/>
      <c r="D10113" s="36"/>
    </row>
    <row r="10114" spans="1:6" ht="12.75" customHeight="1">
      <c r="A10114" s="4" t="s">
        <v>355</v>
      </c>
      <c r="B10114" s="38">
        <v>1.1000000000000001</v>
      </c>
      <c r="C10114" s="6" t="s">
        <v>825</v>
      </c>
      <c r="D10114" s="36">
        <f t="shared" ref="D10114:D10119" si="1000">D10107</f>
        <v>5459</v>
      </c>
      <c r="E10114" s="25">
        <f t="shared" ref="E10114:E10119" si="1001">B10114*D10114</f>
        <v>6004.9000000000005</v>
      </c>
    </row>
    <row r="10115" spans="1:6" ht="12.75" customHeight="1">
      <c r="A10115" s="4" t="s">
        <v>173</v>
      </c>
      <c r="B10115" s="38">
        <v>0.68</v>
      </c>
      <c r="C10115" s="6" t="s">
        <v>4</v>
      </c>
      <c r="D10115" s="36">
        <f t="shared" si="1000"/>
        <v>3200</v>
      </c>
      <c r="E10115" s="25">
        <f t="shared" si="1001"/>
        <v>2176</v>
      </c>
    </row>
    <row r="10116" spans="1:6" ht="12.75" customHeight="1">
      <c r="A10116" s="4" t="s">
        <v>1198</v>
      </c>
      <c r="B10116" s="38">
        <f>B10117*2</f>
        <v>1.36</v>
      </c>
      <c r="C10116" s="6" t="s">
        <v>218</v>
      </c>
      <c r="D10116" s="36">
        <f t="shared" si="1000"/>
        <v>60</v>
      </c>
      <c r="E10116" s="25">
        <f t="shared" si="1001"/>
        <v>81.600000000000009</v>
      </c>
    </row>
    <row r="10117" spans="1:6" ht="12.75" customHeight="1">
      <c r="A10117" s="4" t="s">
        <v>1037</v>
      </c>
      <c r="B10117" s="38">
        <f>SUM(B10115)</f>
        <v>0.68</v>
      </c>
      <c r="C10117" s="6" t="s">
        <v>4</v>
      </c>
      <c r="D10117" s="36">
        <f t="shared" si="1000"/>
        <v>0</v>
      </c>
      <c r="E10117" s="25">
        <f t="shared" si="1001"/>
        <v>0</v>
      </c>
    </row>
    <row r="10118" spans="1:6" ht="12.75" customHeight="1">
      <c r="A10118" s="4" t="s">
        <v>519</v>
      </c>
      <c r="B10118" s="38">
        <v>1.1000000000000001</v>
      </c>
      <c r="C10118" s="6" t="s">
        <v>825</v>
      </c>
      <c r="D10118" s="36">
        <f t="shared" si="1000"/>
        <v>606.97</v>
      </c>
      <c r="E10118" s="25">
        <f t="shared" si="1001"/>
        <v>667.66700000000003</v>
      </c>
    </row>
    <row r="10119" spans="1:6" ht="12.75" customHeight="1">
      <c r="A10119" s="4" t="s">
        <v>208</v>
      </c>
      <c r="B10119" s="38">
        <f>SUM(E10114:E10118)</f>
        <v>8930.1669999999995</v>
      </c>
      <c r="C10119" s="6" t="s">
        <v>209</v>
      </c>
      <c r="D10119" s="36">
        <f t="shared" si="1000"/>
        <v>1.4999999999999999E-2</v>
      </c>
      <c r="E10119" s="25">
        <f t="shared" si="1001"/>
        <v>133.95250499999997</v>
      </c>
      <c r="F10119" s="26">
        <f>SUM(E10114:E10119)</f>
        <v>9064.1195049999988</v>
      </c>
    </row>
    <row r="10120" spans="1:6" ht="9" customHeight="1">
      <c r="B10120" s="38"/>
      <c r="D10120" s="36"/>
    </row>
    <row r="10121" spans="1:6" ht="12.75" customHeight="1">
      <c r="A10121" s="1" t="s">
        <v>743</v>
      </c>
      <c r="B10121" s="38"/>
      <c r="D10121" s="36"/>
    </row>
    <row r="10122" spans="1:6" ht="12.75" customHeight="1">
      <c r="A10122" s="4" t="s">
        <v>355</v>
      </c>
      <c r="B10122" s="38">
        <v>1.1000000000000001</v>
      </c>
      <c r="C10122" s="6" t="s">
        <v>825</v>
      </c>
      <c r="D10122" s="36">
        <f t="shared" ref="D10122:D10127" si="1002">D10114</f>
        <v>5459</v>
      </c>
      <c r="E10122" s="25">
        <f t="shared" ref="E10122:E10127" si="1003">B10122*D10122</f>
        <v>6004.9000000000005</v>
      </c>
    </row>
    <row r="10123" spans="1:6" ht="12.75" customHeight="1">
      <c r="A10123" s="4" t="s">
        <v>173</v>
      </c>
      <c r="B10123" s="38">
        <v>0.86</v>
      </c>
      <c r="C10123" s="6" t="s">
        <v>4</v>
      </c>
      <c r="D10123" s="36">
        <f t="shared" si="1002"/>
        <v>3200</v>
      </c>
      <c r="E10123" s="25">
        <f t="shared" si="1003"/>
        <v>2752</v>
      </c>
    </row>
    <row r="10124" spans="1:6" ht="12.75" customHeight="1">
      <c r="A10124" s="4" t="s">
        <v>1198</v>
      </c>
      <c r="B10124" s="38">
        <f>B10125*2</f>
        <v>1.72</v>
      </c>
      <c r="C10124" s="6" t="s">
        <v>218</v>
      </c>
      <c r="D10124" s="36">
        <f t="shared" si="1002"/>
        <v>60</v>
      </c>
      <c r="E10124" s="25">
        <f t="shared" si="1003"/>
        <v>103.2</v>
      </c>
    </row>
    <row r="10125" spans="1:6" ht="12.75" customHeight="1">
      <c r="A10125" s="4" t="s">
        <v>1037</v>
      </c>
      <c r="B10125" s="38">
        <f>SUM(B10123)</f>
        <v>0.86</v>
      </c>
      <c r="C10125" s="6" t="s">
        <v>4</v>
      </c>
      <c r="D10125" s="36">
        <f t="shared" si="1002"/>
        <v>0</v>
      </c>
      <c r="E10125" s="25">
        <f t="shared" si="1003"/>
        <v>0</v>
      </c>
    </row>
    <row r="10126" spans="1:6" ht="12.75" customHeight="1">
      <c r="A10126" s="4" t="s">
        <v>519</v>
      </c>
      <c r="B10126" s="38">
        <v>1.1000000000000001</v>
      </c>
      <c r="C10126" s="6" t="s">
        <v>825</v>
      </c>
      <c r="D10126" s="36">
        <f t="shared" si="1002"/>
        <v>606.97</v>
      </c>
      <c r="E10126" s="25">
        <f t="shared" si="1003"/>
        <v>667.66700000000003</v>
      </c>
    </row>
    <row r="10127" spans="1:6" ht="12.75" customHeight="1">
      <c r="A10127" s="4" t="s">
        <v>208</v>
      </c>
      <c r="B10127" s="38">
        <f>SUM(E10122:E10126)</f>
        <v>9527.7670000000016</v>
      </c>
      <c r="C10127" s="6" t="s">
        <v>209</v>
      </c>
      <c r="D10127" s="36">
        <f t="shared" si="1002"/>
        <v>1.4999999999999999E-2</v>
      </c>
      <c r="E10127" s="25">
        <f t="shared" si="1003"/>
        <v>142.91650500000003</v>
      </c>
      <c r="F10127" s="26">
        <f>SUM(E10122:E10127)</f>
        <v>9670.6835050000009</v>
      </c>
    </row>
    <row r="10128" spans="1:6" ht="12.75" customHeight="1">
      <c r="B10128" s="38"/>
      <c r="D10128" s="36"/>
    </row>
    <row r="10129" spans="1:6" ht="12.75" customHeight="1">
      <c r="A10129" s="13" t="s">
        <v>744</v>
      </c>
      <c r="B10129" s="434"/>
      <c r="C10129" s="24"/>
      <c r="D10129" s="41"/>
      <c r="E10129" s="31"/>
      <c r="F10129" s="32"/>
    </row>
    <row r="10130" spans="1:6" ht="12.75" customHeight="1">
      <c r="A10130" s="12" t="s">
        <v>782</v>
      </c>
      <c r="B10130" s="434">
        <v>1.7000000000000001E-2</v>
      </c>
      <c r="C10130" s="24" t="s">
        <v>825</v>
      </c>
      <c r="D10130" s="41">
        <f>horm.ymez.!C14</f>
        <v>5147.68</v>
      </c>
      <c r="E10130" s="31">
        <f t="shared" ref="E10130:E10135" si="1004">B10130*D10130</f>
        <v>87.510560000000012</v>
      </c>
      <c r="F10130" s="32"/>
    </row>
    <row r="10131" spans="1:6" ht="12.75" customHeight="1">
      <c r="A10131" s="12" t="s">
        <v>182</v>
      </c>
      <c r="B10131" s="434">
        <v>0.5</v>
      </c>
      <c r="C10131" s="24" t="s">
        <v>211</v>
      </c>
      <c r="D10131" s="41">
        <f>D10051</f>
        <v>44</v>
      </c>
      <c r="E10131" s="31">
        <f t="shared" si="1004"/>
        <v>22</v>
      </c>
      <c r="F10131" s="32"/>
    </row>
    <row r="10132" spans="1:6" ht="12.75" customHeight="1">
      <c r="A10132" s="12" t="s">
        <v>6</v>
      </c>
      <c r="B10132" s="434">
        <v>0.05</v>
      </c>
      <c r="C10132" s="24" t="s">
        <v>218</v>
      </c>
      <c r="D10132" s="41">
        <f>Prec.!C151</f>
        <v>40</v>
      </c>
      <c r="E10132" s="31">
        <f t="shared" si="1004"/>
        <v>2</v>
      </c>
      <c r="F10132" s="32"/>
    </row>
    <row r="10133" spans="1:6" ht="12.75" customHeight="1">
      <c r="A10133" s="12" t="s">
        <v>427</v>
      </c>
      <c r="B10133" s="434">
        <v>2E-3</v>
      </c>
      <c r="C10133" s="24" t="s">
        <v>825</v>
      </c>
      <c r="D10133" s="41">
        <f>horm.ymez.!C8</f>
        <v>6653.49</v>
      </c>
      <c r="E10133" s="31">
        <f t="shared" si="1004"/>
        <v>13.306979999999999</v>
      </c>
      <c r="F10133" s="32"/>
    </row>
    <row r="10134" spans="1:6" ht="12.75" customHeight="1">
      <c r="A10134" s="12" t="s">
        <v>1121</v>
      </c>
      <c r="B10134" s="434">
        <v>1</v>
      </c>
      <c r="C10134" s="24" t="s">
        <v>1171</v>
      </c>
      <c r="D10134" s="41">
        <f>Prec.!D683</f>
        <v>80.680000000000007</v>
      </c>
      <c r="E10134" s="31">
        <f t="shared" si="1004"/>
        <v>80.680000000000007</v>
      </c>
      <c r="F10134" s="32"/>
    </row>
    <row r="10135" spans="1:6" ht="12.75" customHeight="1">
      <c r="A10135" s="12" t="s">
        <v>208</v>
      </c>
      <c r="B10135" s="434">
        <f>SUM(E10130:E10134)</f>
        <v>205.49754000000001</v>
      </c>
      <c r="C10135" s="24" t="s">
        <v>209</v>
      </c>
      <c r="D10135" s="41">
        <v>0.02</v>
      </c>
      <c r="E10135" s="31">
        <f t="shared" si="1004"/>
        <v>4.1099508</v>
      </c>
      <c r="F10135" s="32">
        <f>SUM(E10130:E10135)</f>
        <v>209.60749080000002</v>
      </c>
    </row>
    <row r="10136" spans="1:6" ht="6" customHeight="1">
      <c r="A10136" s="12"/>
      <c r="B10136" s="434"/>
      <c r="C10136" s="24"/>
      <c r="D10136" s="41"/>
      <c r="E10136" s="31"/>
      <c r="F10136" s="32"/>
    </row>
    <row r="10137" spans="1:6" ht="12.75" customHeight="1">
      <c r="A10137" s="13" t="s">
        <v>1122</v>
      </c>
      <c r="B10137" s="434"/>
      <c r="C10137" s="24"/>
      <c r="D10137" s="41"/>
      <c r="E10137" s="31"/>
      <c r="F10137" s="32"/>
    </row>
    <row r="10138" spans="1:6" ht="12.75" customHeight="1">
      <c r="A10138" s="4" t="s">
        <v>355</v>
      </c>
      <c r="B10138" s="38">
        <v>1.05</v>
      </c>
      <c r="C10138" s="6" t="s">
        <v>825</v>
      </c>
      <c r="D10138" s="36">
        <f>horm.ymez.!C17</f>
        <v>5459</v>
      </c>
      <c r="E10138" s="25">
        <f t="shared" ref="E10138:E10148" si="1005">B10138*D10138</f>
        <v>5731.95</v>
      </c>
    </row>
    <row r="10139" spans="1:6" ht="12.75" customHeight="1">
      <c r="A10139" s="4" t="s">
        <v>173</v>
      </c>
      <c r="B10139" s="38">
        <v>1.21</v>
      </c>
      <c r="C10139" s="6" t="s">
        <v>4</v>
      </c>
      <c r="D10139" s="36">
        <f>D10123</f>
        <v>3200</v>
      </c>
      <c r="E10139" s="25">
        <f t="shared" si="1005"/>
        <v>3872</v>
      </c>
    </row>
    <row r="10140" spans="1:6" ht="12.75" customHeight="1">
      <c r="A10140" s="4" t="s">
        <v>578</v>
      </c>
      <c r="B10140" s="38">
        <v>0.22</v>
      </c>
      <c r="C10140" s="6" t="s">
        <v>4</v>
      </c>
      <c r="D10140" s="36">
        <f>D10139</f>
        <v>3200</v>
      </c>
      <c r="E10140" s="25">
        <f t="shared" si="1005"/>
        <v>704</v>
      </c>
    </row>
    <row r="10141" spans="1:6" ht="12.75" customHeight="1">
      <c r="A10141" s="4" t="s">
        <v>1123</v>
      </c>
      <c r="B10141" s="38">
        <v>1.49</v>
      </c>
      <c r="C10141" s="6" t="s">
        <v>4</v>
      </c>
      <c r="D10141" s="36">
        <f>D10139</f>
        <v>3200</v>
      </c>
      <c r="E10141" s="25">
        <f t="shared" si="1005"/>
        <v>4768</v>
      </c>
    </row>
    <row r="10142" spans="1:6" ht="12.75" customHeight="1">
      <c r="A10142" s="4" t="s">
        <v>1198</v>
      </c>
      <c r="B10142" s="38">
        <f>B10146*2</f>
        <v>5.84</v>
      </c>
      <c r="C10142" s="6" t="s">
        <v>218</v>
      </c>
      <c r="D10142" s="36">
        <f>D10124</f>
        <v>60</v>
      </c>
      <c r="E10142" s="25">
        <f t="shared" si="1005"/>
        <v>350.4</v>
      </c>
    </row>
    <row r="10143" spans="1:6" ht="25.5" customHeight="1">
      <c r="A10143" s="120" t="s">
        <v>1598</v>
      </c>
      <c r="B10143" s="38">
        <v>3.2</v>
      </c>
      <c r="C10143" s="6" t="s">
        <v>1171</v>
      </c>
      <c r="D10143" s="41">
        <v>692</v>
      </c>
      <c r="E10143" s="25">
        <f t="shared" si="1005"/>
        <v>2214.4</v>
      </c>
    </row>
    <row r="10144" spans="1:6" ht="27" customHeight="1">
      <c r="A10144" s="120" t="s">
        <v>1599</v>
      </c>
      <c r="B10144" s="38">
        <v>1.19</v>
      </c>
      <c r="C10144" s="6" t="s">
        <v>1171</v>
      </c>
      <c r="D10144" s="41">
        <v>755</v>
      </c>
      <c r="E10144" s="25">
        <f t="shared" si="1005"/>
        <v>898.44999999999993</v>
      </c>
    </row>
    <row r="10145" spans="1:6" ht="25.5" customHeight="1">
      <c r="A10145" s="120" t="s">
        <v>1600</v>
      </c>
      <c r="B10145" s="38">
        <v>2.04</v>
      </c>
      <c r="C10145" s="6" t="s">
        <v>1171</v>
      </c>
      <c r="D10145" s="41">
        <v>865</v>
      </c>
      <c r="E10145" s="25">
        <f t="shared" si="1005"/>
        <v>1764.6000000000001</v>
      </c>
    </row>
    <row r="10146" spans="1:6" ht="12.75" customHeight="1">
      <c r="A10146" s="4" t="s">
        <v>1037</v>
      </c>
      <c r="B10146" s="38">
        <f>SUM(B10139:B10141)</f>
        <v>2.92</v>
      </c>
      <c r="C10146" s="6" t="s">
        <v>4</v>
      </c>
      <c r="D10146" s="36">
        <f>D10125</f>
        <v>0</v>
      </c>
      <c r="E10146" s="25">
        <f t="shared" si="1005"/>
        <v>0</v>
      </c>
    </row>
    <row r="10147" spans="1:6" ht="12.75" customHeight="1">
      <c r="A10147" s="4" t="s">
        <v>758</v>
      </c>
      <c r="B10147" s="38">
        <v>1.05</v>
      </c>
      <c r="C10147" s="6" t="s">
        <v>825</v>
      </c>
      <c r="D10147" s="36">
        <f>Prec.!D677</f>
        <v>848.41</v>
      </c>
      <c r="E10147" s="25">
        <f t="shared" si="1005"/>
        <v>890.83050000000003</v>
      </c>
    </row>
    <row r="10148" spans="1:6" ht="12.75" customHeight="1">
      <c r="A10148" s="4" t="s">
        <v>208</v>
      </c>
      <c r="B10148" s="38">
        <f>SUM(E10138:E10147)</f>
        <v>21194.630499999999</v>
      </c>
      <c r="C10148" s="6" t="s">
        <v>209</v>
      </c>
      <c r="D10148" s="36">
        <f>D10135</f>
        <v>0.02</v>
      </c>
      <c r="E10148" s="25">
        <f t="shared" si="1005"/>
        <v>423.89260999999999</v>
      </c>
      <c r="F10148" s="26">
        <f>SUM(E10138:E10148)</f>
        <v>21618.523109999998</v>
      </c>
    </row>
    <row r="10149" spans="1:6" ht="8.25" customHeight="1">
      <c r="B10149" s="38"/>
      <c r="D10149" s="36"/>
    </row>
    <row r="10150" spans="1:6" ht="12.75" customHeight="1">
      <c r="A10150" s="1" t="s">
        <v>759</v>
      </c>
      <c r="B10150" s="38"/>
      <c r="D10150" s="36"/>
    </row>
    <row r="10151" spans="1:6" ht="12.75" customHeight="1">
      <c r="A10151" s="4" t="s">
        <v>782</v>
      </c>
      <c r="B10151" s="38">
        <v>8.4000000000000005E-2</v>
      </c>
      <c r="C10151" s="6" t="s">
        <v>825</v>
      </c>
      <c r="D10151" s="36">
        <f>horm.ymez.!C14</f>
        <v>5147.68</v>
      </c>
      <c r="E10151" s="25">
        <f t="shared" ref="E10151:E10158" si="1006">B10151*D10151</f>
        <v>432.40512000000007</v>
      </c>
    </row>
    <row r="10152" spans="1:6" ht="12.75" customHeight="1">
      <c r="A10152" s="4" t="s">
        <v>182</v>
      </c>
      <c r="B10152" s="38">
        <v>0.29399999999999998</v>
      </c>
      <c r="C10152" s="6" t="s">
        <v>211</v>
      </c>
      <c r="D10152" s="36">
        <f>D10131</f>
        <v>44</v>
      </c>
      <c r="E10152" s="25">
        <f t="shared" si="1006"/>
        <v>12.936</v>
      </c>
    </row>
    <row r="10153" spans="1:6" ht="12.75" customHeight="1">
      <c r="A10153" s="4" t="s">
        <v>6</v>
      </c>
      <c r="B10153" s="38">
        <v>1.4999999999999999E-2</v>
      </c>
      <c r="C10153" s="6" t="s">
        <v>218</v>
      </c>
      <c r="D10153" s="36">
        <f>Prec.!C151</f>
        <v>40</v>
      </c>
      <c r="E10153" s="25">
        <f t="shared" si="1006"/>
        <v>0.6</v>
      </c>
    </row>
    <row r="10154" spans="1:6" ht="12.75" customHeight="1">
      <c r="A10154" s="4" t="s">
        <v>427</v>
      </c>
      <c r="B10154" s="38">
        <v>2.1000000000000001E-2</v>
      </c>
      <c r="C10154" s="6" t="s">
        <v>825</v>
      </c>
      <c r="D10154" s="36">
        <f>horm.ymez.!C8</f>
        <v>6653.49</v>
      </c>
      <c r="E10154" s="25">
        <f t="shared" si="1006"/>
        <v>139.72328999999999</v>
      </c>
    </row>
    <row r="10155" spans="1:6" ht="24" customHeight="1">
      <c r="A10155" s="120" t="s">
        <v>1082</v>
      </c>
      <c r="B10155" s="38">
        <v>2</v>
      </c>
      <c r="C10155" s="6" t="s">
        <v>1171</v>
      </c>
      <c r="D10155" s="36">
        <f>Prec.!D438</f>
        <v>0</v>
      </c>
      <c r="E10155" s="25">
        <f t="shared" si="1006"/>
        <v>0</v>
      </c>
    </row>
    <row r="10156" spans="1:6" ht="24" customHeight="1">
      <c r="A10156" s="120" t="s">
        <v>791</v>
      </c>
      <c r="B10156" s="38">
        <v>1</v>
      </c>
      <c r="C10156" s="6" t="s">
        <v>213</v>
      </c>
      <c r="D10156" s="36">
        <f>Prec.!D476</f>
        <v>0</v>
      </c>
      <c r="E10156" s="25">
        <f t="shared" si="1006"/>
        <v>0</v>
      </c>
    </row>
    <row r="10157" spans="1:6" ht="12.75" customHeight="1">
      <c r="A10157" s="4" t="s">
        <v>519</v>
      </c>
      <c r="B10157" s="38">
        <v>0.08</v>
      </c>
      <c r="C10157" s="6" t="s">
        <v>825</v>
      </c>
      <c r="D10157" s="36">
        <f>Prec.!D676</f>
        <v>606.97</v>
      </c>
      <c r="E10157" s="25">
        <f t="shared" si="1006"/>
        <v>48.557600000000001</v>
      </c>
    </row>
    <row r="10158" spans="1:6" ht="12.75" customHeight="1">
      <c r="A10158" s="4" t="s">
        <v>208</v>
      </c>
      <c r="B10158" s="38">
        <f>SUM(E10151:E10157)</f>
        <v>634.22201000000007</v>
      </c>
      <c r="C10158" s="6" t="s">
        <v>209</v>
      </c>
      <c r="D10158" s="36">
        <f>D10148</f>
        <v>0.02</v>
      </c>
      <c r="E10158" s="25">
        <f t="shared" si="1006"/>
        <v>12.684440200000001</v>
      </c>
      <c r="F10158" s="26">
        <f>SUM(E10151:E10158)</f>
        <v>646.90645020000011</v>
      </c>
    </row>
    <row r="10159" spans="1:6" ht="12.75" customHeight="1">
      <c r="A10159" s="1" t="s">
        <v>84</v>
      </c>
      <c r="B10159" s="38"/>
      <c r="D10159" s="36"/>
    </row>
    <row r="10160" spans="1:6" ht="12.75" customHeight="1">
      <c r="A10160" s="4" t="s">
        <v>85</v>
      </c>
      <c r="B10160" s="38">
        <v>1.05</v>
      </c>
      <c r="C10160" s="6" t="s">
        <v>825</v>
      </c>
      <c r="D10160" s="36">
        <f>horm.ymez.!C17</f>
        <v>5459</v>
      </c>
      <c r="E10160" s="25">
        <f t="shared" ref="E10160:E10166" si="1007">B10160*D10160</f>
        <v>5731.95</v>
      </c>
    </row>
    <row r="10161" spans="1:12" ht="12.75" customHeight="1">
      <c r="A10161" s="12" t="s">
        <v>781</v>
      </c>
      <c r="B10161" s="38">
        <v>1.76</v>
      </c>
      <c r="C10161" s="6" t="s">
        <v>4</v>
      </c>
      <c r="D10161" s="36">
        <f>D10139</f>
        <v>3200</v>
      </c>
      <c r="E10161" s="25">
        <f t="shared" si="1007"/>
        <v>5632</v>
      </c>
    </row>
    <row r="10162" spans="1:12" ht="12.75" customHeight="1">
      <c r="A10162" s="12" t="s">
        <v>1198</v>
      </c>
      <c r="B10162" s="38">
        <f>B10164*2</f>
        <v>3.52</v>
      </c>
      <c r="C10162" s="6" t="s">
        <v>1204</v>
      </c>
      <c r="D10162" s="36">
        <f>D10017</f>
        <v>60</v>
      </c>
      <c r="E10162" s="25">
        <f t="shared" si="1007"/>
        <v>211.2</v>
      </c>
    </row>
    <row r="10163" spans="1:12" ht="12.75" customHeight="1">
      <c r="A10163" s="4" t="s">
        <v>86</v>
      </c>
      <c r="B10163" s="38">
        <v>8.33</v>
      </c>
      <c r="C10163" s="6" t="s">
        <v>213</v>
      </c>
      <c r="D10163" s="41">
        <f>D8204</f>
        <v>240</v>
      </c>
      <c r="E10163" s="25">
        <f t="shared" si="1007"/>
        <v>1999.2</v>
      </c>
    </row>
    <row r="10164" spans="1:12" ht="12.75" customHeight="1">
      <c r="A10164" s="4" t="s">
        <v>1037</v>
      </c>
      <c r="B10164" s="38">
        <f>SUM(B10161)</f>
        <v>1.76</v>
      </c>
      <c r="C10164" s="6" t="s">
        <v>4</v>
      </c>
      <c r="D10164" s="36">
        <f>D10146</f>
        <v>0</v>
      </c>
      <c r="E10164" s="25">
        <f t="shared" si="1007"/>
        <v>0</v>
      </c>
    </row>
    <row r="10165" spans="1:12" ht="12.75" customHeight="1">
      <c r="A10165" s="4" t="s">
        <v>519</v>
      </c>
      <c r="B10165" s="38">
        <v>1.05</v>
      </c>
      <c r="C10165" s="6" t="s">
        <v>825</v>
      </c>
      <c r="D10165" s="36">
        <f>Prec.!D676</f>
        <v>606.97</v>
      </c>
      <c r="E10165" s="25">
        <f t="shared" si="1007"/>
        <v>637.31850000000009</v>
      </c>
    </row>
    <row r="10166" spans="1:12" ht="12.75" customHeight="1">
      <c r="A10166" s="4" t="s">
        <v>208</v>
      </c>
      <c r="B10166" s="38">
        <f>SUM(E10160:E10165)</f>
        <v>14211.668500000002</v>
      </c>
      <c r="C10166" s="6" t="s">
        <v>209</v>
      </c>
      <c r="D10166" s="36">
        <f>D10019</f>
        <v>0.02</v>
      </c>
      <c r="E10166" s="25">
        <f t="shared" si="1007"/>
        <v>284.23337000000004</v>
      </c>
      <c r="F10166" s="26">
        <f>SUM(E10160:E10166)</f>
        <v>14495.901870000002</v>
      </c>
    </row>
    <row r="10167" spans="1:12" ht="12.75" customHeight="1">
      <c r="B10167" s="38"/>
      <c r="D10167" s="36"/>
    </row>
    <row r="10168" spans="1:12" ht="12.75" customHeight="1">
      <c r="A10168" s="1" t="s">
        <v>87</v>
      </c>
      <c r="B10168" s="38"/>
      <c r="D10168" s="36"/>
    </row>
    <row r="10169" spans="1:12" ht="12.75" customHeight="1">
      <c r="A10169" s="4" t="s">
        <v>88</v>
      </c>
      <c r="B10169" s="38">
        <v>1.05</v>
      </c>
      <c r="C10169" s="6" t="s">
        <v>825</v>
      </c>
      <c r="D10169" s="36">
        <f>horm.ymez.!C16</f>
        <v>4616.8899999999994</v>
      </c>
      <c r="E10169" s="25">
        <f t="shared" ref="E10169:E10174" si="1008">B10169*D10169</f>
        <v>4847.7344999999996</v>
      </c>
    </row>
    <row r="10170" spans="1:12" ht="12.75" customHeight="1">
      <c r="A10170" s="12" t="s">
        <v>781</v>
      </c>
      <c r="B10170" s="38">
        <v>2.21</v>
      </c>
      <c r="C10170" s="6" t="s">
        <v>4</v>
      </c>
      <c r="D10170" s="36">
        <f>D10161</f>
        <v>3200</v>
      </c>
      <c r="E10170" s="25">
        <f t="shared" si="1008"/>
        <v>7072</v>
      </c>
    </row>
    <row r="10171" spans="1:12" ht="12.75" customHeight="1">
      <c r="A10171" s="12" t="s">
        <v>1198</v>
      </c>
      <c r="B10171" s="38">
        <f>B10172*2</f>
        <v>4.42</v>
      </c>
      <c r="C10171" s="6" t="s">
        <v>1204</v>
      </c>
      <c r="D10171" s="36">
        <f>D10162</f>
        <v>60</v>
      </c>
      <c r="E10171" s="25">
        <f t="shared" si="1008"/>
        <v>265.2</v>
      </c>
    </row>
    <row r="10172" spans="1:12" ht="12.75" customHeight="1">
      <c r="A10172" s="4" t="s">
        <v>1037</v>
      </c>
      <c r="B10172" s="38">
        <f>SUM(B10170)</f>
        <v>2.21</v>
      </c>
      <c r="C10172" s="6" t="s">
        <v>4</v>
      </c>
      <c r="D10172" s="36">
        <f>D10164</f>
        <v>0</v>
      </c>
      <c r="E10172" s="25">
        <f t="shared" si="1008"/>
        <v>0</v>
      </c>
    </row>
    <row r="10173" spans="1:12" ht="12.75" customHeight="1">
      <c r="A10173" s="4" t="s">
        <v>519</v>
      </c>
      <c r="B10173" s="38">
        <v>1.05</v>
      </c>
      <c r="C10173" s="6" t="s">
        <v>825</v>
      </c>
      <c r="D10173" s="36">
        <f>D10165</f>
        <v>606.97</v>
      </c>
      <c r="E10173" s="25">
        <f t="shared" si="1008"/>
        <v>637.31850000000009</v>
      </c>
    </row>
    <row r="10174" spans="1:12" ht="12.75" customHeight="1">
      <c r="A10174" s="4" t="s">
        <v>208</v>
      </c>
      <c r="B10174" s="38">
        <f>SUM(E10169:E10173)</f>
        <v>12822.252999999999</v>
      </c>
      <c r="C10174" s="6" t="s">
        <v>209</v>
      </c>
      <c r="D10174" s="36">
        <f>D10166</f>
        <v>0.02</v>
      </c>
      <c r="E10174" s="25">
        <f t="shared" si="1008"/>
        <v>256.44505999999996</v>
      </c>
      <c r="F10174" s="26">
        <f>SUM(E10169:E10174)</f>
        <v>13078.698059999999</v>
      </c>
    </row>
    <row r="10175" spans="1:12" ht="12.75" customHeight="1">
      <c r="B10175" s="38"/>
      <c r="D10175" s="36"/>
    </row>
    <row r="10176" spans="1:12" s="87" customFormat="1" ht="12.75" customHeight="1">
      <c r="A10176" s="144"/>
      <c r="B10176" s="143"/>
      <c r="C10176" s="142"/>
      <c r="D10176" s="141"/>
      <c r="E10176" s="140"/>
      <c r="F10176" s="139"/>
      <c r="G10176" s="138"/>
      <c r="H10176" s="137"/>
      <c r="L10176" s="151"/>
    </row>
    <row r="10190" spans="1:15" ht="12.75" customHeight="1">
      <c r="A10190" s="89"/>
      <c r="B10190" s="94"/>
      <c r="C10190" s="95"/>
      <c r="D10190" s="119"/>
      <c r="E10190" s="96"/>
      <c r="F10190" s="89"/>
      <c r="G10190" s="89"/>
      <c r="H10190" s="88"/>
      <c r="I10190" s="95"/>
      <c r="J10190" s="90"/>
      <c r="K10190" s="96"/>
      <c r="L10190" s="91"/>
      <c r="M10190" s="91"/>
      <c r="N10190" s="92"/>
      <c r="O10190" s="93"/>
    </row>
    <row r="10191" spans="1:15" ht="12.75" customHeight="1">
      <c r="A10191" s="97"/>
      <c r="B10191" s="94"/>
      <c r="C10191" s="95"/>
      <c r="D10191" s="118"/>
      <c r="E10191" s="94"/>
      <c r="F10191" s="98"/>
      <c r="G10191" s="98"/>
      <c r="H10191" s="88"/>
      <c r="I10191" s="95"/>
      <c r="J10191" s="94"/>
      <c r="K10191" s="94"/>
      <c r="L10191" s="91"/>
      <c r="M10191" s="91"/>
      <c r="N10191" s="92"/>
      <c r="O10191" s="93"/>
    </row>
    <row r="10192" spans="1:15" ht="12.75" customHeight="1">
      <c r="B10192" s="4"/>
      <c r="C10192" s="4"/>
      <c r="E10192" s="4"/>
      <c r="F10192" s="15"/>
    </row>
    <row r="10193" spans="2:6" ht="12.75" customHeight="1">
      <c r="B10193" s="38"/>
      <c r="E10193" s="4"/>
      <c r="F10193" s="15"/>
    </row>
    <row r="10194" spans="2:6" ht="12.75" customHeight="1">
      <c r="B10194" s="38"/>
      <c r="E10194" s="4"/>
      <c r="F10194" s="4"/>
    </row>
    <row r="10195" spans="2:6" ht="12.75" customHeight="1">
      <c r="B10195" s="38"/>
      <c r="E10195" s="4"/>
      <c r="F10195" s="4"/>
    </row>
    <row r="10196" spans="2:6" ht="12.75" customHeight="1">
      <c r="B10196" s="38"/>
      <c r="E10196" s="4"/>
      <c r="F10196" s="4"/>
    </row>
    <row r="10197" spans="2:6" ht="12.75" customHeight="1">
      <c r="B10197" s="38"/>
      <c r="E10197" s="4"/>
      <c r="F10197" s="4"/>
    </row>
    <row r="10198" spans="2:6" ht="12.75" customHeight="1">
      <c r="B10198" s="38"/>
      <c r="E10198" s="4"/>
      <c r="F10198" s="4"/>
    </row>
    <row r="10199" spans="2:6" ht="12.75" customHeight="1">
      <c r="B10199" s="38"/>
      <c r="E10199" s="4"/>
      <c r="F10199" s="4"/>
    </row>
    <row r="10200" spans="2:6" ht="12.75" customHeight="1">
      <c r="B10200" s="38"/>
      <c r="E10200" s="4"/>
      <c r="F10200" s="4"/>
    </row>
    <row r="10201" spans="2:6" ht="12.75" customHeight="1">
      <c r="B10201" s="38"/>
      <c r="E10201" s="4"/>
      <c r="F10201" s="4"/>
    </row>
    <row r="10202" spans="2:6" ht="12.75" customHeight="1">
      <c r="B10202" s="38"/>
      <c r="E10202" s="4"/>
      <c r="F10202" s="4"/>
    </row>
    <row r="10203" spans="2:6" ht="12.75" customHeight="1">
      <c r="B10203" s="38"/>
      <c r="E10203" s="4"/>
      <c r="F10203" s="4"/>
    </row>
    <row r="10204" spans="2:6" ht="12.75" customHeight="1">
      <c r="B10204" s="38"/>
      <c r="E10204" s="4"/>
      <c r="F10204" s="4"/>
    </row>
    <row r="10205" spans="2:6" ht="12.75" customHeight="1">
      <c r="B10205" s="38"/>
      <c r="E10205" s="4"/>
      <c r="F10205" s="4"/>
    </row>
    <row r="10206" spans="2:6" ht="12.75" customHeight="1">
      <c r="B10206" s="38"/>
      <c r="E10206" s="4"/>
      <c r="F10206" s="4"/>
    </row>
    <row r="10207" spans="2:6" ht="12.75" customHeight="1">
      <c r="B10207" s="38"/>
      <c r="E10207" s="4"/>
      <c r="F10207" s="4"/>
    </row>
    <row r="10208" spans="2:6" ht="12.75" customHeight="1">
      <c r="B10208" s="38"/>
      <c r="E10208" s="4"/>
      <c r="F10208" s="4"/>
    </row>
    <row r="10209" spans="2:6" ht="12.75" customHeight="1">
      <c r="B10209" s="38"/>
      <c r="E10209" s="4"/>
      <c r="F10209" s="4"/>
    </row>
    <row r="10210" spans="2:6" ht="12.75" customHeight="1">
      <c r="B10210" s="38"/>
      <c r="E10210" s="4"/>
      <c r="F10210" s="4"/>
    </row>
    <row r="10211" spans="2:6" ht="12.75" customHeight="1">
      <c r="B10211" s="38"/>
      <c r="E10211" s="4"/>
      <c r="F10211" s="4"/>
    </row>
    <row r="10212" spans="2:6" ht="12.75" customHeight="1">
      <c r="B10212" s="38"/>
      <c r="E10212" s="4"/>
      <c r="F10212" s="4"/>
    </row>
    <row r="10213" spans="2:6" ht="12.75" customHeight="1">
      <c r="B10213" s="38"/>
      <c r="E10213" s="4"/>
      <c r="F10213" s="4"/>
    </row>
    <row r="10214" spans="2:6" ht="12.75" customHeight="1">
      <c r="B10214" s="38"/>
      <c r="E10214" s="4"/>
      <c r="F10214" s="4"/>
    </row>
    <row r="10215" spans="2:6" ht="12.75" customHeight="1">
      <c r="B10215" s="38"/>
      <c r="E10215" s="4"/>
      <c r="F10215" s="4"/>
    </row>
    <row r="10216" spans="2:6" ht="12.75" customHeight="1">
      <c r="B10216" s="38"/>
      <c r="E10216" s="4"/>
      <c r="F10216" s="4"/>
    </row>
    <row r="10217" spans="2:6" ht="12.75" customHeight="1">
      <c r="B10217" s="38"/>
      <c r="E10217" s="4"/>
      <c r="F10217" s="4"/>
    </row>
    <row r="10218" spans="2:6" ht="12.75" customHeight="1">
      <c r="B10218" s="38"/>
      <c r="E10218" s="4"/>
      <c r="F10218" s="4"/>
    </row>
    <row r="10219" spans="2:6" ht="12.75" customHeight="1">
      <c r="B10219" s="38"/>
      <c r="E10219" s="4"/>
      <c r="F10219" s="4"/>
    </row>
    <row r="10220" spans="2:6" ht="12.75" customHeight="1">
      <c r="B10220" s="38"/>
      <c r="E10220" s="4"/>
      <c r="F10220" s="4"/>
    </row>
    <row r="10221" spans="2:6" ht="12.75" customHeight="1">
      <c r="B10221" s="38"/>
      <c r="E10221" s="4"/>
      <c r="F10221" s="4"/>
    </row>
    <row r="10222" spans="2:6" ht="12.75" customHeight="1">
      <c r="B10222" s="38"/>
      <c r="E10222" s="4"/>
      <c r="F10222" s="4"/>
    </row>
    <row r="10223" spans="2:6" ht="12.75" customHeight="1">
      <c r="B10223" s="38"/>
      <c r="E10223" s="4"/>
      <c r="F10223" s="4"/>
    </row>
    <row r="10224" spans="2:6" ht="12.75" customHeight="1">
      <c r="B10224" s="38"/>
      <c r="E10224" s="4"/>
      <c r="F10224" s="4"/>
    </row>
    <row r="10225" spans="2:6" ht="12.75" customHeight="1">
      <c r="B10225" s="38"/>
      <c r="E10225" s="4"/>
      <c r="F10225" s="4"/>
    </row>
    <row r="10226" spans="2:6" ht="12.75" customHeight="1">
      <c r="B10226" s="38"/>
      <c r="E10226" s="4"/>
      <c r="F10226" s="4"/>
    </row>
    <row r="10227" spans="2:6" ht="12.75" customHeight="1">
      <c r="B10227" s="38"/>
      <c r="E10227" s="4"/>
      <c r="F10227" s="4"/>
    </row>
    <row r="10228" spans="2:6" ht="12.75" customHeight="1">
      <c r="B10228" s="38"/>
      <c r="E10228" s="4"/>
      <c r="F10228" s="4"/>
    </row>
    <row r="10229" spans="2:6" ht="12.75" customHeight="1">
      <c r="B10229" s="38"/>
      <c r="E10229" s="4"/>
      <c r="F10229" s="4"/>
    </row>
    <row r="10230" spans="2:6" ht="12.75" customHeight="1">
      <c r="B10230" s="38"/>
      <c r="E10230" s="4"/>
      <c r="F10230" s="4"/>
    </row>
    <row r="10231" spans="2:6" ht="12.75" customHeight="1">
      <c r="B10231" s="38"/>
      <c r="E10231" s="4"/>
      <c r="F10231" s="4"/>
    </row>
    <row r="10232" spans="2:6" ht="12.75" customHeight="1">
      <c r="B10232" s="38"/>
      <c r="E10232" s="4"/>
      <c r="F10232" s="4"/>
    </row>
    <row r="10233" spans="2:6" ht="12.75" customHeight="1">
      <c r="B10233" s="38"/>
      <c r="E10233" s="4"/>
      <c r="F10233" s="4"/>
    </row>
    <row r="10234" spans="2:6" ht="12.75" customHeight="1">
      <c r="B10234" s="38"/>
      <c r="E10234" s="4"/>
      <c r="F10234" s="4"/>
    </row>
    <row r="10235" spans="2:6" ht="12.75" customHeight="1">
      <c r="B10235" s="38"/>
      <c r="E10235" s="4"/>
      <c r="F10235" s="4"/>
    </row>
    <row r="10236" spans="2:6" ht="12.75" customHeight="1">
      <c r="B10236" s="38"/>
      <c r="E10236" s="4"/>
      <c r="F10236" s="4"/>
    </row>
    <row r="10237" spans="2:6" ht="12.75" customHeight="1">
      <c r="B10237" s="38"/>
      <c r="E10237" s="4"/>
      <c r="F10237" s="4"/>
    </row>
    <row r="10238" spans="2:6" ht="12.75" customHeight="1">
      <c r="B10238" s="38"/>
      <c r="E10238" s="4"/>
      <c r="F10238" s="4"/>
    </row>
    <row r="10239" spans="2:6" ht="12.75" customHeight="1">
      <c r="B10239" s="38"/>
      <c r="E10239" s="4"/>
      <c r="F10239" s="4"/>
    </row>
    <row r="10240" spans="2:6" ht="12.75" customHeight="1">
      <c r="B10240" s="38"/>
      <c r="E10240" s="4"/>
      <c r="F10240" s="4"/>
    </row>
    <row r="10241" spans="2:6" ht="12.75" customHeight="1">
      <c r="B10241" s="38"/>
      <c r="E10241" s="4"/>
      <c r="F10241" s="4"/>
    </row>
    <row r="10242" spans="2:6" ht="12.75" customHeight="1">
      <c r="B10242" s="38"/>
      <c r="E10242" s="4"/>
      <c r="F10242" s="4"/>
    </row>
    <row r="10243" spans="2:6" ht="12.75" customHeight="1">
      <c r="B10243" s="38"/>
      <c r="E10243" s="4"/>
      <c r="F10243" s="4"/>
    </row>
    <row r="10244" spans="2:6" ht="12.75" customHeight="1">
      <c r="B10244" s="38"/>
      <c r="E10244" s="4"/>
      <c r="F10244" s="4"/>
    </row>
    <row r="10245" spans="2:6" ht="12.75" customHeight="1">
      <c r="B10245" s="38"/>
      <c r="E10245" s="4"/>
      <c r="F10245" s="4"/>
    </row>
    <row r="10246" spans="2:6" ht="12.75" customHeight="1">
      <c r="B10246" s="38"/>
      <c r="E10246" s="4"/>
      <c r="F10246" s="4"/>
    </row>
    <row r="10247" spans="2:6" ht="12.75" customHeight="1">
      <c r="B10247" s="38"/>
      <c r="E10247" s="4"/>
      <c r="F10247" s="4"/>
    </row>
    <row r="10248" spans="2:6" ht="12.75" customHeight="1">
      <c r="B10248" s="38"/>
      <c r="E10248" s="4"/>
      <c r="F10248" s="4"/>
    </row>
    <row r="10249" spans="2:6" ht="12.75" customHeight="1">
      <c r="B10249" s="38"/>
      <c r="E10249" s="4"/>
      <c r="F10249" s="4"/>
    </row>
    <row r="10250" spans="2:6" ht="12.75" customHeight="1">
      <c r="B10250" s="38"/>
      <c r="E10250" s="4"/>
      <c r="F10250" s="4"/>
    </row>
    <row r="10251" spans="2:6" ht="12.75" customHeight="1">
      <c r="B10251" s="38"/>
      <c r="E10251" s="4"/>
      <c r="F10251" s="4"/>
    </row>
    <row r="10252" spans="2:6" ht="12.75" customHeight="1">
      <c r="B10252" s="38"/>
      <c r="E10252" s="4"/>
      <c r="F10252" s="4"/>
    </row>
    <row r="10253" spans="2:6" ht="12.75" customHeight="1">
      <c r="B10253" s="38"/>
      <c r="E10253" s="4"/>
      <c r="F10253" s="4"/>
    </row>
    <row r="10254" spans="2:6" ht="12.75" customHeight="1">
      <c r="B10254" s="38"/>
      <c r="E10254" s="4"/>
      <c r="F10254" s="4"/>
    </row>
    <row r="10255" spans="2:6" ht="12.75" customHeight="1">
      <c r="B10255" s="38"/>
      <c r="E10255" s="4"/>
      <c r="F10255" s="4"/>
    </row>
    <row r="10256" spans="2:6" ht="12.75" customHeight="1">
      <c r="B10256" s="38"/>
      <c r="E10256" s="4"/>
      <c r="F10256" s="4"/>
    </row>
    <row r="10257" spans="2:6" ht="12.75" customHeight="1">
      <c r="B10257" s="38"/>
      <c r="E10257" s="4"/>
      <c r="F10257" s="4"/>
    </row>
    <row r="10258" spans="2:6" ht="12.75" customHeight="1">
      <c r="B10258" s="38"/>
      <c r="E10258" s="4"/>
      <c r="F10258" s="4"/>
    </row>
    <row r="10259" spans="2:6" ht="12.75" customHeight="1">
      <c r="B10259" s="38"/>
      <c r="E10259" s="4"/>
      <c r="F10259" s="4"/>
    </row>
    <row r="10260" spans="2:6" ht="12.75" customHeight="1">
      <c r="B10260" s="38"/>
      <c r="E10260" s="4"/>
      <c r="F10260" s="4"/>
    </row>
    <row r="10261" spans="2:6" ht="12.75" customHeight="1">
      <c r="B10261" s="38"/>
      <c r="E10261" s="4"/>
      <c r="F10261" s="4"/>
    </row>
    <row r="10262" spans="2:6" ht="12.75" customHeight="1">
      <c r="B10262" s="38"/>
      <c r="E10262" s="4"/>
      <c r="F10262" s="4"/>
    </row>
    <row r="10263" spans="2:6" ht="12.75" customHeight="1">
      <c r="B10263" s="38"/>
      <c r="E10263" s="4"/>
      <c r="F10263" s="4"/>
    </row>
    <row r="10264" spans="2:6" ht="12.75" customHeight="1">
      <c r="B10264" s="38"/>
      <c r="E10264" s="4"/>
      <c r="F10264" s="4"/>
    </row>
    <row r="10265" spans="2:6" ht="12.75" customHeight="1">
      <c r="B10265" s="38"/>
      <c r="E10265" s="4"/>
      <c r="F10265" s="4"/>
    </row>
    <row r="10266" spans="2:6" ht="12.75" customHeight="1">
      <c r="B10266" s="38"/>
      <c r="E10266" s="4"/>
      <c r="F10266" s="4"/>
    </row>
    <row r="10267" spans="2:6" ht="12.75" customHeight="1">
      <c r="B10267" s="38"/>
      <c r="E10267" s="4"/>
      <c r="F10267" s="4"/>
    </row>
    <row r="10268" spans="2:6" ht="12.75" customHeight="1">
      <c r="B10268" s="38"/>
      <c r="E10268" s="4"/>
      <c r="F10268" s="4"/>
    </row>
    <row r="10269" spans="2:6" ht="12.75" customHeight="1">
      <c r="B10269" s="38"/>
      <c r="E10269" s="4"/>
      <c r="F10269" s="4"/>
    </row>
    <row r="10270" spans="2:6" ht="12.75" customHeight="1">
      <c r="B10270" s="38"/>
      <c r="E10270" s="4"/>
      <c r="F10270" s="4"/>
    </row>
    <row r="10271" spans="2:6" ht="12.75" customHeight="1">
      <c r="B10271" s="38"/>
      <c r="E10271" s="4"/>
      <c r="F10271" s="4"/>
    </row>
    <row r="10272" spans="2:6" ht="12.75" customHeight="1">
      <c r="B10272" s="38"/>
      <c r="E10272" s="4"/>
      <c r="F10272" s="4"/>
    </row>
    <row r="10273" spans="2:6" ht="12.75" customHeight="1">
      <c r="B10273" s="38"/>
      <c r="E10273" s="4"/>
      <c r="F10273" s="4"/>
    </row>
    <row r="10274" spans="2:6" ht="12.75" customHeight="1">
      <c r="B10274" s="38"/>
      <c r="E10274" s="4"/>
      <c r="F10274" s="4"/>
    </row>
    <row r="10275" spans="2:6" ht="12.75" customHeight="1">
      <c r="B10275" s="38"/>
      <c r="E10275" s="4"/>
      <c r="F10275" s="4"/>
    </row>
    <row r="10276" spans="2:6" ht="12.75" customHeight="1">
      <c r="B10276" s="38"/>
      <c r="E10276" s="4"/>
      <c r="F10276" s="4"/>
    </row>
    <row r="10277" spans="2:6" ht="12.75" customHeight="1">
      <c r="B10277" s="38"/>
      <c r="E10277" s="4"/>
      <c r="F10277" s="4"/>
    </row>
    <row r="10278" spans="2:6" ht="12.75" customHeight="1">
      <c r="B10278" s="38"/>
      <c r="E10278" s="4"/>
      <c r="F10278" s="4"/>
    </row>
    <row r="10279" spans="2:6" ht="12.75" customHeight="1">
      <c r="B10279" s="38"/>
      <c r="E10279" s="4"/>
      <c r="F10279" s="4"/>
    </row>
    <row r="10280" spans="2:6" ht="12.75" customHeight="1">
      <c r="B10280" s="38"/>
      <c r="E10280" s="4"/>
      <c r="F10280" s="4"/>
    </row>
    <row r="10281" spans="2:6" ht="12.75" customHeight="1">
      <c r="B10281" s="38"/>
      <c r="E10281" s="4"/>
      <c r="F10281" s="4"/>
    </row>
    <row r="10282" spans="2:6" ht="12.75" customHeight="1">
      <c r="B10282" s="38"/>
      <c r="E10282" s="4"/>
      <c r="F10282" s="4"/>
    </row>
    <row r="10283" spans="2:6" ht="12.75" customHeight="1">
      <c r="B10283" s="38"/>
      <c r="E10283" s="4"/>
      <c r="F10283" s="4"/>
    </row>
    <row r="10284" spans="2:6" ht="12.75" customHeight="1">
      <c r="B10284" s="38"/>
      <c r="E10284" s="4"/>
      <c r="F10284" s="4"/>
    </row>
    <row r="10285" spans="2:6" ht="12.75" customHeight="1">
      <c r="B10285" s="38"/>
      <c r="E10285" s="4"/>
      <c r="F10285" s="4"/>
    </row>
    <row r="10286" spans="2:6" ht="12.75" customHeight="1">
      <c r="B10286" s="38"/>
      <c r="E10286" s="4"/>
      <c r="F10286" s="4"/>
    </row>
    <row r="10287" spans="2:6" ht="12.75" customHeight="1">
      <c r="B10287" s="38"/>
      <c r="E10287" s="4"/>
      <c r="F10287" s="4"/>
    </row>
    <row r="10288" spans="2:6" ht="12.75" customHeight="1">
      <c r="B10288" s="38"/>
      <c r="E10288" s="4"/>
      <c r="F10288" s="4"/>
    </row>
    <row r="10289" spans="2:6" ht="12.75" customHeight="1">
      <c r="B10289" s="38"/>
      <c r="E10289" s="4"/>
      <c r="F10289" s="4"/>
    </row>
    <row r="10290" spans="2:6" ht="12.75" customHeight="1">
      <c r="B10290" s="38"/>
      <c r="E10290" s="4"/>
      <c r="F10290" s="4"/>
    </row>
    <row r="10291" spans="2:6" ht="12.75" customHeight="1">
      <c r="B10291" s="38"/>
      <c r="E10291" s="4"/>
      <c r="F10291" s="4"/>
    </row>
    <row r="10292" spans="2:6" ht="12.75" customHeight="1">
      <c r="B10292" s="38"/>
      <c r="E10292" s="4"/>
      <c r="F10292" s="4"/>
    </row>
    <row r="10293" spans="2:6" ht="12.75" customHeight="1">
      <c r="B10293" s="38"/>
      <c r="E10293" s="4"/>
      <c r="F10293" s="4"/>
    </row>
    <row r="10294" spans="2:6" ht="12.75" customHeight="1">
      <c r="B10294" s="38"/>
      <c r="E10294" s="4"/>
      <c r="F10294" s="4"/>
    </row>
    <row r="10295" spans="2:6" ht="12.75" customHeight="1">
      <c r="B10295" s="38"/>
      <c r="E10295" s="4"/>
      <c r="F10295" s="4"/>
    </row>
    <row r="10296" spans="2:6" ht="12.75" customHeight="1">
      <c r="B10296" s="38"/>
      <c r="E10296" s="4"/>
      <c r="F10296" s="4"/>
    </row>
    <row r="10297" spans="2:6" ht="12.75" customHeight="1">
      <c r="B10297" s="38"/>
      <c r="E10297" s="4"/>
      <c r="F10297" s="4"/>
    </row>
    <row r="10298" spans="2:6" ht="12.75" customHeight="1">
      <c r="B10298" s="38"/>
      <c r="E10298" s="4"/>
      <c r="F10298" s="4"/>
    </row>
    <row r="10299" spans="2:6" ht="12.75" customHeight="1">
      <c r="B10299" s="38"/>
      <c r="E10299" s="4"/>
      <c r="F10299" s="4"/>
    </row>
    <row r="10300" spans="2:6" ht="12.75" customHeight="1">
      <c r="B10300" s="38"/>
      <c r="E10300" s="4"/>
      <c r="F10300" s="4"/>
    </row>
    <row r="10301" spans="2:6" ht="12.75" customHeight="1">
      <c r="B10301" s="38"/>
      <c r="E10301" s="4"/>
      <c r="F10301" s="4"/>
    </row>
    <row r="10302" spans="2:6" ht="12.75" customHeight="1">
      <c r="B10302" s="38"/>
      <c r="E10302" s="4"/>
      <c r="F10302" s="4"/>
    </row>
    <row r="10303" spans="2:6" ht="12.75" customHeight="1">
      <c r="B10303" s="38"/>
      <c r="E10303" s="4"/>
      <c r="F10303" s="4"/>
    </row>
    <row r="10304" spans="2:6" ht="12.75" customHeight="1">
      <c r="B10304" s="38"/>
      <c r="E10304" s="4"/>
      <c r="F10304" s="4"/>
    </row>
    <row r="10305" spans="2:6" ht="12.75" customHeight="1">
      <c r="B10305" s="38"/>
      <c r="E10305" s="4"/>
      <c r="F10305" s="4"/>
    </row>
    <row r="10306" spans="2:6" ht="12.75" customHeight="1">
      <c r="B10306" s="38"/>
      <c r="E10306" s="4"/>
      <c r="F10306" s="4"/>
    </row>
    <row r="10307" spans="2:6" ht="12.75" customHeight="1">
      <c r="B10307" s="38"/>
      <c r="E10307" s="4"/>
      <c r="F10307" s="4"/>
    </row>
    <row r="10308" spans="2:6" ht="12.75" customHeight="1">
      <c r="B10308" s="38"/>
      <c r="E10308" s="4"/>
      <c r="F10308" s="4"/>
    </row>
    <row r="10309" spans="2:6" ht="12.75" customHeight="1">
      <c r="B10309" s="38"/>
      <c r="E10309" s="4"/>
      <c r="F10309" s="4"/>
    </row>
    <row r="10310" spans="2:6" ht="12.75" customHeight="1">
      <c r="B10310" s="38"/>
      <c r="E10310" s="4"/>
      <c r="F10310" s="4"/>
    </row>
    <row r="10311" spans="2:6" ht="12.75" customHeight="1">
      <c r="B10311" s="38"/>
      <c r="E10311" s="4"/>
      <c r="F10311" s="4"/>
    </row>
    <row r="10312" spans="2:6" ht="12.75" customHeight="1">
      <c r="B10312" s="38"/>
      <c r="E10312" s="4"/>
      <c r="F10312" s="4"/>
    </row>
    <row r="10313" spans="2:6" ht="12.75" customHeight="1">
      <c r="B10313" s="38"/>
      <c r="E10313" s="4"/>
      <c r="F10313" s="4"/>
    </row>
    <row r="10314" spans="2:6" ht="12.75" customHeight="1">
      <c r="B10314" s="38"/>
      <c r="E10314" s="4"/>
      <c r="F10314" s="4"/>
    </row>
    <row r="10315" spans="2:6" ht="12.75" customHeight="1">
      <c r="B10315" s="38"/>
      <c r="E10315" s="4"/>
      <c r="F10315" s="4"/>
    </row>
    <row r="10316" spans="2:6" ht="12.75" customHeight="1">
      <c r="B10316" s="38"/>
      <c r="E10316" s="4"/>
      <c r="F10316" s="4"/>
    </row>
    <row r="10317" spans="2:6" ht="12.75" customHeight="1">
      <c r="B10317" s="38"/>
      <c r="E10317" s="4"/>
      <c r="F10317" s="4"/>
    </row>
    <row r="10318" spans="2:6" ht="12.75" customHeight="1">
      <c r="B10318" s="38"/>
      <c r="E10318" s="4"/>
      <c r="F10318" s="4"/>
    </row>
    <row r="10319" spans="2:6" ht="12.75" customHeight="1">
      <c r="B10319" s="38"/>
      <c r="E10319" s="4"/>
      <c r="F10319" s="4"/>
    </row>
    <row r="10320" spans="2:6" ht="12.75" customHeight="1">
      <c r="B10320" s="38"/>
      <c r="E10320" s="4"/>
      <c r="F10320" s="4"/>
    </row>
    <row r="10321" spans="2:6" ht="12.75" customHeight="1">
      <c r="B10321" s="38"/>
      <c r="E10321" s="4"/>
      <c r="F10321" s="4"/>
    </row>
    <row r="10322" spans="2:6" ht="12.75" customHeight="1">
      <c r="B10322" s="38"/>
      <c r="E10322" s="4"/>
      <c r="F10322" s="4"/>
    </row>
    <row r="10323" spans="2:6" ht="12.75" customHeight="1">
      <c r="B10323" s="38"/>
      <c r="E10323" s="4"/>
      <c r="F10323" s="4"/>
    </row>
    <row r="10324" spans="2:6" ht="12.75" customHeight="1">
      <c r="B10324" s="38"/>
      <c r="E10324" s="4"/>
      <c r="F10324" s="4"/>
    </row>
    <row r="10325" spans="2:6" ht="12.75" customHeight="1">
      <c r="B10325" s="38"/>
      <c r="E10325" s="4"/>
      <c r="F10325" s="4"/>
    </row>
    <row r="10326" spans="2:6" ht="12.75" customHeight="1">
      <c r="B10326" s="38"/>
      <c r="E10326" s="4"/>
      <c r="F10326" s="4"/>
    </row>
    <row r="10327" spans="2:6" ht="12.75" customHeight="1">
      <c r="B10327" s="38"/>
      <c r="E10327" s="4"/>
      <c r="F10327" s="4"/>
    </row>
    <row r="10328" spans="2:6" ht="12.75" customHeight="1">
      <c r="B10328" s="38"/>
      <c r="E10328" s="4"/>
      <c r="F10328" s="4"/>
    </row>
    <row r="10329" spans="2:6" ht="12.75" customHeight="1">
      <c r="B10329" s="38"/>
      <c r="E10329" s="4"/>
      <c r="F10329" s="4"/>
    </row>
    <row r="10330" spans="2:6" ht="12.75" customHeight="1">
      <c r="B10330" s="38"/>
      <c r="E10330" s="4"/>
      <c r="F10330" s="4"/>
    </row>
    <row r="10331" spans="2:6" ht="12.75" customHeight="1">
      <c r="B10331" s="38"/>
      <c r="E10331" s="4"/>
      <c r="F10331" s="4"/>
    </row>
    <row r="10332" spans="2:6" ht="12.75" customHeight="1">
      <c r="B10332" s="38"/>
      <c r="E10332" s="4"/>
      <c r="F10332" s="4"/>
    </row>
    <row r="10333" spans="2:6" ht="12.75" customHeight="1">
      <c r="B10333" s="38"/>
      <c r="E10333" s="4"/>
      <c r="F10333" s="4"/>
    </row>
    <row r="10334" spans="2:6" ht="12.75" customHeight="1">
      <c r="B10334" s="38"/>
      <c r="E10334" s="4"/>
      <c r="F10334" s="4"/>
    </row>
    <row r="10335" spans="2:6" ht="12.75" customHeight="1">
      <c r="B10335" s="38"/>
      <c r="E10335" s="4"/>
      <c r="F10335" s="4"/>
    </row>
    <row r="10336" spans="2:6" ht="12.75" customHeight="1">
      <c r="B10336" s="38"/>
      <c r="E10336" s="4"/>
      <c r="F10336" s="4"/>
    </row>
    <row r="10337" spans="2:6" ht="12.75" customHeight="1">
      <c r="B10337" s="38"/>
      <c r="E10337" s="4"/>
      <c r="F10337" s="4"/>
    </row>
    <row r="10338" spans="2:6" ht="12.75" customHeight="1">
      <c r="B10338" s="38"/>
      <c r="E10338" s="4"/>
      <c r="F10338" s="4"/>
    </row>
    <row r="10339" spans="2:6" ht="12.75" customHeight="1">
      <c r="B10339" s="38"/>
      <c r="E10339" s="4"/>
      <c r="F10339" s="4"/>
    </row>
    <row r="10340" spans="2:6" ht="12.75" customHeight="1">
      <c r="B10340" s="38"/>
      <c r="E10340" s="4"/>
      <c r="F10340" s="4"/>
    </row>
    <row r="10341" spans="2:6" ht="12.75" customHeight="1">
      <c r="B10341" s="38"/>
      <c r="E10341" s="4"/>
      <c r="F10341" s="4"/>
    </row>
    <row r="10342" spans="2:6" ht="12.75" customHeight="1">
      <c r="B10342" s="38"/>
      <c r="E10342" s="4"/>
      <c r="F10342" s="4"/>
    </row>
    <row r="10343" spans="2:6" ht="12.75" customHeight="1">
      <c r="B10343" s="38"/>
      <c r="E10343" s="4"/>
      <c r="F10343" s="4"/>
    </row>
    <row r="10344" spans="2:6" ht="12.75" customHeight="1">
      <c r="B10344" s="38"/>
      <c r="E10344" s="4"/>
      <c r="F10344" s="4"/>
    </row>
    <row r="10345" spans="2:6" ht="12.75" customHeight="1">
      <c r="B10345" s="38"/>
      <c r="E10345" s="4"/>
      <c r="F10345" s="4"/>
    </row>
    <row r="10346" spans="2:6" ht="12.75" customHeight="1">
      <c r="B10346" s="38"/>
      <c r="E10346" s="4"/>
      <c r="F10346" s="4"/>
    </row>
    <row r="10347" spans="2:6" ht="12.75" customHeight="1">
      <c r="B10347" s="38"/>
      <c r="E10347" s="4"/>
      <c r="F10347" s="4"/>
    </row>
    <row r="10348" spans="2:6" ht="12.75" customHeight="1">
      <c r="B10348" s="38"/>
      <c r="E10348" s="4"/>
      <c r="F10348" s="4"/>
    </row>
    <row r="10349" spans="2:6" ht="12.75" customHeight="1">
      <c r="B10349" s="38"/>
      <c r="E10349" s="4"/>
      <c r="F10349" s="4"/>
    </row>
    <row r="10350" spans="2:6" ht="12.75" customHeight="1">
      <c r="B10350" s="38"/>
      <c r="E10350" s="4"/>
      <c r="F10350" s="4"/>
    </row>
    <row r="10351" spans="2:6" ht="12.75" customHeight="1">
      <c r="B10351" s="38"/>
      <c r="E10351" s="4"/>
      <c r="F10351" s="4"/>
    </row>
    <row r="10352" spans="2:6" ht="12.75" customHeight="1">
      <c r="B10352" s="38"/>
      <c r="E10352" s="4"/>
      <c r="F10352" s="4"/>
    </row>
    <row r="10353" spans="2:6" ht="12.75" customHeight="1">
      <c r="B10353" s="38"/>
      <c r="E10353" s="4"/>
      <c r="F10353" s="4"/>
    </row>
    <row r="10354" spans="2:6" ht="12.75" customHeight="1">
      <c r="B10354" s="38"/>
      <c r="E10354" s="4"/>
      <c r="F10354" s="4"/>
    </row>
    <row r="10355" spans="2:6" ht="12.75" customHeight="1">
      <c r="B10355" s="38"/>
      <c r="E10355" s="4"/>
      <c r="F10355" s="4"/>
    </row>
    <row r="10356" spans="2:6" ht="12.75" customHeight="1">
      <c r="B10356" s="38"/>
      <c r="E10356" s="4"/>
      <c r="F10356" s="4"/>
    </row>
    <row r="10357" spans="2:6" ht="12.75" customHeight="1">
      <c r="B10357" s="38"/>
      <c r="E10357" s="4"/>
      <c r="F10357" s="4"/>
    </row>
    <row r="10358" spans="2:6" ht="12.75" customHeight="1">
      <c r="B10358" s="38"/>
      <c r="E10358" s="4"/>
      <c r="F10358" s="4"/>
    </row>
    <row r="10359" spans="2:6" ht="12.75" customHeight="1">
      <c r="B10359" s="38"/>
      <c r="E10359" s="4"/>
      <c r="F10359" s="4"/>
    </row>
    <row r="10360" spans="2:6" ht="12.75" customHeight="1">
      <c r="B10360" s="38"/>
      <c r="E10360" s="4"/>
      <c r="F10360" s="4"/>
    </row>
    <row r="10361" spans="2:6" ht="12.75" customHeight="1">
      <c r="B10361" s="38"/>
      <c r="E10361" s="4"/>
      <c r="F10361" s="4"/>
    </row>
    <row r="10362" spans="2:6" ht="12.75" customHeight="1">
      <c r="B10362" s="38"/>
      <c r="E10362" s="4"/>
      <c r="F10362" s="4"/>
    </row>
    <row r="10363" spans="2:6" ht="12.75" customHeight="1">
      <c r="B10363" s="38"/>
      <c r="E10363" s="4"/>
      <c r="F10363" s="4"/>
    </row>
    <row r="10364" spans="2:6" ht="12.75" customHeight="1">
      <c r="B10364" s="38"/>
      <c r="E10364" s="4"/>
      <c r="F10364" s="4"/>
    </row>
    <row r="10365" spans="2:6" ht="12.75" customHeight="1">
      <c r="B10365" s="38"/>
      <c r="E10365" s="4"/>
      <c r="F10365" s="4"/>
    </row>
    <row r="10366" spans="2:6" ht="12.75" customHeight="1">
      <c r="B10366" s="38"/>
      <c r="E10366" s="4"/>
      <c r="F10366" s="4"/>
    </row>
    <row r="10367" spans="2:6" ht="12.75" customHeight="1">
      <c r="B10367" s="38"/>
      <c r="E10367" s="4"/>
      <c r="F10367" s="4"/>
    </row>
    <row r="10368" spans="2:6" ht="12.75" customHeight="1">
      <c r="B10368" s="38"/>
      <c r="E10368" s="4"/>
      <c r="F10368" s="4"/>
    </row>
    <row r="10369" spans="2:6" ht="12.75" customHeight="1">
      <c r="B10369" s="38"/>
      <c r="E10369" s="4"/>
      <c r="F10369" s="4"/>
    </row>
    <row r="10370" spans="2:6" ht="12.75" customHeight="1">
      <c r="B10370" s="38"/>
      <c r="E10370" s="4"/>
      <c r="F10370" s="4"/>
    </row>
    <row r="10371" spans="2:6" ht="12.75" customHeight="1">
      <c r="B10371" s="38"/>
      <c r="E10371" s="4"/>
      <c r="F10371" s="4"/>
    </row>
    <row r="10372" spans="2:6" ht="12.75" customHeight="1">
      <c r="B10372" s="38"/>
      <c r="E10372" s="4"/>
      <c r="F10372" s="4"/>
    </row>
    <row r="10373" spans="2:6" ht="12.75" customHeight="1">
      <c r="B10373" s="38"/>
      <c r="E10373" s="4"/>
      <c r="F10373" s="4"/>
    </row>
    <row r="10374" spans="2:6" ht="12.75" customHeight="1">
      <c r="B10374" s="38"/>
      <c r="E10374" s="4"/>
      <c r="F10374" s="4"/>
    </row>
    <row r="10375" spans="2:6" ht="12.75" customHeight="1">
      <c r="B10375" s="38"/>
      <c r="E10375" s="4"/>
      <c r="F10375" s="4"/>
    </row>
    <row r="10376" spans="2:6" ht="12.75" customHeight="1">
      <c r="B10376" s="38"/>
      <c r="E10376" s="4"/>
      <c r="F10376" s="4"/>
    </row>
    <row r="10377" spans="2:6" ht="12.75" customHeight="1">
      <c r="B10377" s="38"/>
      <c r="E10377" s="4"/>
      <c r="F10377" s="4"/>
    </row>
    <row r="10378" spans="2:6" ht="12.75" customHeight="1">
      <c r="B10378" s="38"/>
      <c r="E10378" s="4"/>
      <c r="F10378" s="4"/>
    </row>
    <row r="10379" spans="2:6" ht="12.75" customHeight="1">
      <c r="B10379" s="38"/>
      <c r="E10379" s="4"/>
      <c r="F10379" s="4"/>
    </row>
    <row r="10380" spans="2:6" ht="12.75" customHeight="1">
      <c r="B10380" s="38"/>
      <c r="E10380" s="4"/>
      <c r="F10380" s="4"/>
    </row>
    <row r="10381" spans="2:6" ht="12.75" customHeight="1">
      <c r="B10381" s="38"/>
      <c r="E10381" s="4"/>
      <c r="F10381" s="4"/>
    </row>
    <row r="10382" spans="2:6" ht="12.75" customHeight="1">
      <c r="B10382" s="38"/>
      <c r="E10382" s="4"/>
      <c r="F10382" s="4"/>
    </row>
    <row r="10383" spans="2:6" ht="12.75" customHeight="1">
      <c r="B10383" s="38"/>
      <c r="E10383" s="4"/>
      <c r="F10383" s="4"/>
    </row>
    <row r="10384" spans="2:6" ht="12.75" customHeight="1">
      <c r="B10384" s="38"/>
      <c r="E10384" s="4"/>
      <c r="F10384" s="4"/>
    </row>
    <row r="10385" spans="2:6" ht="12.75" customHeight="1">
      <c r="B10385" s="38"/>
      <c r="E10385" s="4"/>
      <c r="F10385" s="4"/>
    </row>
    <row r="10386" spans="2:6" ht="12.75" customHeight="1">
      <c r="B10386" s="38"/>
      <c r="E10386" s="4"/>
      <c r="F10386" s="4"/>
    </row>
    <row r="10387" spans="2:6" ht="12.75" customHeight="1">
      <c r="B10387" s="38"/>
      <c r="E10387" s="4"/>
      <c r="F10387" s="4"/>
    </row>
    <row r="10388" spans="2:6" ht="12.75" customHeight="1">
      <c r="B10388" s="38"/>
      <c r="E10388" s="4"/>
      <c r="F10388" s="4"/>
    </row>
    <row r="10389" spans="2:6" ht="12.75" customHeight="1">
      <c r="B10389" s="38"/>
      <c r="E10389" s="4"/>
      <c r="F10389" s="4"/>
    </row>
    <row r="10390" spans="2:6" ht="12.75" customHeight="1">
      <c r="B10390" s="38"/>
      <c r="E10390" s="4"/>
      <c r="F10390" s="4"/>
    </row>
    <row r="10391" spans="2:6" ht="12.75" customHeight="1">
      <c r="B10391" s="38"/>
      <c r="E10391" s="4"/>
      <c r="F10391" s="4"/>
    </row>
    <row r="10392" spans="2:6" ht="12.75" customHeight="1">
      <c r="B10392" s="38"/>
      <c r="E10392" s="4"/>
      <c r="F10392" s="4"/>
    </row>
    <row r="10393" spans="2:6" ht="12.75" customHeight="1">
      <c r="B10393" s="38"/>
      <c r="E10393" s="4"/>
      <c r="F10393" s="4"/>
    </row>
    <row r="10394" spans="2:6" ht="12.75" customHeight="1">
      <c r="B10394" s="38"/>
      <c r="E10394" s="4"/>
      <c r="F10394" s="4"/>
    </row>
    <row r="10395" spans="2:6" ht="12.75" customHeight="1">
      <c r="B10395" s="38"/>
      <c r="E10395" s="4"/>
      <c r="F10395" s="4"/>
    </row>
    <row r="10396" spans="2:6" ht="12.75" customHeight="1">
      <c r="B10396" s="38"/>
      <c r="E10396" s="4"/>
      <c r="F10396" s="4"/>
    </row>
    <row r="10397" spans="2:6" ht="12.75" customHeight="1">
      <c r="B10397" s="38"/>
      <c r="E10397" s="4"/>
      <c r="F10397" s="4"/>
    </row>
    <row r="10398" spans="2:6" ht="12.75" customHeight="1">
      <c r="B10398" s="38"/>
      <c r="E10398" s="4"/>
      <c r="F10398" s="4"/>
    </row>
    <row r="10399" spans="2:6" ht="12.75" customHeight="1">
      <c r="B10399" s="38"/>
      <c r="E10399" s="4"/>
      <c r="F10399" s="4"/>
    </row>
    <row r="10400" spans="2:6" ht="12.75" customHeight="1">
      <c r="B10400" s="38"/>
      <c r="E10400" s="4"/>
      <c r="F10400" s="4"/>
    </row>
    <row r="10401" spans="2:6" ht="12.75" customHeight="1">
      <c r="B10401" s="38"/>
      <c r="E10401" s="4"/>
      <c r="F10401" s="4"/>
    </row>
    <row r="10402" spans="2:6" ht="12.75" customHeight="1">
      <c r="B10402" s="38"/>
      <c r="E10402" s="4"/>
      <c r="F10402" s="4"/>
    </row>
    <row r="10403" spans="2:6" ht="12.75" customHeight="1">
      <c r="B10403" s="38"/>
      <c r="E10403" s="4"/>
      <c r="F10403" s="4"/>
    </row>
    <row r="10404" spans="2:6" ht="12.75" customHeight="1">
      <c r="B10404" s="38"/>
      <c r="E10404" s="4"/>
      <c r="F10404" s="4"/>
    </row>
    <row r="10405" spans="2:6" ht="12.75" customHeight="1">
      <c r="B10405" s="38"/>
      <c r="E10405" s="4"/>
      <c r="F10405" s="4"/>
    </row>
    <row r="10406" spans="2:6" ht="12.75" customHeight="1">
      <c r="B10406" s="38"/>
      <c r="E10406" s="4"/>
      <c r="F10406" s="4"/>
    </row>
    <row r="10407" spans="2:6" ht="12.75" customHeight="1">
      <c r="B10407" s="38"/>
      <c r="E10407" s="4"/>
      <c r="F10407" s="4"/>
    </row>
    <row r="10408" spans="2:6" ht="12.75" customHeight="1">
      <c r="B10408" s="38"/>
      <c r="E10408" s="4"/>
      <c r="F10408" s="4"/>
    </row>
    <row r="10409" spans="2:6" ht="12.75" customHeight="1">
      <c r="B10409" s="38"/>
      <c r="E10409" s="4"/>
      <c r="F10409" s="4"/>
    </row>
    <row r="10410" spans="2:6" ht="12.75" customHeight="1">
      <c r="B10410" s="38"/>
      <c r="E10410" s="4"/>
      <c r="F10410" s="4"/>
    </row>
    <row r="10411" spans="2:6" ht="12.75" customHeight="1">
      <c r="B10411" s="38"/>
      <c r="E10411" s="4"/>
      <c r="F10411" s="4"/>
    </row>
    <row r="10412" spans="2:6" ht="12.75" customHeight="1">
      <c r="B10412" s="38"/>
      <c r="E10412" s="4"/>
      <c r="F10412" s="4"/>
    </row>
    <row r="10413" spans="2:6" ht="12.75" customHeight="1">
      <c r="B10413" s="38"/>
      <c r="E10413" s="4"/>
      <c r="F10413" s="4"/>
    </row>
    <row r="10414" spans="2:6" ht="12.75" customHeight="1">
      <c r="B10414" s="38"/>
      <c r="E10414" s="4"/>
      <c r="F10414" s="4"/>
    </row>
    <row r="10415" spans="2:6" ht="12.75" customHeight="1">
      <c r="B10415" s="38"/>
      <c r="E10415" s="4"/>
      <c r="F10415" s="4"/>
    </row>
    <row r="10416" spans="2:6" ht="12.75" customHeight="1">
      <c r="B10416" s="38"/>
      <c r="E10416" s="4"/>
      <c r="F10416" s="4"/>
    </row>
    <row r="10417" spans="2:6" ht="12.75" customHeight="1">
      <c r="B10417" s="38"/>
      <c r="E10417" s="4"/>
      <c r="F10417" s="4"/>
    </row>
    <row r="10418" spans="2:6" ht="12.75" customHeight="1">
      <c r="B10418" s="38"/>
      <c r="E10418" s="4"/>
      <c r="F10418" s="4"/>
    </row>
    <row r="10419" spans="2:6" ht="12.75" customHeight="1">
      <c r="B10419" s="38"/>
      <c r="E10419" s="4"/>
      <c r="F10419" s="4"/>
    </row>
    <row r="10420" spans="2:6" ht="12.75" customHeight="1">
      <c r="B10420" s="38"/>
      <c r="E10420" s="4"/>
      <c r="F10420" s="4"/>
    </row>
    <row r="10421" spans="2:6" ht="12.75" customHeight="1">
      <c r="B10421" s="38"/>
      <c r="E10421" s="4"/>
      <c r="F10421" s="4"/>
    </row>
    <row r="10422" spans="2:6" ht="12.75" customHeight="1">
      <c r="B10422" s="38"/>
      <c r="E10422" s="4"/>
      <c r="F10422" s="4"/>
    </row>
    <row r="10423" spans="2:6" ht="12.75" customHeight="1">
      <c r="B10423" s="38"/>
      <c r="E10423" s="4"/>
      <c r="F10423" s="4"/>
    </row>
    <row r="10424" spans="2:6" ht="12.75" customHeight="1">
      <c r="B10424" s="38"/>
      <c r="E10424" s="4"/>
      <c r="F10424" s="4"/>
    </row>
    <row r="10425" spans="2:6" ht="12.75" customHeight="1">
      <c r="B10425" s="38"/>
      <c r="E10425" s="4"/>
      <c r="F10425" s="4"/>
    </row>
    <row r="10426" spans="2:6" ht="12.75" customHeight="1">
      <c r="B10426" s="38"/>
      <c r="E10426" s="4"/>
      <c r="F10426" s="4"/>
    </row>
    <row r="10427" spans="2:6" ht="12.75" customHeight="1">
      <c r="B10427" s="38"/>
      <c r="E10427" s="4"/>
      <c r="F10427" s="4"/>
    </row>
    <row r="10428" spans="2:6" ht="12.75" customHeight="1">
      <c r="B10428" s="38"/>
      <c r="E10428" s="4"/>
      <c r="F10428" s="4"/>
    </row>
    <row r="10429" spans="2:6" ht="12.75" customHeight="1">
      <c r="B10429" s="38"/>
      <c r="E10429" s="4"/>
      <c r="F10429" s="4"/>
    </row>
    <row r="10430" spans="2:6" ht="12.75" customHeight="1">
      <c r="B10430" s="38"/>
      <c r="E10430" s="4"/>
      <c r="F10430" s="4"/>
    </row>
    <row r="10431" spans="2:6" ht="12.75" customHeight="1">
      <c r="B10431" s="38"/>
      <c r="E10431" s="4"/>
      <c r="F10431" s="4"/>
    </row>
    <row r="10432" spans="2:6" ht="12.75" customHeight="1">
      <c r="B10432" s="38"/>
      <c r="E10432" s="4"/>
      <c r="F10432" s="4"/>
    </row>
    <row r="10433" spans="2:6" ht="12.75" customHeight="1">
      <c r="B10433" s="38"/>
      <c r="E10433" s="4"/>
      <c r="F10433" s="4"/>
    </row>
    <row r="10434" spans="2:6" ht="12.75" customHeight="1">
      <c r="B10434" s="38"/>
      <c r="E10434" s="4"/>
      <c r="F10434" s="4"/>
    </row>
    <row r="10435" spans="2:6" ht="12.75" customHeight="1">
      <c r="B10435" s="38"/>
      <c r="E10435" s="4"/>
      <c r="F10435" s="4"/>
    </row>
    <row r="10436" spans="2:6" ht="12.75" customHeight="1">
      <c r="B10436" s="38"/>
      <c r="E10436" s="4"/>
      <c r="F10436" s="4"/>
    </row>
    <row r="10437" spans="2:6" ht="12.75" customHeight="1">
      <c r="B10437" s="38"/>
      <c r="E10437" s="4"/>
      <c r="F10437" s="4"/>
    </row>
    <row r="10438" spans="2:6" ht="12.75" customHeight="1">
      <c r="B10438" s="38"/>
      <c r="E10438" s="4"/>
      <c r="F10438" s="4"/>
    </row>
    <row r="10439" spans="2:6" ht="12.75" customHeight="1">
      <c r="B10439" s="38"/>
      <c r="E10439" s="4"/>
      <c r="F10439" s="4"/>
    </row>
    <row r="10440" spans="2:6" ht="12.75" customHeight="1">
      <c r="B10440" s="38"/>
      <c r="E10440" s="4"/>
      <c r="F10440" s="4"/>
    </row>
    <row r="10441" spans="2:6" ht="12.75" customHeight="1">
      <c r="B10441" s="38"/>
      <c r="E10441" s="4"/>
      <c r="F10441" s="4"/>
    </row>
    <row r="10442" spans="2:6" ht="12.75" customHeight="1">
      <c r="B10442" s="38"/>
      <c r="E10442" s="4"/>
      <c r="F10442" s="4"/>
    </row>
    <row r="10443" spans="2:6" ht="12.75" customHeight="1">
      <c r="B10443" s="38"/>
      <c r="E10443" s="4"/>
      <c r="F10443" s="4"/>
    </row>
    <row r="10444" spans="2:6" ht="12.75" customHeight="1">
      <c r="B10444" s="38"/>
      <c r="E10444" s="4"/>
      <c r="F10444" s="4"/>
    </row>
    <row r="10445" spans="2:6" ht="12.75" customHeight="1">
      <c r="B10445" s="38"/>
      <c r="E10445" s="4"/>
      <c r="F10445" s="4"/>
    </row>
    <row r="10446" spans="2:6" ht="12.75" customHeight="1">
      <c r="B10446" s="38"/>
      <c r="E10446" s="4"/>
      <c r="F10446" s="4"/>
    </row>
    <row r="10447" spans="2:6" ht="12.75" customHeight="1">
      <c r="B10447" s="38"/>
      <c r="E10447" s="4"/>
      <c r="F10447" s="4"/>
    </row>
    <row r="10448" spans="2:6" ht="12.75" customHeight="1">
      <c r="B10448" s="38"/>
      <c r="E10448" s="4"/>
      <c r="F10448" s="4"/>
    </row>
    <row r="10449" spans="2:6" ht="12.75" customHeight="1">
      <c r="B10449" s="38"/>
      <c r="E10449" s="4"/>
      <c r="F10449" s="4"/>
    </row>
    <row r="10450" spans="2:6" ht="12.75" customHeight="1">
      <c r="B10450" s="38"/>
      <c r="E10450" s="4"/>
      <c r="F10450" s="4"/>
    </row>
    <row r="10451" spans="2:6" ht="12.75" customHeight="1">
      <c r="B10451" s="38"/>
      <c r="E10451" s="4"/>
      <c r="F10451" s="4"/>
    </row>
    <row r="10452" spans="2:6" ht="12.75" customHeight="1">
      <c r="B10452" s="38"/>
      <c r="E10452" s="4"/>
      <c r="F10452" s="4"/>
    </row>
    <row r="10453" spans="2:6" ht="12.75" customHeight="1">
      <c r="B10453" s="38"/>
      <c r="E10453" s="4"/>
      <c r="F10453" s="4"/>
    </row>
    <row r="10454" spans="2:6" ht="12.75" customHeight="1">
      <c r="B10454" s="38"/>
      <c r="E10454" s="4"/>
      <c r="F10454" s="4"/>
    </row>
    <row r="10455" spans="2:6" ht="12.75" customHeight="1">
      <c r="B10455" s="38"/>
      <c r="E10455" s="4"/>
      <c r="F10455" s="4"/>
    </row>
    <row r="10456" spans="2:6" ht="12.75" customHeight="1">
      <c r="B10456" s="38"/>
      <c r="E10456" s="4"/>
      <c r="F10456" s="4"/>
    </row>
    <row r="10457" spans="2:6" ht="12.75" customHeight="1">
      <c r="B10457" s="38"/>
      <c r="E10457" s="4"/>
      <c r="F10457" s="4"/>
    </row>
    <row r="10458" spans="2:6" ht="12.75" customHeight="1">
      <c r="B10458" s="38"/>
      <c r="E10458" s="4"/>
      <c r="F10458" s="4"/>
    </row>
    <row r="10459" spans="2:6" ht="12.75" customHeight="1">
      <c r="B10459" s="38"/>
      <c r="E10459" s="4"/>
      <c r="F10459" s="4"/>
    </row>
    <row r="10460" spans="2:6" ht="12.75" customHeight="1">
      <c r="B10460" s="38"/>
      <c r="E10460" s="4"/>
      <c r="F10460" s="4"/>
    </row>
    <row r="10461" spans="2:6" ht="12.75" customHeight="1">
      <c r="B10461" s="38"/>
      <c r="E10461" s="4"/>
      <c r="F10461" s="4"/>
    </row>
    <row r="10462" spans="2:6" ht="12.75" customHeight="1">
      <c r="B10462" s="38"/>
      <c r="E10462" s="4"/>
      <c r="F10462" s="4"/>
    </row>
    <row r="10463" spans="2:6" ht="12.75" customHeight="1">
      <c r="B10463" s="38"/>
      <c r="E10463" s="4"/>
      <c r="F10463" s="4"/>
    </row>
    <row r="10464" spans="2:6" ht="12.75" customHeight="1">
      <c r="B10464" s="38"/>
      <c r="E10464" s="4"/>
      <c r="F10464" s="4"/>
    </row>
    <row r="10465" spans="2:6" ht="12.75" customHeight="1">
      <c r="B10465" s="38"/>
      <c r="E10465" s="4"/>
      <c r="F10465" s="4"/>
    </row>
    <row r="10466" spans="2:6" ht="12.75" customHeight="1">
      <c r="B10466" s="38"/>
      <c r="E10466" s="4"/>
      <c r="F10466" s="4"/>
    </row>
    <row r="10467" spans="2:6" ht="12.75" customHeight="1">
      <c r="B10467" s="38"/>
      <c r="E10467" s="4"/>
      <c r="F10467" s="4"/>
    </row>
    <row r="10468" spans="2:6" ht="12.75" customHeight="1">
      <c r="B10468" s="38"/>
      <c r="E10468" s="4"/>
      <c r="F10468" s="4"/>
    </row>
    <row r="10469" spans="2:6" ht="12.75" customHeight="1">
      <c r="B10469" s="38"/>
      <c r="E10469" s="4"/>
      <c r="F10469" s="4"/>
    </row>
    <row r="10470" spans="2:6" ht="12.75" customHeight="1">
      <c r="B10470" s="38"/>
      <c r="E10470" s="4"/>
      <c r="F10470" s="4"/>
    </row>
    <row r="10471" spans="2:6" ht="12.75" customHeight="1">
      <c r="B10471" s="38"/>
      <c r="E10471" s="4"/>
      <c r="F10471" s="4"/>
    </row>
    <row r="10472" spans="2:6" ht="12.75" customHeight="1">
      <c r="B10472" s="38"/>
      <c r="E10472" s="4"/>
      <c r="F10472" s="4"/>
    </row>
    <row r="10473" spans="2:6" ht="12.75" customHeight="1">
      <c r="B10473" s="38"/>
      <c r="E10473" s="4"/>
      <c r="F10473" s="4"/>
    </row>
    <row r="10474" spans="2:6" ht="12.75" customHeight="1">
      <c r="B10474" s="38"/>
      <c r="E10474" s="4"/>
      <c r="F10474" s="4"/>
    </row>
    <row r="10475" spans="2:6" ht="12.75" customHeight="1">
      <c r="B10475" s="38"/>
      <c r="E10475" s="4"/>
      <c r="F10475" s="4"/>
    </row>
    <row r="10476" spans="2:6" ht="12.75" customHeight="1">
      <c r="B10476" s="38"/>
      <c r="E10476" s="4"/>
      <c r="F10476" s="4"/>
    </row>
    <row r="10477" spans="2:6" ht="12.75" customHeight="1">
      <c r="B10477" s="38"/>
      <c r="E10477" s="4"/>
      <c r="F10477" s="4"/>
    </row>
    <row r="10478" spans="2:6" ht="12.75" customHeight="1">
      <c r="B10478" s="38"/>
      <c r="E10478" s="4"/>
      <c r="F10478" s="4"/>
    </row>
    <row r="10479" spans="2:6" ht="12.75" customHeight="1">
      <c r="B10479" s="38"/>
      <c r="E10479" s="4"/>
      <c r="F10479" s="4"/>
    </row>
    <row r="10480" spans="2:6" ht="12.75" customHeight="1">
      <c r="B10480" s="38"/>
      <c r="E10480" s="4"/>
      <c r="F10480" s="4"/>
    </row>
    <row r="10481" spans="2:6" ht="12.75" customHeight="1">
      <c r="B10481" s="38"/>
      <c r="E10481" s="4"/>
      <c r="F10481" s="4"/>
    </row>
    <row r="10482" spans="2:6" ht="12.75" customHeight="1">
      <c r="B10482" s="38"/>
      <c r="E10482" s="4"/>
      <c r="F10482" s="4"/>
    </row>
    <row r="10483" spans="2:6" ht="12.75" customHeight="1">
      <c r="B10483" s="38"/>
      <c r="E10483" s="4"/>
      <c r="F10483" s="4"/>
    </row>
    <row r="10484" spans="2:6" ht="12.75" customHeight="1">
      <c r="B10484" s="38"/>
      <c r="E10484" s="4"/>
      <c r="F10484" s="4"/>
    </row>
    <row r="10485" spans="2:6" ht="12.75" customHeight="1">
      <c r="B10485" s="38"/>
      <c r="E10485" s="4"/>
      <c r="F10485" s="4"/>
    </row>
    <row r="10486" spans="2:6" ht="12.75" customHeight="1">
      <c r="B10486" s="38"/>
      <c r="E10486" s="4"/>
      <c r="F10486" s="4"/>
    </row>
    <row r="10487" spans="2:6" ht="12.75" customHeight="1">
      <c r="B10487" s="38"/>
      <c r="E10487" s="4"/>
      <c r="F10487" s="4"/>
    </row>
    <row r="10488" spans="2:6" ht="12.75" customHeight="1">
      <c r="B10488" s="38"/>
      <c r="E10488" s="4"/>
      <c r="F10488" s="4"/>
    </row>
    <row r="10489" spans="2:6" ht="12.75" customHeight="1">
      <c r="B10489" s="38"/>
      <c r="E10489" s="4"/>
      <c r="F10489" s="4"/>
    </row>
    <row r="10490" spans="2:6" ht="12.75" customHeight="1">
      <c r="B10490" s="38"/>
      <c r="E10490" s="4"/>
      <c r="F10490" s="4"/>
    </row>
    <row r="10491" spans="2:6" ht="12.75" customHeight="1">
      <c r="B10491" s="38"/>
      <c r="E10491" s="4"/>
      <c r="F10491" s="4"/>
    </row>
    <row r="10492" spans="2:6" ht="12.75" customHeight="1">
      <c r="B10492" s="38"/>
      <c r="E10492" s="4"/>
      <c r="F10492" s="4"/>
    </row>
    <row r="10493" spans="2:6" ht="12.75" customHeight="1">
      <c r="B10493" s="38"/>
      <c r="E10493" s="4"/>
      <c r="F10493" s="4"/>
    </row>
    <row r="10494" spans="2:6" ht="12.75" customHeight="1">
      <c r="B10494" s="38"/>
      <c r="E10494" s="4"/>
      <c r="F10494" s="4"/>
    </row>
    <row r="10495" spans="2:6" ht="12.75" customHeight="1">
      <c r="B10495" s="38"/>
      <c r="E10495" s="4"/>
      <c r="F10495" s="4"/>
    </row>
    <row r="10496" spans="2:6" ht="12.75" customHeight="1">
      <c r="B10496" s="38"/>
      <c r="E10496" s="4"/>
      <c r="F10496" s="4"/>
    </row>
    <row r="10497" spans="2:6" ht="12.75" customHeight="1">
      <c r="B10497" s="38"/>
      <c r="E10497" s="4"/>
      <c r="F10497" s="4"/>
    </row>
    <row r="10498" spans="2:6" ht="12.75" customHeight="1">
      <c r="B10498" s="38"/>
      <c r="E10498" s="4"/>
      <c r="F10498" s="4"/>
    </row>
    <row r="10499" spans="2:6" ht="12.75" customHeight="1">
      <c r="B10499" s="38"/>
      <c r="E10499" s="4"/>
      <c r="F10499" s="4"/>
    </row>
    <row r="10500" spans="2:6" ht="12.75" customHeight="1">
      <c r="B10500" s="38"/>
      <c r="E10500" s="4"/>
      <c r="F10500" s="4"/>
    </row>
    <row r="10501" spans="2:6" ht="12.75" customHeight="1">
      <c r="B10501" s="38"/>
      <c r="E10501" s="4"/>
      <c r="F10501" s="4"/>
    </row>
    <row r="10502" spans="2:6" ht="12.75" customHeight="1">
      <c r="B10502" s="38"/>
      <c r="E10502" s="4"/>
      <c r="F10502" s="4"/>
    </row>
    <row r="10503" spans="2:6" ht="12.75" customHeight="1">
      <c r="B10503" s="38"/>
      <c r="E10503" s="4"/>
      <c r="F10503" s="4"/>
    </row>
    <row r="10504" spans="2:6" ht="12.75" customHeight="1">
      <c r="B10504" s="38"/>
      <c r="E10504" s="4"/>
      <c r="F10504" s="4"/>
    </row>
    <row r="10505" spans="2:6" ht="12.75" customHeight="1">
      <c r="B10505" s="38"/>
      <c r="E10505" s="4"/>
      <c r="F10505" s="4"/>
    </row>
    <row r="10506" spans="2:6" ht="12.75" customHeight="1">
      <c r="B10506" s="38"/>
      <c r="E10506" s="4"/>
      <c r="F10506" s="4"/>
    </row>
    <row r="10507" spans="2:6" ht="12.75" customHeight="1">
      <c r="B10507" s="38"/>
      <c r="E10507" s="4"/>
      <c r="F10507" s="4"/>
    </row>
    <row r="10508" spans="2:6" ht="12.75" customHeight="1">
      <c r="B10508" s="38"/>
      <c r="E10508" s="4"/>
      <c r="F10508" s="4"/>
    </row>
    <row r="10509" spans="2:6" ht="12.75" customHeight="1">
      <c r="B10509" s="38"/>
      <c r="E10509" s="4"/>
      <c r="F10509" s="4"/>
    </row>
    <row r="10510" spans="2:6" ht="12.75" customHeight="1">
      <c r="B10510" s="38"/>
      <c r="E10510" s="4"/>
      <c r="F10510" s="4"/>
    </row>
    <row r="10511" spans="2:6" ht="12.75" customHeight="1">
      <c r="B10511" s="38"/>
      <c r="E10511" s="4"/>
      <c r="F10511" s="4"/>
    </row>
    <row r="10512" spans="2:6" ht="12.75" customHeight="1">
      <c r="B10512" s="38"/>
      <c r="E10512" s="4"/>
      <c r="F10512" s="4"/>
    </row>
    <row r="10513" spans="2:6" ht="12.75" customHeight="1">
      <c r="B10513" s="38"/>
      <c r="E10513" s="4"/>
      <c r="F10513" s="4"/>
    </row>
    <row r="10514" spans="2:6" ht="12.75" customHeight="1">
      <c r="B10514" s="38"/>
      <c r="E10514" s="4"/>
      <c r="F10514" s="4"/>
    </row>
    <row r="10515" spans="2:6" ht="12.75" customHeight="1">
      <c r="B10515" s="38"/>
      <c r="E10515" s="4"/>
      <c r="F10515" s="4"/>
    </row>
    <row r="10516" spans="2:6" ht="12.75" customHeight="1">
      <c r="B10516" s="38"/>
      <c r="E10516" s="4"/>
      <c r="F10516" s="4"/>
    </row>
    <row r="10517" spans="2:6" ht="12.75" customHeight="1">
      <c r="B10517" s="38"/>
      <c r="E10517" s="4"/>
      <c r="F10517" s="4"/>
    </row>
    <row r="10518" spans="2:6" ht="12.75" customHeight="1">
      <c r="B10518" s="38"/>
      <c r="E10518" s="4"/>
      <c r="F10518" s="4"/>
    </row>
    <row r="10519" spans="2:6" ht="12.75" customHeight="1">
      <c r="B10519" s="38"/>
      <c r="E10519" s="4"/>
      <c r="F10519" s="4"/>
    </row>
    <row r="10520" spans="2:6" ht="12.75" customHeight="1">
      <c r="B10520" s="38"/>
      <c r="E10520" s="4"/>
      <c r="F10520" s="4"/>
    </row>
    <row r="10521" spans="2:6" ht="12.75" customHeight="1">
      <c r="B10521" s="38"/>
      <c r="E10521" s="4"/>
      <c r="F10521" s="4"/>
    </row>
    <row r="10522" spans="2:6" ht="12.75" customHeight="1">
      <c r="B10522" s="38"/>
      <c r="E10522" s="4"/>
      <c r="F10522" s="4"/>
    </row>
    <row r="10523" spans="2:6" ht="12.75" customHeight="1">
      <c r="B10523" s="38"/>
      <c r="E10523" s="4"/>
      <c r="F10523" s="4"/>
    </row>
    <row r="10524" spans="2:6" ht="12.75" customHeight="1">
      <c r="B10524" s="38"/>
      <c r="E10524" s="4"/>
      <c r="F10524" s="4"/>
    </row>
    <row r="10525" spans="2:6" ht="12.75" customHeight="1">
      <c r="B10525" s="38"/>
      <c r="E10525" s="4"/>
      <c r="F10525" s="4"/>
    </row>
    <row r="10526" spans="2:6" ht="12.75" customHeight="1">
      <c r="B10526" s="38"/>
      <c r="E10526" s="4"/>
      <c r="F10526" s="4"/>
    </row>
    <row r="10527" spans="2:6" ht="12.75" customHeight="1">
      <c r="B10527" s="38"/>
      <c r="E10527" s="4"/>
      <c r="F10527" s="4"/>
    </row>
    <row r="10528" spans="2:6" ht="12.75" customHeight="1">
      <c r="B10528" s="38"/>
      <c r="E10528" s="4"/>
      <c r="F10528" s="4"/>
    </row>
    <row r="10529" spans="2:6" ht="12.75" customHeight="1">
      <c r="B10529" s="38"/>
      <c r="E10529" s="4"/>
      <c r="F10529" s="4"/>
    </row>
    <row r="10530" spans="2:6" ht="12.75" customHeight="1">
      <c r="B10530" s="38"/>
      <c r="E10530" s="4"/>
      <c r="F10530" s="4"/>
    </row>
    <row r="10531" spans="2:6" ht="12.75" customHeight="1">
      <c r="B10531" s="38"/>
      <c r="E10531" s="4"/>
      <c r="F10531" s="4"/>
    </row>
    <row r="10532" spans="2:6" ht="12.75" customHeight="1">
      <c r="B10532" s="38"/>
      <c r="E10532" s="4"/>
      <c r="F10532" s="4"/>
    </row>
    <row r="10533" spans="2:6" ht="12.75" customHeight="1">
      <c r="B10533" s="38"/>
      <c r="E10533" s="4"/>
      <c r="F10533" s="4"/>
    </row>
    <row r="10534" spans="2:6" ht="12.75" customHeight="1">
      <c r="B10534" s="38"/>
      <c r="E10534" s="4"/>
      <c r="F10534" s="4"/>
    </row>
    <row r="10535" spans="2:6" ht="12.75" customHeight="1">
      <c r="B10535" s="38"/>
      <c r="E10535" s="4"/>
      <c r="F10535" s="4"/>
    </row>
    <row r="10536" spans="2:6" ht="12.75" customHeight="1">
      <c r="B10536" s="38"/>
      <c r="E10536" s="4"/>
      <c r="F10536" s="4"/>
    </row>
    <row r="10537" spans="2:6" ht="12.75" customHeight="1">
      <c r="B10537" s="38"/>
      <c r="E10537" s="4"/>
      <c r="F10537" s="4"/>
    </row>
    <row r="10538" spans="2:6" ht="12.75" customHeight="1">
      <c r="B10538" s="38"/>
      <c r="E10538" s="4"/>
      <c r="F10538" s="4"/>
    </row>
    <row r="10539" spans="2:6" ht="12.75" customHeight="1">
      <c r="B10539" s="38"/>
      <c r="E10539" s="4"/>
      <c r="F10539" s="4"/>
    </row>
    <row r="10540" spans="2:6" ht="12.75" customHeight="1">
      <c r="B10540" s="38"/>
      <c r="E10540" s="4"/>
      <c r="F10540" s="4"/>
    </row>
    <row r="10541" spans="2:6" ht="12.75" customHeight="1">
      <c r="B10541" s="38"/>
      <c r="E10541" s="4"/>
      <c r="F10541" s="4"/>
    </row>
    <row r="10542" spans="2:6" ht="12.75" customHeight="1">
      <c r="B10542" s="38"/>
      <c r="E10542" s="4"/>
      <c r="F10542" s="4"/>
    </row>
    <row r="10543" spans="2:6" ht="12.75" customHeight="1">
      <c r="B10543" s="38"/>
      <c r="E10543" s="4"/>
      <c r="F10543" s="4"/>
    </row>
    <row r="10544" spans="2:6" ht="12.75" customHeight="1">
      <c r="B10544" s="38"/>
      <c r="E10544" s="4"/>
      <c r="F10544" s="4"/>
    </row>
    <row r="10545" spans="2:6" ht="12.75" customHeight="1">
      <c r="B10545" s="38"/>
      <c r="E10545" s="4"/>
      <c r="F10545" s="4"/>
    </row>
    <row r="10546" spans="2:6" ht="12.75" customHeight="1">
      <c r="B10546" s="38"/>
      <c r="E10546" s="4"/>
      <c r="F10546" s="4"/>
    </row>
    <row r="10547" spans="2:6" ht="12.75" customHeight="1">
      <c r="B10547" s="38"/>
      <c r="E10547" s="4"/>
      <c r="F10547" s="4"/>
    </row>
    <row r="10548" spans="2:6" ht="12.75" customHeight="1">
      <c r="B10548" s="38"/>
      <c r="E10548" s="4"/>
      <c r="F10548" s="4"/>
    </row>
    <row r="10549" spans="2:6" ht="12.75" customHeight="1">
      <c r="B10549" s="38"/>
      <c r="E10549" s="4"/>
      <c r="F10549" s="4"/>
    </row>
    <row r="10550" spans="2:6" ht="12.75" customHeight="1">
      <c r="B10550" s="38"/>
      <c r="E10550" s="4"/>
      <c r="F10550" s="4"/>
    </row>
    <row r="10551" spans="2:6" ht="12.75" customHeight="1">
      <c r="B10551" s="38"/>
      <c r="E10551" s="4"/>
      <c r="F10551" s="4"/>
    </row>
    <row r="10552" spans="2:6" ht="12.75" customHeight="1">
      <c r="B10552" s="38"/>
      <c r="E10552" s="4"/>
      <c r="F10552" s="4"/>
    </row>
    <row r="10553" spans="2:6" ht="12.75" customHeight="1">
      <c r="B10553" s="38"/>
      <c r="E10553" s="4"/>
      <c r="F10553" s="4"/>
    </row>
    <row r="10554" spans="2:6" ht="12.75" customHeight="1">
      <c r="B10554" s="38"/>
      <c r="E10554" s="4"/>
      <c r="F10554" s="4"/>
    </row>
    <row r="10555" spans="2:6" ht="12.75" customHeight="1">
      <c r="B10555" s="38"/>
      <c r="E10555" s="4"/>
      <c r="F10555" s="4"/>
    </row>
    <row r="10556" spans="2:6" ht="12.75" customHeight="1">
      <c r="B10556" s="38"/>
      <c r="E10556" s="4"/>
      <c r="F10556" s="4"/>
    </row>
    <row r="10557" spans="2:6" ht="12.75" customHeight="1">
      <c r="B10557" s="38"/>
      <c r="E10557" s="4"/>
      <c r="F10557" s="4"/>
    </row>
    <row r="10558" spans="2:6" ht="12.75" customHeight="1">
      <c r="B10558" s="38"/>
      <c r="E10558" s="4"/>
      <c r="F10558" s="4"/>
    </row>
    <row r="10559" spans="2:6" ht="12.75" customHeight="1">
      <c r="B10559" s="38"/>
      <c r="E10559" s="4"/>
      <c r="F10559" s="4"/>
    </row>
    <row r="10560" spans="2:6" ht="12.75" customHeight="1">
      <c r="B10560" s="38"/>
      <c r="E10560" s="4"/>
      <c r="F10560" s="4"/>
    </row>
    <row r="10561" spans="2:6" ht="12.75" customHeight="1">
      <c r="B10561" s="38"/>
      <c r="E10561" s="4"/>
      <c r="F10561" s="4"/>
    </row>
    <row r="10562" spans="2:6" ht="12.75" customHeight="1">
      <c r="B10562" s="38"/>
      <c r="E10562" s="4"/>
      <c r="F10562" s="4"/>
    </row>
    <row r="10563" spans="2:6" ht="12.75" customHeight="1">
      <c r="B10563" s="38"/>
      <c r="E10563" s="4"/>
      <c r="F10563" s="4"/>
    </row>
    <row r="10564" spans="2:6" ht="12.75" customHeight="1">
      <c r="B10564" s="38"/>
      <c r="E10564" s="4"/>
      <c r="F10564" s="4"/>
    </row>
    <row r="10565" spans="2:6" ht="12.75" customHeight="1">
      <c r="B10565" s="38"/>
      <c r="E10565" s="4"/>
      <c r="F10565" s="4"/>
    </row>
    <row r="10566" spans="2:6" ht="12.75" customHeight="1">
      <c r="B10566" s="38"/>
      <c r="E10566" s="4"/>
      <c r="F10566" s="4"/>
    </row>
    <row r="10567" spans="2:6" ht="12.75" customHeight="1">
      <c r="B10567" s="38"/>
      <c r="E10567" s="4"/>
      <c r="F10567" s="4"/>
    </row>
    <row r="10568" spans="2:6" ht="12.75" customHeight="1">
      <c r="B10568" s="38"/>
      <c r="E10568" s="4"/>
      <c r="F10568" s="4"/>
    </row>
    <row r="10569" spans="2:6" ht="12.75" customHeight="1">
      <c r="B10569" s="38"/>
      <c r="E10569" s="4"/>
      <c r="F10569" s="4"/>
    </row>
    <row r="10570" spans="2:6" ht="12.75" customHeight="1">
      <c r="B10570" s="38"/>
      <c r="E10570" s="4"/>
      <c r="F10570" s="4"/>
    </row>
    <row r="10571" spans="2:6" ht="12.75" customHeight="1">
      <c r="B10571" s="38"/>
      <c r="E10571" s="4"/>
      <c r="F10571" s="4"/>
    </row>
    <row r="10572" spans="2:6" ht="12.75" customHeight="1">
      <c r="B10572" s="38"/>
      <c r="E10572" s="4"/>
      <c r="F10572" s="4"/>
    </row>
    <row r="10573" spans="2:6" ht="12.75" customHeight="1">
      <c r="B10573" s="38"/>
      <c r="E10573" s="4"/>
      <c r="F10573" s="4"/>
    </row>
    <row r="10574" spans="2:6" ht="12.75" customHeight="1">
      <c r="B10574" s="38"/>
      <c r="E10574" s="4"/>
      <c r="F10574" s="4"/>
    </row>
    <row r="10575" spans="2:6" ht="12.75" customHeight="1">
      <c r="B10575" s="38"/>
      <c r="E10575" s="4"/>
      <c r="F10575" s="4"/>
    </row>
    <row r="10576" spans="2:6" ht="12.75" customHeight="1">
      <c r="B10576" s="38"/>
      <c r="E10576" s="4"/>
      <c r="F10576" s="4"/>
    </row>
    <row r="10577" spans="2:6" ht="12.75" customHeight="1">
      <c r="B10577" s="38"/>
      <c r="E10577" s="4"/>
      <c r="F10577" s="4"/>
    </row>
    <row r="10578" spans="2:6" ht="12.75" customHeight="1">
      <c r="B10578" s="38"/>
      <c r="E10578" s="4"/>
      <c r="F10578" s="4"/>
    </row>
    <row r="10579" spans="2:6" ht="12.75" customHeight="1">
      <c r="B10579" s="38"/>
      <c r="E10579" s="4"/>
      <c r="F10579" s="4"/>
    </row>
    <row r="10580" spans="2:6" ht="12.75" customHeight="1">
      <c r="B10580" s="38"/>
      <c r="E10580" s="4"/>
      <c r="F10580" s="4"/>
    </row>
    <row r="10581" spans="2:6" ht="12.75" customHeight="1">
      <c r="B10581" s="38"/>
      <c r="E10581" s="4"/>
      <c r="F10581" s="4"/>
    </row>
    <row r="10582" spans="2:6" ht="12.75" customHeight="1">
      <c r="B10582" s="38"/>
      <c r="E10582" s="4"/>
      <c r="F10582" s="4"/>
    </row>
    <row r="10583" spans="2:6" ht="12.75" customHeight="1">
      <c r="B10583" s="38"/>
      <c r="E10583" s="4"/>
      <c r="F10583" s="4"/>
    </row>
    <row r="10584" spans="2:6" ht="12.75" customHeight="1">
      <c r="B10584" s="38"/>
      <c r="E10584" s="4"/>
      <c r="F10584" s="4"/>
    </row>
    <row r="10585" spans="2:6" ht="12.75" customHeight="1">
      <c r="B10585" s="38"/>
      <c r="E10585" s="4"/>
      <c r="F10585" s="4"/>
    </row>
    <row r="10586" spans="2:6" ht="12.75" customHeight="1">
      <c r="B10586" s="38"/>
      <c r="E10586" s="4"/>
      <c r="F10586" s="4"/>
    </row>
    <row r="10587" spans="2:6" ht="12.75" customHeight="1">
      <c r="B10587" s="38"/>
      <c r="E10587" s="4"/>
      <c r="F10587" s="4"/>
    </row>
    <row r="10588" spans="2:6" ht="12.75" customHeight="1">
      <c r="B10588" s="38"/>
      <c r="E10588" s="4"/>
      <c r="F10588" s="4"/>
    </row>
    <row r="10589" spans="2:6" ht="12.75" customHeight="1">
      <c r="B10589" s="38"/>
      <c r="E10589" s="4"/>
      <c r="F10589" s="4"/>
    </row>
    <row r="10590" spans="2:6" ht="12.75" customHeight="1">
      <c r="B10590" s="38"/>
      <c r="E10590" s="4"/>
      <c r="F10590" s="4"/>
    </row>
    <row r="10591" spans="2:6" ht="12.75" customHeight="1">
      <c r="B10591" s="38"/>
      <c r="E10591" s="4"/>
      <c r="F10591" s="4"/>
    </row>
    <row r="10592" spans="2:6" ht="12.75" customHeight="1">
      <c r="B10592" s="38"/>
      <c r="E10592" s="4"/>
      <c r="F10592" s="4"/>
    </row>
    <row r="10593" spans="2:6" ht="12.75" customHeight="1">
      <c r="B10593" s="38"/>
      <c r="E10593" s="4"/>
      <c r="F10593" s="4"/>
    </row>
    <row r="10594" spans="2:6" ht="12.75" customHeight="1">
      <c r="B10594" s="38"/>
      <c r="E10594" s="4"/>
      <c r="F10594" s="4"/>
    </row>
    <row r="10595" spans="2:6" ht="12.75" customHeight="1">
      <c r="B10595" s="38"/>
      <c r="E10595" s="4"/>
      <c r="F10595" s="4"/>
    </row>
    <row r="10596" spans="2:6" ht="12.75" customHeight="1">
      <c r="B10596" s="38"/>
      <c r="E10596" s="4"/>
      <c r="F10596" s="4"/>
    </row>
    <row r="10597" spans="2:6" ht="12.75" customHeight="1">
      <c r="B10597" s="38"/>
      <c r="E10597" s="4"/>
      <c r="F10597" s="4"/>
    </row>
    <row r="10598" spans="2:6" ht="12.75" customHeight="1">
      <c r="B10598" s="38"/>
      <c r="E10598" s="4"/>
      <c r="F10598" s="4"/>
    </row>
    <row r="10599" spans="2:6" ht="12.75" customHeight="1">
      <c r="B10599" s="38"/>
      <c r="E10599" s="4"/>
      <c r="F10599" s="4"/>
    </row>
    <row r="10600" spans="2:6" ht="12.75" customHeight="1">
      <c r="B10600" s="38"/>
      <c r="E10600" s="4"/>
      <c r="F10600" s="4"/>
    </row>
    <row r="10601" spans="2:6" ht="12.75" customHeight="1">
      <c r="B10601" s="38"/>
      <c r="E10601" s="4"/>
      <c r="F10601" s="4"/>
    </row>
    <row r="10602" spans="2:6" ht="12.75" customHeight="1">
      <c r="B10602" s="38"/>
      <c r="E10602" s="4"/>
      <c r="F10602" s="4"/>
    </row>
    <row r="10603" spans="2:6" ht="12.75" customHeight="1">
      <c r="B10603" s="38"/>
      <c r="E10603" s="4"/>
      <c r="F10603" s="4"/>
    </row>
    <row r="10604" spans="2:6" ht="12.75" customHeight="1">
      <c r="B10604" s="38"/>
      <c r="E10604" s="4"/>
      <c r="F10604" s="4"/>
    </row>
    <row r="10605" spans="2:6" ht="12.75" customHeight="1">
      <c r="B10605" s="38"/>
      <c r="E10605" s="4"/>
      <c r="F10605" s="4"/>
    </row>
    <row r="10606" spans="2:6" ht="12.75" customHeight="1">
      <c r="B10606" s="38"/>
      <c r="E10606" s="4"/>
      <c r="F10606" s="4"/>
    </row>
    <row r="10607" spans="2:6" ht="12.75" customHeight="1">
      <c r="B10607" s="38"/>
      <c r="E10607" s="4"/>
      <c r="F10607" s="4"/>
    </row>
    <row r="10608" spans="2:6" ht="12.75" customHeight="1">
      <c r="B10608" s="38"/>
      <c r="E10608" s="4"/>
      <c r="F10608" s="4"/>
    </row>
    <row r="10609" spans="2:6" ht="12.75" customHeight="1">
      <c r="B10609" s="38"/>
      <c r="E10609" s="4"/>
      <c r="F10609" s="4"/>
    </row>
    <row r="10610" spans="2:6" ht="12.75" customHeight="1">
      <c r="B10610" s="38"/>
      <c r="E10610" s="4"/>
      <c r="F10610" s="4"/>
    </row>
    <row r="10611" spans="2:6" ht="12.75" customHeight="1">
      <c r="B10611" s="38"/>
      <c r="E10611" s="4"/>
      <c r="F10611" s="4"/>
    </row>
    <row r="10612" spans="2:6" ht="12.75" customHeight="1">
      <c r="B10612" s="38"/>
      <c r="E10612" s="4"/>
      <c r="F10612" s="4"/>
    </row>
    <row r="10613" spans="2:6" ht="12.75" customHeight="1">
      <c r="B10613" s="38"/>
      <c r="E10613" s="4"/>
      <c r="F10613" s="4"/>
    </row>
    <row r="10614" spans="2:6" ht="12.75" customHeight="1">
      <c r="B10614" s="38"/>
      <c r="E10614" s="4"/>
      <c r="F10614" s="4"/>
    </row>
    <row r="10615" spans="2:6" ht="12.75" customHeight="1">
      <c r="B10615" s="38"/>
      <c r="E10615" s="4"/>
      <c r="F10615" s="4"/>
    </row>
    <row r="10616" spans="2:6" ht="12.75" customHeight="1">
      <c r="B10616" s="38"/>
      <c r="E10616" s="4"/>
      <c r="F10616" s="4"/>
    </row>
    <row r="10617" spans="2:6" ht="12.75" customHeight="1">
      <c r="B10617" s="38"/>
      <c r="E10617" s="4"/>
      <c r="F10617" s="4"/>
    </row>
    <row r="10618" spans="2:6" ht="12.75" customHeight="1">
      <c r="B10618" s="38"/>
      <c r="E10618" s="4"/>
      <c r="F10618" s="4"/>
    </row>
    <row r="10619" spans="2:6" ht="12.75" customHeight="1">
      <c r="B10619" s="38"/>
      <c r="E10619" s="4"/>
      <c r="F10619" s="4"/>
    </row>
    <row r="10620" spans="2:6" ht="12.75" customHeight="1">
      <c r="B10620" s="38"/>
      <c r="E10620" s="4"/>
      <c r="F10620" s="4"/>
    </row>
    <row r="10621" spans="2:6" ht="12.75" customHeight="1">
      <c r="B10621" s="38"/>
      <c r="E10621" s="4"/>
      <c r="F10621" s="4"/>
    </row>
    <row r="10622" spans="2:6" ht="12.75" customHeight="1">
      <c r="B10622" s="38"/>
      <c r="E10622" s="4"/>
      <c r="F10622" s="4"/>
    </row>
    <row r="10623" spans="2:6" ht="12.75" customHeight="1">
      <c r="B10623" s="38"/>
      <c r="E10623" s="4"/>
      <c r="F10623" s="4"/>
    </row>
    <row r="10624" spans="2:6" ht="12.75" customHeight="1">
      <c r="B10624" s="38"/>
      <c r="E10624" s="4"/>
      <c r="F10624" s="4"/>
    </row>
    <row r="10625" spans="2:6" ht="12.75" customHeight="1">
      <c r="B10625" s="38"/>
      <c r="E10625" s="4"/>
      <c r="F10625" s="4"/>
    </row>
    <row r="10626" spans="2:6" ht="12.75" customHeight="1">
      <c r="B10626" s="38"/>
      <c r="E10626" s="4"/>
      <c r="F10626" s="4"/>
    </row>
    <row r="10627" spans="2:6" ht="12.75" customHeight="1">
      <c r="B10627" s="38"/>
      <c r="E10627" s="4"/>
      <c r="F10627" s="4"/>
    </row>
    <row r="10628" spans="2:6" ht="12.75" customHeight="1">
      <c r="B10628" s="38"/>
      <c r="E10628" s="4"/>
      <c r="F10628" s="4"/>
    </row>
    <row r="10629" spans="2:6" ht="12.75" customHeight="1">
      <c r="B10629" s="38"/>
      <c r="E10629" s="4"/>
      <c r="F10629" s="4"/>
    </row>
    <row r="10630" spans="2:6" ht="12.75" customHeight="1">
      <c r="B10630" s="38"/>
      <c r="E10630" s="4"/>
      <c r="F10630" s="4"/>
    </row>
    <row r="10631" spans="2:6" ht="12.75" customHeight="1">
      <c r="B10631" s="38"/>
      <c r="E10631" s="4"/>
      <c r="F10631" s="4"/>
    </row>
    <row r="10632" spans="2:6" ht="12.75" customHeight="1">
      <c r="B10632" s="38"/>
      <c r="E10632" s="4"/>
      <c r="F10632" s="4"/>
    </row>
    <row r="10633" spans="2:6" ht="12.75" customHeight="1">
      <c r="B10633" s="38"/>
      <c r="E10633" s="4"/>
      <c r="F10633" s="4"/>
    </row>
    <row r="10634" spans="2:6" ht="12.75" customHeight="1">
      <c r="B10634" s="38"/>
      <c r="E10634" s="4"/>
      <c r="F10634" s="4"/>
    </row>
    <row r="10635" spans="2:6" ht="12.75" customHeight="1">
      <c r="B10635" s="38"/>
      <c r="E10635" s="4"/>
      <c r="F10635" s="4"/>
    </row>
    <row r="10636" spans="2:6" ht="12.75" customHeight="1">
      <c r="B10636" s="38"/>
      <c r="E10636" s="4"/>
      <c r="F10636" s="4"/>
    </row>
    <row r="10637" spans="2:6" ht="12.75" customHeight="1">
      <c r="B10637" s="38"/>
      <c r="E10637" s="4"/>
      <c r="F10637" s="4"/>
    </row>
    <row r="10638" spans="2:6" ht="12.75" customHeight="1">
      <c r="B10638" s="38"/>
      <c r="E10638" s="4"/>
      <c r="F10638" s="4"/>
    </row>
    <row r="10639" spans="2:6" ht="12.75" customHeight="1">
      <c r="B10639" s="38"/>
      <c r="E10639" s="4"/>
      <c r="F10639" s="4"/>
    </row>
    <row r="10640" spans="2:6" ht="12.75" customHeight="1">
      <c r="B10640" s="38"/>
      <c r="E10640" s="4"/>
      <c r="F10640" s="4"/>
    </row>
    <row r="10641" spans="2:6" ht="12.75" customHeight="1">
      <c r="B10641" s="38"/>
      <c r="E10641" s="4"/>
      <c r="F10641" s="4"/>
    </row>
    <row r="10642" spans="2:6" ht="12.75" customHeight="1">
      <c r="B10642" s="38"/>
      <c r="E10642" s="4"/>
      <c r="F10642" s="4"/>
    </row>
    <row r="10643" spans="2:6" ht="12.75" customHeight="1">
      <c r="B10643" s="38"/>
      <c r="E10643" s="4"/>
      <c r="F10643" s="4"/>
    </row>
    <row r="10644" spans="2:6" ht="12.75" customHeight="1">
      <c r="B10644" s="38"/>
      <c r="E10644" s="4"/>
      <c r="F10644" s="4"/>
    </row>
    <row r="10645" spans="2:6" ht="12.75" customHeight="1">
      <c r="B10645" s="38"/>
      <c r="E10645" s="4"/>
      <c r="F10645" s="4"/>
    </row>
    <row r="10646" spans="2:6" ht="12.75" customHeight="1">
      <c r="B10646" s="38"/>
      <c r="E10646" s="4"/>
      <c r="F10646" s="4"/>
    </row>
    <row r="10647" spans="2:6" ht="12.75" customHeight="1">
      <c r="B10647" s="38"/>
      <c r="E10647" s="4"/>
      <c r="F10647" s="4"/>
    </row>
    <row r="10648" spans="2:6" ht="12.75" customHeight="1">
      <c r="B10648" s="38"/>
      <c r="E10648" s="4"/>
      <c r="F10648" s="4"/>
    </row>
    <row r="10649" spans="2:6" ht="12.75" customHeight="1">
      <c r="B10649" s="38"/>
      <c r="E10649" s="4"/>
      <c r="F10649" s="4"/>
    </row>
    <row r="10650" spans="2:6" ht="12.75" customHeight="1">
      <c r="B10650" s="38"/>
      <c r="E10650" s="4"/>
      <c r="F10650" s="4"/>
    </row>
    <row r="10651" spans="2:6" ht="12.75" customHeight="1">
      <c r="B10651" s="38"/>
      <c r="E10651" s="4"/>
      <c r="F10651" s="4"/>
    </row>
    <row r="10652" spans="2:6" ht="12.75" customHeight="1">
      <c r="B10652" s="38"/>
      <c r="E10652" s="4"/>
      <c r="F10652" s="4"/>
    </row>
    <row r="10653" spans="2:6" ht="12.75" customHeight="1">
      <c r="B10653" s="38"/>
      <c r="E10653" s="4"/>
      <c r="F10653" s="4"/>
    </row>
    <row r="10654" spans="2:6" ht="12.75" customHeight="1">
      <c r="B10654" s="38"/>
      <c r="E10654" s="4"/>
      <c r="F10654" s="4"/>
    </row>
    <row r="10655" spans="2:6" ht="12.75" customHeight="1">
      <c r="B10655" s="38"/>
      <c r="E10655" s="4"/>
      <c r="F10655" s="4"/>
    </row>
    <row r="10656" spans="2:6" ht="12.75" customHeight="1">
      <c r="B10656" s="38"/>
      <c r="E10656" s="4"/>
      <c r="F10656" s="4"/>
    </row>
    <row r="10657" spans="2:6" ht="12.75" customHeight="1">
      <c r="B10657" s="38"/>
      <c r="E10657" s="4"/>
      <c r="F10657" s="4"/>
    </row>
    <row r="10658" spans="2:6" ht="12.75" customHeight="1">
      <c r="B10658" s="38"/>
      <c r="E10658" s="4"/>
      <c r="F10658" s="4"/>
    </row>
    <row r="10659" spans="2:6" ht="12.75" customHeight="1">
      <c r="B10659" s="38"/>
      <c r="E10659" s="4"/>
      <c r="F10659" s="4"/>
    </row>
    <row r="10660" spans="2:6" ht="12.75" customHeight="1">
      <c r="B10660" s="38"/>
      <c r="E10660" s="4"/>
      <c r="F10660" s="4"/>
    </row>
    <row r="10661" spans="2:6" ht="12.75" customHeight="1">
      <c r="B10661" s="38"/>
      <c r="E10661" s="4"/>
      <c r="F10661" s="4"/>
    </row>
    <row r="10662" spans="2:6" ht="12.75" customHeight="1">
      <c r="B10662" s="38"/>
      <c r="E10662" s="4"/>
      <c r="F10662" s="4"/>
    </row>
    <row r="10663" spans="2:6" ht="12.75" customHeight="1">
      <c r="B10663" s="38"/>
      <c r="E10663" s="4"/>
      <c r="F10663" s="4"/>
    </row>
    <row r="10664" spans="2:6" ht="12.75" customHeight="1">
      <c r="B10664" s="38"/>
      <c r="E10664" s="4"/>
      <c r="F10664" s="4"/>
    </row>
    <row r="10665" spans="2:6" ht="12.75" customHeight="1">
      <c r="B10665" s="38"/>
      <c r="E10665" s="4"/>
      <c r="F10665" s="4"/>
    </row>
    <row r="10666" spans="2:6" ht="12.75" customHeight="1">
      <c r="B10666" s="38"/>
      <c r="E10666" s="4"/>
      <c r="F10666" s="4"/>
    </row>
    <row r="10667" spans="2:6" ht="12.75" customHeight="1">
      <c r="B10667" s="38"/>
      <c r="E10667" s="4"/>
      <c r="F10667" s="4"/>
    </row>
    <row r="10668" spans="2:6" ht="12.75" customHeight="1">
      <c r="B10668" s="38"/>
      <c r="E10668" s="4"/>
      <c r="F10668" s="4"/>
    </row>
    <row r="10669" spans="2:6" ht="12.75" customHeight="1">
      <c r="B10669" s="38"/>
      <c r="E10669" s="4"/>
      <c r="F10669" s="4"/>
    </row>
    <row r="10670" spans="2:6" ht="12.75" customHeight="1">
      <c r="B10670" s="38"/>
      <c r="E10670" s="4"/>
      <c r="F10670" s="4"/>
    </row>
    <row r="10671" spans="2:6" ht="12.75" customHeight="1">
      <c r="B10671" s="38"/>
      <c r="E10671" s="4"/>
      <c r="F10671" s="4"/>
    </row>
    <row r="10672" spans="2:6" ht="12.75" customHeight="1">
      <c r="B10672" s="38"/>
      <c r="E10672" s="4"/>
      <c r="F10672" s="4"/>
    </row>
    <row r="10673" spans="2:6" ht="12.75" customHeight="1">
      <c r="B10673" s="38"/>
      <c r="E10673" s="4"/>
      <c r="F10673" s="4"/>
    </row>
    <row r="10674" spans="2:6" ht="12.75" customHeight="1">
      <c r="B10674" s="38"/>
      <c r="E10674" s="4"/>
      <c r="F10674" s="4"/>
    </row>
    <row r="10675" spans="2:6" ht="12.75" customHeight="1">
      <c r="B10675" s="38"/>
      <c r="E10675" s="4"/>
      <c r="F10675" s="4"/>
    </row>
    <row r="10676" spans="2:6" ht="12.75" customHeight="1">
      <c r="B10676" s="38"/>
      <c r="E10676" s="4"/>
      <c r="F10676" s="4"/>
    </row>
    <row r="10677" spans="2:6" ht="12.75" customHeight="1">
      <c r="B10677" s="38"/>
      <c r="E10677" s="4"/>
      <c r="F10677" s="4"/>
    </row>
    <row r="10678" spans="2:6" ht="12.75" customHeight="1">
      <c r="B10678" s="38"/>
      <c r="E10678" s="4"/>
      <c r="F10678" s="4"/>
    </row>
    <row r="10679" spans="2:6" ht="12.75" customHeight="1">
      <c r="B10679" s="38"/>
      <c r="E10679" s="4"/>
      <c r="F10679" s="4"/>
    </row>
    <row r="10680" spans="2:6" ht="12.75" customHeight="1">
      <c r="B10680" s="38"/>
      <c r="E10680" s="4"/>
      <c r="F10680" s="4"/>
    </row>
    <row r="10681" spans="2:6" ht="12.75" customHeight="1">
      <c r="B10681" s="38"/>
      <c r="E10681" s="4"/>
      <c r="F10681" s="4"/>
    </row>
    <row r="10682" spans="2:6" ht="12.75" customHeight="1">
      <c r="B10682" s="38"/>
      <c r="E10682" s="4"/>
      <c r="F10682" s="4"/>
    </row>
    <row r="10683" spans="2:6" ht="12.75" customHeight="1">
      <c r="B10683" s="38"/>
      <c r="E10683" s="4"/>
      <c r="F10683" s="4"/>
    </row>
    <row r="10684" spans="2:6" ht="12.75" customHeight="1">
      <c r="B10684" s="38"/>
      <c r="E10684" s="4"/>
      <c r="F10684" s="4"/>
    </row>
    <row r="10685" spans="2:6" ht="12.75" customHeight="1">
      <c r="B10685" s="38"/>
      <c r="E10685" s="4"/>
      <c r="F10685" s="4"/>
    </row>
    <row r="10686" spans="2:6" ht="12.75" customHeight="1">
      <c r="B10686" s="38"/>
      <c r="E10686" s="4"/>
      <c r="F10686" s="4"/>
    </row>
    <row r="10687" spans="2:6" ht="12.75" customHeight="1">
      <c r="B10687" s="38"/>
      <c r="E10687" s="4"/>
      <c r="F10687" s="4"/>
    </row>
    <row r="10688" spans="2:6" ht="12.75" customHeight="1">
      <c r="B10688" s="38"/>
      <c r="E10688" s="4"/>
      <c r="F10688" s="4"/>
    </row>
    <row r="10689" spans="2:6" ht="12.75" customHeight="1">
      <c r="B10689" s="38"/>
      <c r="E10689" s="4"/>
      <c r="F10689" s="4"/>
    </row>
    <row r="10690" spans="2:6" ht="12.75" customHeight="1">
      <c r="B10690" s="38"/>
      <c r="E10690" s="4"/>
      <c r="F10690" s="4"/>
    </row>
    <row r="10691" spans="2:6" ht="12.75" customHeight="1">
      <c r="B10691" s="38"/>
      <c r="E10691" s="4"/>
      <c r="F10691" s="4"/>
    </row>
    <row r="10692" spans="2:6" ht="12.75" customHeight="1">
      <c r="B10692" s="38"/>
      <c r="E10692" s="4"/>
      <c r="F10692" s="4"/>
    </row>
    <row r="10693" spans="2:6" ht="12.75" customHeight="1">
      <c r="B10693" s="38"/>
      <c r="E10693" s="4"/>
      <c r="F10693" s="4"/>
    </row>
    <row r="10694" spans="2:6" ht="12.75" customHeight="1">
      <c r="B10694" s="38"/>
      <c r="E10694" s="4"/>
      <c r="F10694" s="4"/>
    </row>
    <row r="10695" spans="2:6" ht="12.75" customHeight="1">
      <c r="B10695" s="38"/>
      <c r="E10695" s="4"/>
      <c r="F10695" s="4"/>
    </row>
    <row r="10696" spans="2:6" ht="12.75" customHeight="1">
      <c r="B10696" s="38"/>
      <c r="E10696" s="4"/>
      <c r="F10696" s="4"/>
    </row>
    <row r="10697" spans="2:6" ht="12.75" customHeight="1">
      <c r="B10697" s="38"/>
      <c r="E10697" s="4"/>
      <c r="F10697" s="4"/>
    </row>
    <row r="10698" spans="2:6" ht="12.75" customHeight="1">
      <c r="B10698" s="38"/>
      <c r="E10698" s="4"/>
      <c r="F10698" s="4"/>
    </row>
    <row r="10699" spans="2:6" ht="12.75" customHeight="1">
      <c r="B10699" s="38"/>
      <c r="E10699" s="4"/>
      <c r="F10699" s="4"/>
    </row>
    <row r="10700" spans="2:6" ht="12.75" customHeight="1">
      <c r="B10700" s="38"/>
      <c r="E10700" s="4"/>
      <c r="F10700" s="4"/>
    </row>
    <row r="10701" spans="2:6" ht="12.75" customHeight="1">
      <c r="B10701" s="38"/>
      <c r="E10701" s="4"/>
      <c r="F10701" s="4"/>
    </row>
    <row r="10702" spans="2:6" ht="12.75" customHeight="1">
      <c r="B10702" s="38"/>
      <c r="E10702" s="4"/>
      <c r="F10702" s="4"/>
    </row>
    <row r="10703" spans="2:6" ht="12.75" customHeight="1">
      <c r="B10703" s="38"/>
      <c r="E10703" s="4"/>
      <c r="F10703" s="4"/>
    </row>
    <row r="10704" spans="2:6" ht="12.75" customHeight="1">
      <c r="B10704" s="38"/>
      <c r="E10704" s="4"/>
      <c r="F10704" s="4"/>
    </row>
    <row r="10705" spans="2:6" ht="12.75" customHeight="1">
      <c r="B10705" s="38"/>
      <c r="E10705" s="4"/>
      <c r="F10705" s="4"/>
    </row>
    <row r="10706" spans="2:6" ht="12.75" customHeight="1">
      <c r="B10706" s="38"/>
      <c r="E10706" s="4"/>
      <c r="F10706" s="4"/>
    </row>
    <row r="10707" spans="2:6" ht="12.75" customHeight="1">
      <c r="B10707" s="38"/>
      <c r="E10707" s="4"/>
      <c r="F10707" s="4"/>
    </row>
    <row r="10708" spans="2:6" ht="12.75" customHeight="1">
      <c r="B10708" s="38"/>
      <c r="E10708" s="4"/>
      <c r="F10708" s="4"/>
    </row>
    <row r="10709" spans="2:6" ht="12.75" customHeight="1">
      <c r="B10709" s="38"/>
      <c r="E10709" s="4"/>
      <c r="F10709" s="4"/>
    </row>
    <row r="10710" spans="2:6" ht="12.75" customHeight="1">
      <c r="B10710" s="38"/>
      <c r="E10710" s="4"/>
      <c r="F10710" s="4"/>
    </row>
    <row r="10711" spans="2:6" ht="12.75" customHeight="1">
      <c r="B10711" s="38"/>
      <c r="E10711" s="4"/>
      <c r="F10711" s="4"/>
    </row>
    <row r="10712" spans="2:6" ht="12.75" customHeight="1">
      <c r="B10712" s="38"/>
      <c r="E10712" s="4"/>
      <c r="F10712" s="4"/>
    </row>
    <row r="10713" spans="2:6" ht="12.75" customHeight="1">
      <c r="B10713" s="38"/>
      <c r="E10713" s="4"/>
      <c r="F10713" s="4"/>
    </row>
    <row r="10714" spans="2:6" ht="12.75" customHeight="1">
      <c r="B10714" s="38"/>
      <c r="E10714" s="4"/>
      <c r="F10714" s="4"/>
    </row>
    <row r="10715" spans="2:6" ht="12.75" customHeight="1">
      <c r="B10715" s="38"/>
      <c r="E10715" s="4"/>
      <c r="F10715" s="4"/>
    </row>
    <row r="10716" spans="2:6" ht="12.75" customHeight="1">
      <c r="B10716" s="38"/>
      <c r="E10716" s="4"/>
      <c r="F10716" s="4"/>
    </row>
    <row r="10717" spans="2:6" ht="12.75" customHeight="1">
      <c r="B10717" s="38"/>
      <c r="E10717" s="4"/>
      <c r="F10717" s="4"/>
    </row>
    <row r="10718" spans="2:6" ht="12.75" customHeight="1">
      <c r="B10718" s="38"/>
      <c r="E10718" s="4"/>
      <c r="F10718" s="4"/>
    </row>
    <row r="10719" spans="2:6" ht="12.75" customHeight="1">
      <c r="B10719" s="38"/>
      <c r="E10719" s="4"/>
      <c r="F10719" s="4"/>
    </row>
    <row r="10720" spans="2:6" ht="12.75" customHeight="1">
      <c r="B10720" s="38"/>
      <c r="E10720" s="4"/>
      <c r="F10720" s="4"/>
    </row>
    <row r="10721" spans="2:6" ht="12.75" customHeight="1">
      <c r="B10721" s="38"/>
      <c r="E10721" s="4"/>
      <c r="F10721" s="4"/>
    </row>
    <row r="10722" spans="2:6" ht="12.75" customHeight="1">
      <c r="B10722" s="38"/>
      <c r="E10722" s="4"/>
      <c r="F10722" s="4"/>
    </row>
    <row r="10723" spans="2:6" ht="12.75" customHeight="1">
      <c r="B10723" s="38"/>
      <c r="E10723" s="4"/>
      <c r="F10723" s="4"/>
    </row>
    <row r="10724" spans="2:6" ht="12.75" customHeight="1">
      <c r="B10724" s="38"/>
      <c r="E10724" s="4"/>
      <c r="F10724" s="4"/>
    </row>
    <row r="10725" spans="2:6" ht="12.75" customHeight="1">
      <c r="B10725" s="38"/>
      <c r="E10725" s="4"/>
      <c r="F10725" s="4"/>
    </row>
    <row r="10726" spans="2:6" ht="12.75" customHeight="1">
      <c r="B10726" s="38"/>
      <c r="E10726" s="4"/>
      <c r="F10726" s="4"/>
    </row>
    <row r="10727" spans="2:6" ht="12.75" customHeight="1">
      <c r="B10727" s="38"/>
      <c r="E10727" s="4"/>
      <c r="F10727" s="4"/>
    </row>
    <row r="10728" spans="2:6" ht="12.75" customHeight="1">
      <c r="B10728" s="38"/>
      <c r="E10728" s="4"/>
      <c r="F10728" s="4"/>
    </row>
    <row r="10729" spans="2:6" ht="12.75" customHeight="1">
      <c r="B10729" s="38"/>
      <c r="E10729" s="4"/>
      <c r="F10729" s="4"/>
    </row>
    <row r="10730" spans="2:6" ht="12.75" customHeight="1">
      <c r="B10730" s="38"/>
      <c r="E10730" s="4"/>
      <c r="F10730" s="4"/>
    </row>
    <row r="10731" spans="2:6" ht="12.75" customHeight="1">
      <c r="B10731" s="38"/>
      <c r="E10731" s="4"/>
      <c r="F10731" s="4"/>
    </row>
    <row r="10732" spans="2:6" ht="12.75" customHeight="1">
      <c r="B10732" s="38"/>
      <c r="E10732" s="4"/>
      <c r="F10732" s="4"/>
    </row>
    <row r="10733" spans="2:6" ht="12.75" customHeight="1">
      <c r="B10733" s="38"/>
      <c r="E10733" s="4"/>
      <c r="F10733" s="4"/>
    </row>
    <row r="10734" spans="2:6" ht="12.75" customHeight="1">
      <c r="B10734" s="38"/>
      <c r="E10734" s="4"/>
      <c r="F10734" s="4"/>
    </row>
    <row r="10735" spans="2:6" ht="12.75" customHeight="1">
      <c r="B10735" s="38"/>
      <c r="E10735" s="4"/>
      <c r="F10735" s="4"/>
    </row>
    <row r="10736" spans="2:6" ht="12.75" customHeight="1">
      <c r="B10736" s="38"/>
      <c r="E10736" s="4"/>
      <c r="F10736" s="4"/>
    </row>
    <row r="10737" spans="2:6" ht="12.75" customHeight="1">
      <c r="B10737" s="38"/>
      <c r="E10737" s="4"/>
      <c r="F10737" s="4"/>
    </row>
    <row r="10738" spans="2:6" ht="12.75" customHeight="1">
      <c r="B10738" s="38"/>
      <c r="E10738" s="4"/>
      <c r="F10738" s="4"/>
    </row>
    <row r="10739" spans="2:6" ht="12.75" customHeight="1">
      <c r="B10739" s="38"/>
      <c r="E10739" s="4"/>
      <c r="F10739" s="4"/>
    </row>
    <row r="10740" spans="2:6" ht="12.75" customHeight="1">
      <c r="B10740" s="38"/>
      <c r="E10740" s="4"/>
      <c r="F10740" s="4"/>
    </row>
    <row r="10741" spans="2:6" ht="12.75" customHeight="1">
      <c r="B10741" s="38"/>
      <c r="E10741" s="4"/>
      <c r="F10741" s="4"/>
    </row>
    <row r="10742" spans="2:6" ht="12.75" customHeight="1">
      <c r="B10742" s="38"/>
      <c r="E10742" s="4"/>
      <c r="F10742" s="4"/>
    </row>
    <row r="10743" spans="2:6" ht="12.75" customHeight="1">
      <c r="B10743" s="38"/>
      <c r="E10743" s="4"/>
      <c r="F10743" s="4"/>
    </row>
    <row r="10744" spans="2:6" ht="12.75" customHeight="1">
      <c r="B10744" s="38"/>
      <c r="E10744" s="4"/>
      <c r="F10744" s="4"/>
    </row>
    <row r="10745" spans="2:6" ht="12.75" customHeight="1">
      <c r="B10745" s="38"/>
      <c r="E10745" s="4"/>
      <c r="F10745" s="4"/>
    </row>
    <row r="10746" spans="2:6" ht="12.75" customHeight="1">
      <c r="B10746" s="38"/>
      <c r="E10746" s="4"/>
      <c r="F10746" s="4"/>
    </row>
    <row r="10747" spans="2:6" ht="12.75" customHeight="1">
      <c r="B10747" s="38"/>
      <c r="E10747" s="4"/>
      <c r="F10747" s="4"/>
    </row>
    <row r="10748" spans="2:6" ht="12.75" customHeight="1">
      <c r="B10748" s="38"/>
      <c r="E10748" s="4"/>
      <c r="F10748" s="4"/>
    </row>
    <row r="10749" spans="2:6" ht="12.75" customHeight="1">
      <c r="B10749" s="38"/>
      <c r="E10749" s="4"/>
      <c r="F10749" s="4"/>
    </row>
    <row r="10750" spans="2:6" ht="12.75" customHeight="1">
      <c r="B10750" s="38"/>
      <c r="E10750" s="4"/>
      <c r="F10750" s="4"/>
    </row>
    <row r="10751" spans="2:6" ht="12.75" customHeight="1">
      <c r="B10751" s="38"/>
      <c r="E10751" s="4"/>
      <c r="F10751" s="4"/>
    </row>
    <row r="10752" spans="2:6" ht="12.75" customHeight="1">
      <c r="B10752" s="38"/>
      <c r="E10752" s="4"/>
      <c r="F10752" s="4"/>
    </row>
    <row r="10753" spans="2:6" ht="12.75" customHeight="1">
      <c r="B10753" s="38"/>
      <c r="E10753" s="4"/>
      <c r="F10753" s="4"/>
    </row>
    <row r="10754" spans="2:6" ht="12.75" customHeight="1">
      <c r="B10754" s="38"/>
      <c r="E10754" s="4"/>
      <c r="F10754" s="4"/>
    </row>
    <row r="10755" spans="2:6" ht="12.75" customHeight="1">
      <c r="B10755" s="38"/>
      <c r="E10755" s="4"/>
      <c r="F10755" s="4"/>
    </row>
    <row r="10756" spans="2:6" ht="12.75" customHeight="1">
      <c r="B10756" s="38"/>
      <c r="E10756" s="4"/>
      <c r="F10756" s="4"/>
    </row>
    <row r="10757" spans="2:6" ht="12.75" customHeight="1">
      <c r="B10757" s="38"/>
      <c r="E10757" s="4"/>
      <c r="F10757" s="4"/>
    </row>
    <row r="10758" spans="2:6" ht="12.75" customHeight="1">
      <c r="B10758" s="38"/>
      <c r="E10758" s="4"/>
      <c r="F10758" s="4"/>
    </row>
    <row r="10759" spans="2:6" ht="12.75" customHeight="1">
      <c r="B10759" s="38"/>
      <c r="E10759" s="4"/>
      <c r="F10759" s="4"/>
    </row>
    <row r="10760" spans="2:6" ht="12.75" customHeight="1">
      <c r="B10760" s="38"/>
      <c r="E10760" s="4"/>
      <c r="F10760" s="4"/>
    </row>
    <row r="10761" spans="2:6" ht="12.75" customHeight="1">
      <c r="B10761" s="38"/>
      <c r="E10761" s="4"/>
      <c r="F10761" s="4"/>
    </row>
    <row r="10762" spans="2:6" ht="12.75" customHeight="1">
      <c r="B10762" s="38"/>
      <c r="E10762" s="4"/>
      <c r="F10762" s="4"/>
    </row>
    <row r="10763" spans="2:6" ht="12.75" customHeight="1">
      <c r="B10763" s="38"/>
      <c r="E10763" s="4"/>
      <c r="F10763" s="4"/>
    </row>
    <row r="10764" spans="2:6" ht="12.75" customHeight="1">
      <c r="B10764" s="38"/>
      <c r="E10764" s="4"/>
      <c r="F10764" s="4"/>
    </row>
    <row r="10765" spans="2:6" ht="12.75" customHeight="1">
      <c r="B10765" s="38"/>
      <c r="E10765" s="4"/>
      <c r="F10765" s="4"/>
    </row>
    <row r="10766" spans="2:6" ht="12.75" customHeight="1">
      <c r="B10766" s="38"/>
      <c r="E10766" s="4"/>
      <c r="F10766" s="4"/>
    </row>
    <row r="10767" spans="2:6" ht="12.75" customHeight="1">
      <c r="B10767" s="38"/>
      <c r="E10767" s="4"/>
      <c r="F10767" s="4"/>
    </row>
    <row r="10768" spans="2:6" ht="12.75" customHeight="1">
      <c r="B10768" s="38"/>
      <c r="E10768" s="4"/>
      <c r="F10768" s="4"/>
    </row>
    <row r="10769" spans="2:6" ht="12.75" customHeight="1">
      <c r="B10769" s="38"/>
      <c r="E10769" s="4"/>
      <c r="F10769" s="4"/>
    </row>
    <row r="10770" spans="2:6" ht="12.75" customHeight="1">
      <c r="B10770" s="38"/>
      <c r="E10770" s="4"/>
      <c r="F10770" s="4"/>
    </row>
    <row r="10771" spans="2:6" ht="12.75" customHeight="1">
      <c r="B10771" s="38"/>
      <c r="E10771" s="4"/>
      <c r="F10771" s="4"/>
    </row>
    <row r="10772" spans="2:6" ht="12.75" customHeight="1">
      <c r="B10772" s="38"/>
      <c r="E10772" s="4"/>
      <c r="F10772" s="4"/>
    </row>
    <row r="10773" spans="2:6" ht="12.75" customHeight="1">
      <c r="B10773" s="38"/>
      <c r="E10773" s="4"/>
      <c r="F10773" s="4"/>
    </row>
    <row r="10774" spans="2:6" ht="12.75" customHeight="1">
      <c r="B10774" s="38"/>
      <c r="E10774" s="4"/>
      <c r="F10774" s="4"/>
    </row>
    <row r="10775" spans="2:6" ht="12.75" customHeight="1">
      <c r="B10775" s="38"/>
      <c r="E10775" s="4"/>
      <c r="F10775" s="4"/>
    </row>
    <row r="10776" spans="2:6" ht="12.75" customHeight="1">
      <c r="B10776" s="38"/>
      <c r="E10776" s="4"/>
      <c r="F10776" s="4"/>
    </row>
    <row r="10777" spans="2:6" ht="12.75" customHeight="1">
      <c r="B10777" s="38"/>
      <c r="E10777" s="4"/>
      <c r="F10777" s="4"/>
    </row>
    <row r="10778" spans="2:6" ht="12.75" customHeight="1">
      <c r="B10778" s="38"/>
      <c r="E10778" s="4"/>
      <c r="F10778" s="4"/>
    </row>
    <row r="10779" spans="2:6" ht="12.75" customHeight="1">
      <c r="B10779" s="38"/>
      <c r="E10779" s="4"/>
      <c r="F10779" s="4"/>
    </row>
    <row r="10780" spans="2:6" ht="12.75" customHeight="1">
      <c r="B10780" s="38"/>
      <c r="E10780" s="4"/>
      <c r="F10780" s="4"/>
    </row>
    <row r="10781" spans="2:6" ht="12.75" customHeight="1">
      <c r="B10781" s="38"/>
      <c r="E10781" s="4"/>
      <c r="F10781" s="4"/>
    </row>
    <row r="10782" spans="2:6" ht="12.75" customHeight="1">
      <c r="B10782" s="38"/>
      <c r="E10782" s="4"/>
      <c r="F10782" s="4"/>
    </row>
    <row r="10783" spans="2:6" ht="12.75" customHeight="1">
      <c r="B10783" s="38"/>
      <c r="E10783" s="4"/>
      <c r="F10783" s="4"/>
    </row>
    <row r="10784" spans="2:6" ht="12.75" customHeight="1">
      <c r="B10784" s="38"/>
      <c r="E10784" s="4"/>
      <c r="F10784" s="4"/>
    </row>
    <row r="10785" spans="2:6" ht="12.75" customHeight="1">
      <c r="B10785" s="38"/>
      <c r="E10785" s="4"/>
      <c r="F10785" s="4"/>
    </row>
    <row r="10786" spans="2:6" ht="12.75" customHeight="1">
      <c r="B10786" s="38"/>
      <c r="E10786" s="4"/>
      <c r="F10786" s="4"/>
    </row>
    <row r="10787" spans="2:6" ht="12.75" customHeight="1">
      <c r="B10787" s="38"/>
      <c r="E10787" s="4"/>
      <c r="F10787" s="4"/>
    </row>
    <row r="10788" spans="2:6" ht="12.75" customHeight="1">
      <c r="B10788" s="38"/>
      <c r="E10788" s="4"/>
      <c r="F10788" s="4"/>
    </row>
    <row r="10789" spans="2:6" ht="12.75" customHeight="1">
      <c r="B10789" s="38"/>
      <c r="E10789" s="4"/>
      <c r="F10789" s="4"/>
    </row>
    <row r="10790" spans="2:6" ht="12.75" customHeight="1">
      <c r="B10790" s="38"/>
      <c r="E10790" s="4"/>
      <c r="F10790" s="4"/>
    </row>
    <row r="10791" spans="2:6" ht="12.75" customHeight="1">
      <c r="B10791" s="38"/>
      <c r="E10791" s="4"/>
      <c r="F10791" s="4"/>
    </row>
    <row r="10792" spans="2:6" ht="12.75" customHeight="1">
      <c r="B10792" s="38"/>
      <c r="E10792" s="4"/>
      <c r="F10792" s="4"/>
    </row>
    <row r="10793" spans="2:6" ht="12.75" customHeight="1">
      <c r="B10793" s="38"/>
      <c r="E10793" s="4"/>
      <c r="F10793" s="4"/>
    </row>
    <row r="10794" spans="2:6" ht="12.75" customHeight="1">
      <c r="B10794" s="38"/>
      <c r="E10794" s="4"/>
      <c r="F10794" s="4"/>
    </row>
    <row r="10795" spans="2:6" ht="12.75" customHeight="1">
      <c r="B10795" s="38"/>
      <c r="E10795" s="4"/>
      <c r="F10795" s="4"/>
    </row>
    <row r="10796" spans="2:6" ht="12.75" customHeight="1">
      <c r="B10796" s="38"/>
      <c r="E10796" s="4"/>
      <c r="F10796" s="4"/>
    </row>
    <row r="10797" spans="2:6" ht="12.75" customHeight="1">
      <c r="B10797" s="38"/>
      <c r="E10797" s="4"/>
      <c r="F10797" s="4"/>
    </row>
    <row r="10798" spans="2:6" ht="12.75" customHeight="1">
      <c r="B10798" s="38"/>
      <c r="E10798" s="4"/>
      <c r="F10798" s="4"/>
    </row>
    <row r="10799" spans="2:6" ht="12.75" customHeight="1">
      <c r="B10799" s="38"/>
      <c r="E10799" s="4"/>
      <c r="F10799" s="4"/>
    </row>
    <row r="10800" spans="2:6" ht="12.75" customHeight="1">
      <c r="B10800" s="38"/>
      <c r="E10800" s="4"/>
      <c r="F10800" s="4"/>
    </row>
    <row r="10801" spans="2:6" ht="12.75" customHeight="1">
      <c r="B10801" s="38"/>
      <c r="E10801" s="4"/>
      <c r="F10801" s="4"/>
    </row>
    <row r="10802" spans="2:6" ht="12.75" customHeight="1">
      <c r="B10802" s="38"/>
      <c r="E10802" s="4"/>
      <c r="F10802" s="4"/>
    </row>
    <row r="10803" spans="2:6" ht="12.75" customHeight="1">
      <c r="B10803" s="38"/>
      <c r="E10803" s="4"/>
      <c r="F10803" s="4"/>
    </row>
    <row r="10804" spans="2:6" ht="12.75" customHeight="1">
      <c r="B10804" s="38"/>
      <c r="E10804" s="4"/>
      <c r="F10804" s="4"/>
    </row>
    <row r="10805" spans="2:6" ht="12.75" customHeight="1">
      <c r="B10805" s="38"/>
      <c r="E10805" s="4"/>
      <c r="F10805" s="4"/>
    </row>
    <row r="10806" spans="2:6" ht="12.75" customHeight="1">
      <c r="B10806" s="38"/>
      <c r="E10806" s="4"/>
      <c r="F10806" s="4"/>
    </row>
    <row r="10807" spans="2:6" ht="12.75" customHeight="1">
      <c r="B10807" s="38"/>
      <c r="E10807" s="4"/>
      <c r="F10807" s="4"/>
    </row>
    <row r="10808" spans="2:6" ht="12.75" customHeight="1">
      <c r="B10808" s="38"/>
      <c r="E10808" s="4"/>
      <c r="F10808" s="4"/>
    </row>
    <row r="10809" spans="2:6" ht="12.75" customHeight="1">
      <c r="B10809" s="38"/>
      <c r="E10809" s="4"/>
      <c r="F10809" s="4"/>
    </row>
    <row r="10810" spans="2:6" ht="12.75" customHeight="1">
      <c r="B10810" s="38"/>
      <c r="E10810" s="4"/>
      <c r="F10810" s="4"/>
    </row>
    <row r="10811" spans="2:6" ht="12.75" customHeight="1">
      <c r="B10811" s="38"/>
      <c r="E10811" s="4"/>
      <c r="F10811" s="4"/>
    </row>
    <row r="10812" spans="2:6" ht="12.75" customHeight="1">
      <c r="B10812" s="38"/>
      <c r="E10812" s="4"/>
      <c r="F10812" s="4"/>
    </row>
    <row r="10813" spans="2:6" ht="12.75" customHeight="1">
      <c r="B10813" s="38"/>
      <c r="E10813" s="4"/>
      <c r="F10813" s="4"/>
    </row>
    <row r="10814" spans="2:6" ht="12.75" customHeight="1">
      <c r="B10814" s="38"/>
      <c r="E10814" s="4"/>
      <c r="F10814" s="4"/>
    </row>
    <row r="10815" spans="2:6" ht="12.75" customHeight="1">
      <c r="B10815" s="38"/>
      <c r="E10815" s="4"/>
      <c r="F10815" s="4"/>
    </row>
    <row r="10816" spans="2:6" ht="12.75" customHeight="1">
      <c r="B10816" s="38"/>
      <c r="E10816" s="4"/>
      <c r="F10816" s="4"/>
    </row>
    <row r="10817" spans="2:6" ht="12.75" customHeight="1">
      <c r="B10817" s="38"/>
      <c r="E10817" s="4"/>
      <c r="F10817" s="4"/>
    </row>
    <row r="10818" spans="2:6" ht="12.75" customHeight="1">
      <c r="B10818" s="38"/>
      <c r="E10818" s="4"/>
      <c r="F10818" s="4"/>
    </row>
    <row r="10819" spans="2:6" ht="12.75" customHeight="1">
      <c r="B10819" s="38"/>
      <c r="E10819" s="4"/>
      <c r="F10819" s="4"/>
    </row>
    <row r="10820" spans="2:6" ht="12.75" customHeight="1">
      <c r="B10820" s="38"/>
      <c r="E10820" s="4"/>
      <c r="F10820" s="4"/>
    </row>
    <row r="10821" spans="2:6" ht="12.75" customHeight="1">
      <c r="B10821" s="38"/>
      <c r="E10821" s="4"/>
      <c r="F10821" s="4"/>
    </row>
    <row r="10822" spans="2:6" ht="12.75" customHeight="1">
      <c r="B10822" s="38"/>
      <c r="E10822" s="4"/>
      <c r="F10822" s="4"/>
    </row>
    <row r="10823" spans="2:6" ht="12.75" customHeight="1">
      <c r="B10823" s="38"/>
      <c r="E10823" s="4"/>
      <c r="F10823" s="4"/>
    </row>
    <row r="10824" spans="2:6" ht="12.75" customHeight="1">
      <c r="B10824" s="38"/>
      <c r="E10824" s="4"/>
      <c r="F10824" s="4"/>
    </row>
    <row r="10825" spans="2:6" ht="12.75" customHeight="1">
      <c r="B10825" s="38"/>
      <c r="E10825" s="4"/>
      <c r="F10825" s="4"/>
    </row>
    <row r="10826" spans="2:6" ht="12.75" customHeight="1">
      <c r="B10826" s="38"/>
      <c r="E10826" s="4"/>
      <c r="F10826" s="4"/>
    </row>
    <row r="10827" spans="2:6" ht="12.75" customHeight="1">
      <c r="B10827" s="38"/>
      <c r="E10827" s="4"/>
      <c r="F10827" s="4"/>
    </row>
    <row r="10828" spans="2:6" ht="12.75" customHeight="1">
      <c r="B10828" s="38"/>
      <c r="E10828" s="4"/>
      <c r="F10828" s="4"/>
    </row>
    <row r="10829" spans="2:6" ht="12.75" customHeight="1">
      <c r="B10829" s="38"/>
      <c r="E10829" s="4"/>
      <c r="F10829" s="4"/>
    </row>
    <row r="10830" spans="2:6" ht="12.75" customHeight="1">
      <c r="B10830" s="38"/>
      <c r="E10830" s="4"/>
      <c r="F10830" s="4"/>
    </row>
    <row r="10831" spans="2:6" ht="12.75" customHeight="1">
      <c r="B10831" s="38"/>
      <c r="E10831" s="4"/>
      <c r="F10831" s="4"/>
    </row>
    <row r="10832" spans="2:6" ht="12.75" customHeight="1">
      <c r="B10832" s="38"/>
      <c r="E10832" s="4"/>
      <c r="F10832" s="4"/>
    </row>
    <row r="10833" spans="2:6" ht="12.75" customHeight="1">
      <c r="B10833" s="38"/>
      <c r="E10833" s="4"/>
      <c r="F10833" s="4"/>
    </row>
    <row r="10834" spans="2:6" ht="12.75" customHeight="1">
      <c r="B10834" s="38"/>
      <c r="E10834" s="4"/>
      <c r="F10834" s="4"/>
    </row>
    <row r="10835" spans="2:6" ht="12.75" customHeight="1">
      <c r="B10835" s="38"/>
      <c r="E10835" s="4"/>
      <c r="F10835" s="4"/>
    </row>
    <row r="10836" spans="2:6" ht="12.75" customHeight="1">
      <c r="B10836" s="38"/>
      <c r="E10836" s="4"/>
      <c r="F10836" s="4"/>
    </row>
    <row r="10837" spans="2:6" ht="12.75" customHeight="1">
      <c r="B10837" s="38"/>
      <c r="E10837" s="4"/>
      <c r="F10837" s="4"/>
    </row>
    <row r="10838" spans="2:6" ht="12.75" customHeight="1">
      <c r="B10838" s="38"/>
      <c r="E10838" s="4"/>
      <c r="F10838" s="4"/>
    </row>
    <row r="10839" spans="2:6" ht="12.75" customHeight="1">
      <c r="B10839" s="38"/>
      <c r="E10839" s="4"/>
      <c r="F10839" s="4"/>
    </row>
    <row r="10840" spans="2:6" ht="12.75" customHeight="1">
      <c r="B10840" s="38"/>
      <c r="E10840" s="4"/>
      <c r="F10840" s="4"/>
    </row>
    <row r="10841" spans="2:6" ht="12.75" customHeight="1">
      <c r="B10841" s="38"/>
      <c r="E10841" s="4"/>
      <c r="F10841" s="4"/>
    </row>
    <row r="10842" spans="2:6" ht="12.75" customHeight="1">
      <c r="B10842" s="38"/>
      <c r="E10842" s="4"/>
      <c r="F10842" s="4"/>
    </row>
    <row r="10843" spans="2:6" ht="12.75" customHeight="1">
      <c r="B10843" s="38"/>
      <c r="E10843" s="4"/>
      <c r="F10843" s="4"/>
    </row>
    <row r="10844" spans="2:6" ht="12.75" customHeight="1">
      <c r="B10844" s="38"/>
      <c r="E10844" s="4"/>
      <c r="F10844" s="4"/>
    </row>
    <row r="10845" spans="2:6" ht="12.75" customHeight="1">
      <c r="B10845" s="38"/>
      <c r="E10845" s="4"/>
      <c r="F10845" s="4"/>
    </row>
    <row r="10846" spans="2:6" ht="12.75" customHeight="1">
      <c r="B10846" s="38"/>
      <c r="E10846" s="4"/>
      <c r="F10846" s="4"/>
    </row>
    <row r="10847" spans="2:6" ht="12.75" customHeight="1">
      <c r="B10847" s="38"/>
      <c r="E10847" s="4"/>
      <c r="F10847" s="4"/>
    </row>
    <row r="10848" spans="2:6" ht="12.75" customHeight="1">
      <c r="B10848" s="38"/>
      <c r="E10848" s="4"/>
      <c r="F10848" s="4"/>
    </row>
    <row r="10849" spans="2:6" ht="12.75" customHeight="1">
      <c r="B10849" s="38"/>
      <c r="E10849" s="4"/>
      <c r="F10849" s="4"/>
    </row>
    <row r="10850" spans="2:6" ht="12.75" customHeight="1">
      <c r="B10850" s="38"/>
      <c r="E10850" s="4"/>
      <c r="F10850" s="4"/>
    </row>
    <row r="10851" spans="2:6" ht="12.75" customHeight="1">
      <c r="B10851" s="38"/>
      <c r="E10851" s="4"/>
      <c r="F10851" s="4"/>
    </row>
    <row r="10852" spans="2:6" ht="12.75" customHeight="1">
      <c r="B10852" s="38"/>
      <c r="E10852" s="4"/>
      <c r="F10852" s="4"/>
    </row>
    <row r="10853" spans="2:6" ht="12.75" customHeight="1">
      <c r="B10853" s="38"/>
      <c r="E10853" s="4"/>
      <c r="F10853" s="4"/>
    </row>
    <row r="10854" spans="2:6" ht="12.75" customHeight="1">
      <c r="B10854" s="38"/>
      <c r="E10854" s="4"/>
      <c r="F10854" s="4"/>
    </row>
    <row r="10855" spans="2:6" ht="12.75" customHeight="1">
      <c r="B10855" s="38"/>
      <c r="E10855" s="4"/>
      <c r="F10855" s="4"/>
    </row>
    <row r="10856" spans="2:6" ht="12.75" customHeight="1">
      <c r="B10856" s="38"/>
      <c r="E10856" s="4"/>
      <c r="F10856" s="4"/>
    </row>
    <row r="10857" spans="2:6" ht="12.75" customHeight="1">
      <c r="B10857" s="38"/>
      <c r="E10857" s="4"/>
      <c r="F10857" s="4"/>
    </row>
    <row r="10858" spans="2:6" ht="12.75" customHeight="1">
      <c r="B10858" s="38"/>
      <c r="E10858" s="4"/>
      <c r="F10858" s="4"/>
    </row>
    <row r="10859" spans="2:6" ht="12.75" customHeight="1">
      <c r="B10859" s="38"/>
      <c r="E10859" s="4"/>
      <c r="F10859" s="4"/>
    </row>
    <row r="10860" spans="2:6" ht="12.75" customHeight="1">
      <c r="B10860" s="38"/>
      <c r="E10860" s="4"/>
      <c r="F10860" s="4"/>
    </row>
    <row r="10861" spans="2:6" ht="12.75" customHeight="1">
      <c r="B10861" s="38"/>
      <c r="E10861" s="4"/>
      <c r="F10861" s="4"/>
    </row>
    <row r="10862" spans="2:6" ht="12.75" customHeight="1">
      <c r="B10862" s="38"/>
      <c r="E10862" s="4"/>
      <c r="F10862" s="4"/>
    </row>
    <row r="10863" spans="2:6" ht="12.75" customHeight="1">
      <c r="B10863" s="38"/>
      <c r="E10863" s="4"/>
      <c r="F10863" s="4"/>
    </row>
    <row r="10864" spans="2:6" ht="12.75" customHeight="1">
      <c r="B10864" s="38"/>
      <c r="E10864" s="4"/>
      <c r="F10864" s="4"/>
    </row>
    <row r="10865" spans="2:6" ht="12.75" customHeight="1">
      <c r="B10865" s="38"/>
      <c r="E10865" s="4"/>
      <c r="F10865" s="4"/>
    </row>
    <row r="10866" spans="2:6" ht="12.75" customHeight="1">
      <c r="B10866" s="38"/>
      <c r="E10866" s="4"/>
      <c r="F10866" s="4"/>
    </row>
    <row r="10867" spans="2:6" ht="12.75" customHeight="1">
      <c r="B10867" s="38"/>
      <c r="E10867" s="4"/>
      <c r="F10867" s="4"/>
    </row>
    <row r="10868" spans="2:6" ht="12.75" customHeight="1">
      <c r="B10868" s="38"/>
      <c r="E10868" s="4"/>
      <c r="F10868" s="4"/>
    </row>
    <row r="10869" spans="2:6" ht="12.75" customHeight="1">
      <c r="B10869" s="38"/>
      <c r="E10869" s="4"/>
      <c r="F10869" s="4"/>
    </row>
    <row r="10870" spans="2:6" ht="12.75" customHeight="1">
      <c r="B10870" s="38"/>
      <c r="E10870" s="4"/>
      <c r="F10870" s="4"/>
    </row>
    <row r="10871" spans="2:6" ht="12.75" customHeight="1">
      <c r="B10871" s="38"/>
      <c r="E10871" s="4"/>
      <c r="F10871" s="4"/>
    </row>
    <row r="10872" spans="2:6" ht="12.75" customHeight="1">
      <c r="B10872" s="38"/>
      <c r="E10872" s="4"/>
      <c r="F10872" s="4"/>
    </row>
    <row r="10873" spans="2:6" ht="12.75" customHeight="1">
      <c r="B10873" s="38"/>
      <c r="E10873" s="4"/>
      <c r="F10873" s="4"/>
    </row>
    <row r="10874" spans="2:6" ht="12.75" customHeight="1">
      <c r="B10874" s="38"/>
      <c r="E10874" s="4"/>
      <c r="F10874" s="4"/>
    </row>
    <row r="10875" spans="2:6" ht="12.75" customHeight="1">
      <c r="B10875" s="38"/>
      <c r="E10875" s="4"/>
      <c r="F10875" s="4"/>
    </row>
    <row r="10876" spans="2:6" ht="12.75" customHeight="1">
      <c r="B10876" s="38"/>
      <c r="E10876" s="4"/>
      <c r="F10876" s="4"/>
    </row>
    <row r="10877" spans="2:6" ht="12.75" customHeight="1">
      <c r="B10877" s="38"/>
      <c r="E10877" s="4"/>
      <c r="F10877" s="4"/>
    </row>
    <row r="10878" spans="2:6" ht="12.75" customHeight="1">
      <c r="B10878" s="38"/>
      <c r="E10878" s="4"/>
      <c r="F10878" s="4"/>
    </row>
    <row r="10879" spans="2:6" ht="12.75" customHeight="1">
      <c r="B10879" s="38"/>
      <c r="E10879" s="4"/>
      <c r="F10879" s="4"/>
    </row>
    <row r="10880" spans="2:6" ht="12.75" customHeight="1">
      <c r="B10880" s="38"/>
      <c r="E10880" s="4"/>
      <c r="F10880" s="4"/>
    </row>
    <row r="10881" spans="2:6" ht="12.75" customHeight="1">
      <c r="B10881" s="38"/>
      <c r="E10881" s="4"/>
      <c r="F10881" s="4"/>
    </row>
    <row r="10882" spans="2:6" ht="12.75" customHeight="1">
      <c r="B10882" s="38"/>
      <c r="E10882" s="4"/>
      <c r="F10882" s="4"/>
    </row>
    <row r="10883" spans="2:6" ht="12.75" customHeight="1">
      <c r="B10883" s="38"/>
      <c r="E10883" s="4"/>
      <c r="F10883" s="4"/>
    </row>
    <row r="10884" spans="2:6" ht="12.75" customHeight="1">
      <c r="B10884" s="38"/>
      <c r="E10884" s="4"/>
      <c r="F10884" s="4"/>
    </row>
    <row r="10885" spans="2:6" ht="12.75" customHeight="1">
      <c r="B10885" s="38"/>
      <c r="E10885" s="4"/>
      <c r="F10885" s="4"/>
    </row>
    <row r="10886" spans="2:6" ht="12.75" customHeight="1">
      <c r="B10886" s="38"/>
      <c r="E10886" s="4"/>
      <c r="F10886" s="4"/>
    </row>
    <row r="10887" spans="2:6" ht="12.75" customHeight="1">
      <c r="B10887" s="38"/>
      <c r="E10887" s="4"/>
      <c r="F10887" s="4"/>
    </row>
    <row r="10888" spans="2:6" ht="12.75" customHeight="1">
      <c r="B10888" s="38"/>
      <c r="E10888" s="4"/>
      <c r="F10888" s="4"/>
    </row>
    <row r="10889" spans="2:6" ht="12.75" customHeight="1">
      <c r="B10889" s="38"/>
      <c r="E10889" s="4"/>
      <c r="F10889" s="4"/>
    </row>
    <row r="10890" spans="2:6" ht="12.75" customHeight="1">
      <c r="B10890" s="38"/>
      <c r="E10890" s="4"/>
      <c r="F10890" s="4"/>
    </row>
    <row r="10891" spans="2:6" ht="12.75" customHeight="1">
      <c r="B10891" s="38"/>
      <c r="E10891" s="4"/>
      <c r="F10891" s="4"/>
    </row>
    <row r="10892" spans="2:6" ht="12.75" customHeight="1">
      <c r="B10892" s="38"/>
      <c r="E10892" s="4"/>
      <c r="F10892" s="4"/>
    </row>
    <row r="10893" spans="2:6" ht="12.75" customHeight="1">
      <c r="B10893" s="38"/>
      <c r="E10893" s="4"/>
      <c r="F10893" s="4"/>
    </row>
    <row r="10894" spans="2:6" ht="12.75" customHeight="1">
      <c r="B10894" s="38"/>
      <c r="E10894" s="4"/>
      <c r="F10894" s="4"/>
    </row>
    <row r="10895" spans="2:6" ht="12.75" customHeight="1">
      <c r="B10895" s="38"/>
      <c r="E10895" s="4"/>
      <c r="F10895" s="4"/>
    </row>
    <row r="10896" spans="2:6" ht="12.75" customHeight="1">
      <c r="B10896" s="38"/>
      <c r="E10896" s="4"/>
      <c r="F10896" s="4"/>
    </row>
    <row r="10897" spans="2:6" ht="12.75" customHeight="1">
      <c r="B10897" s="38"/>
      <c r="E10897" s="4"/>
      <c r="F10897" s="4"/>
    </row>
    <row r="10898" spans="2:6" ht="12.75" customHeight="1">
      <c r="B10898" s="38"/>
      <c r="E10898" s="4"/>
      <c r="F10898" s="4"/>
    </row>
    <row r="10899" spans="2:6" ht="12.75" customHeight="1">
      <c r="B10899" s="38"/>
      <c r="E10899" s="4"/>
      <c r="F10899" s="4"/>
    </row>
    <row r="10900" spans="2:6" ht="12.75" customHeight="1">
      <c r="B10900" s="38"/>
      <c r="E10900" s="4"/>
      <c r="F10900" s="4"/>
    </row>
    <row r="10901" spans="2:6" ht="12.75" customHeight="1">
      <c r="B10901" s="38"/>
      <c r="E10901" s="4"/>
      <c r="F10901" s="4"/>
    </row>
    <row r="10902" spans="2:6" ht="12.75" customHeight="1">
      <c r="B10902" s="38"/>
      <c r="E10902" s="4"/>
      <c r="F10902" s="4"/>
    </row>
    <row r="10903" spans="2:6" ht="12.75" customHeight="1">
      <c r="B10903" s="38"/>
      <c r="E10903" s="4"/>
      <c r="F10903" s="4"/>
    </row>
    <row r="10904" spans="2:6" ht="12.75" customHeight="1">
      <c r="B10904" s="38"/>
      <c r="E10904" s="4"/>
      <c r="F10904" s="4"/>
    </row>
    <row r="10905" spans="2:6" ht="12.75" customHeight="1">
      <c r="B10905" s="38"/>
      <c r="E10905" s="4"/>
      <c r="F10905" s="4"/>
    </row>
    <row r="10906" spans="2:6" ht="12.75" customHeight="1">
      <c r="B10906" s="38"/>
      <c r="E10906" s="4"/>
      <c r="F10906" s="4"/>
    </row>
    <row r="10907" spans="2:6" ht="12.75" customHeight="1">
      <c r="B10907" s="38"/>
      <c r="E10907" s="4"/>
      <c r="F10907" s="4"/>
    </row>
    <row r="10908" spans="2:6" ht="12.75" customHeight="1">
      <c r="B10908" s="38"/>
      <c r="E10908" s="4"/>
      <c r="F10908" s="4"/>
    </row>
    <row r="10909" spans="2:6" ht="12.75" customHeight="1">
      <c r="B10909" s="38"/>
      <c r="E10909" s="4"/>
      <c r="F10909" s="4"/>
    </row>
    <row r="10910" spans="2:6" ht="12.75" customHeight="1">
      <c r="B10910" s="38"/>
      <c r="E10910" s="4"/>
      <c r="F10910" s="4"/>
    </row>
    <row r="10911" spans="2:6" ht="12.75" customHeight="1">
      <c r="B10911" s="38"/>
      <c r="E10911" s="4"/>
      <c r="F10911" s="4"/>
    </row>
    <row r="10912" spans="2:6" ht="12.75" customHeight="1">
      <c r="B10912" s="38"/>
      <c r="E10912" s="4"/>
      <c r="F10912" s="4"/>
    </row>
    <row r="10913" spans="2:6" ht="12.75" customHeight="1">
      <c r="B10913" s="38"/>
      <c r="E10913" s="4"/>
      <c r="F10913" s="4"/>
    </row>
    <row r="10914" spans="2:6" ht="12.75" customHeight="1">
      <c r="B10914" s="38"/>
      <c r="E10914" s="4"/>
      <c r="F10914" s="4"/>
    </row>
    <row r="10915" spans="2:6" ht="12.75" customHeight="1">
      <c r="B10915" s="38"/>
      <c r="E10915" s="4"/>
      <c r="F10915" s="4"/>
    </row>
    <row r="10916" spans="2:6" ht="12.75" customHeight="1">
      <c r="B10916" s="38"/>
      <c r="E10916" s="4"/>
      <c r="F10916" s="4"/>
    </row>
    <row r="10917" spans="2:6" ht="12.75" customHeight="1">
      <c r="B10917" s="38"/>
      <c r="E10917" s="4"/>
      <c r="F10917" s="4"/>
    </row>
    <row r="10918" spans="2:6" ht="12.75" customHeight="1">
      <c r="B10918" s="38"/>
      <c r="E10918" s="4"/>
      <c r="F10918" s="4"/>
    </row>
    <row r="10919" spans="2:6" ht="12.75" customHeight="1">
      <c r="B10919" s="38"/>
      <c r="E10919" s="4"/>
      <c r="F10919" s="4"/>
    </row>
    <row r="10920" spans="2:6" ht="12.75" customHeight="1">
      <c r="B10920" s="38"/>
      <c r="E10920" s="4"/>
      <c r="F10920" s="4"/>
    </row>
    <row r="10921" spans="2:6" ht="12.75" customHeight="1">
      <c r="B10921" s="38"/>
      <c r="E10921" s="4"/>
      <c r="F10921" s="4"/>
    </row>
    <row r="10922" spans="2:6" ht="12.75" customHeight="1">
      <c r="B10922" s="38"/>
      <c r="E10922" s="4"/>
      <c r="F10922" s="4"/>
    </row>
    <row r="10923" spans="2:6" ht="12.75" customHeight="1">
      <c r="B10923" s="38"/>
      <c r="E10923" s="4"/>
      <c r="F10923" s="4"/>
    </row>
    <row r="10924" spans="2:6" ht="12.75" customHeight="1">
      <c r="B10924" s="38"/>
      <c r="E10924" s="4"/>
      <c r="F10924" s="4"/>
    </row>
    <row r="10925" spans="2:6" ht="12.75" customHeight="1">
      <c r="B10925" s="38"/>
      <c r="E10925" s="4"/>
      <c r="F10925" s="4"/>
    </row>
    <row r="10926" spans="2:6" ht="12.75" customHeight="1">
      <c r="B10926" s="38"/>
      <c r="E10926" s="4"/>
      <c r="F10926" s="4"/>
    </row>
    <row r="10927" spans="2:6" ht="12.75" customHeight="1">
      <c r="B10927" s="38"/>
      <c r="E10927" s="4"/>
      <c r="F10927" s="4"/>
    </row>
    <row r="10928" spans="2:6" ht="12.75" customHeight="1">
      <c r="B10928" s="38"/>
      <c r="E10928" s="4"/>
      <c r="F10928" s="4"/>
    </row>
    <row r="10929" spans="2:6" ht="12.75" customHeight="1">
      <c r="B10929" s="38"/>
      <c r="E10929" s="4"/>
      <c r="F10929" s="4"/>
    </row>
    <row r="10930" spans="2:6" ht="12.75" customHeight="1">
      <c r="B10930" s="38"/>
      <c r="E10930" s="4"/>
      <c r="F10930" s="4"/>
    </row>
    <row r="10931" spans="2:6" ht="12.75" customHeight="1">
      <c r="B10931" s="38"/>
      <c r="E10931" s="4"/>
      <c r="F10931" s="4"/>
    </row>
    <row r="10932" spans="2:6" ht="12.75" customHeight="1">
      <c r="B10932" s="38"/>
      <c r="E10932" s="4"/>
      <c r="F10932" s="4"/>
    </row>
    <row r="10933" spans="2:6" ht="12.75" customHeight="1">
      <c r="B10933" s="38"/>
      <c r="E10933" s="4"/>
      <c r="F10933" s="4"/>
    </row>
    <row r="10934" spans="2:6" ht="12.75" customHeight="1">
      <c r="B10934" s="38"/>
      <c r="E10934" s="4"/>
      <c r="F10934" s="4"/>
    </row>
    <row r="10935" spans="2:6" ht="12.75" customHeight="1">
      <c r="B10935" s="38"/>
      <c r="E10935" s="4"/>
      <c r="F10935" s="4"/>
    </row>
    <row r="10936" spans="2:6" ht="12.75" customHeight="1">
      <c r="B10936" s="38"/>
      <c r="E10936" s="4"/>
      <c r="F10936" s="4"/>
    </row>
    <row r="10937" spans="2:6" ht="12.75" customHeight="1">
      <c r="B10937" s="38"/>
      <c r="E10937" s="4"/>
      <c r="F10937" s="4"/>
    </row>
    <row r="10938" spans="2:6" ht="12.75" customHeight="1">
      <c r="B10938" s="38"/>
      <c r="E10938" s="4"/>
      <c r="F10938" s="4"/>
    </row>
    <row r="10939" spans="2:6" ht="12.75" customHeight="1">
      <c r="B10939" s="38"/>
      <c r="E10939" s="4"/>
      <c r="F10939" s="4"/>
    </row>
    <row r="10940" spans="2:6" ht="12.75" customHeight="1">
      <c r="B10940" s="38"/>
      <c r="E10940" s="4"/>
      <c r="F10940" s="4"/>
    </row>
    <row r="10941" spans="2:6" ht="12.75" customHeight="1">
      <c r="B10941" s="38"/>
      <c r="E10941" s="4"/>
      <c r="F10941" s="4"/>
    </row>
    <row r="10942" spans="2:6" ht="12.75" customHeight="1">
      <c r="B10942" s="38"/>
      <c r="E10942" s="4"/>
      <c r="F10942" s="4"/>
    </row>
    <row r="10943" spans="2:6" ht="12.75" customHeight="1">
      <c r="B10943" s="38"/>
      <c r="E10943" s="4"/>
      <c r="F10943" s="4"/>
    </row>
    <row r="10944" spans="2:6" ht="12.75" customHeight="1">
      <c r="B10944" s="38"/>
      <c r="E10944" s="4"/>
      <c r="F10944" s="4"/>
    </row>
    <row r="10945" spans="2:6" ht="12.75" customHeight="1">
      <c r="B10945" s="38"/>
      <c r="E10945" s="4"/>
      <c r="F10945" s="4"/>
    </row>
    <row r="10946" spans="2:6" ht="12.75" customHeight="1">
      <c r="B10946" s="38"/>
      <c r="E10946" s="4"/>
      <c r="F10946" s="4"/>
    </row>
    <row r="10947" spans="2:6" ht="12.75" customHeight="1">
      <c r="B10947" s="38"/>
      <c r="E10947" s="4"/>
      <c r="F10947" s="4"/>
    </row>
    <row r="10948" spans="2:6" ht="12.75" customHeight="1">
      <c r="B10948" s="38"/>
      <c r="E10948" s="4"/>
      <c r="F10948" s="4"/>
    </row>
    <row r="10949" spans="2:6" ht="12.75" customHeight="1">
      <c r="B10949" s="38"/>
      <c r="E10949" s="4"/>
      <c r="F10949" s="4"/>
    </row>
    <row r="10950" spans="2:6" ht="12.75" customHeight="1">
      <c r="B10950" s="38"/>
      <c r="E10950" s="4"/>
      <c r="F10950" s="4"/>
    </row>
    <row r="10951" spans="2:6" ht="12.75" customHeight="1">
      <c r="B10951" s="38"/>
      <c r="E10951" s="4"/>
      <c r="F10951" s="4"/>
    </row>
    <row r="10952" spans="2:6" ht="12.75" customHeight="1">
      <c r="B10952" s="38"/>
      <c r="E10952" s="4"/>
      <c r="F10952" s="4"/>
    </row>
    <row r="10953" spans="2:6" ht="12.75" customHeight="1">
      <c r="B10953" s="38"/>
      <c r="E10953" s="4"/>
      <c r="F10953" s="4"/>
    </row>
    <row r="10954" spans="2:6" ht="12.75" customHeight="1">
      <c r="B10954" s="38"/>
      <c r="E10954" s="4"/>
      <c r="F10954" s="4"/>
    </row>
    <row r="10955" spans="2:6" ht="12.75" customHeight="1">
      <c r="B10955" s="38"/>
      <c r="E10955" s="4"/>
      <c r="F10955" s="4"/>
    </row>
    <row r="10956" spans="2:6" ht="12.75" customHeight="1">
      <c r="B10956" s="38"/>
      <c r="E10956" s="4"/>
      <c r="F10956" s="4"/>
    </row>
    <row r="10957" spans="2:6" ht="12.75" customHeight="1">
      <c r="B10957" s="38"/>
      <c r="E10957" s="4"/>
      <c r="F10957" s="4"/>
    </row>
    <row r="10958" spans="2:6" ht="12.75" customHeight="1">
      <c r="B10958" s="38"/>
      <c r="E10958" s="4"/>
      <c r="F10958" s="4"/>
    </row>
    <row r="10959" spans="2:6" ht="12.75" customHeight="1">
      <c r="B10959" s="38"/>
      <c r="E10959" s="4"/>
      <c r="F10959" s="4"/>
    </row>
    <row r="10960" spans="2:6" ht="12.75" customHeight="1">
      <c r="B10960" s="38"/>
      <c r="E10960" s="4"/>
      <c r="F10960" s="4"/>
    </row>
    <row r="10961" spans="2:6" ht="12.75" customHeight="1">
      <c r="B10961" s="38"/>
      <c r="E10961" s="4"/>
      <c r="F10961" s="4"/>
    </row>
    <row r="10962" spans="2:6" ht="12.75" customHeight="1">
      <c r="B10962" s="38"/>
      <c r="E10962" s="4"/>
      <c r="F10962" s="4"/>
    </row>
    <row r="10963" spans="2:6" ht="12.75" customHeight="1">
      <c r="B10963" s="38"/>
      <c r="E10963" s="4"/>
      <c r="F10963" s="4"/>
    </row>
    <row r="10964" spans="2:6" ht="12.75" customHeight="1">
      <c r="B10964" s="38"/>
      <c r="E10964" s="4"/>
      <c r="F10964" s="4"/>
    </row>
    <row r="10965" spans="2:6" ht="12.75" customHeight="1">
      <c r="B10965" s="38"/>
      <c r="E10965" s="4"/>
      <c r="F10965" s="4"/>
    </row>
    <row r="10966" spans="2:6" ht="12.75" customHeight="1">
      <c r="B10966" s="38"/>
      <c r="E10966" s="4"/>
      <c r="F10966" s="4"/>
    </row>
    <row r="10967" spans="2:6" ht="12.75" customHeight="1">
      <c r="B10967" s="38"/>
      <c r="E10967" s="4"/>
      <c r="F10967" s="4"/>
    </row>
    <row r="10968" spans="2:6" ht="12.75" customHeight="1">
      <c r="B10968" s="38"/>
      <c r="E10968" s="4"/>
      <c r="F10968" s="4"/>
    </row>
    <row r="10969" spans="2:6" ht="12.75" customHeight="1">
      <c r="B10969" s="38"/>
      <c r="E10969" s="4"/>
      <c r="F10969" s="4"/>
    </row>
    <row r="10970" spans="2:6" ht="12.75" customHeight="1">
      <c r="B10970" s="38"/>
      <c r="E10970" s="4"/>
      <c r="F10970" s="4"/>
    </row>
    <row r="10971" spans="2:6" ht="12.75" customHeight="1">
      <c r="B10971" s="38"/>
      <c r="E10971" s="4"/>
      <c r="F10971" s="4"/>
    </row>
    <row r="10972" spans="2:6" ht="12.75" customHeight="1">
      <c r="B10972" s="38"/>
      <c r="E10972" s="4"/>
      <c r="F10972" s="4"/>
    </row>
    <row r="10973" spans="2:6" ht="12.75" customHeight="1">
      <c r="B10973" s="38"/>
      <c r="E10973" s="4"/>
      <c r="F10973" s="4"/>
    </row>
    <row r="10974" spans="2:6" ht="12.75" customHeight="1">
      <c r="B10974" s="38"/>
      <c r="E10974" s="4"/>
      <c r="F10974" s="4"/>
    </row>
    <row r="10975" spans="2:6" ht="12.75" customHeight="1">
      <c r="B10975" s="38"/>
      <c r="E10975" s="4"/>
      <c r="F10975" s="4"/>
    </row>
    <row r="10976" spans="2:6" ht="12.75" customHeight="1">
      <c r="B10976" s="38"/>
      <c r="E10976" s="4"/>
      <c r="F10976" s="4"/>
    </row>
    <row r="10977" spans="2:6" ht="12.75" customHeight="1">
      <c r="B10977" s="38"/>
      <c r="E10977" s="4"/>
      <c r="F10977" s="4"/>
    </row>
    <row r="10978" spans="2:6" ht="12.75" customHeight="1">
      <c r="B10978" s="38"/>
      <c r="E10978" s="4"/>
      <c r="F10978" s="4"/>
    </row>
    <row r="10979" spans="2:6" ht="12.75" customHeight="1">
      <c r="B10979" s="38"/>
      <c r="E10979" s="4"/>
      <c r="F10979" s="4"/>
    </row>
    <row r="10980" spans="2:6" ht="12.75" customHeight="1">
      <c r="B10980" s="38"/>
      <c r="E10980" s="4"/>
      <c r="F10980" s="4"/>
    </row>
    <row r="10981" spans="2:6" ht="12.75" customHeight="1">
      <c r="B10981" s="38"/>
      <c r="E10981" s="4"/>
      <c r="F10981" s="4"/>
    </row>
    <row r="10982" spans="2:6" ht="12.75" customHeight="1">
      <c r="B10982" s="38"/>
      <c r="E10982" s="4"/>
      <c r="F10982" s="4"/>
    </row>
    <row r="10983" spans="2:6" ht="12.75" customHeight="1">
      <c r="B10983" s="38"/>
      <c r="E10983" s="4"/>
      <c r="F10983" s="4"/>
    </row>
    <row r="10984" spans="2:6" ht="12.75" customHeight="1">
      <c r="B10984" s="38"/>
      <c r="E10984" s="4"/>
      <c r="F10984" s="4"/>
    </row>
    <row r="10985" spans="2:6" ht="12.75" customHeight="1">
      <c r="B10985" s="38"/>
      <c r="E10985" s="4"/>
      <c r="F10985" s="4"/>
    </row>
    <row r="10986" spans="2:6" ht="12.75" customHeight="1">
      <c r="B10986" s="38"/>
      <c r="E10986" s="4"/>
      <c r="F10986" s="4"/>
    </row>
    <row r="10987" spans="2:6" ht="12.75" customHeight="1">
      <c r="B10987" s="38"/>
      <c r="E10987" s="4"/>
      <c r="F10987" s="4"/>
    </row>
    <row r="10988" spans="2:6" ht="12.75" customHeight="1">
      <c r="B10988" s="38"/>
      <c r="E10988" s="4"/>
      <c r="F10988" s="4"/>
    </row>
    <row r="10989" spans="2:6" ht="12.75" customHeight="1">
      <c r="B10989" s="38"/>
      <c r="E10989" s="4"/>
      <c r="F10989" s="4"/>
    </row>
    <row r="10990" spans="2:6" ht="12.75" customHeight="1">
      <c r="B10990" s="38"/>
      <c r="E10990" s="4"/>
      <c r="F10990" s="4"/>
    </row>
    <row r="10991" spans="2:6" ht="12.75" customHeight="1">
      <c r="B10991" s="38"/>
      <c r="E10991" s="4"/>
      <c r="F10991" s="4"/>
    </row>
    <row r="10992" spans="2:6" ht="12.75" customHeight="1">
      <c r="B10992" s="38"/>
      <c r="E10992" s="4"/>
      <c r="F10992" s="4"/>
    </row>
    <row r="10993" spans="2:6" ht="12.75" customHeight="1">
      <c r="B10993" s="38"/>
      <c r="E10993" s="4"/>
      <c r="F10993" s="4"/>
    </row>
    <row r="10994" spans="2:6" ht="12.75" customHeight="1">
      <c r="B10994" s="38"/>
      <c r="E10994" s="4"/>
      <c r="F10994" s="4"/>
    </row>
    <row r="10995" spans="2:6" ht="12.75" customHeight="1">
      <c r="B10995" s="38"/>
      <c r="E10995" s="4"/>
      <c r="F10995" s="4"/>
    </row>
    <row r="10996" spans="2:6" ht="12.75" customHeight="1">
      <c r="B10996" s="38"/>
      <c r="E10996" s="4"/>
      <c r="F10996" s="4"/>
    </row>
    <row r="10997" spans="2:6" ht="12.75" customHeight="1">
      <c r="B10997" s="38"/>
      <c r="E10997" s="4"/>
      <c r="F10997" s="4"/>
    </row>
    <row r="10998" spans="2:6" ht="12.75" customHeight="1">
      <c r="B10998" s="38"/>
      <c r="E10998" s="4"/>
      <c r="F10998" s="4"/>
    </row>
    <row r="10999" spans="2:6" ht="12.75" customHeight="1">
      <c r="B10999" s="38"/>
      <c r="E10999" s="4"/>
      <c r="F10999" s="4"/>
    </row>
    <row r="11000" spans="2:6" ht="12.75" customHeight="1">
      <c r="B11000" s="38"/>
      <c r="E11000" s="4"/>
      <c r="F11000" s="4"/>
    </row>
    <row r="11001" spans="2:6" ht="12.75" customHeight="1">
      <c r="B11001" s="38"/>
      <c r="E11001" s="4"/>
      <c r="F11001" s="4"/>
    </row>
    <row r="11002" spans="2:6" ht="12.75" customHeight="1">
      <c r="B11002" s="38"/>
      <c r="E11002" s="4"/>
      <c r="F11002" s="4"/>
    </row>
    <row r="11003" spans="2:6" ht="12.75" customHeight="1">
      <c r="B11003" s="38"/>
      <c r="E11003" s="4"/>
      <c r="F11003" s="4"/>
    </row>
    <row r="11004" spans="2:6" ht="12.75" customHeight="1">
      <c r="B11004" s="38"/>
      <c r="E11004" s="4"/>
      <c r="F11004" s="4"/>
    </row>
    <row r="11005" spans="2:6" ht="12.75" customHeight="1">
      <c r="B11005" s="38"/>
      <c r="E11005" s="4"/>
      <c r="F11005" s="4"/>
    </row>
    <row r="11006" spans="2:6" ht="12.75" customHeight="1">
      <c r="B11006" s="38"/>
      <c r="E11006" s="4"/>
      <c r="F11006" s="4"/>
    </row>
    <row r="11007" spans="2:6" ht="12.75" customHeight="1">
      <c r="B11007" s="38"/>
      <c r="E11007" s="4"/>
      <c r="F11007" s="4"/>
    </row>
    <row r="11008" spans="2:6" ht="12.75" customHeight="1">
      <c r="B11008" s="38"/>
      <c r="E11008" s="4"/>
      <c r="F11008" s="4"/>
    </row>
    <row r="11009" spans="2:6" ht="12.75" customHeight="1">
      <c r="B11009" s="38"/>
      <c r="E11009" s="4"/>
      <c r="F11009" s="4"/>
    </row>
    <row r="11010" spans="2:6" ht="12.75" customHeight="1">
      <c r="B11010" s="38"/>
      <c r="E11010" s="4"/>
      <c r="F11010" s="4"/>
    </row>
    <row r="11011" spans="2:6" ht="12.75" customHeight="1">
      <c r="B11011" s="38"/>
      <c r="E11011" s="4"/>
      <c r="F11011" s="4"/>
    </row>
    <row r="11012" spans="2:6" ht="12.75" customHeight="1">
      <c r="B11012" s="38"/>
      <c r="E11012" s="4"/>
      <c r="F11012" s="4"/>
    </row>
    <row r="11013" spans="2:6" ht="12.75" customHeight="1">
      <c r="B11013" s="38"/>
      <c r="E11013" s="4"/>
      <c r="F11013" s="4"/>
    </row>
    <row r="11014" spans="2:6" ht="12.75" customHeight="1">
      <c r="B11014" s="38"/>
      <c r="E11014" s="4"/>
      <c r="F11014" s="4"/>
    </row>
    <row r="11015" spans="2:6" ht="12.75" customHeight="1">
      <c r="B11015" s="38"/>
      <c r="E11015" s="4"/>
      <c r="F11015" s="4"/>
    </row>
    <row r="11016" spans="2:6" ht="12.75" customHeight="1">
      <c r="B11016" s="38"/>
      <c r="E11016" s="4"/>
      <c r="F11016" s="4"/>
    </row>
    <row r="11017" spans="2:6" ht="12.75" customHeight="1">
      <c r="B11017" s="38"/>
      <c r="E11017" s="4"/>
      <c r="F11017" s="4"/>
    </row>
    <row r="11018" spans="2:6" ht="12.75" customHeight="1">
      <c r="B11018" s="38"/>
      <c r="E11018" s="4"/>
      <c r="F11018" s="4"/>
    </row>
    <row r="11019" spans="2:6" ht="12.75" customHeight="1">
      <c r="B11019" s="38"/>
      <c r="E11019" s="4"/>
      <c r="F11019" s="4"/>
    </row>
    <row r="11020" spans="2:6" ht="12.75" customHeight="1">
      <c r="B11020" s="38"/>
      <c r="E11020" s="4"/>
      <c r="F11020" s="4"/>
    </row>
    <row r="11021" spans="2:6" ht="12.75" customHeight="1">
      <c r="B11021" s="38"/>
      <c r="E11021" s="4"/>
      <c r="F11021" s="4"/>
    </row>
    <row r="11022" spans="2:6" ht="12.75" customHeight="1">
      <c r="B11022" s="38"/>
      <c r="E11022" s="4"/>
      <c r="F11022" s="4"/>
    </row>
    <row r="11023" spans="2:6" ht="12.75" customHeight="1">
      <c r="B11023" s="38"/>
      <c r="E11023" s="4"/>
      <c r="F11023" s="4"/>
    </row>
    <row r="11024" spans="2:6" ht="12.75" customHeight="1">
      <c r="B11024" s="38"/>
      <c r="E11024" s="4"/>
      <c r="F11024" s="4"/>
    </row>
    <row r="11025" spans="2:6" ht="12.75" customHeight="1">
      <c r="B11025" s="38"/>
      <c r="E11025" s="4"/>
      <c r="F11025" s="4"/>
    </row>
    <row r="11026" spans="2:6" ht="12.75" customHeight="1">
      <c r="B11026" s="38"/>
      <c r="E11026" s="4"/>
      <c r="F11026" s="4"/>
    </row>
    <row r="11027" spans="2:6" ht="12.75" customHeight="1">
      <c r="B11027" s="38"/>
      <c r="E11027" s="4"/>
      <c r="F11027" s="4"/>
    </row>
    <row r="11028" spans="2:6" ht="12.75" customHeight="1">
      <c r="B11028" s="38"/>
      <c r="E11028" s="4"/>
      <c r="F11028" s="4"/>
    </row>
    <row r="11029" spans="2:6" ht="12.75" customHeight="1">
      <c r="B11029" s="38"/>
      <c r="E11029" s="4"/>
      <c r="F11029" s="4"/>
    </row>
    <row r="11030" spans="2:6" ht="12.75" customHeight="1">
      <c r="B11030" s="38"/>
      <c r="E11030" s="4"/>
      <c r="F11030" s="4"/>
    </row>
    <row r="11031" spans="2:6" ht="12.75" customHeight="1">
      <c r="B11031" s="38"/>
      <c r="E11031" s="4"/>
      <c r="F11031" s="4"/>
    </row>
    <row r="11032" spans="2:6" ht="12.75" customHeight="1">
      <c r="B11032" s="38"/>
      <c r="E11032" s="4"/>
      <c r="F11032" s="4"/>
    </row>
    <row r="11033" spans="2:6" ht="12.75" customHeight="1">
      <c r="B11033" s="38"/>
      <c r="E11033" s="4"/>
      <c r="F11033" s="4"/>
    </row>
    <row r="11034" spans="2:6" ht="12.75" customHeight="1">
      <c r="B11034" s="38"/>
      <c r="E11034" s="4"/>
      <c r="F11034" s="4"/>
    </row>
    <row r="11035" spans="2:6" ht="12.75" customHeight="1">
      <c r="B11035" s="38"/>
      <c r="E11035" s="4"/>
      <c r="F11035" s="4"/>
    </row>
    <row r="11036" spans="2:6" ht="12.75" customHeight="1">
      <c r="B11036" s="38"/>
      <c r="E11036" s="4"/>
      <c r="F11036" s="4"/>
    </row>
    <row r="11037" spans="2:6" ht="12.75" customHeight="1">
      <c r="B11037" s="38"/>
      <c r="E11037" s="4"/>
      <c r="F11037" s="4"/>
    </row>
    <row r="11038" spans="2:6" ht="12.75" customHeight="1">
      <c r="B11038" s="38"/>
      <c r="E11038" s="4"/>
      <c r="F11038" s="4"/>
    </row>
    <row r="11039" spans="2:6" ht="12.75" customHeight="1">
      <c r="B11039" s="38"/>
      <c r="E11039" s="4"/>
      <c r="F11039" s="4"/>
    </row>
    <row r="11040" spans="2:6" ht="12.75" customHeight="1">
      <c r="B11040" s="38"/>
      <c r="E11040" s="4"/>
      <c r="F11040" s="4"/>
    </row>
    <row r="11041" spans="2:6" ht="12.75" customHeight="1">
      <c r="B11041" s="38"/>
      <c r="E11041" s="4"/>
      <c r="F11041" s="4"/>
    </row>
  </sheetData>
  <sheetProtection selectLockedCells="1" selectUnlockedCells="1"/>
  <mergeCells count="28">
    <mergeCell ref="C9916:D9916"/>
    <mergeCell ref="C9897:D9897"/>
    <mergeCell ref="C9905:D9905"/>
    <mergeCell ref="C9875:D9875"/>
    <mergeCell ref="C9883:D9883"/>
    <mergeCell ref="C9885:D9885"/>
    <mergeCell ref="C9890:D9890"/>
    <mergeCell ref="C9846:D9846"/>
    <mergeCell ref="B9835:D9835"/>
    <mergeCell ref="C9841:D9841"/>
    <mergeCell ref="A9783:B9783"/>
    <mergeCell ref="A9713:A9714"/>
    <mergeCell ref="A9688:A9689"/>
    <mergeCell ref="A9704:B9704"/>
    <mergeCell ref="A9723:D9723"/>
    <mergeCell ref="A9732:D9732"/>
    <mergeCell ref="A2:F2"/>
    <mergeCell ref="A6856:B6856"/>
    <mergeCell ref="A2749:B2749"/>
    <mergeCell ref="A9675:A9676"/>
    <mergeCell ref="A9699:A9700"/>
    <mergeCell ref="A9692:B9692"/>
    <mergeCell ref="A9693:B9693"/>
    <mergeCell ref="A9694:B9694"/>
    <mergeCell ref="A9695:B9695"/>
    <mergeCell ref="A9696:B9696"/>
    <mergeCell ref="D9670:E9670"/>
    <mergeCell ref="D9671:E9671"/>
  </mergeCells>
  <phoneticPr fontId="0" type="noConversion"/>
  <pageMargins left="0.6692913385826772" right="0.62992125984251968" top="0.78740157480314965" bottom="0.59055118110236227" header="0.47244094488188981" footer="0.39370078740157483"/>
  <pageSetup orientation="portrait" horizontalDpi="4294967294" r:id="rId1"/>
  <headerFooter alignWithMargins="0">
    <oddFooter>Página &amp;P&amp;R&amp;F</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mano de obra tarifas actualizad</vt:lpstr>
      <vt:lpstr>Brig</vt:lpstr>
      <vt:lpstr>madera</vt:lpstr>
      <vt:lpstr>caseta materiales</vt:lpstr>
      <vt:lpstr>horm.ymez.</vt:lpstr>
      <vt:lpstr>otros</vt:lpstr>
      <vt:lpstr>ana A1</vt:lpstr>
      <vt:lpstr>Prec.</vt:lpstr>
      <vt:lpstr>Ana.term</vt:lpstr>
      <vt:lpstr>PRESUPUESTO</vt:lpstr>
      <vt:lpstr>VOLUMETRIA</vt:lpstr>
      <vt:lpstr>CUANTIAS</vt:lpstr>
      <vt:lpstr>porcientos</vt:lpstr>
      <vt:lpstr>volumen</vt:lpstr>
      <vt:lpstr>Ana.term!Área_de_impresión</vt:lpstr>
      <vt:lpstr>Brig!Área_de_impresión</vt:lpstr>
      <vt:lpstr>horm.ymez.!Área_de_impresión</vt:lpstr>
      <vt:lpstr>'mano de obra tarifas actualizad'!Área_de_impresión</vt:lpstr>
      <vt:lpstr>Prec.!Área_de_impresión</vt:lpstr>
      <vt:lpstr>PRESUPUESTO!Área_de_impresión</vt:lpstr>
      <vt:lpstr>volumen!Área_de_impresión</vt:lpstr>
      <vt:lpstr>Ana.term!Títulos_a_imprimir</vt:lpstr>
      <vt:lpstr>horm.ymez.!Títulos_a_imprimir</vt:lpstr>
      <vt:lpstr>Prec.!Títulos_a_imprimir</vt:lpstr>
      <vt:lpstr>PRESUPUESTO!Títulos_a_imprimir</vt:lpstr>
    </vt:vector>
  </TitlesOfParts>
  <Company>SEOPC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ANALISIS DE SANTO DOMINGO 2007-2008 jose miguel</dc:title>
  <dc:subject>ANALISIS DE COSTO</dc:subject>
  <dc:creator>JOSE MIGUEL</dc:creator>
  <cp:keywords>SOL</cp:keywords>
  <dc:description>MUCHO TRABAJO NOS COSTO ESTO.</dc:description>
  <cp:lastModifiedBy>Marcos Fabian Garcia Encarnacion</cp:lastModifiedBy>
  <cp:lastPrinted>2022-02-07T13:28:41Z</cp:lastPrinted>
  <dcterms:created xsi:type="dcterms:W3CDTF">2001-10-03T15:22:23Z</dcterms:created>
  <dcterms:modified xsi:type="dcterms:W3CDTF">2022-03-04T16:47:30Z</dcterms:modified>
  <cp:category>DATA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AL.PRIVADO --JOSE MIGUEL">
    <vt:lpwstr>100</vt:lpwstr>
  </property>
</Properties>
</file>